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229" documentId="11_B10D020ACC2D013BB8410978D0AA8AFE537A9811" xr6:coauthVersionLast="47" xr6:coauthVersionMax="47" xr10:uidLastSave="{22F11667-2D86-414C-A0E0-55B45028D58D}"/>
  <bookViews>
    <workbookView xWindow="19730" yWindow="180" windowWidth="19200" windowHeight="10620" xr2:uid="{00000000-000D-0000-FFFF-FFFF00000000}"/>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8" i="3" l="1"/>
  <c r="H86" i="3"/>
  <c r="H84" i="3"/>
  <c r="H82" i="3"/>
  <c r="I31" i="4"/>
  <c r="I30" i="4"/>
  <c r="I29" i="4"/>
  <c r="I28" i="4"/>
  <c r="I27" i="4"/>
  <c r="I33" i="4" s="1"/>
  <c r="I39" i="4" s="1"/>
  <c r="I45" i="4" s="1"/>
  <c r="I51" i="4" s="1"/>
  <c r="I57" i="4" s="1"/>
  <c r="I63" i="4" s="1"/>
  <c r="I69" i="4" s="1"/>
  <c r="I75" i="4" s="1"/>
  <c r="I81" i="4" s="1"/>
  <c r="I26" i="4"/>
  <c r="I16" i="4"/>
  <c r="I91" i="4"/>
  <c r="I90" i="4"/>
  <c r="I89" i="4"/>
  <c r="I88" i="4"/>
  <c r="I87" i="4"/>
  <c r="I86" i="4"/>
  <c r="I207" i="4"/>
  <c r="I206" i="4"/>
  <c r="I151" i="4"/>
  <c r="I150" i="4"/>
  <c r="I149" i="4"/>
  <c r="I148" i="4"/>
  <c r="I147" i="4"/>
  <c r="I146" i="4"/>
  <c r="J121" i="3"/>
  <c r="I6" i="4"/>
  <c r="I7" i="4" s="1"/>
  <c r="I8" i="4" s="1"/>
  <c r="I9" i="4" s="1"/>
  <c r="I10" i="4" s="1"/>
  <c r="I11" i="4" s="1"/>
  <c r="I12" i="4" s="1"/>
  <c r="I13" i="4" s="1"/>
  <c r="I14" i="4" s="1"/>
  <c r="I15" i="4" s="1"/>
  <c r="L117" i="3"/>
  <c r="K117" i="3"/>
  <c r="K118" i="3"/>
  <c r="K116" i="3"/>
  <c r="L115" i="3"/>
  <c r="K115" i="3"/>
  <c r="L114" i="3"/>
  <c r="K114" i="3"/>
  <c r="Q121" i="3"/>
  <c r="Q120" i="3"/>
  <c r="K119" i="3"/>
  <c r="L118" i="3"/>
  <c r="P118" i="3" s="1"/>
  <c r="N115" i="3"/>
  <c r="N116" i="3" s="1"/>
  <c r="O115" i="3"/>
  <c r="P115" i="3"/>
  <c r="Q122" i="3"/>
  <c r="L130" i="3"/>
  <c r="K130" i="3"/>
  <c r="Q80" i="3"/>
  <c r="Q78" i="3"/>
  <c r="Q76" i="3"/>
  <c r="Q74" i="3"/>
  <c r="Q73" i="3"/>
  <c r="Q72" i="3"/>
  <c r="Q70" i="3"/>
  <c r="Q69" i="3"/>
  <c r="Q68" i="3"/>
  <c r="Q67" i="3"/>
  <c r="Q66" i="3"/>
  <c r="Q65" i="3"/>
  <c r="Q64" i="3"/>
  <c r="Q63" i="3"/>
  <c r="Q61" i="3"/>
  <c r="Q59" i="3"/>
  <c r="Q57" i="3"/>
  <c r="Q55" i="3"/>
  <c r="Q54" i="3"/>
  <c r="Q53" i="3"/>
  <c r="Q51" i="3"/>
  <c r="Q50" i="3"/>
  <c r="Q49" i="3"/>
  <c r="Q48" i="3"/>
  <c r="Q47" i="3"/>
  <c r="Q46" i="3"/>
  <c r="Q45" i="3"/>
  <c r="Q44" i="3"/>
  <c r="Q26" i="3"/>
  <c r="Q27" i="3"/>
  <c r="Q28" i="3"/>
  <c r="Q29" i="3"/>
  <c r="Q30" i="3"/>
  <c r="Q31" i="3"/>
  <c r="Q32" i="3"/>
  <c r="Q34" i="3"/>
  <c r="Q35" i="3"/>
  <c r="Q36" i="3"/>
  <c r="Q38" i="3"/>
  <c r="Q40" i="3"/>
  <c r="Q42" i="3"/>
  <c r="Q25" i="3"/>
  <c r="Q17" i="3"/>
  <c r="L15" i="3"/>
  <c r="M15" i="3"/>
  <c r="N15" i="3"/>
  <c r="O15" i="3"/>
  <c r="P15" i="3"/>
  <c r="Q15" i="3"/>
  <c r="K15" i="3"/>
  <c r="L16" i="3"/>
  <c r="N16" i="3" s="1"/>
  <c r="P16" i="3" s="1"/>
  <c r="K16" i="3"/>
  <c r="M16" i="3" s="1"/>
  <c r="O16" i="3" s="1"/>
  <c r="Q19" i="3"/>
  <c r="Q102" i="3"/>
  <c r="Q103" i="3"/>
  <c r="Q104" i="3"/>
  <c r="Q105" i="3"/>
  <c r="Q111" i="3" s="1"/>
  <c r="Q106" i="3"/>
  <c r="Q107" i="3"/>
  <c r="Q108" i="3"/>
  <c r="Q109" i="3"/>
  <c r="Q110" i="3"/>
  <c r="Q112" i="3"/>
  <c r="Q113" i="3"/>
  <c r="Q97" i="3"/>
  <c r="Q98" i="3"/>
  <c r="Q99" i="3"/>
  <c r="Q100" i="3"/>
  <c r="Q101" i="3"/>
  <c r="Q96" i="3"/>
  <c r="L90" i="3"/>
  <c r="K90" i="3"/>
  <c r="O91" i="3"/>
  <c r="P91" i="3"/>
  <c r="N91" i="3"/>
  <c r="L91" i="3"/>
  <c r="K91" i="3"/>
  <c r="Q94" i="3"/>
  <c r="L94" i="3"/>
  <c r="M94" i="3"/>
  <c r="N94" i="3"/>
  <c r="O94" i="3"/>
  <c r="P94" i="3"/>
  <c r="K94" i="3"/>
  <c r="O95" i="3"/>
  <c r="P95" i="3"/>
  <c r="N95" i="3"/>
  <c r="M95" i="3"/>
  <c r="L95" i="3"/>
  <c r="K95" i="3"/>
  <c r="L93" i="3"/>
  <c r="K93" i="3"/>
  <c r="Q88" i="3"/>
  <c r="Q86" i="3"/>
  <c r="Q84" i="3"/>
  <c r="Q82" i="3"/>
  <c r="Q23" i="3"/>
  <c r="Q21" i="3"/>
  <c r="Q12" i="3"/>
  <c r="Q8" i="3"/>
  <c r="Q7" i="3"/>
  <c r="Q6" i="3"/>
  <c r="L6" i="3"/>
  <c r="K6" i="3"/>
  <c r="N6" i="4"/>
  <c r="N7" i="4" s="1"/>
  <c r="N8" i="4" s="1"/>
  <c r="N9" i="4" s="1"/>
  <c r="N10" i="4" s="1"/>
  <c r="N11" i="4" s="1"/>
  <c r="N12" i="4" s="1"/>
  <c r="N13" i="4" s="1"/>
  <c r="N14" i="4" s="1"/>
  <c r="N15" i="4" s="1"/>
  <c r="G18" i="4"/>
  <c r="J18" i="4"/>
  <c r="K18" i="4"/>
  <c r="L18" i="4"/>
  <c r="M18" i="4"/>
  <c r="N18" i="4"/>
  <c r="G19" i="4"/>
  <c r="J19" i="4"/>
  <c r="J20" i="4" s="1"/>
  <c r="J21" i="4" s="1"/>
  <c r="J22" i="4" s="1"/>
  <c r="J23" i="4" s="1"/>
  <c r="J24" i="4" s="1"/>
  <c r="J25" i="4" s="1"/>
  <c r="K19" i="4"/>
  <c r="K20" i="4" s="1"/>
  <c r="K21" i="4" s="1"/>
  <c r="K22" i="4" s="1"/>
  <c r="K23" i="4" s="1"/>
  <c r="K24" i="4" s="1"/>
  <c r="K25" i="4" s="1"/>
  <c r="L19" i="4"/>
  <c r="L20" i="4" s="1"/>
  <c r="L21" i="4" s="1"/>
  <c r="L22" i="4" s="1"/>
  <c r="L23" i="4" s="1"/>
  <c r="L24" i="4" s="1"/>
  <c r="L25" i="4" s="1"/>
  <c r="M19" i="4"/>
  <c r="M20" i="4" s="1"/>
  <c r="M21" i="4" s="1"/>
  <c r="M22" i="4" s="1"/>
  <c r="M23" i="4" s="1"/>
  <c r="M24" i="4" s="1"/>
  <c r="M25" i="4" s="1"/>
  <c r="N19" i="4"/>
  <c r="N20" i="4" s="1"/>
  <c r="N21" i="4" s="1"/>
  <c r="N22" i="4" s="1"/>
  <c r="N23" i="4" s="1"/>
  <c r="N24" i="4" s="1"/>
  <c r="N25" i="4" s="1"/>
  <c r="G20" i="4"/>
  <c r="G21" i="4" s="1"/>
  <c r="G22" i="4" s="1"/>
  <c r="G23" i="4" s="1"/>
  <c r="G24" i="4" s="1"/>
  <c r="G25" i="4" s="1"/>
  <c r="I17" i="4"/>
  <c r="I18" i="4" s="1"/>
  <c r="I19" i="4" s="1"/>
  <c r="I20" i="4" s="1"/>
  <c r="I21" i="4" s="1"/>
  <c r="I22" i="4" s="1"/>
  <c r="I23" i="4" s="1"/>
  <c r="I24" i="4" s="1"/>
  <c r="I25" i="4" s="1"/>
  <c r="J17" i="4"/>
  <c r="K17" i="4"/>
  <c r="L17" i="4"/>
  <c r="M17" i="4"/>
  <c r="N17" i="4"/>
  <c r="G17" i="4"/>
  <c r="J16" i="4"/>
  <c r="K16" i="4"/>
  <c r="L16" i="4"/>
  <c r="M16" i="4"/>
  <c r="N16" i="4"/>
  <c r="O16" i="4"/>
  <c r="O17" i="4" s="1"/>
  <c r="O18" i="4" s="1"/>
  <c r="O19" i="4" s="1"/>
  <c r="O20" i="4" s="1"/>
  <c r="O21" i="4" s="1"/>
  <c r="O22" i="4" s="1"/>
  <c r="O23" i="4" s="1"/>
  <c r="O24" i="4" s="1"/>
  <c r="O25" i="4" s="1"/>
  <c r="G85" i="4"/>
  <c r="J85" i="4"/>
  <c r="K85" i="4"/>
  <c r="L85" i="4"/>
  <c r="M85" i="4"/>
  <c r="N85" i="4"/>
  <c r="G33" i="4"/>
  <c r="J33" i="4"/>
  <c r="K33" i="4"/>
  <c r="L33" i="4"/>
  <c r="M33" i="4"/>
  <c r="N33" i="4"/>
  <c r="G34" i="4"/>
  <c r="J34" i="4"/>
  <c r="K34" i="4"/>
  <c r="K40" i="4" s="1"/>
  <c r="K46" i="4" s="1"/>
  <c r="K52" i="4" s="1"/>
  <c r="K58" i="4" s="1"/>
  <c r="K64" i="4" s="1"/>
  <c r="K70" i="4" s="1"/>
  <c r="K76" i="4" s="1"/>
  <c r="K82" i="4" s="1"/>
  <c r="L34" i="4"/>
  <c r="L40" i="4" s="1"/>
  <c r="L46" i="4" s="1"/>
  <c r="L52" i="4" s="1"/>
  <c r="L58" i="4" s="1"/>
  <c r="L64" i="4" s="1"/>
  <c r="L70" i="4" s="1"/>
  <c r="L76" i="4" s="1"/>
  <c r="L82" i="4" s="1"/>
  <c r="M34" i="4"/>
  <c r="M40" i="4" s="1"/>
  <c r="M46" i="4" s="1"/>
  <c r="M52" i="4" s="1"/>
  <c r="M58" i="4" s="1"/>
  <c r="M64" i="4" s="1"/>
  <c r="M70" i="4" s="1"/>
  <c r="M76" i="4" s="1"/>
  <c r="M82" i="4" s="1"/>
  <c r="N34" i="4"/>
  <c r="N40" i="4" s="1"/>
  <c r="N46" i="4" s="1"/>
  <c r="N52" i="4" s="1"/>
  <c r="N58" i="4" s="1"/>
  <c r="N64" i="4" s="1"/>
  <c r="N70" i="4" s="1"/>
  <c r="N76" i="4" s="1"/>
  <c r="N82" i="4" s="1"/>
  <c r="G35" i="4"/>
  <c r="G41" i="4" s="1"/>
  <c r="G47" i="4" s="1"/>
  <c r="G53" i="4" s="1"/>
  <c r="G59" i="4" s="1"/>
  <c r="G65" i="4" s="1"/>
  <c r="G71" i="4" s="1"/>
  <c r="G77" i="4" s="1"/>
  <c r="G83" i="4" s="1"/>
  <c r="J35" i="4"/>
  <c r="J41" i="4" s="1"/>
  <c r="J47" i="4" s="1"/>
  <c r="J53" i="4" s="1"/>
  <c r="J59" i="4" s="1"/>
  <c r="J65" i="4" s="1"/>
  <c r="J71" i="4" s="1"/>
  <c r="J77" i="4" s="1"/>
  <c r="J83" i="4" s="1"/>
  <c r="K35" i="4"/>
  <c r="L35" i="4"/>
  <c r="M35" i="4"/>
  <c r="N35" i="4"/>
  <c r="G36" i="4"/>
  <c r="I36" i="4"/>
  <c r="I42" i="4" s="1"/>
  <c r="I48" i="4" s="1"/>
  <c r="I54" i="4" s="1"/>
  <c r="I60" i="4" s="1"/>
  <c r="I66" i="4" s="1"/>
  <c r="I72" i="4" s="1"/>
  <c r="I78" i="4" s="1"/>
  <c r="I84" i="4" s="1"/>
  <c r="J36" i="4"/>
  <c r="K36" i="4"/>
  <c r="L36" i="4"/>
  <c r="M36" i="4"/>
  <c r="N36" i="4"/>
  <c r="G37" i="4"/>
  <c r="G43" i="4" s="1"/>
  <c r="G49" i="4" s="1"/>
  <c r="G55" i="4" s="1"/>
  <c r="G61" i="4" s="1"/>
  <c r="G67" i="4" s="1"/>
  <c r="G73" i="4" s="1"/>
  <c r="G79" i="4" s="1"/>
  <c r="J37" i="4"/>
  <c r="J43" i="4" s="1"/>
  <c r="J49" i="4" s="1"/>
  <c r="J55" i="4" s="1"/>
  <c r="J61" i="4" s="1"/>
  <c r="J67" i="4" s="1"/>
  <c r="J73" i="4" s="1"/>
  <c r="J79" i="4" s="1"/>
  <c r="K37" i="4"/>
  <c r="K43" i="4" s="1"/>
  <c r="K49" i="4" s="1"/>
  <c r="K55" i="4" s="1"/>
  <c r="K61" i="4" s="1"/>
  <c r="K67" i="4" s="1"/>
  <c r="K73" i="4" s="1"/>
  <c r="K79" i="4" s="1"/>
  <c r="L37" i="4"/>
  <c r="L43" i="4" s="1"/>
  <c r="L49" i="4" s="1"/>
  <c r="L55" i="4" s="1"/>
  <c r="L61" i="4" s="1"/>
  <c r="L67" i="4" s="1"/>
  <c r="L73" i="4" s="1"/>
  <c r="L79" i="4" s="1"/>
  <c r="M37" i="4"/>
  <c r="M43" i="4" s="1"/>
  <c r="M49" i="4" s="1"/>
  <c r="M55" i="4" s="1"/>
  <c r="M61" i="4" s="1"/>
  <c r="M67" i="4" s="1"/>
  <c r="M73" i="4" s="1"/>
  <c r="M79" i="4" s="1"/>
  <c r="N37" i="4"/>
  <c r="N43" i="4" s="1"/>
  <c r="N49" i="4" s="1"/>
  <c r="N55" i="4" s="1"/>
  <c r="N61" i="4" s="1"/>
  <c r="N67" i="4" s="1"/>
  <c r="N73" i="4" s="1"/>
  <c r="N79" i="4" s="1"/>
  <c r="G38" i="4"/>
  <c r="J38" i="4"/>
  <c r="K38" i="4"/>
  <c r="L38" i="4"/>
  <c r="M38" i="4"/>
  <c r="N38" i="4"/>
  <c r="G39" i="4"/>
  <c r="J39" i="4"/>
  <c r="K39" i="4"/>
  <c r="K45" i="4" s="1"/>
  <c r="K51" i="4" s="1"/>
  <c r="K57" i="4" s="1"/>
  <c r="K63" i="4" s="1"/>
  <c r="K69" i="4" s="1"/>
  <c r="K75" i="4" s="1"/>
  <c r="K81" i="4" s="1"/>
  <c r="L39" i="4"/>
  <c r="L45" i="4" s="1"/>
  <c r="L51" i="4" s="1"/>
  <c r="L57" i="4" s="1"/>
  <c r="L63" i="4" s="1"/>
  <c r="L69" i="4" s="1"/>
  <c r="L75" i="4" s="1"/>
  <c r="L81" i="4" s="1"/>
  <c r="M39" i="4"/>
  <c r="M45" i="4" s="1"/>
  <c r="M51" i="4" s="1"/>
  <c r="M57" i="4" s="1"/>
  <c r="M63" i="4" s="1"/>
  <c r="M69" i="4" s="1"/>
  <c r="M75" i="4" s="1"/>
  <c r="M81" i="4" s="1"/>
  <c r="N39" i="4"/>
  <c r="N45" i="4" s="1"/>
  <c r="N51" i="4" s="1"/>
  <c r="N57" i="4" s="1"/>
  <c r="N63" i="4" s="1"/>
  <c r="N69" i="4" s="1"/>
  <c r="N75" i="4" s="1"/>
  <c r="N81" i="4" s="1"/>
  <c r="G40" i="4"/>
  <c r="G46" i="4" s="1"/>
  <c r="G52" i="4" s="1"/>
  <c r="G58" i="4" s="1"/>
  <c r="G64" i="4" s="1"/>
  <c r="G70" i="4" s="1"/>
  <c r="G76" i="4" s="1"/>
  <c r="G82" i="4" s="1"/>
  <c r="J40" i="4"/>
  <c r="J46" i="4" s="1"/>
  <c r="J52" i="4" s="1"/>
  <c r="J58" i="4" s="1"/>
  <c r="J64" i="4" s="1"/>
  <c r="J70" i="4" s="1"/>
  <c r="J76" i="4" s="1"/>
  <c r="J82" i="4" s="1"/>
  <c r="K41" i="4"/>
  <c r="L41" i="4"/>
  <c r="M41" i="4"/>
  <c r="N41" i="4"/>
  <c r="G42" i="4"/>
  <c r="G48" i="4" s="1"/>
  <c r="G54" i="4" s="1"/>
  <c r="G60" i="4" s="1"/>
  <c r="G66" i="4" s="1"/>
  <c r="G72" i="4" s="1"/>
  <c r="G78" i="4" s="1"/>
  <c r="G84" i="4" s="1"/>
  <c r="J42" i="4"/>
  <c r="J48" i="4" s="1"/>
  <c r="J54" i="4" s="1"/>
  <c r="J60" i="4" s="1"/>
  <c r="J66" i="4" s="1"/>
  <c r="J72" i="4" s="1"/>
  <c r="J78" i="4" s="1"/>
  <c r="J84" i="4" s="1"/>
  <c r="K42" i="4"/>
  <c r="K48" i="4" s="1"/>
  <c r="K54" i="4" s="1"/>
  <c r="K60" i="4" s="1"/>
  <c r="K66" i="4" s="1"/>
  <c r="K72" i="4" s="1"/>
  <c r="K78" i="4" s="1"/>
  <c r="K84" i="4" s="1"/>
  <c r="L42" i="4"/>
  <c r="L48" i="4" s="1"/>
  <c r="L54" i="4" s="1"/>
  <c r="L60" i="4" s="1"/>
  <c r="L66" i="4" s="1"/>
  <c r="L72" i="4" s="1"/>
  <c r="L78" i="4" s="1"/>
  <c r="L84" i="4" s="1"/>
  <c r="M42" i="4"/>
  <c r="M48" i="4" s="1"/>
  <c r="M54" i="4" s="1"/>
  <c r="M60" i="4" s="1"/>
  <c r="M66" i="4" s="1"/>
  <c r="M72" i="4" s="1"/>
  <c r="M78" i="4" s="1"/>
  <c r="M84" i="4" s="1"/>
  <c r="N42" i="4"/>
  <c r="N48" i="4" s="1"/>
  <c r="N54" i="4" s="1"/>
  <c r="N60" i="4" s="1"/>
  <c r="N66" i="4" s="1"/>
  <c r="N72" i="4" s="1"/>
  <c r="N78" i="4" s="1"/>
  <c r="N84" i="4" s="1"/>
  <c r="G44" i="4"/>
  <c r="J44" i="4"/>
  <c r="K44" i="4"/>
  <c r="K50" i="4" s="1"/>
  <c r="K56" i="4" s="1"/>
  <c r="K62" i="4" s="1"/>
  <c r="K68" i="4" s="1"/>
  <c r="K74" i="4" s="1"/>
  <c r="K80" i="4" s="1"/>
  <c r="L44" i="4"/>
  <c r="L50" i="4" s="1"/>
  <c r="L56" i="4" s="1"/>
  <c r="L62" i="4" s="1"/>
  <c r="L68" i="4" s="1"/>
  <c r="L74" i="4" s="1"/>
  <c r="L80" i="4" s="1"/>
  <c r="M44" i="4"/>
  <c r="M50" i="4" s="1"/>
  <c r="M56" i="4" s="1"/>
  <c r="M62" i="4" s="1"/>
  <c r="M68" i="4" s="1"/>
  <c r="M74" i="4" s="1"/>
  <c r="M80" i="4" s="1"/>
  <c r="N44" i="4"/>
  <c r="N50" i="4" s="1"/>
  <c r="N56" i="4" s="1"/>
  <c r="N62" i="4" s="1"/>
  <c r="N68" i="4" s="1"/>
  <c r="N74" i="4" s="1"/>
  <c r="N80" i="4" s="1"/>
  <c r="G45" i="4"/>
  <c r="G51" i="4" s="1"/>
  <c r="G57" i="4" s="1"/>
  <c r="G63" i="4" s="1"/>
  <c r="G69" i="4" s="1"/>
  <c r="G75" i="4" s="1"/>
  <c r="G81" i="4" s="1"/>
  <c r="J45" i="4"/>
  <c r="J51" i="4" s="1"/>
  <c r="J57" i="4" s="1"/>
  <c r="J63" i="4" s="1"/>
  <c r="J69" i="4" s="1"/>
  <c r="J75" i="4" s="1"/>
  <c r="J81" i="4" s="1"/>
  <c r="K47" i="4"/>
  <c r="K53" i="4" s="1"/>
  <c r="K59" i="4" s="1"/>
  <c r="K65" i="4" s="1"/>
  <c r="K71" i="4" s="1"/>
  <c r="K77" i="4" s="1"/>
  <c r="K83" i="4" s="1"/>
  <c r="L47" i="4"/>
  <c r="L53" i="4" s="1"/>
  <c r="L59" i="4" s="1"/>
  <c r="L65" i="4" s="1"/>
  <c r="L71" i="4" s="1"/>
  <c r="L77" i="4" s="1"/>
  <c r="L83" i="4" s="1"/>
  <c r="M47" i="4"/>
  <c r="M53" i="4" s="1"/>
  <c r="M59" i="4" s="1"/>
  <c r="M65" i="4" s="1"/>
  <c r="M71" i="4" s="1"/>
  <c r="M77" i="4" s="1"/>
  <c r="M83" i="4" s="1"/>
  <c r="N47" i="4"/>
  <c r="N53" i="4" s="1"/>
  <c r="N59" i="4" s="1"/>
  <c r="N65" i="4" s="1"/>
  <c r="N71" i="4" s="1"/>
  <c r="N77" i="4" s="1"/>
  <c r="N83" i="4" s="1"/>
  <c r="G50" i="4"/>
  <c r="G56" i="4" s="1"/>
  <c r="G62" i="4" s="1"/>
  <c r="G68" i="4" s="1"/>
  <c r="G74" i="4" s="1"/>
  <c r="G80" i="4" s="1"/>
  <c r="J50" i="4"/>
  <c r="J56" i="4" s="1"/>
  <c r="J62" i="4" s="1"/>
  <c r="J68" i="4" s="1"/>
  <c r="J74" i="4" s="1"/>
  <c r="J80" i="4" s="1"/>
  <c r="J32" i="4"/>
  <c r="K32" i="4"/>
  <c r="L32" i="4"/>
  <c r="M32" i="4"/>
  <c r="N32" i="4"/>
  <c r="N27" i="4"/>
  <c r="N28" i="4"/>
  <c r="N29" i="4"/>
  <c r="N30" i="4"/>
  <c r="N31" i="4"/>
  <c r="N26" i="4"/>
  <c r="G32" i="4"/>
  <c r="G27" i="4"/>
  <c r="J27" i="4"/>
  <c r="K27" i="4"/>
  <c r="L27" i="4"/>
  <c r="M27" i="4"/>
  <c r="G28" i="4"/>
  <c r="I34" i="4"/>
  <c r="I40" i="4" s="1"/>
  <c r="I46" i="4" s="1"/>
  <c r="I52" i="4" s="1"/>
  <c r="I58" i="4" s="1"/>
  <c r="I64" i="4" s="1"/>
  <c r="I70" i="4" s="1"/>
  <c r="I76" i="4" s="1"/>
  <c r="I82" i="4" s="1"/>
  <c r="J28" i="4"/>
  <c r="K28" i="4"/>
  <c r="L28" i="4"/>
  <c r="M28" i="4"/>
  <c r="G29" i="4"/>
  <c r="I35" i="4"/>
  <c r="I41" i="4" s="1"/>
  <c r="I47" i="4" s="1"/>
  <c r="I53" i="4" s="1"/>
  <c r="I59" i="4" s="1"/>
  <c r="I65" i="4" s="1"/>
  <c r="I71" i="4" s="1"/>
  <c r="I77" i="4" s="1"/>
  <c r="I83" i="4" s="1"/>
  <c r="J29" i="4"/>
  <c r="K29" i="4"/>
  <c r="L29" i="4"/>
  <c r="M29" i="4"/>
  <c r="G30" i="4"/>
  <c r="J30" i="4"/>
  <c r="K30" i="4"/>
  <c r="L30" i="4"/>
  <c r="M30" i="4"/>
  <c r="G31" i="4"/>
  <c r="J31" i="4"/>
  <c r="K31" i="4"/>
  <c r="L31" i="4"/>
  <c r="M31" i="4"/>
  <c r="I32" i="4"/>
  <c r="I38" i="4" s="1"/>
  <c r="I44" i="4" s="1"/>
  <c r="I50" i="4" s="1"/>
  <c r="I56" i="4" s="1"/>
  <c r="I62" i="4" s="1"/>
  <c r="I68" i="4" s="1"/>
  <c r="I74" i="4" s="1"/>
  <c r="I80" i="4" s="1"/>
  <c r="J26" i="4"/>
  <c r="K26" i="4"/>
  <c r="L26" i="4"/>
  <c r="M26" i="4"/>
  <c r="G26" i="4"/>
  <c r="G212" i="4"/>
  <c r="J212" i="4"/>
  <c r="K212" i="4"/>
  <c r="L212" i="4"/>
  <c r="L214" i="4" s="1"/>
  <c r="L216" i="4" s="1"/>
  <c r="L218" i="4" s="1"/>
  <c r="L220" i="4" s="1"/>
  <c r="L222" i="4" s="1"/>
  <c r="L224" i="4" s="1"/>
  <c r="M212" i="4"/>
  <c r="M214" i="4" s="1"/>
  <c r="M216" i="4" s="1"/>
  <c r="M218" i="4" s="1"/>
  <c r="M220" i="4" s="1"/>
  <c r="M222" i="4" s="1"/>
  <c r="M224" i="4" s="1"/>
  <c r="N212" i="4"/>
  <c r="N214" i="4" s="1"/>
  <c r="N216" i="4" s="1"/>
  <c r="N218" i="4" s="1"/>
  <c r="N220" i="4" s="1"/>
  <c r="N222" i="4" s="1"/>
  <c r="N224" i="4" s="1"/>
  <c r="G213" i="4"/>
  <c r="G215" i="4" s="1"/>
  <c r="G217" i="4" s="1"/>
  <c r="G219" i="4" s="1"/>
  <c r="G221" i="4" s="1"/>
  <c r="G223" i="4" s="1"/>
  <c r="G225" i="4" s="1"/>
  <c r="J213" i="4"/>
  <c r="J215" i="4" s="1"/>
  <c r="J217" i="4" s="1"/>
  <c r="J219" i="4" s="1"/>
  <c r="J221" i="4" s="1"/>
  <c r="J223" i="4" s="1"/>
  <c r="J225" i="4" s="1"/>
  <c r="K213" i="4"/>
  <c r="K215" i="4" s="1"/>
  <c r="K217" i="4" s="1"/>
  <c r="K219" i="4" s="1"/>
  <c r="K221" i="4" s="1"/>
  <c r="K223" i="4" s="1"/>
  <c r="K225" i="4" s="1"/>
  <c r="L213" i="4"/>
  <c r="L215" i="4" s="1"/>
  <c r="L217" i="4" s="1"/>
  <c r="L219" i="4" s="1"/>
  <c r="L221" i="4" s="1"/>
  <c r="L223" i="4" s="1"/>
  <c r="L225" i="4" s="1"/>
  <c r="M213" i="4"/>
  <c r="M215" i="4" s="1"/>
  <c r="M217" i="4" s="1"/>
  <c r="M219" i="4" s="1"/>
  <c r="M221" i="4" s="1"/>
  <c r="M223" i="4" s="1"/>
  <c r="M225" i="4" s="1"/>
  <c r="N213" i="4"/>
  <c r="N215" i="4" s="1"/>
  <c r="N217" i="4" s="1"/>
  <c r="N219" i="4" s="1"/>
  <c r="N221" i="4" s="1"/>
  <c r="N223" i="4" s="1"/>
  <c r="N225" i="4" s="1"/>
  <c r="G214" i="4"/>
  <c r="G216" i="4" s="1"/>
  <c r="G218" i="4" s="1"/>
  <c r="G220" i="4" s="1"/>
  <c r="G222" i="4" s="1"/>
  <c r="G224" i="4" s="1"/>
  <c r="J214" i="4"/>
  <c r="J216" i="4" s="1"/>
  <c r="J218" i="4" s="1"/>
  <c r="J220" i="4" s="1"/>
  <c r="J222" i="4" s="1"/>
  <c r="J224" i="4" s="1"/>
  <c r="K214" i="4"/>
  <c r="K216" i="4" s="1"/>
  <c r="K218" i="4" s="1"/>
  <c r="K220" i="4" s="1"/>
  <c r="K222" i="4" s="1"/>
  <c r="K224" i="4" s="1"/>
  <c r="N211" i="4"/>
  <c r="M211" i="4"/>
  <c r="L211" i="4"/>
  <c r="K211" i="4"/>
  <c r="J211" i="4"/>
  <c r="G211" i="4"/>
  <c r="N210" i="4"/>
  <c r="M210" i="4"/>
  <c r="L210" i="4"/>
  <c r="K210" i="4"/>
  <c r="J210" i="4"/>
  <c r="I210" i="4"/>
  <c r="I212" i="4" s="1"/>
  <c r="I214" i="4" s="1"/>
  <c r="I216" i="4" s="1"/>
  <c r="I218" i="4" s="1"/>
  <c r="I220" i="4" s="1"/>
  <c r="I222" i="4" s="1"/>
  <c r="I224" i="4" s="1"/>
  <c r="G210" i="4"/>
  <c r="G209" i="4"/>
  <c r="I209" i="4"/>
  <c r="I211" i="4" s="1"/>
  <c r="I213" i="4" s="1"/>
  <c r="I215" i="4" s="1"/>
  <c r="I217" i="4" s="1"/>
  <c r="I219" i="4" s="1"/>
  <c r="I221" i="4" s="1"/>
  <c r="I223" i="4" s="1"/>
  <c r="I225" i="4" s="1"/>
  <c r="J209" i="4"/>
  <c r="K209" i="4"/>
  <c r="L209" i="4"/>
  <c r="M209" i="4"/>
  <c r="N209" i="4"/>
  <c r="I208" i="4"/>
  <c r="J208" i="4"/>
  <c r="K208" i="4"/>
  <c r="L208" i="4"/>
  <c r="M208" i="4"/>
  <c r="N208" i="4"/>
  <c r="G208" i="4"/>
  <c r="K207" i="4"/>
  <c r="J207" i="4"/>
  <c r="K206" i="4"/>
  <c r="J206" i="4"/>
  <c r="G206" i="4"/>
  <c r="N272" i="4"/>
  <c r="N274" i="4" s="1"/>
  <c r="N276" i="4" s="1"/>
  <c r="N278" i="4" s="1"/>
  <c r="N280" i="4" s="1"/>
  <c r="N282" i="4" s="1"/>
  <c r="N284" i="4" s="1"/>
  <c r="M272" i="4"/>
  <c r="M274" i="4" s="1"/>
  <c r="M276" i="4" s="1"/>
  <c r="M278" i="4" s="1"/>
  <c r="M280" i="4" s="1"/>
  <c r="M282" i="4" s="1"/>
  <c r="M284" i="4" s="1"/>
  <c r="K272" i="4"/>
  <c r="K274" i="4" s="1"/>
  <c r="K276" i="4" s="1"/>
  <c r="K278" i="4" s="1"/>
  <c r="K280" i="4" s="1"/>
  <c r="K282" i="4" s="1"/>
  <c r="K284" i="4" s="1"/>
  <c r="N270" i="4"/>
  <c r="M270" i="4"/>
  <c r="K270" i="4"/>
  <c r="J270" i="4"/>
  <c r="J272" i="4" s="1"/>
  <c r="J274" i="4" s="1"/>
  <c r="J276" i="4" s="1"/>
  <c r="J278" i="4" s="1"/>
  <c r="J280" i="4" s="1"/>
  <c r="J282" i="4" s="1"/>
  <c r="J284" i="4" s="1"/>
  <c r="N268" i="4"/>
  <c r="M268" i="4"/>
  <c r="L268" i="4"/>
  <c r="L270" i="4" s="1"/>
  <c r="L272" i="4" s="1"/>
  <c r="L274" i="4" s="1"/>
  <c r="L276" i="4" s="1"/>
  <c r="L278" i="4" s="1"/>
  <c r="L280" i="4" s="1"/>
  <c r="L282" i="4" s="1"/>
  <c r="L284" i="4" s="1"/>
  <c r="K268" i="4"/>
  <c r="J268" i="4"/>
  <c r="I268" i="4"/>
  <c r="I270" i="4" s="1"/>
  <c r="I272" i="4" s="1"/>
  <c r="I274" i="4" s="1"/>
  <c r="I276" i="4" s="1"/>
  <c r="I278" i="4" s="1"/>
  <c r="I280" i="4" s="1"/>
  <c r="I282" i="4" s="1"/>
  <c r="I284" i="4" s="1"/>
  <c r="J266" i="4"/>
  <c r="K266" i="4"/>
  <c r="L266" i="4"/>
  <c r="M266" i="4"/>
  <c r="N266" i="4"/>
  <c r="O266" i="4"/>
  <c r="I266" i="4"/>
  <c r="N244" i="4"/>
  <c r="M244" i="4"/>
  <c r="L244" i="4"/>
  <c r="K244" i="4"/>
  <c r="J244" i="4"/>
  <c r="I244" i="4"/>
  <c r="N242" i="4"/>
  <c r="M242" i="4"/>
  <c r="L242" i="4"/>
  <c r="K242" i="4"/>
  <c r="J242" i="4"/>
  <c r="I242" i="4"/>
  <c r="N240" i="4"/>
  <c r="M240" i="4"/>
  <c r="L240" i="4"/>
  <c r="K240" i="4"/>
  <c r="J240" i="4"/>
  <c r="I240" i="4"/>
  <c r="N238" i="4"/>
  <c r="M238" i="4"/>
  <c r="L238" i="4"/>
  <c r="K238" i="4"/>
  <c r="J238" i="4"/>
  <c r="I238" i="4"/>
  <c r="N236" i="4"/>
  <c r="M236" i="4"/>
  <c r="L236" i="4"/>
  <c r="K236" i="4"/>
  <c r="J236" i="4"/>
  <c r="I236" i="4"/>
  <c r="N234" i="4"/>
  <c r="M234" i="4"/>
  <c r="L234" i="4"/>
  <c r="K234" i="4"/>
  <c r="J234" i="4"/>
  <c r="I234" i="4"/>
  <c r="N232" i="4"/>
  <c r="M232" i="4"/>
  <c r="L232" i="4"/>
  <c r="K232" i="4"/>
  <c r="J232" i="4"/>
  <c r="I232" i="4"/>
  <c r="N230" i="4"/>
  <c r="M230" i="4"/>
  <c r="L230" i="4"/>
  <c r="K230" i="4"/>
  <c r="J230" i="4"/>
  <c r="I230" i="4"/>
  <c r="J228" i="4"/>
  <c r="K228" i="4"/>
  <c r="L228" i="4"/>
  <c r="M228" i="4"/>
  <c r="N228" i="4"/>
  <c r="I228" i="4"/>
  <c r="N226" i="4"/>
  <c r="M226" i="4"/>
  <c r="L226" i="4"/>
  <c r="K226" i="4"/>
  <c r="J22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I160" i="4"/>
  <c r="I166" i="4" s="1"/>
  <c r="I172" i="4" s="1"/>
  <c r="I178" i="4" s="1"/>
  <c r="I184" i="4" s="1"/>
  <c r="I190" i="4" s="1"/>
  <c r="I196" i="4" s="1"/>
  <c r="I202" i="4" s="1"/>
  <c r="G160" i="4"/>
  <c r="N159" i="4"/>
  <c r="M159" i="4"/>
  <c r="L159" i="4"/>
  <c r="K159" i="4"/>
  <c r="J159" i="4"/>
  <c r="I159" i="4"/>
  <c r="I165" i="4" s="1"/>
  <c r="I171" i="4" s="1"/>
  <c r="I177" i="4" s="1"/>
  <c r="I183" i="4" s="1"/>
  <c r="I189" i="4" s="1"/>
  <c r="I195" i="4" s="1"/>
  <c r="I201" i="4" s="1"/>
  <c r="G159" i="4"/>
  <c r="N158" i="4"/>
  <c r="M158" i="4"/>
  <c r="L158" i="4"/>
  <c r="K158" i="4"/>
  <c r="J158" i="4"/>
  <c r="G158" i="4"/>
  <c r="G153" i="4"/>
  <c r="I153" i="4"/>
  <c r="J153" i="4"/>
  <c r="K153" i="4"/>
  <c r="L153" i="4"/>
  <c r="M153" i="4"/>
  <c r="N153" i="4"/>
  <c r="G154" i="4"/>
  <c r="I154" i="4"/>
  <c r="J154" i="4"/>
  <c r="K154" i="4"/>
  <c r="L154" i="4"/>
  <c r="M154" i="4"/>
  <c r="N154" i="4"/>
  <c r="G155" i="4"/>
  <c r="J155" i="4"/>
  <c r="K155" i="4"/>
  <c r="L155" i="4"/>
  <c r="M155" i="4"/>
  <c r="N155" i="4"/>
  <c r="G156" i="4"/>
  <c r="J156" i="4"/>
  <c r="K156" i="4"/>
  <c r="L156" i="4"/>
  <c r="M156" i="4"/>
  <c r="N156" i="4"/>
  <c r="G157" i="4"/>
  <c r="J157" i="4"/>
  <c r="K157" i="4"/>
  <c r="L157" i="4"/>
  <c r="M157" i="4"/>
  <c r="N157" i="4"/>
  <c r="I152" i="4"/>
  <c r="I158" i="4" s="1"/>
  <c r="I164" i="4" s="1"/>
  <c r="I170" i="4" s="1"/>
  <c r="I176" i="4" s="1"/>
  <c r="I182" i="4" s="1"/>
  <c r="I188" i="4" s="1"/>
  <c r="I194" i="4" s="1"/>
  <c r="I200" i="4" s="1"/>
  <c r="J152" i="4"/>
  <c r="K152" i="4"/>
  <c r="L152" i="4"/>
  <c r="M152" i="4"/>
  <c r="N152" i="4"/>
  <c r="G152" i="4"/>
  <c r="J151" i="4"/>
  <c r="K151" i="4"/>
  <c r="L151" i="4"/>
  <c r="M151" i="4"/>
  <c r="N151" i="4"/>
  <c r="G151" i="4"/>
  <c r="J150" i="4"/>
  <c r="K150" i="4"/>
  <c r="L150" i="4"/>
  <c r="M150" i="4"/>
  <c r="N150" i="4"/>
  <c r="G150" i="4"/>
  <c r="K146" i="4"/>
  <c r="J146" i="4"/>
  <c r="J149" i="4"/>
  <c r="K149" i="4"/>
  <c r="L149" i="4"/>
  <c r="M149" i="4"/>
  <c r="N149" i="4"/>
  <c r="G149" i="4"/>
  <c r="K148" i="4"/>
  <c r="J148" i="4"/>
  <c r="K147" i="4"/>
  <c r="J147" i="4"/>
  <c r="G141" i="4"/>
  <c r="J141" i="4"/>
  <c r="K141" i="4"/>
  <c r="L141" i="4"/>
  <c r="M141" i="4"/>
  <c r="N141" i="4"/>
  <c r="G142" i="4"/>
  <c r="J142" i="4"/>
  <c r="K142" i="4"/>
  <c r="L142" i="4"/>
  <c r="M142" i="4"/>
  <c r="N142" i="4"/>
  <c r="G143" i="4"/>
  <c r="J143" i="4"/>
  <c r="K143" i="4"/>
  <c r="L143" i="4"/>
  <c r="M143" i="4"/>
  <c r="N143" i="4"/>
  <c r="G144" i="4"/>
  <c r="J144" i="4"/>
  <c r="K144" i="4"/>
  <c r="L144" i="4"/>
  <c r="M144" i="4"/>
  <c r="N144" i="4"/>
  <c r="G145" i="4"/>
  <c r="J145" i="4"/>
  <c r="K145" i="4"/>
  <c r="L145" i="4"/>
  <c r="M145" i="4"/>
  <c r="N145" i="4"/>
  <c r="G135" i="4"/>
  <c r="J135" i="4"/>
  <c r="K135" i="4"/>
  <c r="L135" i="4"/>
  <c r="M135" i="4"/>
  <c r="N135" i="4"/>
  <c r="G136" i="4"/>
  <c r="J136" i="4"/>
  <c r="K136" i="4"/>
  <c r="L136" i="4"/>
  <c r="M136" i="4"/>
  <c r="N136" i="4"/>
  <c r="G137" i="4"/>
  <c r="J137" i="4"/>
  <c r="K137" i="4"/>
  <c r="L137" i="4"/>
  <c r="M137" i="4"/>
  <c r="N137" i="4"/>
  <c r="G138" i="4"/>
  <c r="J138" i="4"/>
  <c r="K138" i="4"/>
  <c r="L138" i="4"/>
  <c r="M138" i="4"/>
  <c r="N138" i="4"/>
  <c r="G139" i="4"/>
  <c r="J139" i="4"/>
  <c r="K139" i="4"/>
  <c r="L139" i="4"/>
  <c r="M139" i="4"/>
  <c r="N139" i="4"/>
  <c r="G129" i="4"/>
  <c r="J129" i="4"/>
  <c r="K129" i="4"/>
  <c r="L129" i="4"/>
  <c r="M129" i="4"/>
  <c r="N129" i="4"/>
  <c r="G130" i="4"/>
  <c r="J130" i="4"/>
  <c r="K130" i="4"/>
  <c r="L130" i="4"/>
  <c r="M130" i="4"/>
  <c r="N130" i="4"/>
  <c r="G131" i="4"/>
  <c r="J131" i="4"/>
  <c r="K131" i="4"/>
  <c r="L131" i="4"/>
  <c r="M131" i="4"/>
  <c r="N131" i="4"/>
  <c r="G132" i="4"/>
  <c r="J132" i="4"/>
  <c r="K132" i="4"/>
  <c r="L132" i="4"/>
  <c r="M132" i="4"/>
  <c r="N132" i="4"/>
  <c r="G133" i="4"/>
  <c r="J133" i="4"/>
  <c r="K133" i="4"/>
  <c r="L133" i="4"/>
  <c r="M133" i="4"/>
  <c r="N133" i="4"/>
  <c r="G123" i="4"/>
  <c r="J123" i="4"/>
  <c r="K123" i="4"/>
  <c r="L123" i="4"/>
  <c r="M123" i="4"/>
  <c r="N123" i="4"/>
  <c r="G124" i="4"/>
  <c r="J124" i="4"/>
  <c r="K124" i="4"/>
  <c r="L124" i="4"/>
  <c r="M124" i="4"/>
  <c r="N124" i="4"/>
  <c r="G125" i="4"/>
  <c r="J125" i="4"/>
  <c r="K125" i="4"/>
  <c r="L125" i="4"/>
  <c r="M125" i="4"/>
  <c r="N125" i="4"/>
  <c r="G126" i="4"/>
  <c r="J126" i="4"/>
  <c r="K126" i="4"/>
  <c r="L126" i="4"/>
  <c r="M126" i="4"/>
  <c r="N126" i="4"/>
  <c r="G127" i="4"/>
  <c r="J127" i="4"/>
  <c r="K127" i="4"/>
  <c r="L127" i="4"/>
  <c r="M127" i="4"/>
  <c r="N127" i="4"/>
  <c r="G117" i="4"/>
  <c r="J117" i="4"/>
  <c r="K117" i="4"/>
  <c r="L117" i="4"/>
  <c r="M117" i="4"/>
  <c r="N117" i="4"/>
  <c r="G118" i="4"/>
  <c r="J118" i="4"/>
  <c r="K118" i="4"/>
  <c r="L118" i="4"/>
  <c r="M118" i="4"/>
  <c r="N118" i="4"/>
  <c r="G119" i="4"/>
  <c r="J119" i="4"/>
  <c r="K119" i="4"/>
  <c r="L119" i="4"/>
  <c r="M119" i="4"/>
  <c r="N119" i="4"/>
  <c r="G120" i="4"/>
  <c r="J120" i="4"/>
  <c r="K120" i="4"/>
  <c r="L120" i="4"/>
  <c r="M120" i="4"/>
  <c r="N120" i="4"/>
  <c r="G121" i="4"/>
  <c r="J121" i="4"/>
  <c r="K121" i="4"/>
  <c r="L121" i="4"/>
  <c r="M121" i="4"/>
  <c r="N121" i="4"/>
  <c r="G111" i="4"/>
  <c r="J111" i="4"/>
  <c r="K111" i="4"/>
  <c r="L111" i="4"/>
  <c r="M111" i="4"/>
  <c r="N111" i="4"/>
  <c r="G112" i="4"/>
  <c r="J112" i="4"/>
  <c r="K112" i="4"/>
  <c r="L112" i="4"/>
  <c r="M112" i="4"/>
  <c r="N112" i="4"/>
  <c r="G113" i="4"/>
  <c r="J113" i="4"/>
  <c r="K113" i="4"/>
  <c r="L113" i="4"/>
  <c r="M113" i="4"/>
  <c r="N113" i="4"/>
  <c r="G114" i="4"/>
  <c r="J114" i="4"/>
  <c r="K114" i="4"/>
  <c r="L114" i="4"/>
  <c r="M114" i="4"/>
  <c r="N114" i="4"/>
  <c r="G115" i="4"/>
  <c r="J115" i="4"/>
  <c r="K115" i="4"/>
  <c r="L115" i="4"/>
  <c r="M115" i="4"/>
  <c r="N115" i="4"/>
  <c r="G105" i="4"/>
  <c r="J105" i="4"/>
  <c r="K105" i="4"/>
  <c r="L105" i="4"/>
  <c r="M105" i="4"/>
  <c r="N105" i="4"/>
  <c r="G106" i="4"/>
  <c r="I106" i="4"/>
  <c r="I112" i="4" s="1"/>
  <c r="I118" i="4" s="1"/>
  <c r="I124" i="4" s="1"/>
  <c r="I130" i="4" s="1"/>
  <c r="I136" i="4" s="1"/>
  <c r="I142" i="4" s="1"/>
  <c r="J106" i="4"/>
  <c r="K106" i="4"/>
  <c r="L106" i="4"/>
  <c r="M106" i="4"/>
  <c r="N106" i="4"/>
  <c r="G107" i="4"/>
  <c r="I107" i="4"/>
  <c r="I113" i="4" s="1"/>
  <c r="I119" i="4" s="1"/>
  <c r="I125" i="4" s="1"/>
  <c r="I131" i="4" s="1"/>
  <c r="I137" i="4" s="1"/>
  <c r="I143" i="4" s="1"/>
  <c r="J107" i="4"/>
  <c r="K107" i="4"/>
  <c r="L107" i="4"/>
  <c r="M107" i="4"/>
  <c r="N107" i="4"/>
  <c r="G108" i="4"/>
  <c r="J108" i="4"/>
  <c r="K108" i="4"/>
  <c r="L108" i="4"/>
  <c r="M108" i="4"/>
  <c r="N108" i="4"/>
  <c r="G109" i="4"/>
  <c r="J109" i="4"/>
  <c r="K109" i="4"/>
  <c r="L109" i="4"/>
  <c r="M109" i="4"/>
  <c r="N109" i="4"/>
  <c r="G99" i="4"/>
  <c r="J99" i="4"/>
  <c r="K99" i="4"/>
  <c r="L99" i="4"/>
  <c r="M99" i="4"/>
  <c r="N99" i="4"/>
  <c r="G100" i="4"/>
  <c r="I100" i="4"/>
  <c r="J100" i="4"/>
  <c r="K100" i="4"/>
  <c r="L100" i="4"/>
  <c r="M100" i="4"/>
  <c r="N100" i="4"/>
  <c r="G101" i="4"/>
  <c r="I101" i="4"/>
  <c r="J101" i="4"/>
  <c r="K101" i="4"/>
  <c r="L101" i="4"/>
  <c r="M101" i="4"/>
  <c r="N101" i="4"/>
  <c r="G102" i="4"/>
  <c r="J102" i="4"/>
  <c r="K102" i="4"/>
  <c r="L102" i="4"/>
  <c r="M102" i="4"/>
  <c r="N102" i="4"/>
  <c r="G103" i="4"/>
  <c r="J103" i="4"/>
  <c r="K103" i="4"/>
  <c r="L103" i="4"/>
  <c r="M103" i="4"/>
  <c r="N103" i="4"/>
  <c r="G93" i="4"/>
  <c r="I93" i="4"/>
  <c r="I99" i="4" s="1"/>
  <c r="I105" i="4" s="1"/>
  <c r="I111" i="4" s="1"/>
  <c r="I117" i="4" s="1"/>
  <c r="I123" i="4" s="1"/>
  <c r="I129" i="4" s="1"/>
  <c r="I135" i="4" s="1"/>
  <c r="I141" i="4" s="1"/>
  <c r="J93" i="4"/>
  <c r="K93" i="4"/>
  <c r="L93" i="4"/>
  <c r="M93" i="4"/>
  <c r="N93" i="4"/>
  <c r="G94" i="4"/>
  <c r="I94" i="4"/>
  <c r="J94" i="4"/>
  <c r="K94" i="4"/>
  <c r="L94" i="4"/>
  <c r="M94" i="4"/>
  <c r="N94" i="4"/>
  <c r="G95" i="4"/>
  <c r="I95" i="4"/>
  <c r="J95" i="4"/>
  <c r="K95" i="4"/>
  <c r="L95" i="4"/>
  <c r="M95" i="4"/>
  <c r="N95" i="4"/>
  <c r="G96" i="4"/>
  <c r="I96" i="4"/>
  <c r="I102" i="4" s="1"/>
  <c r="I108" i="4" s="1"/>
  <c r="I114" i="4" s="1"/>
  <c r="I120" i="4" s="1"/>
  <c r="I126" i="4" s="1"/>
  <c r="I132" i="4" s="1"/>
  <c r="I138" i="4" s="1"/>
  <c r="I144" i="4" s="1"/>
  <c r="J96" i="4"/>
  <c r="K96" i="4"/>
  <c r="L96" i="4"/>
  <c r="M96" i="4"/>
  <c r="N96" i="4"/>
  <c r="G97" i="4"/>
  <c r="J97" i="4"/>
  <c r="K97" i="4"/>
  <c r="L97" i="4"/>
  <c r="M97" i="4"/>
  <c r="N97" i="4"/>
  <c r="I97" i="4"/>
  <c r="I103" i="4" s="1"/>
  <c r="I109" i="4" s="1"/>
  <c r="I115" i="4" s="1"/>
  <c r="I121" i="4" s="1"/>
  <c r="I127" i="4" s="1"/>
  <c r="I133" i="4" s="1"/>
  <c r="I139" i="4" s="1"/>
  <c r="I145" i="4" s="1"/>
  <c r="J91" i="4"/>
  <c r="K91" i="4"/>
  <c r="L91" i="4"/>
  <c r="M91" i="4"/>
  <c r="N91" i="4"/>
  <c r="G91" i="4"/>
  <c r="K90" i="4"/>
  <c r="J90" i="4"/>
  <c r="K87" i="4"/>
  <c r="J87" i="4"/>
  <c r="K88" i="4"/>
  <c r="J88" i="4"/>
  <c r="H265" i="4"/>
  <c r="K264" i="4"/>
  <c r="M264" i="4" s="1"/>
  <c r="J264" i="4"/>
  <c r="L264" i="4" s="1"/>
  <c r="H263" i="4"/>
  <c r="K262" i="4"/>
  <c r="M262" i="4" s="1"/>
  <c r="J262" i="4"/>
  <c r="L262" i="4" s="1"/>
  <c r="H261" i="4"/>
  <c r="L260" i="4"/>
  <c r="K260" i="4"/>
  <c r="M260" i="4" s="1"/>
  <c r="J260" i="4"/>
  <c r="H259" i="4"/>
  <c r="M258" i="4"/>
  <c r="K258" i="4"/>
  <c r="J258" i="4"/>
  <c r="L258" i="4" s="1"/>
  <c r="H257" i="4"/>
  <c r="K256" i="4"/>
  <c r="M256" i="4" s="1"/>
  <c r="J256" i="4"/>
  <c r="L256" i="4" s="1"/>
  <c r="H255" i="4"/>
  <c r="K254" i="4"/>
  <c r="M254" i="4" s="1"/>
  <c r="J254" i="4"/>
  <c r="L254" i="4" s="1"/>
  <c r="H253" i="4"/>
  <c r="K252" i="4"/>
  <c r="M252" i="4" s="1"/>
  <c r="J252" i="4"/>
  <c r="L252" i="4" s="1"/>
  <c r="H251" i="4"/>
  <c r="K250" i="4"/>
  <c r="M250" i="4" s="1"/>
  <c r="J250" i="4"/>
  <c r="L250" i="4" s="1"/>
  <c r="H249" i="4"/>
  <c r="K248" i="4"/>
  <c r="M248" i="4" s="1"/>
  <c r="J248" i="4"/>
  <c r="L248" i="4" s="1"/>
  <c r="M246" i="4"/>
  <c r="L246" i="4"/>
  <c r="K246" i="4"/>
  <c r="J246" i="4"/>
  <c r="N140" i="4"/>
  <c r="M140" i="4"/>
  <c r="L140" i="4"/>
  <c r="K140" i="4"/>
  <c r="J140" i="4"/>
  <c r="G140" i="4"/>
  <c r="N134" i="4"/>
  <c r="M134" i="4"/>
  <c r="L134" i="4"/>
  <c r="K134" i="4"/>
  <c r="J134" i="4"/>
  <c r="G134" i="4"/>
  <c r="N128" i="4"/>
  <c r="M128" i="4"/>
  <c r="L128" i="4"/>
  <c r="K128" i="4"/>
  <c r="J128" i="4"/>
  <c r="G128" i="4"/>
  <c r="N122" i="4"/>
  <c r="M122" i="4"/>
  <c r="L122" i="4"/>
  <c r="K122" i="4"/>
  <c r="J122" i="4"/>
  <c r="G122" i="4"/>
  <c r="N116" i="4"/>
  <c r="M116" i="4"/>
  <c r="L116" i="4"/>
  <c r="K116" i="4"/>
  <c r="J116" i="4"/>
  <c r="G116" i="4"/>
  <c r="N110" i="4"/>
  <c r="M110" i="4"/>
  <c r="L110" i="4"/>
  <c r="K110" i="4"/>
  <c r="J110" i="4"/>
  <c r="G110" i="4"/>
  <c r="N104" i="4"/>
  <c r="M104" i="4"/>
  <c r="L104" i="4"/>
  <c r="K104" i="4"/>
  <c r="J104" i="4"/>
  <c r="G104" i="4"/>
  <c r="N98" i="4"/>
  <c r="M98" i="4"/>
  <c r="L98" i="4"/>
  <c r="K98" i="4"/>
  <c r="J98" i="4"/>
  <c r="G98" i="4"/>
  <c r="I92" i="4"/>
  <c r="I98" i="4" s="1"/>
  <c r="I104" i="4" s="1"/>
  <c r="I110" i="4" s="1"/>
  <c r="I116" i="4" s="1"/>
  <c r="I122" i="4" s="1"/>
  <c r="I128" i="4" s="1"/>
  <c r="I134" i="4" s="1"/>
  <c r="I140" i="4" s="1"/>
  <c r="J92" i="4"/>
  <c r="K92" i="4"/>
  <c r="L92" i="4"/>
  <c r="M92" i="4"/>
  <c r="N92" i="4"/>
  <c r="G92" i="4"/>
  <c r="G86" i="4"/>
  <c r="K86" i="4"/>
  <c r="J86" i="4"/>
  <c r="L19" i="2"/>
  <c r="K19" i="2"/>
  <c r="J19" i="2"/>
  <c r="I19" i="2"/>
  <c r="L18" i="2"/>
  <c r="K18" i="2"/>
  <c r="J18" i="2"/>
  <c r="I18" i="2"/>
  <c r="N12" i="2"/>
  <c r="L12" i="2"/>
  <c r="N11" i="2"/>
  <c r="L11" i="2"/>
  <c r="N9" i="2"/>
  <c r="L9" i="2"/>
  <c r="G9" i="2"/>
  <c r="N8" i="2"/>
  <c r="L8" i="2"/>
  <c r="N7" i="2"/>
  <c r="L7" i="2"/>
  <c r="N6" i="2"/>
  <c r="L6" i="2"/>
  <c r="N5" i="2"/>
  <c r="L5" i="2"/>
  <c r="H285" i="4"/>
  <c r="D285" i="4"/>
  <c r="H283" i="4"/>
  <c r="D283" i="4"/>
  <c r="H281" i="4"/>
  <c r="D281" i="4"/>
  <c r="H279" i="4"/>
  <c r="D279" i="4"/>
  <c r="H277" i="4"/>
  <c r="D277" i="4"/>
  <c r="U275" i="4"/>
  <c r="B284" i="4" s="1"/>
  <c r="H275" i="4"/>
  <c r="D275" i="4"/>
  <c r="U274" i="4"/>
  <c r="B282" i="4" s="1"/>
  <c r="B274" i="4"/>
  <c r="U273" i="4"/>
  <c r="B280" i="4" s="1"/>
  <c r="H273" i="4"/>
  <c r="D273" i="4"/>
  <c r="U272" i="4"/>
  <c r="B278" i="4" s="1"/>
  <c r="U271" i="4"/>
  <c r="B276" i="4" s="1"/>
  <c r="H271" i="4"/>
  <c r="D271" i="4"/>
  <c r="U270" i="4"/>
  <c r="U269" i="4"/>
  <c r="B272" i="4" s="1"/>
  <c r="H269" i="4"/>
  <c r="D269" i="4"/>
  <c r="U268" i="4"/>
  <c r="B270" i="4" s="1"/>
  <c r="U267" i="4"/>
  <c r="B268" i="4" s="1"/>
  <c r="H267" i="4"/>
  <c r="D267" i="4"/>
  <c r="U266" i="4"/>
  <c r="B266" i="4"/>
  <c r="D265" i="4"/>
  <c r="B264" i="4"/>
  <c r="D263" i="4"/>
  <c r="B262" i="4"/>
  <c r="D261" i="4"/>
  <c r="B260" i="4"/>
  <c r="D259" i="4"/>
  <c r="B258" i="4"/>
  <c r="D257" i="4"/>
  <c r="B256" i="4"/>
  <c r="D255" i="4"/>
  <c r="B254" i="4"/>
  <c r="D253" i="4"/>
  <c r="B252" i="4"/>
  <c r="D251" i="4"/>
  <c r="B250" i="4"/>
  <c r="D249" i="4"/>
  <c r="B248" i="4"/>
  <c r="H247" i="4"/>
  <c r="D247" i="4"/>
  <c r="B246" i="4"/>
  <c r="H245" i="4"/>
  <c r="D245" i="4"/>
  <c r="B244" i="4"/>
  <c r="H243" i="4"/>
  <c r="D243" i="4"/>
  <c r="B242" i="4"/>
  <c r="H241" i="4"/>
  <c r="D241" i="4"/>
  <c r="B240" i="4"/>
  <c r="H239" i="4"/>
  <c r="D239" i="4"/>
  <c r="B238" i="4"/>
  <c r="H237" i="4"/>
  <c r="D237" i="4"/>
  <c r="B236" i="4"/>
  <c r="H235" i="4"/>
  <c r="D235" i="4"/>
  <c r="B234" i="4"/>
  <c r="H233" i="4"/>
  <c r="D233" i="4"/>
  <c r="B232" i="4"/>
  <c r="H231" i="4"/>
  <c r="D231" i="4"/>
  <c r="B230" i="4"/>
  <c r="H229" i="4"/>
  <c r="D229" i="4"/>
  <c r="B228" i="4"/>
  <c r="H227" i="4"/>
  <c r="D227" i="4"/>
  <c r="B226" i="4"/>
  <c r="M87" i="4"/>
  <c r="M86" i="4"/>
  <c r="L86" i="4"/>
  <c r="R8" i="4"/>
  <c r="R9" i="4" s="1"/>
  <c r="R10" i="4" s="1"/>
  <c r="R11" i="4" s="1"/>
  <c r="R12" i="4" s="1"/>
  <c r="R13" i="4" s="1"/>
  <c r="R14" i="4" s="1"/>
  <c r="R15" i="4" s="1"/>
  <c r="R7" i="4"/>
  <c r="I137" i="3"/>
  <c r="E137" i="3"/>
  <c r="I135" i="3"/>
  <c r="E135" i="3"/>
  <c r="L134" i="3"/>
  <c r="L136" i="3" s="1"/>
  <c r="I133" i="3"/>
  <c r="E133" i="3"/>
  <c r="L132" i="3"/>
  <c r="N132" i="3" s="1"/>
  <c r="K132" i="3"/>
  <c r="M132" i="3" s="1"/>
  <c r="O132" i="3" s="1"/>
  <c r="I131" i="3"/>
  <c r="E131" i="3"/>
  <c r="P130" i="3"/>
  <c r="N130" i="3"/>
  <c r="M130" i="3"/>
  <c r="O130" i="3" s="1"/>
  <c r="I129" i="3"/>
  <c r="E129" i="3"/>
  <c r="P128" i="3"/>
  <c r="O128" i="3"/>
  <c r="N128" i="3"/>
  <c r="M128" i="3"/>
  <c r="L128" i="3"/>
  <c r="K128" i="3"/>
  <c r="J128" i="3"/>
  <c r="I127" i="3"/>
  <c r="E127" i="3"/>
  <c r="P126" i="3"/>
  <c r="O126" i="3"/>
  <c r="N126" i="3"/>
  <c r="M126" i="3"/>
  <c r="L126" i="3"/>
  <c r="K126" i="3"/>
  <c r="J126" i="3"/>
  <c r="I125" i="3"/>
  <c r="E125" i="3"/>
  <c r="P124" i="3"/>
  <c r="O124" i="3"/>
  <c r="N124" i="3"/>
  <c r="M124" i="3"/>
  <c r="L124" i="3"/>
  <c r="K124" i="3"/>
  <c r="J124" i="3"/>
  <c r="I123" i="3"/>
  <c r="E123" i="3"/>
  <c r="P122" i="3"/>
  <c r="O122" i="3"/>
  <c r="N122" i="3"/>
  <c r="M122" i="3"/>
  <c r="L122" i="3"/>
  <c r="K122" i="3"/>
  <c r="J122" i="3"/>
  <c r="H121" i="3"/>
  <c r="G6" i="4" s="1"/>
  <c r="G7" i="4" s="1"/>
  <c r="G8" i="4" s="1"/>
  <c r="G9" i="4" s="1"/>
  <c r="G10" i="4" s="1"/>
  <c r="G11" i="4" s="1"/>
  <c r="G12" i="4" s="1"/>
  <c r="G13" i="4" s="1"/>
  <c r="G14" i="4" s="1"/>
  <c r="G15" i="4" s="1"/>
  <c r="K120" i="3"/>
  <c r="K121" i="3" s="1"/>
  <c r="O119" i="3"/>
  <c r="M119" i="3"/>
  <c r="M118" i="3"/>
  <c r="O118" i="3" s="1"/>
  <c r="P117" i="3"/>
  <c r="O117" i="3"/>
  <c r="N117" i="3"/>
  <c r="M117" i="3"/>
  <c r="O116" i="3"/>
  <c r="L116" i="3"/>
  <c r="P116" i="3" s="1"/>
  <c r="M115" i="3"/>
  <c r="M116" i="3" s="1"/>
  <c r="P114" i="3"/>
  <c r="O114" i="3"/>
  <c r="N114" i="3"/>
  <c r="M114" i="3"/>
  <c r="J113" i="3"/>
  <c r="J136" i="3" s="1"/>
  <c r="H113" i="3"/>
  <c r="H112" i="3"/>
  <c r="H111" i="3"/>
  <c r="P110" i="3"/>
  <c r="O110" i="3"/>
  <c r="N110" i="3"/>
  <c r="M110" i="3"/>
  <c r="L110" i="3"/>
  <c r="K110" i="3"/>
  <c r="H110" i="3"/>
  <c r="H109" i="3"/>
  <c r="H108" i="3"/>
  <c r="J107" i="3"/>
  <c r="J134" i="3" s="1"/>
  <c r="H107" i="3"/>
  <c r="H106" i="3"/>
  <c r="H105" i="3"/>
  <c r="P104" i="3"/>
  <c r="O104" i="3"/>
  <c r="N104" i="3"/>
  <c r="M104" i="3"/>
  <c r="L104" i="3"/>
  <c r="K104" i="3"/>
  <c r="H104" i="3"/>
  <c r="P103" i="3"/>
  <c r="P109" i="3" s="1"/>
  <c r="H103" i="3"/>
  <c r="H102" i="3"/>
  <c r="J101" i="3"/>
  <c r="J132" i="3" s="1"/>
  <c r="H101" i="3"/>
  <c r="H100" i="3"/>
  <c r="L99" i="3"/>
  <c r="L105" i="3" s="1"/>
  <c r="L111" i="3" s="1"/>
  <c r="K99" i="3"/>
  <c r="K105" i="3" s="1"/>
  <c r="K111" i="3" s="1"/>
  <c r="H99" i="3"/>
  <c r="P98" i="3"/>
  <c r="O98" i="3"/>
  <c r="N98" i="3"/>
  <c r="M98" i="3"/>
  <c r="L98" i="3"/>
  <c r="K98" i="3"/>
  <c r="H98" i="3"/>
  <c r="P97" i="3"/>
  <c r="N97" i="3"/>
  <c r="N103" i="3" s="1"/>
  <c r="N109" i="3" s="1"/>
  <c r="L97" i="3"/>
  <c r="L103" i="3" s="1"/>
  <c r="L109" i="3" s="1"/>
  <c r="K97" i="3"/>
  <c r="K103" i="3" s="1"/>
  <c r="K109" i="3" s="1"/>
  <c r="H97" i="3"/>
  <c r="K96" i="3"/>
  <c r="K102" i="3" s="1"/>
  <c r="K108" i="3" s="1"/>
  <c r="H96" i="3"/>
  <c r="J95" i="3"/>
  <c r="J130" i="3" s="1"/>
  <c r="H95" i="3"/>
  <c r="L100" i="3"/>
  <c r="L106" i="3" s="1"/>
  <c r="L112" i="3" s="1"/>
  <c r="K101" i="3"/>
  <c r="K107" i="3" s="1"/>
  <c r="K113" i="3" s="1"/>
  <c r="H94" i="3"/>
  <c r="N93" i="3"/>
  <c r="M93" i="3"/>
  <c r="M99" i="3" s="1"/>
  <c r="M105" i="3" s="1"/>
  <c r="M111" i="3" s="1"/>
  <c r="H93" i="3"/>
  <c r="P92" i="3"/>
  <c r="O92" i="3"/>
  <c r="N92" i="3"/>
  <c r="M92" i="3"/>
  <c r="L92" i="3"/>
  <c r="K92" i="3"/>
  <c r="H92" i="3"/>
  <c r="M91" i="3"/>
  <c r="O97" i="3" s="1"/>
  <c r="O103" i="3" s="1"/>
  <c r="O109" i="3" s="1"/>
  <c r="H91" i="3"/>
  <c r="O90" i="3"/>
  <c r="O96" i="3" s="1"/>
  <c r="O102" i="3" s="1"/>
  <c r="O108" i="3" s="1"/>
  <c r="M90" i="3"/>
  <c r="M96" i="3" s="1"/>
  <c r="M102" i="3" s="1"/>
  <c r="M108" i="3" s="1"/>
  <c r="L96" i="3"/>
  <c r="L102" i="3" s="1"/>
  <c r="L108" i="3" s="1"/>
  <c r="H90" i="3"/>
  <c r="P88" i="3"/>
  <c r="O88" i="3"/>
  <c r="N88" i="3"/>
  <c r="M88" i="3"/>
  <c r="L88" i="3"/>
  <c r="K88" i="3"/>
  <c r="P86" i="3"/>
  <c r="O86" i="3"/>
  <c r="N86" i="3"/>
  <c r="M86" i="3"/>
  <c r="L86" i="3"/>
  <c r="K86" i="3"/>
  <c r="P84" i="3"/>
  <c r="O84" i="3"/>
  <c r="N84" i="3"/>
  <c r="M84" i="3"/>
  <c r="L84" i="3"/>
  <c r="K84" i="3"/>
  <c r="P82" i="3"/>
  <c r="O82" i="3"/>
  <c r="N82" i="3"/>
  <c r="M82" i="3"/>
  <c r="L82" i="3"/>
  <c r="K82" i="3"/>
  <c r="P78" i="3"/>
  <c r="O78" i="3"/>
  <c r="N78" i="3"/>
  <c r="M78" i="3"/>
  <c r="L78" i="3"/>
  <c r="K78" i="3"/>
  <c r="I71" i="3"/>
  <c r="E71" i="3"/>
  <c r="P70" i="3"/>
  <c r="O70" i="3"/>
  <c r="N70" i="3"/>
  <c r="M70" i="3"/>
  <c r="L70" i="3"/>
  <c r="K70" i="3"/>
  <c r="H70" i="3"/>
  <c r="P69" i="3"/>
  <c r="O69" i="3"/>
  <c r="N69" i="3"/>
  <c r="M69" i="3"/>
  <c r="L69" i="3"/>
  <c r="K69" i="3"/>
  <c r="P68" i="3"/>
  <c r="O68" i="3"/>
  <c r="N68" i="3"/>
  <c r="M68" i="3"/>
  <c r="L68" i="3"/>
  <c r="K68" i="3"/>
  <c r="P67" i="3"/>
  <c r="O67" i="3"/>
  <c r="N67" i="3"/>
  <c r="M67" i="3"/>
  <c r="L67" i="3"/>
  <c r="K67" i="3"/>
  <c r="P66" i="3"/>
  <c r="O66" i="3"/>
  <c r="N66" i="3"/>
  <c r="M66" i="3"/>
  <c r="L66" i="3"/>
  <c r="K66" i="3"/>
  <c r="P59" i="3"/>
  <c r="O59" i="3"/>
  <c r="N59" i="3"/>
  <c r="M59" i="3"/>
  <c r="L59" i="3"/>
  <c r="K59" i="3"/>
  <c r="L54" i="3"/>
  <c r="L73" i="3" s="1"/>
  <c r="K54" i="3"/>
  <c r="K73" i="3" s="1"/>
  <c r="P53" i="3"/>
  <c r="P72" i="3" s="1"/>
  <c r="N53" i="3"/>
  <c r="N72" i="3" s="1"/>
  <c r="L53" i="3"/>
  <c r="L72" i="3" s="1"/>
  <c r="I52" i="3"/>
  <c r="E52" i="3"/>
  <c r="P51" i="3"/>
  <c r="O51" i="3"/>
  <c r="N51" i="3"/>
  <c r="M51" i="3"/>
  <c r="L51" i="3"/>
  <c r="K51" i="3"/>
  <c r="P50" i="3"/>
  <c r="O50" i="3"/>
  <c r="N50" i="3"/>
  <c r="M50" i="3"/>
  <c r="L50" i="3"/>
  <c r="K50" i="3"/>
  <c r="P49" i="3"/>
  <c r="O49" i="3"/>
  <c r="N49" i="3"/>
  <c r="M49" i="3"/>
  <c r="L49" i="3"/>
  <c r="K49" i="3"/>
  <c r="P48" i="3"/>
  <c r="O48" i="3"/>
  <c r="N48" i="3"/>
  <c r="M48" i="3"/>
  <c r="L48" i="3"/>
  <c r="K48" i="3"/>
  <c r="P47" i="3"/>
  <c r="O47" i="3"/>
  <c r="N47" i="3"/>
  <c r="M47" i="3"/>
  <c r="L47" i="3"/>
  <c r="K47" i="3"/>
  <c r="K44" i="3"/>
  <c r="K63" i="3" s="1"/>
  <c r="L42" i="3"/>
  <c r="L61" i="3" s="1"/>
  <c r="L80" i="3" s="1"/>
  <c r="P40" i="3"/>
  <c r="O40" i="3"/>
  <c r="N40" i="3"/>
  <c r="M40" i="3"/>
  <c r="L40" i="3"/>
  <c r="K40" i="3"/>
  <c r="L35" i="3"/>
  <c r="K35" i="3"/>
  <c r="P34" i="3"/>
  <c r="N34" i="3"/>
  <c r="L34" i="3"/>
  <c r="K34" i="3"/>
  <c r="K53" i="3" s="1"/>
  <c r="K72" i="3" s="1"/>
  <c r="I33" i="3"/>
  <c r="E33" i="3"/>
  <c r="P32" i="3"/>
  <c r="O32" i="3"/>
  <c r="N32" i="3"/>
  <c r="M32" i="3"/>
  <c r="L32" i="3"/>
  <c r="K32" i="3"/>
  <c r="P31" i="3"/>
  <c r="O31" i="3"/>
  <c r="N31" i="3"/>
  <c r="M31" i="3"/>
  <c r="L31" i="3"/>
  <c r="K31" i="3"/>
  <c r="P30" i="3"/>
  <c r="O30" i="3"/>
  <c r="N30" i="3"/>
  <c r="M30" i="3"/>
  <c r="L30" i="3"/>
  <c r="K30" i="3"/>
  <c r="P29" i="3"/>
  <c r="O29" i="3"/>
  <c r="N29" i="3"/>
  <c r="M29" i="3"/>
  <c r="L29" i="3"/>
  <c r="K29" i="3"/>
  <c r="P28" i="3"/>
  <c r="O28" i="3"/>
  <c r="N28" i="3"/>
  <c r="M28" i="3"/>
  <c r="L28" i="3"/>
  <c r="K28" i="3"/>
  <c r="L26" i="3"/>
  <c r="L45" i="3" s="1"/>
  <c r="L64" i="3" s="1"/>
  <c r="L25" i="3"/>
  <c r="L44" i="3" s="1"/>
  <c r="L63" i="3" s="1"/>
  <c r="K25" i="3"/>
  <c r="L23" i="3"/>
  <c r="N23" i="3" s="1"/>
  <c r="K23" i="3"/>
  <c r="K42" i="3" s="1"/>
  <c r="K61" i="3" s="1"/>
  <c r="K80" i="3" s="1"/>
  <c r="P21" i="3"/>
  <c r="O21" i="3"/>
  <c r="N21" i="3"/>
  <c r="M21" i="3"/>
  <c r="L21" i="3"/>
  <c r="K21" i="3"/>
  <c r="AY20" i="3"/>
  <c r="AX20" i="3"/>
  <c r="AY19" i="3"/>
  <c r="AX19" i="3"/>
  <c r="L19" i="3"/>
  <c r="L38" i="3" s="1"/>
  <c r="L57" i="3" s="1"/>
  <c r="L76" i="3" s="1"/>
  <c r="K19" i="3"/>
  <c r="M19" i="3" s="1"/>
  <c r="AY18" i="3"/>
  <c r="AX18" i="3"/>
  <c r="AY17" i="3"/>
  <c r="AX17" i="3"/>
  <c r="L17" i="3"/>
  <c r="N17" i="3" s="1"/>
  <c r="K17" i="3"/>
  <c r="K36" i="3" s="1"/>
  <c r="K55" i="3" s="1"/>
  <c r="K74" i="3" s="1"/>
  <c r="AY16" i="3"/>
  <c r="AX16" i="3"/>
  <c r="M34" i="3"/>
  <c r="M53" i="3" s="1"/>
  <c r="M72" i="3" s="1"/>
  <c r="I14" i="3"/>
  <c r="E14" i="3"/>
  <c r="P13" i="3"/>
  <c r="O13" i="3"/>
  <c r="N13" i="3"/>
  <c r="M13" i="3"/>
  <c r="L13" i="3"/>
  <c r="K13" i="3"/>
  <c r="P12" i="3"/>
  <c r="O12" i="3"/>
  <c r="N12" i="3"/>
  <c r="M12" i="3"/>
  <c r="K12" i="3"/>
  <c r="P11" i="3"/>
  <c r="O11" i="3"/>
  <c r="N11" i="3"/>
  <c r="M11" i="3"/>
  <c r="L11" i="3"/>
  <c r="K11" i="3"/>
  <c r="P10" i="3"/>
  <c r="O10" i="3"/>
  <c r="N10" i="3"/>
  <c r="M10" i="3"/>
  <c r="L10" i="3"/>
  <c r="K10" i="3"/>
  <c r="P9" i="3"/>
  <c r="O9" i="3"/>
  <c r="N9" i="3"/>
  <c r="M9" i="3"/>
  <c r="L9" i="3"/>
  <c r="K9" i="3"/>
  <c r="AP8" i="3"/>
  <c r="AO8" i="3"/>
  <c r="AN8" i="3"/>
  <c r="AP7" i="3"/>
  <c r="AO7" i="3"/>
  <c r="AN7" i="3"/>
  <c r="L7" i="3"/>
  <c r="L8" i="3" s="1"/>
  <c r="L27" i="3" s="1"/>
  <c r="L46" i="3" s="1"/>
  <c r="L65" i="3" s="1"/>
  <c r="K7" i="3"/>
  <c r="K26" i="3" s="1"/>
  <c r="K45" i="3" s="1"/>
  <c r="K64" i="3" s="1"/>
  <c r="AP6" i="3"/>
  <c r="AO6" i="3"/>
  <c r="AN6" i="3"/>
  <c r="P6" i="3"/>
  <c r="P25" i="3" s="1"/>
  <c r="P44" i="3" s="1"/>
  <c r="P63" i="3" s="1"/>
  <c r="N6" i="3"/>
  <c r="N25" i="3" s="1"/>
  <c r="N44" i="3" s="1"/>
  <c r="N63" i="3" s="1"/>
  <c r="M6" i="3"/>
  <c r="M25" i="3" s="1"/>
  <c r="M44" i="3" s="1"/>
  <c r="M63" i="3" s="1"/>
  <c r="AP5" i="3"/>
  <c r="AO5" i="3"/>
  <c r="AN5" i="3"/>
  <c r="AP4" i="3"/>
  <c r="AO4" i="3"/>
  <c r="AN4" i="3"/>
  <c r="AP3" i="3"/>
  <c r="AO3" i="3"/>
  <c r="R32" i="1"/>
  <c r="Q32" i="1"/>
  <c r="P32" i="1"/>
  <c r="O32" i="1"/>
  <c r="N32" i="1"/>
  <c r="M32" i="1"/>
  <c r="L32" i="1"/>
  <c r="K32" i="1"/>
  <c r="J32" i="1"/>
  <c r="I32" i="1"/>
  <c r="H32" i="1"/>
  <c r="G32" i="1"/>
  <c r="R31" i="1"/>
  <c r="Q31" i="1"/>
  <c r="P31" i="1"/>
  <c r="O31" i="1"/>
  <c r="N31" i="1"/>
  <c r="M31" i="1"/>
  <c r="L31" i="1"/>
  <c r="K31" i="1"/>
  <c r="J31" i="1"/>
  <c r="I31" i="1"/>
  <c r="H31" i="1"/>
  <c r="G31" i="1"/>
  <c r="R30" i="1"/>
  <c r="Q30" i="1"/>
  <c r="P30" i="1"/>
  <c r="O30" i="1"/>
  <c r="N30" i="1"/>
  <c r="M30" i="1"/>
  <c r="L30" i="1"/>
  <c r="K30" i="1"/>
  <c r="J30" i="1"/>
  <c r="I30" i="1"/>
  <c r="H30" i="1"/>
  <c r="G30" i="1"/>
  <c r="R29" i="1"/>
  <c r="Q29" i="1"/>
  <c r="P29" i="1"/>
  <c r="O29" i="1"/>
  <c r="N29" i="1"/>
  <c r="M29" i="1"/>
  <c r="L29" i="1"/>
  <c r="K29" i="1"/>
  <c r="J29" i="1"/>
  <c r="I29" i="1"/>
  <c r="H29" i="1"/>
  <c r="G29" i="1"/>
  <c r="R27" i="1"/>
  <c r="Q27" i="1"/>
  <c r="P27" i="1"/>
  <c r="O27" i="1"/>
  <c r="N27" i="1"/>
  <c r="M27" i="1"/>
  <c r="L27" i="1"/>
  <c r="K27" i="1"/>
  <c r="J27" i="1"/>
  <c r="I27" i="1"/>
  <c r="H27" i="1"/>
  <c r="G27" i="1"/>
  <c r="R25" i="1"/>
  <c r="Q25" i="1"/>
  <c r="P25" i="1"/>
  <c r="O25" i="1"/>
  <c r="N25" i="1"/>
  <c r="M25" i="1"/>
  <c r="L25" i="1"/>
  <c r="K25" i="1"/>
  <c r="J25" i="1"/>
  <c r="I25" i="1"/>
  <c r="H25" i="1"/>
  <c r="G25" i="1"/>
  <c r="R24" i="1"/>
  <c r="Q24" i="1"/>
  <c r="P24" i="1"/>
  <c r="O24" i="1"/>
  <c r="N24" i="1"/>
  <c r="M24" i="1"/>
  <c r="L24" i="1"/>
  <c r="K24" i="1"/>
  <c r="J24" i="1"/>
  <c r="I24" i="1"/>
  <c r="H24" i="1"/>
  <c r="G24" i="1"/>
  <c r="R22" i="1"/>
  <c r="Q22" i="1"/>
  <c r="P22" i="1"/>
  <c r="O22" i="1"/>
  <c r="N22" i="1"/>
  <c r="M22" i="1"/>
  <c r="L22" i="1"/>
  <c r="K22" i="1"/>
  <c r="J22" i="1"/>
  <c r="I22" i="1"/>
  <c r="H22" i="1"/>
  <c r="G22" i="1"/>
  <c r="R20" i="1"/>
  <c r="Q20" i="1"/>
  <c r="P20" i="1"/>
  <c r="O20" i="1"/>
  <c r="N20" i="1"/>
  <c r="M20" i="1"/>
  <c r="L20" i="1"/>
  <c r="K20" i="1"/>
  <c r="J20" i="1"/>
  <c r="I20" i="1"/>
  <c r="H20" i="1"/>
  <c r="G20"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G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T6" i="1"/>
  <c r="R6" i="1"/>
  <c r="Q6" i="1"/>
  <c r="P6" i="1"/>
  <c r="O6" i="1"/>
  <c r="N6" i="1"/>
  <c r="M6" i="1"/>
  <c r="L6" i="1"/>
  <c r="K6" i="1"/>
  <c r="J6" i="1"/>
  <c r="I6" i="1"/>
  <c r="H6" i="1"/>
  <c r="G6" i="1"/>
  <c r="T5" i="1"/>
  <c r="R5" i="1"/>
  <c r="Q5" i="1"/>
  <c r="P5" i="1"/>
  <c r="O5" i="1"/>
  <c r="N5" i="1"/>
  <c r="M5" i="1"/>
  <c r="L5" i="1"/>
  <c r="K5" i="1"/>
  <c r="J5" i="1"/>
  <c r="I5" i="1"/>
  <c r="H5" i="1"/>
  <c r="G5" i="1"/>
  <c r="I37" i="4" l="1"/>
  <c r="I43" i="4" s="1"/>
  <c r="I49" i="4" s="1"/>
  <c r="I55" i="4" s="1"/>
  <c r="I61" i="4" s="1"/>
  <c r="I67" i="4" s="1"/>
  <c r="I73" i="4" s="1"/>
  <c r="I79" i="4" s="1"/>
  <c r="I85" i="4" s="1"/>
  <c r="I157" i="4"/>
  <c r="I163" i="4" s="1"/>
  <c r="I169" i="4" s="1"/>
  <c r="I175" i="4" s="1"/>
  <c r="I181" i="4" s="1"/>
  <c r="I187" i="4" s="1"/>
  <c r="I193" i="4" s="1"/>
  <c r="I199" i="4" s="1"/>
  <c r="I205" i="4" s="1"/>
  <c r="I156" i="4"/>
  <c r="I162" i="4" s="1"/>
  <c r="I168" i="4" s="1"/>
  <c r="I174" i="4" s="1"/>
  <c r="I180" i="4" s="1"/>
  <c r="I186" i="4" s="1"/>
  <c r="I192" i="4" s="1"/>
  <c r="I198" i="4" s="1"/>
  <c r="I204" i="4" s="1"/>
  <c r="I155" i="4"/>
  <c r="I161" i="4" s="1"/>
  <c r="I167" i="4" s="1"/>
  <c r="I173" i="4" s="1"/>
  <c r="I179" i="4" s="1"/>
  <c r="I185" i="4" s="1"/>
  <c r="I191" i="4" s="1"/>
  <c r="I197" i="4" s="1"/>
  <c r="I203" i="4" s="1"/>
  <c r="N118" i="3"/>
  <c r="N119" i="3" s="1"/>
  <c r="L120" i="3"/>
  <c r="L121" i="3" s="1"/>
  <c r="K6" i="4" s="1"/>
  <c r="K7" i="4" s="1"/>
  <c r="K8" i="4" s="1"/>
  <c r="K9" i="4" s="1"/>
  <c r="K10" i="4" s="1"/>
  <c r="K11" i="4" s="1"/>
  <c r="K12" i="4" s="1"/>
  <c r="K13" i="4" s="1"/>
  <c r="K14" i="4" s="1"/>
  <c r="K15" i="4" s="1"/>
  <c r="L119" i="3"/>
  <c r="P119" i="3" s="1"/>
  <c r="N120" i="3"/>
  <c r="N121" i="3" s="1"/>
  <c r="M6" i="4" s="1"/>
  <c r="M7" i="4" s="1"/>
  <c r="M8" i="4" s="1"/>
  <c r="M9" i="4" s="1"/>
  <c r="M10" i="4" s="1"/>
  <c r="M11" i="4" s="1"/>
  <c r="M12" i="4" s="1"/>
  <c r="M13" i="4" s="1"/>
  <c r="M14" i="4" s="1"/>
  <c r="M15" i="4" s="1"/>
  <c r="O120" i="3"/>
  <c r="P120" i="3"/>
  <c r="M120" i="3"/>
  <c r="M121" i="3" s="1"/>
  <c r="L6" i="4" s="1"/>
  <c r="L7" i="4" s="1"/>
  <c r="L8" i="4" s="1"/>
  <c r="L9" i="4" s="1"/>
  <c r="L10" i="4" s="1"/>
  <c r="L11" i="4" s="1"/>
  <c r="L12" i="4" s="1"/>
  <c r="L13" i="4" s="1"/>
  <c r="L14" i="4" s="1"/>
  <c r="L15" i="4" s="1"/>
  <c r="O121" i="3"/>
  <c r="J6" i="4"/>
  <c r="J7" i="4" s="1"/>
  <c r="J8" i="4" s="1"/>
  <c r="J9" i="4" s="1"/>
  <c r="J10" i="4" s="1"/>
  <c r="J11" i="4" s="1"/>
  <c r="J12" i="4" s="1"/>
  <c r="J13" i="4" s="1"/>
  <c r="J14" i="4" s="1"/>
  <c r="J15" i="4" s="1"/>
  <c r="P132" i="3"/>
  <c r="P134" i="3" s="1"/>
  <c r="P136" i="3" s="1"/>
  <c r="N134" i="3"/>
  <c r="N136" i="3" s="1"/>
  <c r="K134" i="3"/>
  <c r="O34" i="3"/>
  <c r="O53" i="3" s="1"/>
  <c r="O72" i="3" s="1"/>
  <c r="N36" i="3"/>
  <c r="N55" i="3" s="1"/>
  <c r="N74" i="3" s="1"/>
  <c r="P17" i="3"/>
  <c r="P36" i="3" s="1"/>
  <c r="P55" i="3" s="1"/>
  <c r="P74" i="3" s="1"/>
  <c r="O35" i="3"/>
  <c r="O54" i="3" s="1"/>
  <c r="O73" i="3" s="1"/>
  <c r="M35" i="3"/>
  <c r="M54" i="3" s="1"/>
  <c r="M73" i="3" s="1"/>
  <c r="P35" i="3"/>
  <c r="P54" i="3" s="1"/>
  <c r="P73" i="3" s="1"/>
  <c r="N35" i="3"/>
  <c r="N54" i="3" s="1"/>
  <c r="N73" i="3" s="1"/>
  <c r="M17" i="3"/>
  <c r="O17" i="3" s="1"/>
  <c r="O36" i="3" s="1"/>
  <c r="O55" i="3" s="1"/>
  <c r="O74" i="3" s="1"/>
  <c r="N19" i="3"/>
  <c r="N38" i="3" s="1"/>
  <c r="N57" i="3" s="1"/>
  <c r="N76" i="3" s="1"/>
  <c r="L36" i="3"/>
  <c r="L55" i="3" s="1"/>
  <c r="L74" i="3" s="1"/>
  <c r="M36" i="3"/>
  <c r="M55" i="3" s="1"/>
  <c r="M74" i="3" s="1"/>
  <c r="K38" i="3"/>
  <c r="K57" i="3" s="1"/>
  <c r="K76" i="3" s="1"/>
  <c r="N90" i="3"/>
  <c r="M97" i="3"/>
  <c r="M103" i="3" s="1"/>
  <c r="M109" i="3" s="1"/>
  <c r="L101" i="3"/>
  <c r="L107" i="3" s="1"/>
  <c r="L113" i="3" s="1"/>
  <c r="N101" i="3"/>
  <c r="N107" i="3" s="1"/>
  <c r="N113" i="3" s="1"/>
  <c r="N100" i="3"/>
  <c r="N106" i="3" s="1"/>
  <c r="N112" i="3" s="1"/>
  <c r="N99" i="3"/>
  <c r="N105" i="3" s="1"/>
  <c r="N111" i="3" s="1"/>
  <c r="P93" i="3"/>
  <c r="O93" i="3"/>
  <c r="K100" i="3"/>
  <c r="K106" i="3" s="1"/>
  <c r="K112" i="3" s="1"/>
  <c r="P23" i="3"/>
  <c r="P42" i="3" s="1"/>
  <c r="P61" i="3" s="1"/>
  <c r="P80" i="3" s="1"/>
  <c r="N42" i="3"/>
  <c r="N61" i="3" s="1"/>
  <c r="N80" i="3" s="1"/>
  <c r="P19" i="3"/>
  <c r="P38" i="3" s="1"/>
  <c r="P57" i="3" s="1"/>
  <c r="P76" i="3" s="1"/>
  <c r="N7" i="3"/>
  <c r="P7" i="3"/>
  <c r="O19" i="3"/>
  <c r="O38" i="3" s="1"/>
  <c r="O57" i="3" s="1"/>
  <c r="O76" i="3" s="1"/>
  <c r="M38" i="3"/>
  <c r="M57" i="3" s="1"/>
  <c r="M76" i="3" s="1"/>
  <c r="K8" i="3"/>
  <c r="M23" i="3"/>
  <c r="M7" i="3"/>
  <c r="O6" i="3"/>
  <c r="O25" i="3" s="1"/>
  <c r="O44" i="3" s="1"/>
  <c r="O63" i="3" s="1"/>
  <c r="K89" i="4"/>
  <c r="L87" i="4"/>
  <c r="L88" i="4"/>
  <c r="J89" i="4"/>
  <c r="P121" i="3" l="1"/>
  <c r="M134" i="3"/>
  <c r="O134" i="3" s="1"/>
  <c r="K136" i="3"/>
  <c r="M136" i="3" s="1"/>
  <c r="O136" i="3" s="1"/>
  <c r="P90" i="3"/>
  <c r="P96" i="3" s="1"/>
  <c r="P102" i="3" s="1"/>
  <c r="P108" i="3" s="1"/>
  <c r="N96" i="3"/>
  <c r="N102" i="3" s="1"/>
  <c r="N108" i="3" s="1"/>
  <c r="P99" i="3"/>
  <c r="P105" i="3" s="1"/>
  <c r="P111" i="3" s="1"/>
  <c r="M101" i="3"/>
  <c r="M107" i="3" s="1"/>
  <c r="M113" i="3" s="1"/>
  <c r="M100" i="3"/>
  <c r="M106" i="3" s="1"/>
  <c r="M112" i="3" s="1"/>
  <c r="O99" i="3"/>
  <c r="O105" i="3" s="1"/>
  <c r="O111" i="3" s="1"/>
  <c r="P8" i="3"/>
  <c r="P27" i="3" s="1"/>
  <c r="P46" i="3" s="1"/>
  <c r="P65" i="3" s="1"/>
  <c r="P26" i="3"/>
  <c r="P45" i="3" s="1"/>
  <c r="P64" i="3" s="1"/>
  <c r="N8" i="3"/>
  <c r="N27" i="3" s="1"/>
  <c r="N46" i="3" s="1"/>
  <c r="N65" i="3" s="1"/>
  <c r="N26" i="3"/>
  <c r="N45" i="3" s="1"/>
  <c r="N64" i="3" s="1"/>
  <c r="O7" i="3"/>
  <c r="O26" i="3" s="1"/>
  <c r="O45" i="3" s="1"/>
  <c r="O64" i="3" s="1"/>
  <c r="M26" i="3"/>
  <c r="M45" i="3" s="1"/>
  <c r="M64" i="3" s="1"/>
  <c r="M42" i="3"/>
  <c r="M61" i="3" s="1"/>
  <c r="M80" i="3" s="1"/>
  <c r="O23" i="3"/>
  <c r="O42" i="3" s="1"/>
  <c r="O61" i="3" s="1"/>
  <c r="O80" i="3" s="1"/>
  <c r="M8" i="3"/>
  <c r="K27" i="3"/>
  <c r="K46" i="3" s="1"/>
  <c r="K65" i="3" s="1"/>
  <c r="M88" i="4"/>
  <c r="M89" i="4"/>
  <c r="M90" i="4"/>
  <c r="L89" i="4"/>
  <c r="P101" i="3" l="1"/>
  <c r="P107" i="3" s="1"/>
  <c r="P113" i="3" s="1"/>
  <c r="P100" i="3"/>
  <c r="P106" i="3" s="1"/>
  <c r="P112" i="3" s="1"/>
  <c r="O101" i="3"/>
  <c r="O107" i="3" s="1"/>
  <c r="O113" i="3" s="1"/>
  <c r="O100" i="3"/>
  <c r="O106" i="3" s="1"/>
  <c r="O112" i="3" s="1"/>
  <c r="O8" i="3"/>
  <c r="O27" i="3" s="1"/>
  <c r="O46" i="3" s="1"/>
  <c r="O65" i="3" s="1"/>
  <c r="M27" i="3"/>
  <c r="M46" i="3" s="1"/>
  <c r="M65" i="3" s="1"/>
  <c r="L90" i="4"/>
  <c r="M146" i="4" l="1"/>
  <c r="M147" i="4" l="1"/>
  <c r="L146" i="4"/>
  <c r="M148" i="4" l="1"/>
  <c r="L147" i="4"/>
  <c r="L148" i="4" l="1"/>
  <c r="M206" i="4" l="1"/>
  <c r="M207" i="4" l="1"/>
  <c r="L206" i="4"/>
  <c r="L207" i="4" l="1"/>
  <c r="H120" i="3"/>
  <c r="H119" i="3"/>
  <c r="H118" i="3"/>
  <c r="H117" i="3"/>
  <c r="H116" i="3"/>
  <c r="H115" i="3"/>
  <c r="H1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xli9</author>
  </authors>
  <commentList>
    <comment ref="AH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J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K5" authorId="2" shapeId="0" xr:uid="{00000000-0006-0000-0000-000004000000}">
      <text>
        <r>
          <rPr>
            <b/>
            <sz val="9"/>
            <rFont val="Times New Roman"/>
          </rPr>
          <t>xli9:</t>
        </r>
        <r>
          <rPr>
            <sz val="9"/>
            <rFont val="Times New Roman"/>
          </rPr>
          <t xml:space="preserve">
Variable Maintenance Costs: “US-REGEN represents these costs as a linear function of miles traveled, at a rate of $0.20/mile”</t>
        </r>
      </text>
    </comment>
    <comment ref="L5" authorId="2" shapeId="0" xr:uid="{00000000-0006-0000-0000-000005000000}">
      <text>
        <r>
          <rPr>
            <b/>
            <sz val="9"/>
            <rFont val="Times New Roman"/>
          </rPr>
          <t>xli9:</t>
        </r>
        <r>
          <rPr>
            <sz val="9"/>
            <rFont val="Times New Roman"/>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5" authorId="0" shapeId="0" xr:uid="{00000000-0006-0000-0000-000006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8" authorId="2" shapeId="0" xr:uid="{00000000-0006-0000-0000-000007000000}">
      <text>
        <r>
          <rPr>
            <b/>
            <sz val="9"/>
            <rFont val="Times New Roman"/>
          </rPr>
          <t>xli9:</t>
        </r>
        <r>
          <rPr>
            <sz val="9"/>
            <rFont val="Times New Roman"/>
          </rPr>
          <t xml:space="preserve">
Class 4-6 (Freight), ICEV</t>
        </r>
      </text>
    </comment>
    <comment ref="J9" authorId="2" shapeId="0" xr:uid="{00000000-0006-0000-0000-000008000000}">
      <text>
        <r>
          <rPr>
            <b/>
            <sz val="9"/>
            <rFont val="Times New Roman"/>
          </rPr>
          <t>xli9:</t>
        </r>
        <r>
          <rPr>
            <sz val="9"/>
            <rFont val="Times New Roman"/>
          </rPr>
          <t xml:space="preserve">
Class 7-8 (Freight), ICEV</t>
        </r>
      </text>
    </comment>
    <comment ref="L11" authorId="2" shapeId="0" xr:uid="{00000000-0006-0000-0000-000009000000}">
      <text>
        <r>
          <rPr>
            <b/>
            <sz val="9"/>
            <rFont val="Times New Roman"/>
          </rPr>
          <t>xli9:</t>
        </r>
        <r>
          <rPr>
            <sz val="9"/>
            <rFont val="Times New Roman"/>
          </rPr>
          <t xml:space="preserve">
Urban, higher driving intensity</t>
        </r>
      </text>
    </comment>
    <comment ref="L15" authorId="2" shapeId="0" xr:uid="{00000000-0006-0000-0000-00000A000000}">
      <text>
        <r>
          <rPr>
            <b/>
            <sz val="9"/>
            <rFont val="Times New Roman"/>
          </rPr>
          <t>xli9:</t>
        </r>
        <r>
          <rPr>
            <sz val="9"/>
            <rFont val="Times New Roman"/>
          </rPr>
          <t xml:space="preserve">
Rural, high driving intensity</t>
        </r>
      </text>
    </comment>
    <comment ref="L17" authorId="2" shapeId="0" xr:uid="{00000000-0006-0000-0000-00000B000000}">
      <text>
        <r>
          <rPr>
            <b/>
            <sz val="9"/>
            <rFont val="Times New Roman"/>
          </rPr>
          <t>xli9:</t>
        </r>
        <r>
          <rPr>
            <sz val="9"/>
            <rFont val="Times New Roman"/>
          </rPr>
          <t xml:space="preserve">
Average of urban, suburban and rural, for medium-driving-intensity</t>
        </r>
      </text>
    </comment>
    <comment ref="J19" authorId="2" shapeId="0" xr:uid="{00000000-0006-0000-0000-00000C000000}">
      <text>
        <r>
          <rPr>
            <b/>
            <sz val="9"/>
            <rFont val="Times New Roman"/>
          </rPr>
          <t>xli9:</t>
        </r>
        <r>
          <rPr>
            <sz val="9"/>
            <rFont val="Times New Roman"/>
          </rPr>
          <t xml:space="preserve">
BEV (250 mi), which is the most generally used BEV, its invcost is 31500USD</t>
        </r>
      </text>
    </comment>
    <comment ref="K19" authorId="2" shapeId="0" xr:uid="{00000000-0006-0000-0000-00000D000000}">
      <text>
        <r>
          <rPr>
            <b/>
            <sz val="9"/>
            <rFont val="Times New Roman"/>
          </rPr>
          <t>xli9:</t>
        </r>
        <r>
          <rPr>
            <sz val="9"/>
            <rFont val="Times New Roman"/>
          </rPr>
          <t xml:space="preserve">
Maintenance fee: “REGEN assumes a levelized maintenance cost of $0.10/mile for BEVs and $0.15/mile for PHEVs (which include an ICEV drivetrain but use it relatively infrequently).”</t>
        </r>
      </text>
    </comment>
    <comment ref="M19" authorId="2" shapeId="0" xr:uid="{00000000-0006-0000-0000-00000E000000}">
      <text>
        <r>
          <rPr>
            <b/>
            <sz val="9"/>
            <rFont val="Times New Roman"/>
          </rPr>
          <t>xli9:</t>
        </r>
        <r>
          <rPr>
            <sz val="9"/>
            <rFont val="Times New Roman"/>
          </rPr>
          <t xml:space="preserve">
Here 0.95 is just a seed mulplying factor, which will be further adjusted by using the cost-reduction quantification in CER2023 scenarios (CNZ, GNZ, CM)</t>
        </r>
      </text>
    </comment>
    <comment ref="J22" authorId="2" shapeId="0" xr:uid="{00000000-0006-0000-0000-00000F000000}">
      <text>
        <r>
          <rPr>
            <b/>
            <sz val="9"/>
            <rFont val="Times New Roman"/>
          </rPr>
          <t>xli9:</t>
        </r>
        <r>
          <rPr>
            <sz val="9"/>
            <rFont val="Times New Roman"/>
          </rPr>
          <t xml:space="preserve">
Assuming HEV’s purchase price same to PHEV</t>
        </r>
      </text>
    </comment>
    <comment ref="J24" authorId="2" shapeId="0" xr:uid="{00000000-0006-0000-0000-000010000000}">
      <text>
        <r>
          <rPr>
            <b/>
            <sz val="9"/>
            <rFont val="Times New Roman"/>
          </rPr>
          <t>xli9:</t>
        </r>
        <r>
          <rPr>
            <sz val="9"/>
            <rFont val="Times New Roman"/>
          </rPr>
          <t xml:space="preserve">
Truck BEV(250 mi)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100-000001000000}">
      <text>
        <r>
          <rPr>
            <b/>
            <sz val="9"/>
            <rFont val="Times New Roman"/>
          </rPr>
          <t>xli9:</t>
        </r>
        <r>
          <rPr>
            <sz val="9"/>
            <rFont val="Times New Roman"/>
          </rPr>
          <t xml:space="preserve">
From EIA report, and the 1 2022USD=1 2011 CAD. The EIA has identified the capacity per furnance, so we used it</t>
        </r>
      </text>
    </comment>
    <comment ref="L9" authorId="0" shapeId="0" xr:uid="{00000000-0006-0000-0100-000002000000}">
      <text>
        <r>
          <rPr>
            <b/>
            <sz val="9"/>
            <rFont val="Times New Roman"/>
          </rPr>
          <t>xli9:</t>
        </r>
        <r>
          <rPr>
            <sz val="9"/>
            <rFont val="Times New Roman"/>
          </rPr>
          <t xml:space="preserve">
Residential Gas-Fired Furnaces (North), from EIA report</t>
        </r>
      </text>
    </comment>
    <comment ref="K13" authorId="0" shapeId="0" xr:uid="{00000000-0006-0000-0100-000003000000}">
      <text>
        <r>
          <rPr>
            <b/>
            <sz val="9"/>
            <rFont val="Times New Roman"/>
          </rPr>
          <t>xli9:</t>
        </r>
        <r>
          <rPr>
            <sz val="9"/>
            <rFont val="Times New Roman"/>
          </rPr>
          <t xml:space="preserve">
The heater in cooler environment is preferred</t>
        </r>
      </text>
    </comment>
    <comment ref="L13" authorId="0" shapeId="0" xr:uid="{00000000-0006-0000-0100-000004000000}">
      <text>
        <r>
          <rPr>
            <b/>
            <sz val="9"/>
            <rFont val="Times New Roman"/>
          </rPr>
          <t>xli9:</t>
        </r>
        <r>
          <rPr>
            <sz val="9"/>
            <rFont val="Times New Roman"/>
          </rPr>
          <t xml:space="preserve">
Residential Air-Source Heat Pumps</t>
        </r>
      </text>
    </comment>
    <comment ref="K15" authorId="0" shapeId="0" xr:uid="{00000000-0006-0000-0100-000005000000}">
      <text>
        <r>
          <rPr>
            <b/>
            <sz val="9"/>
            <rFont val="Times New Roman"/>
          </rPr>
          <t>xli9:</t>
        </r>
        <r>
          <rPr>
            <sz val="9"/>
            <rFont val="Times New Roman"/>
          </rPr>
          <t xml:space="preserve">
Similar to wood-fired furnance </t>
        </r>
      </text>
    </comment>
    <comment ref="K16" authorId="1" shapeId="0" xr:uid="{00B0F70A-A625-461C-8330-0E72B9007621}">
      <text>
        <r>
          <rPr>
            <b/>
            <sz val="9"/>
            <color indexed="81"/>
            <rFont val="Tahoma"/>
            <family val="2"/>
          </rPr>
          <t>Xiao Li:</t>
        </r>
        <r>
          <rPr>
            <sz val="9"/>
            <color indexed="81"/>
            <rFont val="Tahoma"/>
            <family val="2"/>
          </rPr>
          <t xml:space="preserve">
Residential wood pellet stoves</t>
        </r>
      </text>
    </comment>
    <comment ref="K17" authorId="0" shapeId="0" xr:uid="{00000000-0006-0000-0100-000006000000}">
      <text>
        <r>
          <rPr>
            <b/>
            <sz val="9"/>
            <rFont val="Times New Roman"/>
          </rPr>
          <t>xli9:</t>
        </r>
        <r>
          <rPr>
            <sz val="9"/>
            <rFont val="Times New Roman"/>
          </rPr>
          <t xml:space="preserve">
Multiple energy sourced facility will be the range of those energy sourced facility</t>
        </r>
      </text>
    </comment>
    <comment ref="K32" authorId="0" shapeId="0" xr:uid="{00000000-0006-0000-0100-000007000000}">
      <text>
        <r>
          <rPr>
            <b/>
            <sz val="9"/>
            <rFont val="Times New Roman"/>
          </rPr>
          <t>xli9:</t>
        </r>
        <r>
          <rPr>
            <sz val="9"/>
            <rFont val="Times New Roman"/>
          </rPr>
          <t xml:space="preserve">
The heater in cooler environment is preferred</t>
        </r>
      </text>
    </comment>
    <comment ref="K51" authorId="0" shapeId="0" xr:uid="{00000000-0006-0000-0100-000008000000}">
      <text>
        <r>
          <rPr>
            <b/>
            <sz val="9"/>
            <rFont val="Times New Roman"/>
          </rPr>
          <t>xli9:</t>
        </r>
        <r>
          <rPr>
            <sz val="9"/>
            <rFont val="Times New Roman"/>
          </rPr>
          <t xml:space="preserve">
The heater in cooler environment is preferred</t>
        </r>
      </text>
    </comment>
    <comment ref="K70" authorId="0" shapeId="0" xr:uid="{00000000-0006-0000-0100-000009000000}">
      <text>
        <r>
          <rPr>
            <b/>
            <sz val="9"/>
            <rFont val="Times New Roman"/>
          </rPr>
          <t>xli9:</t>
        </r>
        <r>
          <rPr>
            <sz val="9"/>
            <rFont val="Times New Roman"/>
          </rPr>
          <t xml:space="preserve">
The heater in cooler environment is preferred</t>
        </r>
      </text>
    </comment>
    <comment ref="L82" authorId="0" shapeId="0" xr:uid="{00000000-0006-0000-0100-00000A000000}">
      <text>
        <r>
          <rPr>
            <b/>
            <sz val="9"/>
            <rFont val="Times New Roman"/>
          </rPr>
          <t>xli9:</t>
        </r>
        <r>
          <rPr>
            <sz val="9"/>
            <rFont val="Times New Roman"/>
          </rPr>
          <t xml:space="preserve">
Residential Central Air Conditioners – North (Not Hot-Dry or Hot-Humid)</t>
        </r>
      </text>
    </comment>
    <comment ref="K90" authorId="0" shapeId="0" xr:uid="{00000000-0006-0000-0100-00000B000000}">
      <text>
        <r>
          <rPr>
            <b/>
            <sz val="9"/>
            <rFont val="Times New Roman"/>
          </rPr>
          <t>xli9:</t>
        </r>
        <r>
          <rPr>
            <sz val="9"/>
            <rFont val="Times New Roman"/>
          </rPr>
          <t xml:space="preserve">
EIA report, 1.0 2022USD=1.0 2011CAD;
36gal is about 11kw capacity</t>
        </r>
      </text>
    </comment>
    <comment ref="K91" authorId="0" shapeId="0" xr:uid="{00000000-0006-0000-0100-00000C000000}">
      <text>
        <r>
          <rPr>
            <b/>
            <sz val="9"/>
            <rFont val="Times New Roman"/>
          </rPr>
          <t>xli9:</t>
        </r>
        <r>
          <rPr>
            <sz val="9"/>
            <rFont val="Times New Roman"/>
          </rPr>
          <t xml:space="preserve">
EIA report, 1.0 2022USD=1.0 2011CAD</t>
        </r>
      </text>
    </comment>
    <comment ref="K93" authorId="0" shapeId="0" xr:uid="{00000000-0006-0000-0100-00000D000000}">
      <text>
        <r>
          <rPr>
            <b/>
            <sz val="9"/>
            <rFont val="Times New Roman"/>
          </rPr>
          <t>Gas-fired boilers</t>
        </r>
      </text>
    </comment>
    <comment ref="K94" authorId="1" shapeId="0" xr:uid="{57E4794C-9BDF-4D04-82A7-A79DE781645D}">
      <text>
        <r>
          <rPr>
            <b/>
            <sz val="9"/>
            <color indexed="81"/>
            <rFont val="Tahoma"/>
            <family val="2"/>
          </rPr>
          <t>Xiao Li:</t>
        </r>
        <r>
          <rPr>
            <sz val="9"/>
            <color indexed="81"/>
            <rFont val="Tahoma"/>
            <family val="2"/>
          </rPr>
          <t xml:space="preserve">
Given the coal-fired water heater is unavailable, the costs and lifetime for coal-fired water heater is similar to wood water heater </t>
        </r>
      </text>
    </comment>
    <comment ref="K95" authorId="1" shapeId="0" xr:uid="{CFFB3A88-BC7F-4D59-98E0-40646AE93898}">
      <text>
        <r>
          <rPr>
            <b/>
            <sz val="9"/>
            <color indexed="81"/>
            <rFont val="Tahoma"/>
            <family val="2"/>
          </rPr>
          <t>Xiao Li:</t>
        </r>
        <r>
          <rPr>
            <sz val="9"/>
            <color indexed="81"/>
            <rFont val="Tahoma"/>
            <family val="2"/>
          </rPr>
          <t xml:space="preserve">
Residential wood pellet stoves</t>
        </r>
      </text>
    </comment>
    <comment ref="K114" authorId="0" shapeId="0" xr:uid="{00000000-0006-0000-0100-00000E000000}">
      <text>
        <r>
          <rPr>
            <b/>
            <sz val="9"/>
            <rFont val="Times New Roman"/>
          </rPr>
          <t>xli9:</t>
        </r>
        <r>
          <rPr>
            <sz val="9"/>
            <rFont val="Times New Roman"/>
          </rPr>
          <t xml:space="preserve">
We selected most commercial type-Residential Refrigerator/Freezer (Side-Mount) to represent the costs of RE. 0.079Kw is from energy consumption</t>
        </r>
      </text>
    </comment>
    <comment ref="K115" authorId="0" shapeId="0" xr:uid="{00000000-0006-0000-0100-00000F000000}">
      <text>
        <r>
          <rPr>
            <b/>
            <sz val="9"/>
            <rFont val="Times New Roman"/>
          </rPr>
          <t>xli9:</t>
        </r>
        <r>
          <rPr>
            <sz val="9"/>
            <rFont val="Times New Roman"/>
          </rPr>
          <t xml:space="preserve">
Most commercial type-Residential Freezers (Upright)</t>
        </r>
      </text>
    </comment>
    <comment ref="K117" authorId="1" shapeId="0" xr:uid="{8981CD0D-04A5-4D6D-9555-1AA11610C18A}">
      <text>
        <r>
          <rPr>
            <b/>
            <sz val="9"/>
            <color indexed="81"/>
            <rFont val="Tahoma"/>
            <family val="2"/>
          </rPr>
          <t>Xiao Li:</t>
        </r>
        <r>
          <rPr>
            <sz val="9"/>
            <color indexed="81"/>
            <rFont val="Tahoma"/>
            <family val="2"/>
          </rPr>
          <t xml:space="preserve">
EIA does not identify the capacity, so we use 0.4kw as the default set of our base year</t>
        </r>
      </text>
    </comment>
    <comment ref="K118" authorId="1" shapeId="0" xr:uid="{123B1C6F-693C-401D-8B55-0609233B7140}">
      <text>
        <r>
          <rPr>
            <b/>
            <sz val="9"/>
            <color indexed="81"/>
            <rFont val="Tahoma"/>
            <family val="2"/>
          </rPr>
          <t xml:space="preserve">Xiao Li:EIA does not identify the capacity, so </t>
        </r>
        <r>
          <rPr>
            <sz val="9"/>
            <color indexed="81"/>
            <rFont val="Tahoma"/>
            <family val="2"/>
          </rPr>
          <t>0.0032mw capacity is a typical and also our base-year reference</t>
        </r>
      </text>
    </comment>
    <comment ref="K119" authorId="0" shapeId="0" xr:uid="{00000000-0006-0000-0100-000010000000}">
      <text>
        <r>
          <rPr>
            <b/>
            <sz val="9"/>
            <rFont val="Times New Roman"/>
          </rPr>
          <t>xli9:</t>
        </r>
        <r>
          <rPr>
            <sz val="9"/>
            <rFont val="Times New Roman"/>
          </rPr>
          <t xml:space="preserve">
Elctric range</t>
        </r>
      </text>
    </comment>
    <comment ref="L119" authorId="0" shapeId="0" xr:uid="{00000000-0006-0000-0100-000011000000}">
      <text>
        <r>
          <rPr>
            <b/>
            <sz val="9"/>
            <rFont val="Times New Roman"/>
          </rPr>
          <t>xli9:</t>
        </r>
        <r>
          <rPr>
            <sz val="9"/>
            <rFont val="Times New Roman"/>
          </rPr>
          <t xml:space="preserve">
Range installation cost is similar to FR, so FIXOM is assumed same</t>
        </r>
      </text>
    </comment>
    <comment ref="K120" authorId="0" shapeId="0" xr:uid="{00000000-0006-0000-0100-000012000000}">
      <text>
        <r>
          <rPr>
            <b/>
            <sz val="9"/>
            <rFont val="Times New Roman"/>
          </rPr>
          <t>xli9:</t>
        </r>
        <r>
          <rPr>
            <sz val="9"/>
            <rFont val="Times New Roman"/>
          </rPr>
          <t xml:space="preserve">
The light and other appliance (like TV)’s costs are not available so set as the average of other appliance</t>
        </r>
      </text>
    </comment>
    <comment ref="L122" authorId="0" shapeId="0" xr:uid="{00000000-0006-0000-0100-000013000000}">
      <text>
        <r>
          <rPr>
            <b/>
            <sz val="9"/>
            <rFont val="Times New Roman"/>
          </rPr>
          <t>xli9:</t>
        </r>
        <r>
          <rPr>
            <sz val="9"/>
            <rFont val="Times New Roman"/>
          </rPr>
          <t xml:space="preserve">
Residential Air-Source Heat Pumps</t>
        </r>
      </text>
    </comment>
    <comment ref="N122" authorId="0" shapeId="0" xr:uid="{00000000-0006-0000-0100-000014000000}">
      <text>
        <r>
          <rPr>
            <b/>
            <sz val="9"/>
            <rFont val="Times New Roman"/>
          </rPr>
          <t>xli9:</t>
        </r>
        <r>
          <rPr>
            <sz val="9"/>
            <rFont val="Times New Roman"/>
          </rPr>
          <t xml:space="preserve">
Residential Air-Source Heat Pumps</t>
        </r>
      </text>
    </comment>
    <comment ref="P122" authorId="0" shapeId="0" xr:uid="{00000000-0006-0000-0100-000015000000}">
      <text>
        <r>
          <rPr>
            <b/>
            <sz val="9"/>
            <rFont val="Times New Roman"/>
          </rPr>
          <t>xli9:</t>
        </r>
        <r>
          <rPr>
            <sz val="9"/>
            <rFont val="Times New Roman"/>
          </rPr>
          <t xml:space="preserve">
Residential Air-Source Heat Pumps</t>
        </r>
      </text>
    </comment>
    <comment ref="L124" authorId="0" shapeId="0" xr:uid="{00000000-0006-0000-0100-000016000000}">
      <text>
        <r>
          <rPr>
            <b/>
            <sz val="9"/>
            <rFont val="Times New Roman"/>
          </rPr>
          <t>xli9:</t>
        </r>
        <r>
          <rPr>
            <sz val="9"/>
            <rFont val="Times New Roman"/>
          </rPr>
          <t xml:space="preserve">
Residential Air-Source Heat Pumps</t>
        </r>
      </text>
    </comment>
    <comment ref="N124" authorId="0" shapeId="0" xr:uid="{00000000-0006-0000-0100-000017000000}">
      <text>
        <r>
          <rPr>
            <b/>
            <sz val="9"/>
            <rFont val="Times New Roman"/>
          </rPr>
          <t>xli9:</t>
        </r>
        <r>
          <rPr>
            <sz val="9"/>
            <rFont val="Times New Roman"/>
          </rPr>
          <t xml:space="preserve">
Residential Air-Source Heat Pumps</t>
        </r>
      </text>
    </comment>
    <comment ref="P124" authorId="0" shapeId="0" xr:uid="{00000000-0006-0000-0100-000018000000}">
      <text>
        <r>
          <rPr>
            <b/>
            <sz val="9"/>
            <rFont val="Times New Roman"/>
          </rPr>
          <t>xli9:</t>
        </r>
        <r>
          <rPr>
            <sz val="9"/>
            <rFont val="Times New Roman"/>
          </rPr>
          <t xml:space="preserve">
Residential Air-Source Heat Pumps</t>
        </r>
      </text>
    </comment>
    <comment ref="L126" authorId="0" shapeId="0" xr:uid="{00000000-0006-0000-0100-000019000000}">
      <text>
        <r>
          <rPr>
            <b/>
            <sz val="9"/>
            <rFont val="Times New Roman"/>
          </rPr>
          <t>xli9:</t>
        </r>
        <r>
          <rPr>
            <sz val="9"/>
            <rFont val="Times New Roman"/>
          </rPr>
          <t xml:space="preserve">
Residential Air-Source Heat Pumps</t>
        </r>
      </text>
    </comment>
    <comment ref="N126" authorId="0" shapeId="0" xr:uid="{00000000-0006-0000-0100-00001A000000}">
      <text>
        <r>
          <rPr>
            <b/>
            <sz val="9"/>
            <rFont val="Times New Roman"/>
          </rPr>
          <t>xli9:</t>
        </r>
        <r>
          <rPr>
            <sz val="9"/>
            <rFont val="Times New Roman"/>
          </rPr>
          <t xml:space="preserve">
Residential Air-Source Heat Pumps</t>
        </r>
      </text>
    </comment>
    <comment ref="P126" authorId="0" shapeId="0" xr:uid="{00000000-0006-0000-0100-00001B000000}">
      <text>
        <r>
          <rPr>
            <b/>
            <sz val="9"/>
            <rFont val="Times New Roman"/>
          </rPr>
          <t>xli9:</t>
        </r>
        <r>
          <rPr>
            <sz val="9"/>
            <rFont val="Times New Roman"/>
          </rPr>
          <t xml:space="preserve">
Residential Air-Source Heat Pumps</t>
        </r>
      </text>
    </comment>
    <comment ref="L128" authorId="0" shapeId="0" xr:uid="{00000000-0006-0000-0100-00001C000000}">
      <text>
        <r>
          <rPr>
            <b/>
            <sz val="9"/>
            <rFont val="Times New Roman"/>
          </rPr>
          <t>xli9:</t>
        </r>
        <r>
          <rPr>
            <sz val="9"/>
            <rFont val="Times New Roman"/>
          </rPr>
          <t xml:space="preserve">
Residential Air-Source Heat Pumps</t>
        </r>
      </text>
    </comment>
    <comment ref="N128" authorId="0" shapeId="0" xr:uid="{00000000-0006-0000-0100-00001D000000}">
      <text>
        <r>
          <rPr>
            <b/>
            <sz val="9"/>
            <rFont val="Times New Roman"/>
          </rPr>
          <t>xli9:</t>
        </r>
        <r>
          <rPr>
            <sz val="9"/>
            <rFont val="Times New Roman"/>
          </rPr>
          <t xml:space="preserve">
Residential Air-Source Heat Pumps</t>
        </r>
      </text>
    </comment>
    <comment ref="P128" authorId="0" shapeId="0" xr:uid="{00000000-0006-0000-0100-00001E000000}">
      <text>
        <r>
          <rPr>
            <b/>
            <sz val="9"/>
            <rFont val="Times New Roman"/>
          </rPr>
          <t>xli9:</t>
        </r>
        <r>
          <rPr>
            <sz val="9"/>
            <rFont val="Times New Roman"/>
          </rPr>
          <t xml:space="preserve">
Residential Air-Source Heat Pumps</t>
        </r>
      </text>
    </comment>
    <comment ref="K130" authorId="0" shapeId="0" xr:uid="{00000000-0006-0000-0100-00001F000000}">
      <text>
        <r>
          <rPr>
            <b/>
            <sz val="9"/>
            <rFont val="Times New Roman"/>
          </rPr>
          <t>xli9:</t>
        </r>
        <r>
          <rPr>
            <sz val="9"/>
            <rFont val="Times New Roman"/>
          </rPr>
          <t xml:space="preserve">
1. The water heating installation cost comes from EIA “Updated Buildings Sector 
Appliance and Equipment 
Costs and Efficiencies”
2. 1USD in 2022 = 1cad in 2011</t>
        </r>
      </text>
    </comment>
    <comment ref="L130" authorId="0" shapeId="0" xr:uid="{00000000-0006-0000-0100-000020000000}">
      <text>
        <r>
          <rPr>
            <b/>
            <sz val="9"/>
            <rFont val="Times New Roman"/>
          </rPr>
          <t>xli9:</t>
        </r>
        <r>
          <rPr>
            <sz val="9"/>
            <rFont val="Times New Roman"/>
          </rPr>
          <t xml:space="preserve">
Also sourced from EIA report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77A8E5BF-0593-4948-A7BC-D51A7741DB4F}">
      <text>
        <r>
          <rPr>
            <b/>
            <sz val="9"/>
            <color indexed="81"/>
            <rFont val="Tahoma"/>
            <family val="2"/>
          </rPr>
          <t>Xiao Li:</t>
        </r>
        <r>
          <rPr>
            <sz val="9"/>
            <color indexed="81"/>
            <rFont val="Tahoma"/>
            <family val="2"/>
          </rPr>
          <t xml:space="preserve">
The EIA does not identify the street lighting parameters so we refer to the residential lighting service</t>
        </r>
      </text>
    </comment>
    <comment ref="B16" authorId="0" shapeId="0" xr:uid="{7100EE28-BC04-4C78-828B-5F5A6CCCED88}">
      <text>
        <r>
          <rPr>
            <b/>
            <sz val="9"/>
            <color indexed="81"/>
            <rFont val="Tahoma"/>
            <family val="2"/>
          </rPr>
          <t>Xiao Li:</t>
        </r>
        <r>
          <rPr>
            <sz val="9"/>
            <color indexed="81"/>
            <rFont val="Tahoma"/>
            <family val="2"/>
          </rPr>
          <t xml:space="preserve">
the parameters of auxiliary motive same as rooftop air conditioner, because they are similar use. But the efficiency is adopted to 1.0
</t>
        </r>
      </text>
    </comment>
    <comment ref="B26" authorId="0" shapeId="0" xr:uid="{2B295C9E-4FA9-419F-8B81-23A9BC05CB9E}">
      <text>
        <r>
          <rPr>
            <b/>
            <sz val="9"/>
            <color indexed="81"/>
            <rFont val="Tahoma"/>
            <family val="2"/>
          </rPr>
          <t>Xiao Li:</t>
        </r>
        <r>
          <rPr>
            <sz val="9"/>
            <color indexed="81"/>
            <rFont val="Tahoma"/>
            <family val="2"/>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E257E821-6FF2-4138-AF29-C649E6F412F3}">
      <text>
        <r>
          <rPr>
            <b/>
            <sz val="9"/>
            <color indexed="81"/>
            <rFont val="Tahoma"/>
            <charset val="1"/>
          </rPr>
          <t>Xiao Li:</t>
        </r>
        <r>
          <rPr>
            <sz val="9"/>
            <color indexed="81"/>
            <rFont val="Tahoma"/>
            <charset val="1"/>
          </rPr>
          <t xml:space="preserve">
Current standard of 2022, because they did not list 2020</t>
        </r>
      </text>
    </comment>
    <comment ref="J88" authorId="0" shapeId="0" xr:uid="{4297796A-6C0C-4DA4-AEAF-D8A3D7D9255A}">
      <text>
        <r>
          <rPr>
            <b/>
            <sz val="9"/>
            <color indexed="81"/>
            <rFont val="Tahoma"/>
            <family val="2"/>
          </rPr>
          <t>Xiao Li:</t>
        </r>
        <r>
          <rPr>
            <sz val="9"/>
            <color indexed="81"/>
            <rFont val="Tahoma"/>
            <family val="2"/>
          </rPr>
          <t xml:space="preserve">
The data source does not identify the kw, but 1 kW is approximately equal to 3.412 kBtu/h, so it's 88kw</t>
        </r>
      </text>
    </comment>
    <comment ref="G90" authorId="0" shapeId="0" xr:uid="{64099A85-9A70-4A74-ABAD-8BD4D4987FF9}">
      <text>
        <r>
          <rPr>
            <b/>
            <sz val="9"/>
            <color indexed="81"/>
            <rFont val="Tahoma"/>
            <family val="2"/>
          </rPr>
          <t>Xiao Li:</t>
        </r>
        <r>
          <rPr>
            <sz val="9"/>
            <color indexed="81"/>
            <rFont val="Tahoma"/>
            <family val="2"/>
          </rPr>
          <t xml:space="preserve">
Commercial electric boiler</t>
        </r>
      </text>
    </comment>
    <comment ref="G91" authorId="0" shapeId="0" xr:uid="{041F38B1-7BBA-41FC-8974-B750FF4503D5}">
      <text>
        <r>
          <rPr>
            <b/>
            <sz val="9"/>
            <color indexed="81"/>
            <rFont val="Tahoma"/>
            <family val="2"/>
          </rPr>
          <t>Xiao Li:</t>
        </r>
        <r>
          <rPr>
            <sz val="9"/>
            <color indexed="81"/>
            <rFont val="Tahoma"/>
            <family val="2"/>
          </rPr>
          <t xml:space="preserve">
There is no coal-fired water heater, so we set the average of other types as the technique-economic performance</t>
        </r>
      </text>
    </comment>
    <comment ref="G150" authorId="0" shapeId="0" xr:uid="{DDAF17F7-CCCF-41EB-BCD9-8D69EDED219C}">
      <text>
        <r>
          <rPr>
            <b/>
            <sz val="9"/>
            <color indexed="81"/>
            <rFont val="Tahoma"/>
            <family val="2"/>
          </rPr>
          <t>Xiao Li:</t>
        </r>
        <r>
          <rPr>
            <sz val="9"/>
            <color indexed="81"/>
            <rFont val="Tahoma"/>
            <family val="2"/>
          </rPr>
          <t xml:space="preserve">
Commercial electric boilers</t>
        </r>
      </text>
    </comment>
    <comment ref="G206" authorId="0" shapeId="0" xr:uid="{23B247F9-2804-494C-AB79-F17F6E27A0E2}">
      <text>
        <r>
          <rPr>
            <b/>
            <sz val="9"/>
            <color indexed="81"/>
            <rFont val="Tahoma"/>
            <family val="2"/>
          </rPr>
          <t>Xiao Li:</t>
        </r>
        <r>
          <rPr>
            <sz val="9"/>
            <color indexed="81"/>
            <rFont val="Tahoma"/>
            <family val="2"/>
          </rPr>
          <t xml:space="preserve">
The efficiency conversion from commercial rooftop air conditioners which are more commercial in canada, the reason why it is &gt;1 is same to heat pump</t>
        </r>
      </text>
    </comment>
    <comment ref="J226" authorId="0" shapeId="0" xr:uid="{EB081636-6B68-4380-B2EC-87B3D0E46915}">
      <text>
        <r>
          <rPr>
            <b/>
            <sz val="9"/>
            <color indexed="81"/>
            <rFont val="Tahoma"/>
            <family val="2"/>
          </rPr>
          <t>Xiao Li:</t>
        </r>
        <r>
          <rPr>
            <sz val="9"/>
            <color indexed="81"/>
            <rFont val="Tahoma"/>
            <family val="2"/>
          </rPr>
          <t xml:space="preserve">
Commercial ground-space heat pumps</t>
        </r>
      </text>
    </comment>
    <comment ref="J246" authorId="0" shapeId="0" xr:uid="{F9BC8AF4-4904-44FF-93AF-6EB96C808107}">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
Commercial Heat Pump Water Heaters</t>
        </r>
      </text>
    </comment>
    <comment ref="J248" authorId="0" shapeId="0" xr:uid="{68805E04-C98A-4116-8866-6CF91F85744F}">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0" authorId="0" shapeId="0" xr:uid="{E1625863-3923-4CA7-A29D-8233B501828F}">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2" authorId="0" shapeId="0" xr:uid="{F55B3F37-FAD5-4CF2-A14B-2180ECA25D1A}">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4" authorId="0" shapeId="0" xr:uid="{F2CCC99B-F703-40BE-BCE3-4822D20457F7}">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6" authorId="0" shapeId="0" xr:uid="{85DF886D-9F6B-4616-BE86-2EA8460C90D0}">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58" authorId="0" shapeId="0" xr:uid="{A7D6F8E4-17C9-4674-AF81-5152BB929842}">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0" authorId="0" shapeId="0" xr:uid="{47A9C5B7-34D6-4338-8D59-6745537976DE}">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2" authorId="0" shapeId="0" xr:uid="{83635883-CAEB-4BDE-93DB-6AC28EC2FA90}">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4" authorId="0" shapeId="0" xr:uid="{F0AE63EA-9FC6-4506-9490-356C38E34E3C}">
      <text>
        <r>
          <rPr>
            <b/>
            <sz val="9"/>
            <color indexed="81"/>
            <rFont val="Tahoma"/>
            <family val="2"/>
          </rPr>
          <t>Xiao Li:</t>
        </r>
        <r>
          <rPr>
            <sz val="9"/>
            <color indexed="81"/>
            <rFont val="Tahoma"/>
            <family val="2"/>
          </rPr>
          <t xml:space="preserve">
In 2022, ENERGY STAR V.2.0 heat pump has a lower COP (3.0) compared to the typical unit (3.9). Because COP=3.0 aligns more with our set so we follow this data set</t>
        </r>
      </text>
    </comment>
    <comment ref="J266" authorId="0" shapeId="0" xr:uid="{CE247DF8-E527-447B-A114-700BAECDC5E6}">
      <text>
        <r>
          <rPr>
            <b/>
            <sz val="9"/>
            <color indexed="81"/>
            <rFont val="Tahoma"/>
            <family val="2"/>
          </rPr>
          <t>Xiao Li:</t>
        </r>
        <r>
          <rPr>
            <sz val="9"/>
            <color indexed="81"/>
            <rFont val="Tahoma"/>
            <family val="2"/>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3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3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3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3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<sst xmlns="http://schemas.openxmlformats.org/spreadsheetml/2006/main" count="2652" uniqueCount="596">
  <si>
    <t>*The blue content means it links to base-year data</t>
  </si>
  <si>
    <t>*Referring to https://www.cer-rec.gc.ca/en/data-analysis/canada-energy-future/2023/appendix-2/, and https://us-regen-docs.epri.com/v2021a/assumptions/transportation.html#cost-categories</t>
  </si>
  <si>
    <t>Motor cost from other references ?</t>
  </si>
  <si>
    <t>Hydrogen cars ?</t>
  </si>
  <si>
    <t>Lifetime and energy share ? EFF for electric vehicle ?</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</si>
  <si>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</si>
  <si>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</si>
  <si>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</si>
  <si>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</si>
  <si>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</si>
  <si>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</si>
  <si>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</si>
  <si>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</si>
  <si>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</si>
  <si>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</si>
  <si>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</si>
  <si>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</si>
  <si>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</si>
  <si>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</si>
  <si>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</si>
  <si>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</si>
  <si>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</si>
  <si>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</si>
  <si>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</si>
  <si>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</si>
  <si>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</si>
  <si>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</si>
  <si>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</si>
  <si>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</si>
  <si>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</si>
  <si>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</si>
  <si>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</si>
  <si>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</si>
  <si>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</si>
  <si>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</si>
  <si>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</si>
  <si>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</si>
  <si>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</si>
  <si>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</si>
  <si>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</si>
  <si>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</si>
  <si>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</si>
  <si>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</si>
  <si>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</si>
  <si>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</si>
  <si>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</si>
  <si>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</si>
  <si>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</si>
  <si>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</si>
  <si>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</si>
  <si>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</si>
  <si>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</si>
  <si>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</si>
  <si>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</si>
  <si>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</si>
  <si>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</si>
  <si>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</si>
  <si>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</si>
  <si>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Mcad/btkm</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</si>
  <si>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</si>
  <si>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</si>
  <si>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</si>
  <si>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</si>
  <si>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</si>
  <si>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</si>
  <si>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</si>
  <si>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</si>
  <si>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</si>
  <si>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</si>
  <si>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</si>
  <si>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</si>
  <si>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</si>
  <si>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</si>
  <si>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</si>
  <si>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</si>
  <si>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</si>
  <si>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</si>
  <si>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</si>
  <si>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TRA_Bus_SB_BEV01</t>
  </si>
  <si>
    <t>BVkm</t>
  </si>
  <si>
    <t>000Veh</t>
  </si>
  <si>
    <t>TRA_Bus_UT_BEV01</t>
  </si>
  <si>
    <t>TRA_Bus_IC_BEV01</t>
  </si>
  <si>
    <t>TRA_Mot_ELC1</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</si>
  <si>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</si>
  <si>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</si>
  <si>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</si>
  <si>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</si>
  <si>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</si>
  <si>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</si>
  <si>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</si>
  <si>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</si>
  <si>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Comm-IN-A</t>
  </si>
  <si>
    <t>Input</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</si>
  <si>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</si>
  <si>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</si>
  <si>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</si>
  <si>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</si>
  <si>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</si>
  <si>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</si>
  <si>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</si>
  <si>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</si>
  <si>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</si>
  <si>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</si>
  <si>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</si>
  <si>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</si>
  <si>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</si>
  <si>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</si>
  <si>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</si>
  <si>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</si>
  <si>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</si>
  <si>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</si>
  <si>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</si>
  <si>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</si>
  <si>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</si>
  <si>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</si>
  <si>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</si>
  <si>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</si>
  <si>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</si>
  <si>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</si>
  <si>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</si>
  <si>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</si>
  <si>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</si>
  <si>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</si>
  <si>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</si>
  <si>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</si>
  <si>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</si>
  <si>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</si>
  <si>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</si>
  <si>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</si>
  <si>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</si>
  <si>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</si>
  <si>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</si>
  <si>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</si>
  <si>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</si>
  <si>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</si>
  <si>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</si>
  <si>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</si>
  <si>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</si>
  <si>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</si>
  <si>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</si>
  <si>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</si>
  <si>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</si>
  <si>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</si>
  <si>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</si>
  <si>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</si>
  <si>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</si>
  <si>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</si>
  <si>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</si>
  <si>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</si>
  <si>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</si>
  <si>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</si>
  <si>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</si>
  <si>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</si>
  <si>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</si>
  <si>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</si>
  <si>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</si>
  <si>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</si>
  <si>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</si>
  <si>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</si>
  <si>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</si>
  <si>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</si>
  <si>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</si>
  <si>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</si>
  <si>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</si>
  <si>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</si>
  <si>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</si>
  <si>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</si>
  <si>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</si>
  <si>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</si>
  <si>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</si>
  <si>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</si>
  <si>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</si>
  <si>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</si>
  <si>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</si>
  <si>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</si>
  <si>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</si>
  <si>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</si>
  <si>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</si>
  <si>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</si>
  <si>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</si>
  <si>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</si>
  <si>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</si>
  <si>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</si>
  <si>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</si>
  <si>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</si>
  <si>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</si>
  <si>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</si>
  <si>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</si>
  <si>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</si>
  <si>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</si>
  <si>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</si>
  <si>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</si>
  <si>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</si>
  <si>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</si>
  <si>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</si>
  <si>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</si>
  <si>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</si>
  <si>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</si>
  <si>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</si>
  <si>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</si>
  <si>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</si>
  <si>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</si>
  <si>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</si>
  <si>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</si>
  <si>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</si>
  <si>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</si>
  <si>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</si>
  <si>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</si>
  <si>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</si>
  <si>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</si>
  <si>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</si>
  <si>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</si>
  <si>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</si>
  <si>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</si>
  <si>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</si>
  <si>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</si>
  <si>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</si>
  <si>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</si>
  <si>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</si>
  <si>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</si>
  <si>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</si>
  <si>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</si>
  <si>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</si>
  <si>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</si>
  <si>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</si>
  <si>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</si>
  <si>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</si>
  <si>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</si>
  <si>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</si>
  <si>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</si>
  <si>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</si>
  <si>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</si>
  <si>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</si>
  <si>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</si>
  <si>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</si>
  <si>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</si>
  <si>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</si>
  <si>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</si>
  <si>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</si>
  <si>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</si>
  <si>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</si>
  <si>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 These numbers need to align with the base-year parameters</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</si>
  <si>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</si>
  <si>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</si>
  <si>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</si>
  <si>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</si>
  <si>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</si>
  <si>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</si>
  <si>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</si>
  <si>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</si>
  <si>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</si>
  <si>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</si>
  <si>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</si>
  <si>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</si>
  <si>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</si>
  <si>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</si>
  <si>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</si>
  <si>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</si>
  <si>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</si>
  <si>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</si>
  <si>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</si>
  <si>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</si>
  <si>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</si>
  <si>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</si>
  <si>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</si>
  <si>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</si>
  <si>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</si>
  <si>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</si>
  <si>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</si>
  <si>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</si>
  <si>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</si>
  <si>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</si>
  <si>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</si>
  <si>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</si>
  <si>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</si>
  <si>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</si>
  <si>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</si>
  <si>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</si>
  <si>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</si>
  <si>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</si>
  <si>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</si>
  <si>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</si>
  <si>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</si>
  <si>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</si>
  <si>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</si>
  <si>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</si>
  <si>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</si>
  <si>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</si>
  <si>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</si>
  <si>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</si>
  <si>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</si>
  <si>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</si>
  <si>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</si>
  <si>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</si>
  <si>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</si>
  <si>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</si>
  <si>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</si>
  <si>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</si>
  <si>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</si>
  <si>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</si>
  <si>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</si>
  <si>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</si>
  <si>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</si>
  <si>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</si>
  <si>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</si>
  <si>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</si>
  <si>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</si>
  <si>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</si>
  <si>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</si>
  <si>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</si>
  <si>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</si>
  <si>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</si>
  <si>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</si>
  <si>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</si>
  <si>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</si>
  <si>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</si>
  <si>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</si>
  <si>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</si>
  <si>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</si>
  <si>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</si>
  <si>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</si>
  <si>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</si>
  <si>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</si>
  <si>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</si>
  <si>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</si>
  <si>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</si>
  <si>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</si>
  <si>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</si>
  <si>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</si>
  <si>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</si>
  <si>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</si>
  <si>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</si>
  <si>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</si>
  <si>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</si>
  <si>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</si>
  <si>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</si>
  <si>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</si>
  <si>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</si>
  <si>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</si>
  <si>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</si>
  <si>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</si>
  <si>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</si>
  <si>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</si>
  <si>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</si>
  <si>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</si>
  <si>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</si>
  <si>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</si>
  <si>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</si>
  <si>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</si>
  <si>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</si>
  <si>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</si>
  <si>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</si>
  <si>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</si>
  <si>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</si>
  <si>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</si>
  <si>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</si>
  <si>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</si>
  <si>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</si>
  <si>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</si>
  <si>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</si>
  <si>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</si>
  <si>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</si>
  <si>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</si>
  <si>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</si>
  <si>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</si>
  <si>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</si>
  <si>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</si>
  <si>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</si>
  <si>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</si>
  <si>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</si>
  <si>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</si>
  <si>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</si>
  <si>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</si>
  <si>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</si>
  <si>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</si>
  <si>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</si>
  <si>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</si>
  <si>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</si>
  <si>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</si>
  <si>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</si>
  <si>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</si>
  <si>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</si>
  <si>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</si>
  <si>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</si>
  <si>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</si>
  <si>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</si>
  <si>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</si>
  <si>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</si>
  <si>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</si>
  <si>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</si>
  <si>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</si>
  <si>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</si>
  <si>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</si>
  <si>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</si>
  <si>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</si>
  <si>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</si>
  <si>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</si>
  <si>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</si>
  <si>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</si>
  <si>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</si>
  <si>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</si>
  <si>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</si>
  <si>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</si>
  <si>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</si>
  <si>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</si>
  <si>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</si>
  <si>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</si>
  <si>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</si>
  <si>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</si>
  <si>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</si>
  <si>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</si>
  <si>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</si>
  <si>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</si>
  <si>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</si>
  <si>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</si>
  <si>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</si>
  <si>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</si>
  <si>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</si>
  <si>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</si>
  <si>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</si>
  <si>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</si>
  <si>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</si>
  <si>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</si>
  <si>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</si>
  <si>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</si>
  <si>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</si>
  <si>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</si>
  <si>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</si>
  <si>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</si>
  <si>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</si>
  <si>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</si>
  <si>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</si>
  <si>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</si>
  <si>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</si>
  <si>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</si>
  <si>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</si>
  <si>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</si>
  <si>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</si>
  <si>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</si>
  <si>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</si>
  <si>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</si>
  <si>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</si>
  <si>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</si>
  <si>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</si>
  <si>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</si>
  <si>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</si>
  <si>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</si>
  <si>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</si>
  <si>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</si>
  <si>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</si>
  <si>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</si>
  <si>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</si>
  <si>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</si>
  <si>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</si>
  <si>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</si>
  <si>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</si>
  <si>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</si>
  <si>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</si>
  <si>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</si>
  <si>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</si>
  <si>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</si>
  <si>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</si>
  <si>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</si>
  <si>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</si>
  <si>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</si>
  <si>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</si>
  <si>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</si>
  <si>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</si>
  <si>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</si>
  <si>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</si>
  <si>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</si>
  <si>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</si>
  <si>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</si>
  <si>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</si>
  <si>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</si>
  <si>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</si>
  <si>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</si>
  <si>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</si>
  <si>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</si>
  <si>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</si>
  <si>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</si>
  <si>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</si>
  <si>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</si>
  <si>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</si>
  <si>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</si>
  <si>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</si>
  <si>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</si>
  <si>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</si>
  <si>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</si>
  <si>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</si>
  <si>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</si>
  <si>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</si>
  <si>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</si>
  <si>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</si>
  <si>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</si>
  <si>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</si>
  <si>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</si>
  <si>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</si>
  <si>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</si>
  <si>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</si>
  <si>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</si>
  <si>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</si>
  <si>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</si>
  <si>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</si>
  <si>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</si>
  <si>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</si>
  <si>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</si>
  <si>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</si>
  <si>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</si>
  <si>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</si>
  <si>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</si>
  <si>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</si>
  <si>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</si>
  <si>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</si>
  <si>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</si>
  <si>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</si>
  <si>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</si>
  <si>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</si>
  <si>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</si>
  <si>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</si>
  <si>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</si>
  <si>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</si>
  <si>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</si>
  <si>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</si>
  <si>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</si>
  <si>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</si>
  <si>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</si>
  <si>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</si>
  <si>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</si>
  <si>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</si>
  <si>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</si>
  <si>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</si>
  <si>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</si>
  <si>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</si>
  <si>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</si>
  <si>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</si>
  <si>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</si>
  <si>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</si>
  <si>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</si>
  <si>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</si>
  <si>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</si>
  <si>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</si>
  <si>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</si>
  <si>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</si>
  <si>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</si>
  <si>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</si>
  <si>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</si>
  <si>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</si>
  <si>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</si>
  <si>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</si>
  <si>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</si>
  <si>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</si>
  <si>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</si>
  <si>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</si>
  <si>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</si>
  <si>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</si>
  <si>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</si>
  <si>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</si>
  <si>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</si>
  <si>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</si>
  <si>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</si>
  <si>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</si>
  <si>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</si>
  <si>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</si>
  <si>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</si>
  <si>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</si>
  <si>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</si>
  <si>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</si>
  <si>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</si>
  <si>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</si>
  <si>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</si>
  <si>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</si>
  <si>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</si>
  <si>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</si>
  <si>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</si>
  <si>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</si>
  <si>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</si>
  <si>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</si>
  <si>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</si>
  <si>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</si>
  <si>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</si>
  <si>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</si>
  <si>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</si>
  <si>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</si>
  <si>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</si>
  <si>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</si>
  <si>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</si>
  <si>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</si>
  <si>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</si>
  <si>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</si>
  <si>
    <t>*All parameters for light refer to base-year dataset which refers to residential sector, because the commercial lighting has not been characterized in the EIA report or any other canada reports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</si>
  <si>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</si>
  <si>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</si>
  <si>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*AFA follows the set of base year (but average different regions), and the set follows the RSD sets [because the EIA report has not directly identified the AFA of any techs]</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</si>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</sst>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26">
    <font>
      <sz val="11"/>
      <color theme="1"/>
      <name val="Calibri"/>
      <charset val="134"/>
      <scheme val="minor"/>
    </font>
    <font>
      <sz val="11"/>
      <color theme="1"/>
      <name val="Calibri"/>
      <family val="2"/>
      <scheme val="minor"/>
    </font>
    <font>
      <sz val="11"/>
      <color theme="1"/>
      <name val="Calibri"/>
      <family val="2"/>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rgb="FFFF0000"/>
      <name val="Arial"/>
      <charset val="134"/>
    </font>
    <font>
      <sz val="11"/>
      <name val="Calibri"/>
      <charset val="134"/>
      <scheme val="minor"/>
    </font>
    <font>
      <b/>
      <sz val="10"/>
      <color theme="1"/>
      <name val="Arial"/>
      <charset val="134"/>
    </font>
    <font>
      <sz val="10"/>
      <color theme="1"/>
      <name val="Arial"/>
      <charset val="134"/>
    </font>
    <font>
      <b/>
      <sz val="11"/>
      <color theme="1"/>
      <name val="Calibri"/>
      <charset val="134"/>
      <scheme val="minor"/>
    </font>
    <font>
      <sz val="11"/>
      <color theme="8"/>
      <name val="Calibri"/>
      <charset val="134"/>
      <scheme val="minor"/>
    </font>
    <font>
      <b/>
      <sz val="11"/>
      <color theme="4" tint="-0.249977111117893"/>
      <name val="Calibri"/>
      <charset val="134"/>
      <scheme val="minor"/>
    </font>
    <font>
      <sz val="10"/>
      <color rgb="FFFF0000"/>
      <name val="Arial"/>
      <charset val="134"/>
    </font>
    <font>
      <b/>
      <sz val="11"/>
      <color theme="8"/>
      <name val="Calibri"/>
      <charset val="134"/>
      <scheme val="minor"/>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b/>
      <sz val="9"/>
      <name val="Times New Roman"/>
    </font>
    <font>
      <sz val="9"/>
      <name val="Times New Roman"/>
    </font>
    <font>
      <sz val="11"/>
      <color theme="1"/>
      <name val="Calibri"/>
      <charset val="134"/>
      <scheme val="minor"/>
    </font>
    <font>
      <sz val="9"/>
      <color indexed="81"/>
      <name val="Tahoma"/>
      <charset val="1"/>
    </font>
    <font>
      <b/>
      <sz val="9"/>
      <color indexed="81"/>
      <name val="Tahoma"/>
      <charset val="1"/>
    </font>
    <font>
      <sz val="9"/>
      <color indexed="81"/>
      <name val="Tahoma"/>
      <family val="2"/>
    </font>
    <font>
      <b/>
      <sz val="11"/>
      <color theme="1"/>
      <name val="Calibri"/>
      <family val="2"/>
      <scheme val="minor"/>
    </font>
    <font>
      <b/>
      <sz val="11"/>
      <color rgb="FFFF0000"/>
      <name val="Calibri"/>
      <family val="2"/>
      <scheme val="minor"/>
    </font>
    <font>
      <b/>
      <sz val="9"/>
      <color indexed="81"/>
      <name val="Tahoma"/>
      <family val="2"/>
    </font>
    <font>
      <sz val="11"/>
      <color theme="8"/>
      <name val="Calibri"/>
      <family val="2"/>
      <scheme val="minor"/>
    </font>
    <font>
      <b/>
      <sz val="10"/>
      <color theme="1"/>
      <name val="Arial"/>
      <family val="2"/>
    </font>
    <font>
      <b/>
      <sz val="11"/>
      <color theme="8"/>
      <name val="Calibri"/>
      <family val="2"/>
      <scheme val="minor"/>
    </font>
    <font>
      <b/>
      <u/>
      <sz val="11"/>
      <color theme="1"/>
      <name val="Calibri"/>
      <family val="2"/>
      <scheme val="minor"/>
    </font>
    <font>
      <u/>
      <sz val="11"/>
      <color theme="1"/>
      <name val="Calibri"/>
      <family val="2"/>
      <scheme val="minor"/>
    </font>
    <font>
      <b/>
      <sz val="11"/>
      <color rgb="FF0070C0"/>
      <name val="Calibri"/>
      <family val="2"/>
      <scheme val="minor"/>
    </font>
  </fonts>
  <fills count="64">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6795556505021"/>
        <bgColor indexed="64"/>
      </patternFill>
    </fill>
    <fill>
      <patternFill patternType="solid">
        <fgColor theme="8" tint="0.39991454817346722"/>
        <bgColor indexed="64"/>
      </patternFill>
    </fill>
    <fill>
      <patternFill patternType="solid">
        <fgColor theme="8" tint="0.7998596148564104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5961485641044"/>
        <bgColor indexed="64"/>
      </patternFill>
    </fill>
    <fill>
      <patternFill patternType="solid">
        <fgColor indexed="29"/>
        <bgColor indexed="64"/>
      </patternFill>
    </fill>
    <fill>
      <patternFill patternType="solid">
        <fgColor theme="5" tint="0.79985961485641044"/>
        <bgColor indexed="64"/>
      </patternFill>
    </fill>
    <fill>
      <patternFill patternType="solid">
        <fgColor indexed="26"/>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9" tint="0.799859614856410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5351115451523"/>
        <bgColor indexed="64"/>
      </patternFill>
    </fill>
    <fill>
      <patternFill patternType="solid">
        <fgColor indexed="53"/>
        <bgColor indexed="64"/>
      </patternFill>
    </fill>
    <fill>
      <patternFill patternType="solid">
        <fgColor theme="5" tint="0.39985351115451523"/>
        <bgColor indexed="64"/>
      </patternFill>
    </fill>
    <fill>
      <patternFill patternType="solid">
        <fgColor theme="6" tint="0.39985351115451523"/>
        <bgColor indexed="64"/>
      </patternFill>
    </fill>
    <fill>
      <patternFill patternType="solid">
        <fgColor theme="7" tint="0.39985351115451523"/>
        <bgColor indexed="64"/>
      </patternFill>
    </fill>
    <fill>
      <patternFill patternType="solid">
        <fgColor theme="8" tint="0.39985351115451523"/>
        <bgColor indexed="64"/>
      </patternFill>
    </fill>
    <fill>
      <patternFill patternType="solid">
        <fgColor theme="9" tint="0.3998535111545152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5">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s>
  <cellStyleXfs count="8404">
    <xf numFmtId="0" fontId="0" fillId="0" borderId="0"/>
    <xf numFmtId="0" fontId="8" fillId="5" borderId="0" applyNumberFormat="0" applyBorder="0" applyAlignment="0" applyProtection="0"/>
    <xf numFmtId="0" fontId="113" fillId="9" borderId="0" applyNumberFormat="0" applyBorder="0" applyAlignment="0" applyProtection="0"/>
    <xf numFmtId="0" fontId="27" fillId="0" borderId="0" applyNumberFormat="0" applyFill="0" applyBorder="0" applyAlignment="0" applyProtection="0">
      <alignment vertical="center"/>
    </xf>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113" fillId="27"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113" fillId="27"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113" fillId="29"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113" fillId="29"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113" fillId="31"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113" fillId="31"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113" fillId="32"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113" fillId="32"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113" fillId="9" borderId="0" applyNumberFormat="0" applyBorder="0" applyAlignment="0" applyProtection="0"/>
    <xf numFmtId="0" fontId="29" fillId="24" borderId="0" applyNumberFormat="0" applyBorder="0" applyAlignment="0" applyProtection="0"/>
    <xf numFmtId="0" fontId="113" fillId="9"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113" fillId="9"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113" fillId="33" borderId="0" applyNumberFormat="0" applyBorder="0" applyAlignment="0" applyProtection="0"/>
    <xf numFmtId="0" fontId="113" fillId="33" borderId="0" applyNumberFormat="0" applyBorder="0" applyAlignment="0" applyProtection="0"/>
    <xf numFmtId="0" fontId="113" fillId="33"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113" fillId="33"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49" fontId="30" fillId="0" borderId="6" applyNumberFormat="0" applyFont="0" applyFill="0" applyBorder="0" applyProtection="0">
      <alignment horizontal="left" vertical="center" indent="2"/>
    </xf>
    <xf numFmtId="0" fontId="28" fillId="26" borderId="0" applyNumberFormat="0" applyBorder="0" applyAlignment="0" applyProtection="0"/>
    <xf numFmtId="0" fontId="28" fillId="28" borderId="0" applyNumberFormat="0" applyBorder="0" applyAlignment="0" applyProtection="0"/>
    <xf numFmtId="0" fontId="28" fillId="34"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35"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113" fillId="1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113" fillId="1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113" fillId="15" borderId="0" applyNumberFormat="0" applyBorder="0" applyAlignment="0" applyProtection="0"/>
    <xf numFmtId="0" fontId="29" fillId="28" borderId="0" applyNumberFormat="0" applyBorder="0" applyAlignment="0" applyProtection="0"/>
    <xf numFmtId="0" fontId="113" fillId="15"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113" fillId="15" borderId="0" applyNumberFormat="0" applyBorder="0" applyAlignment="0" applyProtection="0"/>
    <xf numFmtId="0" fontId="29" fillId="28" borderId="0" applyNumberFormat="0" applyBorder="0" applyAlignment="0" applyProtection="0"/>
    <xf numFmtId="0" fontId="113" fillId="15"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113" fillId="16"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113" fillId="16"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113" fillId="17"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113" fillId="17"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113" fillId="18"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113" fillId="18"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113" fillId="19"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113" fillId="19"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26" borderId="0" applyNumberFormat="0" applyBorder="0" applyAlignment="0" applyProtection="0"/>
    <xf numFmtId="0" fontId="29" fillId="28" borderId="0" applyNumberFormat="0" applyBorder="0" applyAlignment="0" applyProtection="0"/>
    <xf numFmtId="0" fontId="29" fillId="34"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35" borderId="0" applyNumberFormat="0" applyBorder="0" applyAlignment="0" applyProtection="0"/>
    <xf numFmtId="0" fontId="10" fillId="0" borderId="0" applyNumberFormat="0" applyFont="0" applyFill="0" applyBorder="0" applyProtection="0">
      <alignment horizontal="left" vertical="center" indent="5"/>
    </xf>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4" borderId="0" applyNumberFormat="0" applyBorder="0" applyAlignment="0" applyProtection="0"/>
    <xf numFmtId="0" fontId="32" fillId="36" borderId="0" applyNumberFormat="0" applyBorder="0" applyAlignment="0" applyProtection="0"/>
    <xf numFmtId="0" fontId="8" fillId="40" borderId="0" applyNumberFormat="0" applyBorder="0" applyAlignment="0" applyProtection="0"/>
    <xf numFmtId="0" fontId="32" fillId="24" borderId="0" applyNumberFormat="0" applyBorder="0" applyAlignment="0" applyProtection="0"/>
    <xf numFmtId="0" fontId="8"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4" borderId="0" applyNumberFormat="0" applyBorder="0" applyAlignment="0" applyProtection="0"/>
    <xf numFmtId="0" fontId="32" fillId="36" borderId="0" applyNumberFormat="0" applyBorder="0" applyAlignment="0" applyProtection="0"/>
    <xf numFmtId="0" fontId="32" fillId="24"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8" fillId="40"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41" borderId="0" applyNumberFormat="0" applyBorder="0" applyAlignment="0" applyProtection="0"/>
    <xf numFmtId="0" fontId="32" fillId="28" borderId="0" applyNumberFormat="0" applyBorder="0" applyAlignment="0" applyProtection="0"/>
    <xf numFmtId="0" fontId="8" fillId="42" borderId="0" applyNumberFormat="0" applyBorder="0" applyAlignment="0" applyProtection="0"/>
    <xf numFmtId="0" fontId="32" fillId="41" borderId="0" applyNumberFormat="0" applyBorder="0" applyAlignment="0" applyProtection="0"/>
    <xf numFmtId="0" fontId="8" fillId="42"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41" borderId="0" applyNumberFormat="0" applyBorder="0" applyAlignment="0" applyProtection="0"/>
    <xf numFmtId="0" fontId="32" fillId="28" borderId="0" applyNumberFormat="0" applyBorder="0" applyAlignment="0" applyProtection="0"/>
    <xf numFmtId="0" fontId="32" fillId="41"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8" fillId="42"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4" borderId="0" applyNumberFormat="0" applyBorder="0" applyAlignment="0" applyProtection="0"/>
    <xf numFmtId="0" fontId="8" fillId="43" borderId="0" applyNumberFormat="0" applyBorder="0" applyAlignment="0" applyProtection="0"/>
    <xf numFmtId="0" fontId="32" fillId="35" borderId="0" applyNumberFormat="0" applyBorder="0" applyAlignment="0" applyProtection="0"/>
    <xf numFmtId="0" fontId="8" fillId="43"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8" fillId="43"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21" borderId="0" applyNumberFormat="0" applyBorder="0" applyAlignment="0" applyProtection="0"/>
    <xf numFmtId="0" fontId="32" fillId="37" borderId="0" applyNumberFormat="0" applyBorder="0" applyAlignment="0" applyProtection="0"/>
    <xf numFmtId="0" fontId="8" fillId="44" borderId="0" applyNumberFormat="0" applyBorder="0" applyAlignment="0" applyProtection="0"/>
    <xf numFmtId="0" fontId="32" fillId="21" borderId="0" applyNumberFormat="0" applyBorder="0" applyAlignment="0" applyProtection="0"/>
    <xf numFmtId="0" fontId="8" fillId="44"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21" borderId="0" applyNumberFormat="0" applyBorder="0" applyAlignment="0" applyProtection="0"/>
    <xf numFmtId="0" fontId="32" fillId="37" borderId="0" applyNumberFormat="0" applyBorder="0" applyAlignment="0" applyProtection="0"/>
    <xf numFmtId="0" fontId="32" fillId="21"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8" fillId="44"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24" borderId="0" applyNumberFormat="0" applyBorder="0" applyAlignment="0" applyProtection="0"/>
    <xf numFmtId="0" fontId="32" fillId="38" borderId="0" applyNumberFormat="0" applyBorder="0" applyAlignment="0" applyProtection="0"/>
    <xf numFmtId="0" fontId="8" fillId="45" borderId="0" applyNumberFormat="0" applyBorder="0" applyAlignment="0" applyProtection="0"/>
    <xf numFmtId="0" fontId="32" fillId="24" borderId="0" applyNumberFormat="0" applyBorder="0" applyAlignment="0" applyProtection="0"/>
    <xf numFmtId="0" fontId="8" fillId="45"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24" borderId="0" applyNumberFormat="0" applyBorder="0" applyAlignment="0" applyProtection="0"/>
    <xf numFmtId="0" fontId="32" fillId="38" borderId="0" applyNumberFormat="0" applyBorder="0" applyAlignment="0" applyProtection="0"/>
    <xf numFmtId="0" fontId="32" fillId="24"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8" fillId="4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28" borderId="0" applyNumberFormat="0" applyBorder="0" applyAlignment="0" applyProtection="0"/>
    <xf numFmtId="0" fontId="32" fillId="39" borderId="0" applyNumberFormat="0" applyBorder="0" applyAlignment="0" applyProtection="0"/>
    <xf numFmtId="0" fontId="8" fillId="46" borderId="0" applyNumberFormat="0" applyBorder="0" applyAlignment="0" applyProtection="0"/>
    <xf numFmtId="0" fontId="32" fillId="28" borderId="0" applyNumberFormat="0" applyBorder="0" applyAlignment="0" applyProtection="0"/>
    <xf numFmtId="0" fontId="8" fillId="46"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28" borderId="0" applyNumberFormat="0" applyBorder="0" applyAlignment="0" applyProtection="0"/>
    <xf numFmtId="0" fontId="32" fillId="39" borderId="0" applyNumberFormat="0" applyBorder="0" applyAlignment="0" applyProtection="0"/>
    <xf numFmtId="0" fontId="32" fillId="28"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8" fillId="46"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6" borderId="0" applyNumberFormat="0" applyBorder="0" applyAlignment="0" applyProtection="0"/>
    <xf numFmtId="0" fontId="32" fillId="28" borderId="0" applyNumberFormat="0" applyBorder="0" applyAlignment="0" applyProtection="0"/>
    <xf numFmtId="0" fontId="32" fillId="34"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32" fillId="3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35" borderId="0" applyNumberFormat="0" applyBorder="0" applyAlignment="0" applyProtection="0"/>
    <xf numFmtId="0" fontId="32" fillId="50" borderId="0" applyNumberFormat="0" applyBorder="0" applyAlignment="0" applyProtection="0"/>
    <xf numFmtId="0" fontId="32" fillId="35"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51" borderId="0" applyNumberFormat="0" applyBorder="0" applyAlignment="0" applyProtection="0"/>
    <xf numFmtId="0" fontId="32" fillId="37" borderId="0" applyNumberFormat="0" applyBorder="0" applyAlignment="0" applyProtection="0"/>
    <xf numFmtId="0" fontId="32" fillId="51"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9"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24" borderId="0" applyBorder="0" applyAlignment="0"/>
    <xf numFmtId="0" fontId="30" fillId="24" borderId="0" applyBorder="0">
      <alignment horizontal="right" vertical="center"/>
    </xf>
    <xf numFmtId="0" fontId="30" fillId="22" borderId="0" applyBorder="0">
      <alignment horizontal="right" vertical="center"/>
    </xf>
    <xf numFmtId="0" fontId="30" fillId="22" borderId="0" applyBorder="0">
      <alignment horizontal="right" vertical="center"/>
    </xf>
    <xf numFmtId="0" fontId="34" fillId="22" borderId="6">
      <alignment horizontal="right" vertical="center"/>
    </xf>
    <xf numFmtId="0" fontId="35" fillId="22" borderId="6">
      <alignment horizontal="right" vertical="center"/>
    </xf>
    <xf numFmtId="0" fontId="34" fillId="25" borderId="6">
      <alignment horizontal="right" vertical="center"/>
    </xf>
    <xf numFmtId="0" fontId="34" fillId="25" borderId="6">
      <alignment horizontal="right" vertical="center"/>
    </xf>
    <xf numFmtId="0" fontId="34" fillId="25" borderId="10">
      <alignment horizontal="right" vertical="center"/>
    </xf>
    <xf numFmtId="0" fontId="34" fillId="25" borderId="11">
      <alignment horizontal="right" vertical="center"/>
    </xf>
    <xf numFmtId="0" fontId="34" fillId="25" borderId="12">
      <alignment horizontal="right" vertical="center"/>
    </xf>
    <xf numFmtId="0" fontId="32" fillId="47"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6" fillId="52" borderId="13" applyNumberFormat="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3"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3" borderId="0" applyNumberFormat="0" applyBorder="0" applyAlignment="0" applyProtection="0"/>
    <xf numFmtId="0" fontId="37" fillId="21" borderId="0" applyNumberFormat="0" applyBorder="0" applyAlignment="0" applyProtection="0"/>
    <xf numFmtId="0" fontId="37" fillId="23"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8" fillId="12"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9" fillId="52" borderId="14" applyNumberFormat="0" applyAlignment="0" applyProtection="0"/>
    <xf numFmtId="0" fontId="40" fillId="25" borderId="14" applyNumberFormat="0" applyAlignment="0" applyProtection="0"/>
    <xf numFmtId="4" fontId="33" fillId="0" borderId="7" applyFill="0" applyBorder="0" applyProtection="0">
      <alignment horizontal="right" vertical="center"/>
    </xf>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41" fillId="53"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41" fillId="53" borderId="14" applyNumberFormat="0" applyAlignment="0" applyProtection="0"/>
    <xf numFmtId="0" fontId="39" fillId="52" borderId="14" applyNumberFormat="0" applyAlignment="0" applyProtection="0"/>
    <xf numFmtId="0" fontId="41" fillId="53"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39" fillId="52" borderId="14"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2" fillId="54" borderId="15" applyNumberFormat="0" applyAlignment="0" applyProtection="0"/>
    <xf numFmtId="0" fontId="43" fillId="0" borderId="0" applyNumberFormat="0" applyFill="0" applyBorder="0" applyAlignment="0" applyProtection="0"/>
    <xf numFmtId="0" fontId="44" fillId="0" borderId="16" applyNumberFormat="0" applyFill="0" applyAlignment="0" applyProtection="0"/>
    <xf numFmtId="0" fontId="45" fillId="0" borderId="17" applyNumberFormat="0" applyFill="0" applyAlignment="0" applyProtection="0"/>
    <xf numFmtId="0" fontId="46" fillId="0" borderId="18" applyNumberFormat="0" applyFill="0" applyAlignment="0" applyProtection="0"/>
    <xf numFmtId="0" fontId="46" fillId="0" borderId="0" applyNumberFormat="0" applyFill="0" applyBorder="0" applyAlignment="0" applyProtection="0"/>
    <xf numFmtId="49" fontId="10" fillId="24" borderId="19">
      <alignment vertical="top" wrapText="1"/>
    </xf>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13" fillId="0" borderId="0" applyFont="0" applyFill="0" applyBorder="0" applyAlignment="0" applyProtection="0"/>
    <xf numFmtId="43" fontId="1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4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4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34" fillId="0" borderId="0" applyNumberFormat="0">
      <alignment horizontal="right"/>
    </xf>
    <xf numFmtId="167" fontId="29"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0" fillId="25" borderId="20">
      <alignment horizontal="left" vertical="center" wrapText="1" indent="2"/>
    </xf>
    <xf numFmtId="0" fontId="30" fillId="0" borderId="20">
      <alignment horizontal="left" vertical="center" wrapText="1" indent="2"/>
    </xf>
    <xf numFmtId="0" fontId="30" fillId="22" borderId="11">
      <alignment horizontal="left" vertical="center"/>
    </xf>
    <xf numFmtId="0" fontId="34" fillId="0" borderId="21">
      <alignment horizontal="left" vertical="top" wrapText="1"/>
    </xf>
    <xf numFmtId="3" fontId="49" fillId="0" borderId="19">
      <alignment horizontal="right" vertical="top"/>
    </xf>
    <xf numFmtId="0" fontId="50" fillId="25" borderId="14" applyNumberFormat="0" applyAlignment="0" applyProtection="0"/>
    <xf numFmtId="0" fontId="51" fillId="54" borderId="15" applyNumberFormat="0" applyAlignment="0" applyProtection="0"/>
    <xf numFmtId="0" fontId="52" fillId="0" borderId="22"/>
    <xf numFmtId="0" fontId="6" fillId="38" borderId="6">
      <alignment horizontal="centerContinuous" vertical="top" wrapText="1"/>
    </xf>
    <xf numFmtId="0" fontId="53" fillId="0" borderId="0">
      <alignment vertical="top" wrapText="1"/>
    </xf>
    <xf numFmtId="0" fontId="54" fillId="0" borderId="23" applyNumberFormat="0" applyFill="0" applyAlignment="0" applyProtection="0"/>
    <xf numFmtId="0" fontId="55" fillId="0" borderId="0" applyNumberFormat="0" applyFill="0" applyBorder="0" applyAlignment="0" applyProtection="0"/>
    <xf numFmtId="0" fontId="56" fillId="0" borderId="0">
      <alignment vertical="top"/>
    </xf>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2" fontId="47"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0" fontId="10" fillId="0" borderId="0" applyFont="0" applyFill="0" applyBorder="0" applyAlignment="0" applyProtection="0"/>
    <xf numFmtId="173" fontId="10" fillId="0" borderId="0" applyFont="0" applyFill="0" applyBorder="0" applyAlignment="0" applyProtection="0"/>
    <xf numFmtId="170" fontId="10" fillId="0" borderId="0" applyFont="0" applyFill="0" applyBorder="0" applyAlignment="0" applyProtection="0"/>
    <xf numFmtId="168"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3"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1" fontId="10" fillId="0" borderId="0" applyFont="0" applyFill="0" applyBorder="0" applyAlignment="0" applyProtection="0"/>
    <xf numFmtId="168" fontId="10" fillId="0" borderId="0" applyFont="0" applyFill="0" applyBorder="0" applyAlignment="0" applyProtection="0"/>
    <xf numFmtId="172" fontId="47"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74" fontId="10" fillId="0" borderId="0" applyFont="0" applyFill="0" applyBorder="0" applyAlignment="0" applyProtection="0"/>
    <xf numFmtId="169" fontId="10" fillId="0" borderId="0" applyFont="0" applyFill="0" applyBorder="0" applyAlignment="0" applyProtection="0"/>
    <xf numFmtId="172" fontId="47"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4" fontId="1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43" fontId="10" fillId="0" borderId="0" applyFont="0" applyFill="0" applyBorder="0" applyAlignment="0" applyProtection="0"/>
    <xf numFmtId="0" fontId="57"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47" fillId="0" borderId="0" applyFont="0" applyFill="0" applyBorder="0" applyAlignment="0" applyProtection="0"/>
    <xf numFmtId="11" fontId="47" fillId="0" borderId="0" applyFont="0" applyFill="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2"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9" fillId="11"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4" borderId="0" applyNumberFormat="0" applyBorder="0" applyAlignment="0" applyProtection="0"/>
    <xf numFmtId="0" fontId="58" fillId="22" borderId="0" applyNumberFormat="0" applyBorder="0" applyAlignment="0" applyProtection="0"/>
    <xf numFmtId="0" fontId="58" fillId="24"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60" fillId="11" borderId="0" applyNumberFormat="0" applyBorder="0" applyAlignment="0" applyProtection="0"/>
    <xf numFmtId="0" fontId="60" fillId="11"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2" fillId="0" borderId="24"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2" fillId="0" borderId="24" applyNumberFormat="0" applyFill="0" applyAlignment="0" applyProtection="0"/>
    <xf numFmtId="0" fontId="61" fillId="0" borderId="16" applyNumberFormat="0" applyFill="0" applyAlignment="0" applyProtection="0"/>
    <xf numFmtId="0" fontId="62" fillId="0" borderId="24"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1" fillId="0" borderId="16"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4" fillId="0" borderId="25"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4" fillId="0" borderId="25" applyNumberFormat="0" applyFill="0" applyAlignment="0" applyProtection="0"/>
    <xf numFmtId="0" fontId="63" fillId="0" borderId="17" applyNumberFormat="0" applyFill="0" applyAlignment="0" applyProtection="0"/>
    <xf numFmtId="0" fontId="64" fillId="0" borderId="25"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3" fillId="0" borderId="17"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6" fillId="0" borderId="26"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6" fillId="0" borderId="26" applyNumberFormat="0" applyFill="0" applyAlignment="0" applyProtection="0"/>
    <xf numFmtId="0" fontId="65" fillId="0" borderId="18" applyNumberFormat="0" applyFill="0" applyAlignment="0" applyProtection="0"/>
    <xf numFmtId="0" fontId="66" fillId="0" borderId="26"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18"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7" fillId="0" borderId="0" applyNumberFormat="0" applyFill="0" applyBorder="0" applyAlignment="0" applyProtection="0"/>
    <xf numFmtId="0" fontId="68" fillId="0" borderId="27" applyNumberFormat="0" applyFill="0" applyAlignment="0" applyProtection="0"/>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4" borderId="14" applyNumberFormat="0" applyAlignment="0" applyProtection="0"/>
    <xf numFmtId="0" fontId="50" fillId="4" borderId="14" applyNumberFormat="0" applyAlignment="0" applyProtection="0"/>
    <xf numFmtId="0" fontId="50" fillId="4" borderId="14" applyNumberFormat="0" applyAlignment="0" applyProtection="0"/>
    <xf numFmtId="0" fontId="50" fillId="25" borderId="14" applyNumberFormat="0" applyAlignment="0" applyProtection="0"/>
    <xf numFmtId="0" fontId="50" fillId="4" borderId="14" applyNumberFormat="0" applyAlignment="0" applyProtection="0"/>
    <xf numFmtId="0" fontId="50" fillId="4" borderId="14" applyNumberFormat="0" applyAlignment="0" applyProtection="0"/>
    <xf numFmtId="0" fontId="70" fillId="10" borderId="9" applyNumberFormat="0" applyAlignment="0" applyProtection="0"/>
    <xf numFmtId="0" fontId="50" fillId="4" borderId="14" applyNumberFormat="0" applyAlignment="0" applyProtection="0"/>
    <xf numFmtId="0" fontId="50" fillId="4" borderId="14" applyNumberFormat="0" applyAlignment="0" applyProtection="0"/>
    <xf numFmtId="0" fontId="50" fillId="4" borderId="14" applyNumberFormat="0" applyAlignment="0" applyProtection="0"/>
    <xf numFmtId="0" fontId="50" fillId="4" borderId="14" applyNumberFormat="0" applyAlignment="0" applyProtection="0"/>
    <xf numFmtId="0" fontId="50" fillId="4" borderId="14" applyNumberFormat="0" applyAlignment="0" applyProtection="0"/>
    <xf numFmtId="0" fontId="50" fillId="4"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71" fillId="10" borderId="9"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71" fillId="10" borderId="9" applyNumberFormat="0" applyAlignment="0" applyProtection="0"/>
    <xf numFmtId="0" fontId="50" fillId="4" borderId="14" applyNumberFormat="0" applyAlignment="0" applyProtection="0"/>
    <xf numFmtId="0" fontId="50" fillId="25" borderId="14" applyNumberFormat="0" applyAlignment="0" applyProtection="0"/>
    <xf numFmtId="0" fontId="50" fillId="4"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0" fontId="50" fillId="25" borderId="14" applyNumberFormat="0" applyAlignment="0" applyProtection="0"/>
    <xf numFmtId="4" fontId="30" fillId="0" borderId="0" applyBorder="0">
      <alignment horizontal="right" vertical="center"/>
    </xf>
    <xf numFmtId="0" fontId="30" fillId="0" borderId="6">
      <alignment horizontal="right" vertical="center"/>
    </xf>
    <xf numFmtId="1" fontId="72" fillId="22" borderId="0" applyBorder="0">
      <alignment horizontal="right" vertical="center"/>
    </xf>
    <xf numFmtId="0" fontId="28" fillId="30" borderId="28" applyNumberFormat="0" applyFont="0" applyAlignment="0" applyProtection="0"/>
    <xf numFmtId="0" fontId="31" fillId="47"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73" fillId="22" borderId="0" applyNumberFormat="0" applyBorder="0" applyAlignment="0" applyProtection="0"/>
    <xf numFmtId="0" fontId="74" fillId="52" borderId="13" applyNumberFormat="0" applyAlignment="0" applyProtection="0"/>
    <xf numFmtId="0" fontId="67" fillId="0" borderId="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6" fillId="0" borderId="29" applyNumberFormat="0" applyFill="0" applyAlignment="0" applyProtection="0"/>
    <xf numFmtId="0" fontId="75" fillId="0" borderId="27" applyNumberFormat="0" applyFill="0" applyAlignment="0" applyProtection="0"/>
    <xf numFmtId="0" fontId="76" fillId="0" borderId="29"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5" fillId="0" borderId="27" applyNumberFormat="0" applyFill="0" applyAlignment="0" applyProtection="0"/>
    <xf numFmtId="0" fontId="77" fillId="0" borderId="0" applyNumberFormat="0" applyFill="0" applyBorder="0" applyAlignment="0" applyProtection="0"/>
    <xf numFmtId="164" fontId="10" fillId="0" borderId="0" applyFont="0" applyFill="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9" fillId="4" borderId="0" applyNumberFormat="0" applyBorder="0" applyAlignment="0" applyProtection="0"/>
    <xf numFmtId="0" fontId="78" fillId="4" borderId="0" applyNumberFormat="0" applyBorder="0" applyAlignment="0" applyProtection="0"/>
    <xf numFmtId="0" fontId="80" fillId="13" borderId="0" applyNumberFormat="0" applyBorder="0" applyAlignment="0" applyProtection="0"/>
    <xf numFmtId="0" fontId="79" fillId="4" borderId="0" applyNumberFormat="0" applyBorder="0" applyAlignment="0" applyProtection="0"/>
    <xf numFmtId="0" fontId="80" fillId="13"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9"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81"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9" fillId="4" borderId="0" applyNumberFormat="0" applyBorder="0" applyAlignment="0" applyProtection="0"/>
    <xf numFmtId="0" fontId="81" fillId="4" borderId="0" applyNumberFormat="0" applyBorder="0" applyAlignment="0" applyProtection="0"/>
    <xf numFmtId="0" fontId="79"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80" fillId="13"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80" fillId="13"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10" fillId="0" borderId="0"/>
    <xf numFmtId="0" fontId="113" fillId="0" borderId="0"/>
    <xf numFmtId="0" fontId="113" fillId="0" borderId="0"/>
    <xf numFmtId="0" fontId="29"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5" fontId="82" fillId="0" borderId="0">
      <alignment vertical="center"/>
    </xf>
    <xf numFmtId="5" fontId="82" fillId="0" borderId="0">
      <alignment vertical="center"/>
    </xf>
    <xf numFmtId="5" fontId="82" fillId="0" borderId="0">
      <alignment vertical="center"/>
    </xf>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0" fontId="113" fillId="0" borderId="0"/>
    <xf numFmtId="0" fontId="29" fillId="0" borderId="0"/>
    <xf numFmtId="5" fontId="82" fillId="0" borderId="0">
      <alignment vertical="center"/>
    </xf>
    <xf numFmtId="5" fontId="82" fillId="0" borderId="0">
      <alignment vertical="center"/>
    </xf>
    <xf numFmtId="5" fontId="82" fillId="0" borderId="0">
      <alignment vertical="center"/>
    </xf>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5" fontId="82" fillId="0" borderId="0">
      <alignment vertical="center"/>
    </xf>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165" fontId="82" fillId="0" borderId="0">
      <alignment vertical="center"/>
    </xf>
    <xf numFmtId="165" fontId="82" fillId="0" borderId="0">
      <alignment vertical="center"/>
    </xf>
    <xf numFmtId="0" fontId="10" fillId="0" borderId="0"/>
    <xf numFmtId="0" fontId="113" fillId="0" borderId="0"/>
    <xf numFmtId="165" fontId="82" fillId="0" borderId="0">
      <alignment vertical="center"/>
    </xf>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29"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13" fillId="0" borderId="0">
      <alignment vertical="center"/>
    </xf>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165" fontId="82" fillId="0" borderId="0">
      <alignment vertical="center"/>
    </xf>
    <xf numFmtId="165" fontId="82" fillId="0" borderId="0">
      <alignment vertical="center"/>
    </xf>
    <xf numFmtId="0" fontId="113" fillId="0" borderId="0">
      <alignment vertical="center"/>
    </xf>
    <xf numFmtId="165" fontId="82" fillId="0" borderId="0">
      <alignment vertical="center"/>
    </xf>
    <xf numFmtId="0" fontId="113"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29" fillId="0" borderId="0"/>
    <xf numFmtId="0" fontId="29" fillId="0" borderId="0"/>
    <xf numFmtId="0" fontId="113" fillId="0" borderId="0"/>
    <xf numFmtId="0" fontId="113" fillId="0" borderId="0"/>
    <xf numFmtId="0" fontId="113" fillId="0" borderId="0"/>
    <xf numFmtId="0" fontId="10" fillId="0" borderId="0"/>
    <xf numFmtId="0" fontId="113" fillId="0" borderId="0"/>
    <xf numFmtId="0" fontId="10" fillId="0" borderId="0"/>
    <xf numFmtId="0" fontId="10" fillId="0" borderId="0"/>
    <xf numFmtId="0" fontId="83"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0" fillId="0" borderId="0"/>
    <xf numFmtId="0" fontId="113" fillId="0" borderId="0"/>
    <xf numFmtId="0" fontId="84" fillId="0" borderId="0"/>
    <xf numFmtId="0" fontId="10" fillId="0" borderId="0"/>
    <xf numFmtId="0" fontId="29"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29" fillId="0" borderId="0"/>
    <xf numFmtId="0" fontId="113" fillId="0" borderId="0"/>
    <xf numFmtId="0" fontId="113" fillId="0" borderId="0"/>
    <xf numFmtId="0" fontId="113" fillId="0" borderId="0"/>
    <xf numFmtId="0" fontId="10" fillId="0" borderId="0"/>
    <xf numFmtId="0" fontId="29" fillId="0" borderId="0"/>
    <xf numFmtId="0" fontId="10" fillId="0" borderId="0"/>
    <xf numFmtId="0" fontId="29" fillId="0" borderId="0"/>
    <xf numFmtId="0" fontId="84" fillId="0" borderId="0"/>
    <xf numFmtId="0" fontId="84"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29" fillId="0" borderId="0"/>
    <xf numFmtId="0" fontId="113" fillId="0" borderId="0"/>
    <xf numFmtId="0" fontId="113" fillId="0" borderId="0"/>
    <xf numFmtId="0" fontId="113" fillId="0" borderId="0"/>
    <xf numFmtId="0" fontId="29" fillId="0" borderId="0"/>
    <xf numFmtId="0" fontId="29" fillId="0" borderId="0"/>
    <xf numFmtId="0" fontId="29" fillId="0" borderId="0"/>
    <xf numFmtId="0" fontId="113" fillId="0" borderId="0"/>
    <xf numFmtId="0" fontId="113" fillId="0" borderId="0"/>
    <xf numFmtId="0" fontId="113" fillId="0" borderId="0"/>
    <xf numFmtId="0" fontId="10" fillId="0" borderId="0">
      <alignment vertical="top"/>
    </xf>
    <xf numFmtId="0" fontId="10" fillId="0" borderId="0">
      <alignment vertical="top"/>
    </xf>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29"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13" fillId="0" borderId="0"/>
    <xf numFmtId="0" fontId="113" fillId="0" borderId="0"/>
    <xf numFmtId="0" fontId="113" fillId="0" borderId="0"/>
    <xf numFmtId="0" fontId="113" fillId="0" borderId="0"/>
    <xf numFmtId="0" fontId="29"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alignment vertical="top"/>
    </xf>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48" fillId="0" borderId="0"/>
    <xf numFmtId="0" fontId="29" fillId="0" borderId="0"/>
    <xf numFmtId="0" fontId="10"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48"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0" fillId="0" borderId="0"/>
    <xf numFmtId="175" fontId="82" fillId="0" borderId="0">
      <alignment vertical="center"/>
    </xf>
    <xf numFmtId="0" fontId="85" fillId="0" borderId="0"/>
    <xf numFmtId="175" fontId="82" fillId="0" borderId="0">
      <alignment vertical="center"/>
    </xf>
    <xf numFmtId="0" fontId="10" fillId="0" borderId="0"/>
    <xf numFmtId="0" fontId="10" fillId="0" borderId="0"/>
    <xf numFmtId="0" fontId="85" fillId="0" borderId="0"/>
    <xf numFmtId="0" fontId="10" fillId="0" borderId="0"/>
    <xf numFmtId="0" fontId="29" fillId="0" borderId="0"/>
    <xf numFmtId="0" fontId="10" fillId="0" borderId="0"/>
    <xf numFmtId="0" fontId="84" fillId="0" borderId="0"/>
    <xf numFmtId="0" fontId="29"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13" fillId="0" borderId="0"/>
    <xf numFmtId="0" fontId="8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84" fillId="0" borderId="0"/>
    <xf numFmtId="0" fontId="10" fillId="0" borderId="0"/>
    <xf numFmtId="0" fontId="10" fillId="0" borderId="0"/>
    <xf numFmtId="0" fontId="84"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13" fillId="0" borderId="0"/>
    <xf numFmtId="0" fontId="113" fillId="0" borderId="0"/>
    <xf numFmtId="0" fontId="29" fillId="0" borderId="0"/>
    <xf numFmtId="0" fontId="113" fillId="0" borderId="0"/>
    <xf numFmtId="0" fontId="10" fillId="0" borderId="0"/>
    <xf numFmtId="0" fontId="29" fillId="0" borderId="0"/>
    <xf numFmtId="0" fontId="10" fillId="0" borderId="0"/>
    <xf numFmtId="0" fontId="113" fillId="0" borderId="0"/>
    <xf numFmtId="0" fontId="113" fillId="0" borderId="0"/>
    <xf numFmtId="0" fontId="86" fillId="0" borderId="0" applyNumberFormat="0" applyFill="0" applyBorder="0" applyAlignment="0" applyProtection="0"/>
    <xf numFmtId="0" fontId="10" fillId="0" borderId="0"/>
    <xf numFmtId="0" fontId="113" fillId="0" borderId="0"/>
    <xf numFmtId="0" fontId="113"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0" fillId="0" borderId="0"/>
    <xf numFmtId="0" fontId="29"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87" fillId="0" borderId="0"/>
    <xf numFmtId="0" fontId="87" fillId="0" borderId="0"/>
    <xf numFmtId="0" fontId="10" fillId="0" borderId="0"/>
    <xf numFmtId="0" fontId="10" fillId="0" borderId="0"/>
    <xf numFmtId="0" fontId="29" fillId="0" borderId="0" applyFill="0" applyProtection="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29" fillId="0" borderId="0"/>
    <xf numFmtId="0" fontId="29" fillId="0" borderId="0"/>
    <xf numFmtId="0" fontId="10" fillId="0" borderId="0"/>
    <xf numFmtId="0" fontId="10" fillId="0" borderId="0"/>
    <xf numFmtId="0" fontId="29" fillId="0" borderId="0"/>
    <xf numFmtId="0" fontId="88" fillId="0" borderId="0"/>
    <xf numFmtId="0" fontId="10" fillId="0" borderId="0"/>
    <xf numFmtId="0" fontId="10" fillId="0" borderId="0"/>
    <xf numFmtId="0" fontId="10" fillId="0" borderId="0"/>
    <xf numFmtId="0" fontId="29" fillId="0" borderId="0"/>
    <xf numFmtId="0" fontId="10" fillId="0" borderId="0"/>
    <xf numFmtId="0" fontId="10" fillId="0" borderId="0"/>
    <xf numFmtId="0" fontId="29" fillId="0" borderId="0"/>
    <xf numFmtId="0" fontId="10" fillId="0" borderId="0"/>
    <xf numFmtId="0" fontId="113" fillId="0" borderId="0"/>
    <xf numFmtId="0" fontId="10" fillId="0" borderId="0"/>
    <xf numFmtId="0" fontId="113" fillId="0" borderId="0"/>
    <xf numFmtId="0" fontId="84" fillId="0" borderId="0"/>
    <xf numFmtId="0" fontId="29" fillId="0" borderId="0"/>
    <xf numFmtId="0" fontId="10" fillId="0" borderId="0"/>
    <xf numFmtId="0" fontId="1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84"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84" fillId="0" borderId="0"/>
    <xf numFmtId="0" fontId="84" fillId="0" borderId="0"/>
    <xf numFmtId="0" fontId="10" fillId="0" borderId="0"/>
    <xf numFmtId="0" fontId="10" fillId="0" borderId="0"/>
    <xf numFmtId="0" fontId="10" fillId="0" borderId="0"/>
    <xf numFmtId="0" fontId="10" fillId="0" borderId="0"/>
    <xf numFmtId="0" fontId="84" fillId="0" borderId="0"/>
    <xf numFmtId="0" fontId="10" fillId="0" borderId="0"/>
    <xf numFmtId="0" fontId="10" fillId="0" borderId="0"/>
    <xf numFmtId="0" fontId="84" fillId="0" borderId="0"/>
    <xf numFmtId="0" fontId="10" fillId="0" borderId="0"/>
    <xf numFmtId="0" fontId="29" fillId="0" borderId="0"/>
    <xf numFmtId="0" fontId="29" fillId="0" borderId="0"/>
    <xf numFmtId="0" fontId="89" fillId="0" borderId="0"/>
    <xf numFmtId="0" fontId="113" fillId="0" borderId="0"/>
    <xf numFmtId="0" fontId="113" fillId="0" borderId="0"/>
    <xf numFmtId="0" fontId="113" fillId="0" borderId="0"/>
    <xf numFmtId="0" fontId="29" fillId="0" borderId="0"/>
    <xf numFmtId="0" fontId="113" fillId="0" borderId="0"/>
    <xf numFmtId="0" fontId="29"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29"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13" fillId="0" borderId="0"/>
    <xf numFmtId="0" fontId="113" fillId="0" borderId="0"/>
    <xf numFmtId="0" fontId="113" fillId="0" borderId="0"/>
    <xf numFmtId="0" fontId="10" fillId="0" borderId="0"/>
    <xf numFmtId="0" fontId="113" fillId="0" borderId="0"/>
    <xf numFmtId="0" fontId="10" fillId="0" borderId="0"/>
    <xf numFmtId="0" fontId="29" fillId="0" borderId="0"/>
    <xf numFmtId="0" fontId="10" fillId="0" borderId="0"/>
    <xf numFmtId="0" fontId="10"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90" fillId="0" borderId="0"/>
    <xf numFmtId="0" fontId="10" fillId="0" borderId="0"/>
    <xf numFmtId="0" fontId="113" fillId="0" borderId="0"/>
    <xf numFmtId="0" fontId="113"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29" fillId="0" borderId="0"/>
    <xf numFmtId="0" fontId="29"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29" fillId="0" borderId="0"/>
    <xf numFmtId="0" fontId="29" fillId="0" borderId="0"/>
    <xf numFmtId="0" fontId="113" fillId="0" borderId="0"/>
    <xf numFmtId="0" fontId="113" fillId="0" borderId="0"/>
    <xf numFmtId="0" fontId="10"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29" fillId="0" borderId="0"/>
    <xf numFmtId="0" fontId="10" fillId="0" borderId="0"/>
    <xf numFmtId="0" fontId="113" fillId="0" borderId="0"/>
    <xf numFmtId="0" fontId="10"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29" fillId="0" borderId="0"/>
    <xf numFmtId="0" fontId="10" fillId="0" borderId="0"/>
    <xf numFmtId="0" fontId="113" fillId="0" borderId="0"/>
    <xf numFmtId="0" fontId="113" fillId="0" borderId="0"/>
    <xf numFmtId="0" fontId="10" fillId="0" borderId="0"/>
    <xf numFmtId="0" fontId="10" fillId="0" borderId="0"/>
    <xf numFmtId="0" fontId="84" fillId="0" borderId="0"/>
    <xf numFmtId="0" fontId="29" fillId="0" borderId="0"/>
    <xf numFmtId="0" fontId="10" fillId="0" borderId="0"/>
    <xf numFmtId="0" fontId="10" fillId="0" borderId="0"/>
    <xf numFmtId="0" fontId="113" fillId="0" borderId="0"/>
    <xf numFmtId="0" fontId="10" fillId="0" borderId="0"/>
    <xf numFmtId="0" fontId="10" fillId="0" borderId="0"/>
    <xf numFmtId="0" fontId="29" fillId="0" borderId="0"/>
    <xf numFmtId="0" fontId="10" fillId="0" borderId="0"/>
    <xf numFmtId="0" fontId="10" fillId="0" borderId="0"/>
    <xf numFmtId="0" fontId="29"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29" fillId="0" borderId="0"/>
    <xf numFmtId="0" fontId="29" fillId="0" borderId="0"/>
    <xf numFmtId="0" fontId="10" fillId="0" borderId="0"/>
    <xf numFmtId="0" fontId="113" fillId="0" borderId="0"/>
    <xf numFmtId="0" fontId="29"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29" fillId="0" borderId="0"/>
    <xf numFmtId="0" fontId="113"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29"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29" fillId="0" borderId="0"/>
    <xf numFmtId="0" fontId="29" fillId="0" borderId="0"/>
    <xf numFmtId="0" fontId="10" fillId="0" borderId="0"/>
    <xf numFmtId="0" fontId="10" fillId="0" borderId="0"/>
    <xf numFmtId="0" fontId="10" fillId="0" borderId="0"/>
    <xf numFmtId="0" fontId="29"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91" fillId="0" borderId="0"/>
    <xf numFmtId="0" fontId="10" fillId="0" borderId="0"/>
    <xf numFmtId="0" fontId="10"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29" fillId="0" borderId="0"/>
    <xf numFmtId="0" fontId="29" fillId="0" borderId="0"/>
    <xf numFmtId="0" fontId="10" fillId="0" borderId="0"/>
    <xf numFmtId="0" fontId="10" fillId="0" borderId="0"/>
    <xf numFmtId="0" fontId="10" fillId="0" borderId="0"/>
    <xf numFmtId="0" fontId="10" fillId="0" borderId="0"/>
    <xf numFmtId="0" fontId="10" fillId="0" borderId="0"/>
    <xf numFmtId="0" fontId="85"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85" fillId="0" borderId="0"/>
    <xf numFmtId="0" fontId="10" fillId="0" borderId="0"/>
    <xf numFmtId="0" fontId="29" fillId="0" borderId="0"/>
    <xf numFmtId="0" fontId="113" fillId="0" borderId="0"/>
    <xf numFmtId="0" fontId="113"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13"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0"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0" fillId="0" borderId="0"/>
    <xf numFmtId="0" fontId="113" fillId="0" borderId="0"/>
    <xf numFmtId="0" fontId="1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29" fillId="0" borderId="0"/>
    <xf numFmtId="0" fontId="29" fillId="0" borderId="0"/>
    <xf numFmtId="0" fontId="113" fillId="0" borderId="0"/>
    <xf numFmtId="4" fontId="30" fillId="0" borderId="6" applyFill="0" applyBorder="0" applyProtection="0">
      <alignment horizontal="right" vertical="center"/>
    </xf>
    <xf numFmtId="0" fontId="33" fillId="0" borderId="0" applyNumberFormat="0" applyFill="0" applyBorder="0" applyProtection="0">
      <alignment horizontal="left" vertical="center"/>
    </xf>
    <xf numFmtId="0" fontId="30" fillId="0" borderId="6" applyNumberFormat="0" applyFill="0" applyAlignment="0" applyProtection="0"/>
    <xf numFmtId="0" fontId="10" fillId="54" borderId="0" applyNumberFormat="0" applyFont="0" applyBorder="0" applyAlignment="0" applyProtection="0"/>
    <xf numFmtId="0" fontId="10" fillId="0" borderId="0"/>
    <xf numFmtId="0" fontId="10" fillId="0" borderId="0"/>
    <xf numFmtId="0" fontId="92" fillId="0" borderId="0"/>
    <xf numFmtId="0" fontId="56" fillId="0" borderId="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13" fillId="3" borderId="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13" fillId="3" borderId="8" applyNumberFormat="0" applyFont="0" applyAlignment="0" applyProtection="0"/>
    <xf numFmtId="0" fontId="113" fillId="3" borderId="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13" fillId="3" borderId="8" applyNumberFormat="0" applyFont="0" applyAlignment="0" applyProtection="0"/>
    <xf numFmtId="0" fontId="113" fillId="3" borderId="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13" fillId="3" borderId="8" applyNumberFormat="0" applyFont="0" applyAlignment="0" applyProtection="0"/>
    <xf numFmtId="0" fontId="113" fillId="3" borderId="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13" fillId="3" borderId="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29" fillId="30" borderId="28" applyNumberFormat="0" applyFont="0" applyAlignment="0" applyProtection="0"/>
    <xf numFmtId="0" fontId="10" fillId="30" borderId="28" applyNumberFormat="0" applyFont="0" applyAlignment="0" applyProtection="0"/>
    <xf numFmtId="0" fontId="10" fillId="30" borderId="28" applyNumberFormat="0" applyFont="0" applyAlignment="0" applyProtection="0"/>
    <xf numFmtId="0" fontId="47" fillId="30" borderId="28" applyNumberFormat="0" applyFont="0" applyAlignment="0" applyProtection="0"/>
    <xf numFmtId="0" fontId="10" fillId="30" borderId="28" applyNumberFormat="0" applyFont="0" applyAlignment="0" applyProtection="0"/>
    <xf numFmtId="0" fontId="47" fillId="30" borderId="28" applyNumberFormat="0" applyFont="0" applyAlignment="0" applyProtection="0"/>
    <xf numFmtId="176" fontId="93" fillId="0" borderId="0">
      <alignment horizontal="right"/>
    </xf>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0" fontId="94" fillId="0" borderId="23" applyNumberFormat="0" applyFill="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3" borderId="13" applyNumberFormat="0" applyAlignment="0" applyProtection="0"/>
    <xf numFmtId="0" fontId="36" fillId="52" borderId="13" applyNumberFormat="0" applyAlignment="0" applyProtection="0"/>
    <xf numFmtId="0" fontId="36" fillId="53"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0" fontId="36" fillId="52" borderId="13" applyNumberFormat="0" applyAlignment="0" applyProtection="0"/>
    <xf numFmtId="178" fontId="30" fillId="55" borderId="6" applyNumberFormat="0" applyFont="0" applyBorder="0" applyAlignment="0" applyProtection="0">
      <alignment horizontal="right" vertical="center"/>
    </xf>
    <xf numFmtId="9" fontId="10" fillId="0" borderId="0" applyFont="0" applyFill="0" applyBorder="0" applyAlignment="0" applyProtection="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48"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9" fontId="113"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48"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89" fillId="0" borderId="0" applyFont="0" applyFill="0" applyBorder="0" applyAlignment="0" applyProtection="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9"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29"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13"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13"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13" fillId="0" borderId="0" applyFont="0" applyFill="0" applyBorder="0" applyAlignment="0" applyProtection="0"/>
    <xf numFmtId="0" fontId="10" fillId="0" borderId="0"/>
    <xf numFmtId="9" fontId="10" fillId="0" borderId="0" applyFont="0" applyFill="0" applyBorder="0" applyAlignment="0" applyProtection="0"/>
    <xf numFmtId="9" fontId="113"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13" fillId="0" borderId="0" applyFont="0" applyFill="0" applyBorder="0" applyAlignment="0" applyProtection="0"/>
    <xf numFmtId="9" fontId="1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95" fillId="0" borderId="0" applyFont="0" applyFill="0" applyBorder="0" applyAlignment="0" applyProtection="0"/>
    <xf numFmtId="179" fontId="95" fillId="0" borderId="0" applyFont="0" applyFill="0" applyBorder="0" applyAlignment="0" applyProtection="0"/>
    <xf numFmtId="180" fontId="95" fillId="0" borderId="0" applyFont="0" applyFill="0" applyBorder="0" applyAlignment="0" applyProtection="0"/>
    <xf numFmtId="0" fontId="96" fillId="21" borderId="0" applyNumberFormat="0" applyBorder="0" applyAlignment="0" applyProtection="0"/>
    <xf numFmtId="0" fontId="10" fillId="0" borderId="0"/>
    <xf numFmtId="0" fontId="10" fillId="0" borderId="0"/>
    <xf numFmtId="0" fontId="97" fillId="4" borderId="0" applyNumberFormat="0" applyBorder="0" applyAlignment="0" applyProtection="0"/>
    <xf numFmtId="0" fontId="10" fillId="0" borderId="0"/>
    <xf numFmtId="0" fontId="10" fillId="0" borderId="0"/>
    <xf numFmtId="0" fontId="53" fillId="0" borderId="0">
      <alignment vertical="top" wrapText="1"/>
    </xf>
    <xf numFmtId="0" fontId="53" fillId="0" borderId="0">
      <alignment vertical="top" wrapText="1"/>
    </xf>
    <xf numFmtId="0" fontId="10" fillId="0" borderId="0"/>
    <xf numFmtId="0" fontId="10" fillId="0" borderId="0"/>
    <xf numFmtId="0" fontId="53" fillId="0" borderId="0">
      <alignment vertical="top"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6" applyNumberFormat="0" applyFill="0" applyProtection="0">
      <alignment horizontal="right"/>
    </xf>
    <xf numFmtId="0" fontId="10" fillId="0" borderId="6" applyNumberFormat="0" applyFill="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56" borderId="6" applyNumberFormat="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98" fillId="56" borderId="0" applyNumberFormat="0" applyBorder="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6" fillId="56" borderId="6" applyNumberFormat="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6" applyNumberFormat="0" applyFill="0" applyProtection="0">
      <alignment horizontal="right"/>
    </xf>
    <xf numFmtId="0" fontId="10" fillId="0" borderId="6" applyNumberFormat="0" applyFill="0" applyProtection="0">
      <alignment horizontal="righ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9" fillId="47" borderId="0" applyNumberFormat="0" applyBorder="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0" fillId="52" borderId="14" applyNumberFormat="0" applyAlignment="0" applyProtection="0"/>
    <xf numFmtId="181" fontId="101" fillId="57" borderId="30">
      <alignment vertical="center"/>
    </xf>
    <xf numFmtId="0" fontId="10" fillId="0" borderId="0"/>
    <xf numFmtId="0" fontId="10" fillId="0" borderId="0"/>
    <xf numFmtId="165" fontId="102" fillId="57" borderId="30">
      <alignment vertical="center"/>
    </xf>
    <xf numFmtId="0" fontId="10" fillId="0" borderId="0"/>
    <xf numFmtId="0" fontId="10" fillId="0" borderId="0"/>
    <xf numFmtId="181" fontId="103" fillId="58" borderId="30">
      <alignment vertical="center"/>
    </xf>
    <xf numFmtId="0" fontId="10" fillId="0" borderId="0"/>
    <xf numFmtId="0" fontId="10" fillId="0" borderId="0"/>
    <xf numFmtId="0" fontId="10" fillId="59" borderId="31" applyBorder="0">
      <alignment horizontal="left" vertical="center"/>
    </xf>
    <xf numFmtId="0" fontId="10" fillId="0" borderId="0"/>
    <xf numFmtId="0" fontId="10" fillId="0" borderId="0"/>
    <xf numFmtId="49" fontId="10" fillId="60" borderId="6">
      <alignment vertical="center" wrapText="1"/>
    </xf>
    <xf numFmtId="0" fontId="10" fillId="0" borderId="0"/>
    <xf numFmtId="0" fontId="10" fillId="0" borderId="0"/>
    <xf numFmtId="0" fontId="10" fillId="61" borderId="32">
      <alignment horizontal="left" vertical="center" wrapText="1"/>
    </xf>
    <xf numFmtId="0" fontId="10" fillId="0" borderId="0"/>
    <xf numFmtId="0" fontId="10" fillId="0" borderId="0"/>
    <xf numFmtId="0" fontId="104" fillId="62" borderId="6">
      <alignment horizontal="left" vertical="center" wrapText="1"/>
    </xf>
    <xf numFmtId="0" fontId="10" fillId="0" borderId="0"/>
    <xf numFmtId="0" fontId="10" fillId="0" borderId="0"/>
    <xf numFmtId="0" fontId="10" fillId="39" borderId="6">
      <alignment horizontal="left" vertical="center" wrapText="1"/>
    </xf>
    <xf numFmtId="0" fontId="10" fillId="0" borderId="0"/>
    <xf numFmtId="0" fontId="10" fillId="0" borderId="0"/>
    <xf numFmtId="0" fontId="10" fillId="63" borderId="6">
      <alignment horizontal="left" vertical="center"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5"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7" fillId="0" borderId="0" applyNumberFormat="0" applyFill="0" applyBorder="0" applyAlignment="0" applyProtection="0"/>
    <xf numFmtId="0" fontId="10" fillId="0" borderId="0"/>
    <xf numFmtId="0" fontId="107" fillId="0" borderId="0" applyNumberFormat="0" applyFill="0" applyBorder="0" applyAlignment="0" applyProtection="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7" fillId="0" borderId="0" applyNumberFormat="0" applyFill="0" applyBorder="0" applyAlignment="0" applyProtection="0"/>
    <xf numFmtId="0" fontId="10" fillId="0" borderId="0"/>
    <xf numFmtId="0" fontId="10" fillId="0" borderId="0"/>
    <xf numFmtId="0" fontId="107"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7"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7" fillId="0" borderId="0" applyNumberFormat="0" applyFill="0" applyBorder="0" applyAlignment="0" applyProtection="0"/>
    <xf numFmtId="0" fontId="10" fillId="0" borderId="0"/>
    <xf numFmtId="0" fontId="10" fillId="0" borderId="0"/>
    <xf numFmtId="0" fontId="105"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4" fillId="0" borderId="2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4" fillId="0" borderId="23" applyNumberFormat="0" applyFill="0" applyAlignment="0" applyProtection="0"/>
    <xf numFmtId="0" fontId="10" fillId="0" borderId="0"/>
    <xf numFmtId="0" fontId="10" fillId="0" borderId="0"/>
    <xf numFmtId="0" fontId="54"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54" fillId="0" borderId="3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4"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4" fillId="0" borderId="23" applyNumberFormat="0" applyFill="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2" fontId="95"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6"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8" fillId="0" borderId="0" applyNumberFormat="0" applyFill="0" applyBorder="0" applyAlignment="0" applyProtection="0">
      <alignment vertical="center"/>
    </xf>
    <xf numFmtId="0" fontId="10" fillId="0" borderId="0"/>
    <xf numFmtId="0" fontId="10" fillId="0" borderId="0"/>
  </cellStyleXfs>
  <cellXfs count="192">
    <xf numFmtId="0" fontId="0" fillId="0" borderId="0" xfId="0"/>
    <xf numFmtId="0" fontId="0" fillId="2" borderId="0" xfId="0" applyFill="1"/>
    <xf numFmtId="0" fontId="3" fillId="0" borderId="0" xfId="0" applyFont="1"/>
    <xf numFmtId="0" fontId="4" fillId="2" borderId="0" xfId="4478" applyFont="1" applyFill="1" applyAlignment="1">
      <alignment horizontal="left"/>
    </xf>
    <xf numFmtId="0" fontId="5" fillId="2" borderId="1" xfId="3677" applyFont="1" applyFill="1" applyBorder="1" applyAlignment="1">
      <alignment vertical="center"/>
    </xf>
    <xf numFmtId="0" fontId="6" fillId="2" borderId="2" xfId="4478" applyFont="1" applyFill="1" applyBorder="1" applyAlignment="1">
      <alignment horizontal="left" vertical="center"/>
    </xf>
    <xf numFmtId="0" fontId="6" fillId="2" borderId="2" xfId="4478" applyFont="1" applyFill="1" applyBorder="1" applyAlignment="1">
      <alignment horizontal="right" vertical="center"/>
    </xf>
    <xf numFmtId="0" fontId="113" fillId="2" borderId="0" xfId="3677" applyFill="1"/>
    <xf numFmtId="2" fontId="3" fillId="2" borderId="0" xfId="3677" applyNumberFormat="1" applyFont="1" applyFill="1"/>
    <xf numFmtId="0" fontId="113" fillId="0" borderId="0" xfId="3677"/>
    <xf numFmtId="1" fontId="113" fillId="0" borderId="0" xfId="3677" applyNumberFormat="1"/>
    <xf numFmtId="0" fontId="4" fillId="0" borderId="0" xfId="4478" applyFont="1" applyAlignment="1">
      <alignment horizontal="left"/>
    </xf>
    <xf numFmtId="0" fontId="5" fillId="3" borderId="1" xfId="3677" applyFont="1" applyFill="1" applyBorder="1" applyAlignment="1">
      <alignment vertical="center"/>
    </xf>
    <xf numFmtId="0" fontId="6" fillId="4" borderId="2" xfId="4478" applyFont="1" applyFill="1" applyBorder="1" applyAlignment="1">
      <alignment horizontal="left" vertical="center"/>
    </xf>
    <xf numFmtId="0" fontId="6" fillId="4" borderId="2" xfId="4478" applyFont="1" applyFill="1" applyBorder="1" applyAlignment="1">
      <alignment horizontal="right" vertical="center"/>
    </xf>
    <xf numFmtId="2" fontId="3" fillId="0" borderId="0" xfId="3677" applyNumberFormat="1" applyFont="1" applyFill="1"/>
    <xf numFmtId="0" fontId="7" fillId="0" borderId="0" xfId="0" applyFont="1"/>
    <xf numFmtId="2" fontId="3" fillId="0" borderId="0" xfId="3677" applyNumberFormat="1" applyFont="1"/>
    <xf numFmtId="0" fontId="8" fillId="5" borderId="0" xfId="1" applyFont="1"/>
    <xf numFmtId="183" fontId="8" fillId="5" borderId="0" xfId="1" applyNumberFormat="1"/>
    <xf numFmtId="183" fontId="113" fillId="0" borderId="0" xfId="3676" applyNumberFormat="1"/>
    <xf numFmtId="0" fontId="5" fillId="3" borderId="1" xfId="3676" applyFont="1" applyFill="1" applyBorder="1" applyAlignment="1">
      <alignment vertical="center"/>
    </xf>
    <xf numFmtId="0" fontId="113" fillId="0" borderId="0" xfId="3676"/>
    <xf numFmtId="0" fontId="3" fillId="6" borderId="0" xfId="0" applyFont="1" applyFill="1"/>
    <xf numFmtId="0" fontId="6" fillId="2" borderId="2" xfId="4478" applyFont="1" applyFill="1" applyBorder="1" applyAlignment="1">
      <alignment horizontal="right" vertical="center" wrapText="1"/>
    </xf>
    <xf numFmtId="0" fontId="7" fillId="2" borderId="0" xfId="0" applyFont="1" applyFill="1"/>
    <xf numFmtId="0" fontId="6" fillId="4" borderId="2" xfId="4478" applyFont="1" applyFill="1" applyBorder="1" applyAlignment="1">
      <alignment horizontal="right" vertical="center" wrapText="1"/>
    </xf>
    <xf numFmtId="0" fontId="5" fillId="3" borderId="0" xfId="3676" applyFont="1" applyFill="1" applyAlignment="1">
      <alignment vertical="center"/>
    </xf>
    <xf numFmtId="183" fontId="4" fillId="2" borderId="0" xfId="0" applyNumberFormat="1" applyFont="1" applyFill="1"/>
    <xf numFmtId="183" fontId="0" fillId="2" borderId="0" xfId="0" applyNumberFormat="1" applyFill="1"/>
    <xf numFmtId="183" fontId="6" fillId="2" borderId="2" xfId="0" applyNumberFormat="1" applyFont="1" applyFill="1" applyBorder="1" applyAlignment="1">
      <alignment horizontal="left"/>
    </xf>
    <xf numFmtId="183" fontId="6" fillId="2" borderId="3" xfId="0" applyNumberFormat="1" applyFont="1" applyFill="1" applyBorder="1" applyAlignment="1">
      <alignment horizontal="left"/>
    </xf>
    <xf numFmtId="183" fontId="9" fillId="2" borderId="1" xfId="2" applyNumberFormat="1" applyFont="1" applyFill="1" applyBorder="1" applyAlignment="1">
      <alignment horizontal="left" wrapText="1"/>
    </xf>
    <xf numFmtId="183" fontId="9" fillId="2" borderId="4" xfId="2" applyNumberFormat="1" applyFont="1" applyFill="1" applyBorder="1" applyAlignment="1">
      <alignment horizontal="left" wrapText="1"/>
    </xf>
    <xf numFmtId="183" fontId="9" fillId="2" borderId="4" xfId="2" applyNumberFormat="1" applyFont="1" applyFill="1" applyBorder="1" applyAlignment="1">
      <alignment horizontal="right" wrapText="1"/>
    </xf>
    <xf numFmtId="183" fontId="10" fillId="2" borderId="0" xfId="0" applyNumberFormat="1" applyFont="1" applyFill="1"/>
    <xf numFmtId="183" fontId="0" fillId="2" borderId="5" xfId="0" applyNumberFormat="1" applyFill="1" applyBorder="1"/>
    <xf numFmtId="183" fontId="10" fillId="2" borderId="5" xfId="0" applyNumberFormat="1" applyFont="1" applyFill="1" applyBorder="1"/>
    <xf numFmtId="183" fontId="10" fillId="0" borderId="0" xfId="0" applyNumberFormat="1" applyFont="1"/>
    <xf numFmtId="183" fontId="0" fillId="0" borderId="0" xfId="0" applyNumberFormat="1"/>
    <xf numFmtId="0" fontId="3" fillId="0" borderId="0" xfId="0" applyFont="1" applyFill="1"/>
    <xf numFmtId="0" fontId="5" fillId="3" borderId="3" xfId="0" applyFont="1" applyFill="1" applyBorder="1" applyAlignment="1">
      <alignment vertical="center"/>
    </xf>
    <xf numFmtId="0" fontId="113" fillId="0" borderId="0" xfId="4940"/>
    <xf numFmtId="0" fontId="11" fillId="4" borderId="2" xfId="4478" applyFont="1" applyFill="1" applyBorder="1" applyAlignment="1">
      <alignment horizontal="right" vertical="center" wrapText="1"/>
    </xf>
    <xf numFmtId="0" fontId="6" fillId="4" borderId="0" xfId="4478" applyFont="1" applyFill="1" applyBorder="1" applyAlignment="1">
      <alignment horizontal="right" vertical="center"/>
    </xf>
    <xf numFmtId="2" fontId="113" fillId="0" borderId="0" xfId="4940" applyNumberFormat="1"/>
    <xf numFmtId="183" fontId="113" fillId="0" borderId="0" xfId="4940" applyNumberFormat="1"/>
    <xf numFmtId="0" fontId="5" fillId="3" borderId="1" xfId="4940" applyFont="1" applyFill="1" applyBorder="1" applyAlignment="1">
      <alignment vertical="center"/>
    </xf>
    <xf numFmtId="0" fontId="0" fillId="6" borderId="0" xfId="0" applyFill="1"/>
    <xf numFmtId="0" fontId="0" fillId="7" borderId="0" xfId="0" applyFill="1"/>
    <xf numFmtId="0" fontId="0" fillId="0" borderId="0" xfId="0" applyFill="1"/>
    <xf numFmtId="0" fontId="0" fillId="0" borderId="0" xfId="0" applyFill="1"/>
    <xf numFmtId="0" fontId="0" fillId="0" borderId="0" xfId="0" applyFont="1" applyFill="1"/>
    <xf numFmtId="0" fontId="0" fillId="0" borderId="0" xfId="0" applyAlignment="1">
      <alignment wrapText="1"/>
    </xf>
    <xf numFmtId="0" fontId="6" fillId="0" borderId="2" xfId="4478" applyFont="1" applyFill="1" applyBorder="1" applyAlignment="1">
      <alignment horizontal="left" vertical="center"/>
    </xf>
    <xf numFmtId="0" fontId="13" fillId="0" borderId="2" xfId="4478" applyFont="1" applyFill="1" applyBorder="1" applyAlignment="1">
      <alignment horizontal="right" vertical="center"/>
    </xf>
    <xf numFmtId="0" fontId="14" fillId="0" borderId="0" xfId="4825" applyFont="1" applyFill="1"/>
    <xf numFmtId="0" fontId="10" fillId="0" borderId="0" xfId="0" applyFont="1" applyFill="1" applyAlignment="1"/>
    <xf numFmtId="0" fontId="12" fillId="8" borderId="0" xfId="0" applyFont="1" applyFill="1" applyAlignment="1"/>
    <xf numFmtId="0" fontId="10" fillId="0" borderId="0" xfId="0" applyFont="1"/>
    <xf numFmtId="0" fontId="14" fillId="0" borderId="6" xfId="0" applyFont="1" applyFill="1" applyBorder="1"/>
    <xf numFmtId="0" fontId="10" fillId="6" borderId="0" xfId="0" applyFont="1" applyFill="1" applyAlignment="1"/>
    <xf numFmtId="0" fontId="7" fillId="0" borderId="0" xfId="0" applyFont="1" applyFill="1"/>
    <xf numFmtId="0" fontId="15" fillId="0" borderId="0" xfId="0" applyFont="1"/>
    <xf numFmtId="0" fontId="0" fillId="0" borderId="0" xfId="0" applyFont="1"/>
    <xf numFmtId="0" fontId="0" fillId="0" borderId="0" xfId="0" applyFont="1" applyFill="1"/>
    <xf numFmtId="0" fontId="15" fillId="0" borderId="0" xfId="0" applyFont="1" applyFill="1"/>
    <xf numFmtId="0" fontId="0" fillId="0" borderId="0" xfId="0" applyFont="1" applyFill="1"/>
    <xf numFmtId="0" fontId="14" fillId="0" borderId="0" xfId="0" applyFont="1" applyFill="1" applyBorder="1"/>
    <xf numFmtId="0" fontId="0" fillId="0" borderId="0" xfId="0" applyFont="1"/>
    <xf numFmtId="0" fontId="0" fillId="0" borderId="6" xfId="0" applyFont="1" applyBorder="1"/>
    <xf numFmtId="0" fontId="3" fillId="6" borderId="0" xfId="0" applyFont="1" applyFill="1" applyAlignment="1">
      <alignment wrapText="1"/>
    </xf>
    <xf numFmtId="183" fontId="113" fillId="0" borderId="0" xfId="3656" applyNumberFormat="1"/>
    <xf numFmtId="0" fontId="6" fillId="0" borderId="2" xfId="4478" applyFont="1" applyFill="1" applyBorder="1" applyAlignment="1">
      <alignment horizontal="right" vertical="center" wrapText="1"/>
    </xf>
    <xf numFmtId="0" fontId="5" fillId="3" borderId="1" xfId="3656" applyFont="1" applyFill="1" applyBorder="1" applyAlignment="1">
      <alignment vertical="center"/>
    </xf>
    <xf numFmtId="1" fontId="15" fillId="0" borderId="0" xfId="0" applyNumberFormat="1" applyFont="1" applyFill="1"/>
    <xf numFmtId="184" fontId="113" fillId="0" borderId="0" xfId="3656" applyNumberFormat="1"/>
    <xf numFmtId="0" fontId="113" fillId="0" borderId="0" xfId="3656"/>
    <xf numFmtId="1" fontId="15" fillId="0" borderId="0" xfId="0" applyNumberFormat="1" applyFont="1" applyFill="1"/>
    <xf numFmtId="184" fontId="113" fillId="6" borderId="0" xfId="3656" applyNumberFormat="1" applyFill="1"/>
    <xf numFmtId="2" fontId="0" fillId="0" borderId="0" xfId="0" applyNumberFormat="1" applyFont="1"/>
    <xf numFmtId="0" fontId="16" fillId="0" borderId="0" xfId="0" applyFont="1"/>
    <xf numFmtId="0" fontId="17" fillId="0" borderId="6" xfId="0" applyFont="1" applyBorder="1"/>
    <xf numFmtId="0" fontId="0" fillId="0" borderId="6" xfId="0" applyBorder="1"/>
    <xf numFmtId="10" fontId="0" fillId="0" borderId="6" xfId="0" applyNumberFormat="1" applyBorder="1"/>
    <xf numFmtId="0" fontId="17" fillId="0" borderId="0" xfId="0" applyFont="1"/>
    <xf numFmtId="0" fontId="15" fillId="0" borderId="0" xfId="0" applyFont="1" applyAlignment="1">
      <alignment horizontal="center" wrapText="1"/>
    </xf>
    <xf numFmtId="0" fontId="18" fillId="0" borderId="0" xfId="4825" applyFont="1"/>
    <xf numFmtId="0" fontId="15" fillId="6" borderId="0" xfId="0" applyFont="1" applyFill="1" applyAlignment="1">
      <alignment wrapText="1"/>
    </xf>
    <xf numFmtId="0" fontId="15" fillId="0" borderId="0" xfId="0" applyFont="1" applyAlignment="1">
      <alignment wrapText="1"/>
    </xf>
    <xf numFmtId="0" fontId="18" fillId="0" borderId="6" xfId="0" applyFont="1" applyBorder="1"/>
    <xf numFmtId="0" fontId="18" fillId="0" borderId="0" xfId="0" applyFont="1"/>
    <xf numFmtId="3" fontId="0" fillId="0" borderId="0" xfId="0" applyNumberFormat="1" applyAlignment="1">
      <alignment wrapText="1"/>
    </xf>
    <xf numFmtId="0" fontId="15" fillId="0" borderId="0" xfId="0" applyFont="1"/>
    <xf numFmtId="0" fontId="10"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5" fillId="0" borderId="0" xfId="0" applyNumberFormat="1" applyFont="1" applyFill="1"/>
    <xf numFmtId="0" fontId="15" fillId="0" borderId="0" xfId="0" applyFont="1" applyFill="1"/>
    <xf numFmtId="0" fontId="10" fillId="0" borderId="0" xfId="0" applyFont="1" applyFill="1"/>
    <xf numFmtId="0" fontId="0" fillId="0" borderId="0" xfId="0" applyFill="1"/>
    <xf numFmtId="0" fontId="14" fillId="0" borderId="0" xfId="4825" applyFont="1" applyFill="1"/>
    <xf numFmtId="0" fontId="10" fillId="0" borderId="0" xfId="0" applyFont="1" applyFill="1" applyAlignment="1"/>
    <xf numFmtId="0" fontId="12" fillId="0" borderId="0" xfId="0" applyFont="1" applyFill="1" applyAlignment="1"/>
    <xf numFmtId="0" fontId="0" fillId="0" borderId="6" xfId="0" applyFont="1" applyBorder="1"/>
    <xf numFmtId="0" fontId="3" fillId="0" borderId="0" xfId="0" applyFont="1" applyFill="1"/>
    <xf numFmtId="0" fontId="113" fillId="6" borderId="0" xfId="3656" applyFill="1"/>
    <xf numFmtId="2" fontId="19" fillId="0" borderId="0" xfId="0" applyNumberFormat="1" applyFont="1" applyFill="1"/>
    <xf numFmtId="0" fontId="19" fillId="0" borderId="0" xfId="0" applyFont="1" applyFill="1"/>
    <xf numFmtId="0" fontId="0" fillId="0" borderId="6" xfId="0" applyBorder="1"/>
    <xf numFmtId="0" fontId="113" fillId="0" borderId="5" xfId="3656" applyBorder="1"/>
    <xf numFmtId="0" fontId="14" fillId="0" borderId="5" xfId="4825" applyFont="1" applyBorder="1"/>
    <xf numFmtId="184" fontId="113" fillId="0" borderId="0" xfId="3656" applyNumberFormat="1" applyFill="1"/>
    <xf numFmtId="0" fontId="113" fillId="0" borderId="5" xfId="3656" applyFill="1" applyBorder="1"/>
    <xf numFmtId="0" fontId="19" fillId="0" borderId="0" xfId="0" applyFont="1"/>
    <xf numFmtId="0" fontId="13" fillId="4" borderId="2" xfId="4478" applyFont="1" applyFill="1" applyBorder="1" applyAlignment="1">
      <alignment horizontal="left" vertical="center"/>
    </xf>
    <xf numFmtId="1" fontId="19" fillId="0" borderId="0" xfId="0" applyNumberFormat="1" applyFont="1" applyFill="1"/>
    <xf numFmtId="1" fontId="19" fillId="0" borderId="0" xfId="3677" applyNumberFormat="1" applyFont="1" applyFill="1"/>
    <xf numFmtId="0" fontId="113" fillId="0" borderId="6" xfId="3677" applyBorder="1"/>
    <xf numFmtId="2" fontId="19" fillId="0" borderId="6" xfId="0" applyNumberFormat="1" applyFont="1" applyFill="1" applyBorder="1"/>
    <xf numFmtId="1" fontId="19" fillId="0" borderId="6" xfId="0" applyNumberFormat="1" applyFont="1" applyFill="1" applyBorder="1"/>
    <xf numFmtId="0" fontId="0" fillId="0" borderId="6" xfId="3677" applyFont="1" applyBorder="1"/>
    <xf numFmtId="0" fontId="20" fillId="0" borderId="6" xfId="3825" applyFont="1" applyFill="1" applyBorder="1"/>
    <xf numFmtId="0" fontId="21" fillId="0" borderId="6" xfId="0" applyFont="1" applyFill="1" applyBorder="1"/>
    <xf numFmtId="0" fontId="10" fillId="0" borderId="6" xfId="3825" applyFill="1" applyBorder="1"/>
    <xf numFmtId="0" fontId="0" fillId="0" borderId="0" xfId="3677" applyFont="1"/>
    <xf numFmtId="0" fontId="10" fillId="0" borderId="0" xfId="3825" applyFill="1"/>
    <xf numFmtId="0" fontId="21" fillId="0" borderId="0" xfId="0" applyFont="1" applyFill="1"/>
    <xf numFmtId="0" fontId="22" fillId="0" borderId="0" xfId="3825" applyFont="1" applyFill="1"/>
    <xf numFmtId="1" fontId="23" fillId="0" borderId="0" xfId="0" applyNumberFormat="1" applyFont="1" applyFill="1"/>
    <xf numFmtId="0" fontId="24" fillId="6" borderId="0" xfId="0" applyFont="1" applyFill="1"/>
    <xf numFmtId="0" fontId="25" fillId="0" borderId="6" xfId="0" applyFont="1" applyFill="1" applyBorder="1"/>
    <xf numFmtId="2" fontId="25" fillId="0" borderId="6" xfId="0" applyNumberFormat="1" applyFont="1" applyFill="1" applyBorder="1"/>
    <xf numFmtId="0" fontId="25" fillId="0" borderId="6" xfId="0" applyFont="1" applyBorder="1"/>
    <xf numFmtId="2" fontId="25" fillId="0" borderId="6" xfId="0" applyNumberFormat="1" applyFont="1" applyBorder="1"/>
    <xf numFmtId="0" fontId="15" fillId="0" borderId="6" xfId="0" applyFont="1" applyBorder="1"/>
    <xf numFmtId="0" fontId="25" fillId="0" borderId="7" xfId="0" applyFont="1" applyBorder="1"/>
    <xf numFmtId="0" fontId="7" fillId="0" borderId="6" xfId="0" applyFont="1" applyBorder="1"/>
    <xf numFmtId="0" fontId="15" fillId="0" borderId="6" xfId="0" applyFont="1" applyFill="1" applyBorder="1"/>
    <xf numFmtId="0" fontId="24" fillId="0" borderId="0" xfId="0" applyFont="1" applyFill="1"/>
    <xf numFmtId="0" fontId="26" fillId="0" borderId="6" xfId="0" applyFont="1" applyBorder="1"/>
    <xf numFmtId="0" fontId="3" fillId="0" borderId="6" xfId="0" applyFont="1" applyBorder="1"/>
    <xf numFmtId="9" fontId="7" fillId="0" borderId="0" xfId="0" applyNumberFormat="1" applyFont="1"/>
    <xf numFmtId="9" fontId="3" fillId="0" borderId="0" xfId="0" applyNumberFormat="1" applyFont="1"/>
    <xf numFmtId="183" fontId="4" fillId="0" borderId="0" xfId="0" applyNumberFormat="1" applyFont="1"/>
    <xf numFmtId="183" fontId="6" fillId="4" borderId="2" xfId="0" applyNumberFormat="1" applyFont="1" applyFill="1" applyBorder="1" applyAlignment="1">
      <alignment horizontal="left"/>
    </xf>
    <xf numFmtId="183" fontId="6" fillId="4" borderId="3" xfId="0" applyNumberFormat="1" applyFont="1" applyFill="1" applyBorder="1" applyAlignment="1">
      <alignment horizontal="left"/>
    </xf>
    <xf numFmtId="183" fontId="9" fillId="9" borderId="1" xfId="2" applyNumberFormat="1" applyFont="1" applyBorder="1" applyAlignment="1">
      <alignment horizontal="left" wrapText="1"/>
    </xf>
    <xf numFmtId="183" fontId="9" fillId="9" borderId="4" xfId="2" applyNumberFormat="1" applyFont="1" applyBorder="1" applyAlignment="1">
      <alignment horizontal="left" wrapText="1"/>
    </xf>
    <xf numFmtId="183" fontId="9" fillId="9" borderId="4" xfId="2" applyNumberFormat="1" applyFont="1" applyBorder="1" applyAlignment="1">
      <alignment horizontal="right" wrapText="1"/>
    </xf>
    <xf numFmtId="183" fontId="0" fillId="0" borderId="5" xfId="0" applyNumberFormat="1" applyBorder="1"/>
    <xf numFmtId="183" fontId="10" fillId="0" borderId="5" xfId="0" applyNumberFormat="1" applyFont="1" applyBorder="1"/>
    <xf numFmtId="183" fontId="113" fillId="0" borderId="0" xfId="3677" applyNumberFormat="1"/>
    <xf numFmtId="0" fontId="10" fillId="0" borderId="0" xfId="4477"/>
    <xf numFmtId="0" fontId="3" fillId="2" borderId="0" xfId="0" applyFont="1" applyFill="1"/>
    <xf numFmtId="0" fontId="11" fillId="2" borderId="2" xfId="4478" applyFont="1" applyFill="1" applyBorder="1" applyAlignment="1">
      <alignment horizontal="right" vertical="center" wrapText="1"/>
    </xf>
    <xf numFmtId="0" fontId="11" fillId="0" borderId="0" xfId="4478" applyFont="1" applyFill="1" applyBorder="1" applyAlignment="1">
      <alignment horizontal="right" vertical="center"/>
    </xf>
    <xf numFmtId="0" fontId="2" fillId="0" borderId="0" xfId="0" applyFont="1" applyFill="1"/>
    <xf numFmtId="0" fontId="117" fillId="0" borderId="0" xfId="0" applyFont="1" applyFill="1"/>
    <xf numFmtId="0" fontId="117" fillId="0" borderId="0" xfId="0" applyFont="1"/>
    <xf numFmtId="0" fontId="118" fillId="0" borderId="0" xfId="0" applyFont="1" applyFill="1"/>
    <xf numFmtId="0" fontId="113" fillId="0" borderId="0" xfId="4940" applyFill="1"/>
    <xf numFmtId="2" fontId="113" fillId="0" borderId="0" xfId="4940" applyNumberFormat="1" applyFill="1"/>
    <xf numFmtId="2" fontId="2" fillId="0" borderId="0" xfId="4940" applyNumberFormat="1" applyFont="1" applyFill="1"/>
    <xf numFmtId="0" fontId="2" fillId="0" borderId="0" xfId="0" applyFont="1"/>
    <xf numFmtId="9" fontId="117" fillId="0" borderId="0" xfId="0" applyNumberFormat="1" applyFont="1" applyFill="1"/>
    <xf numFmtId="1" fontId="117" fillId="0" borderId="0" xfId="0" applyNumberFormat="1" applyFont="1" applyFill="1"/>
    <xf numFmtId="0" fontId="113" fillId="0" borderId="34" xfId="4940" applyBorder="1"/>
    <xf numFmtId="0" fontId="0" fillId="0" borderId="34" xfId="0" applyBorder="1"/>
    <xf numFmtId="0" fontId="117" fillId="0" borderId="34" xfId="0" applyFont="1" applyFill="1" applyBorder="1"/>
    <xf numFmtId="0" fontId="117" fillId="0" borderId="34" xfId="0" applyFont="1" applyBorder="1"/>
    <xf numFmtId="2" fontId="117" fillId="0" borderId="34" xfId="0" applyNumberFormat="1" applyFont="1" applyFill="1" applyBorder="1"/>
    <xf numFmtId="0" fontId="2" fillId="0" borderId="0" xfId="4940" applyFont="1" applyFill="1"/>
    <xf numFmtId="0" fontId="2" fillId="0" borderId="0" xfId="0" applyFont="1" applyFill="1" applyAlignment="1"/>
    <xf numFmtId="0" fontId="121" fillId="0" borderId="2" xfId="4478" applyFont="1" applyFill="1" applyBorder="1" applyAlignment="1">
      <alignment horizontal="right" vertical="center"/>
    </xf>
    <xf numFmtId="2" fontId="122" fillId="0" borderId="0" xfId="0" applyNumberFormat="1" applyFont="1" applyFill="1"/>
    <xf numFmtId="0" fontId="122" fillId="0" borderId="0" xfId="0" applyFont="1" applyFill="1"/>
    <xf numFmtId="2" fontId="120" fillId="0" borderId="0" xfId="0" applyNumberFormat="1" applyFont="1"/>
    <xf numFmtId="0" fontId="2" fillId="0" borderId="0" xfId="0" applyFont="1" applyAlignment="1">
      <alignment wrapText="1"/>
    </xf>
    <xf numFmtId="0" fontId="123" fillId="0" borderId="6" xfId="0" applyFont="1" applyBorder="1"/>
    <xf numFmtId="0" fontId="123" fillId="0" borderId="0" xfId="0" applyFont="1"/>
    <xf numFmtId="1" fontId="123" fillId="0" borderId="0" xfId="0" applyNumberFormat="1" applyFont="1" applyFill="1"/>
    <xf numFmtId="2" fontId="123" fillId="0" borderId="0" xfId="0" applyNumberFormat="1" applyFont="1" applyFill="1"/>
    <xf numFmtId="0" fontId="123" fillId="0" borderId="0" xfId="0" applyFont="1" applyFill="1"/>
    <xf numFmtId="0" fontId="123" fillId="0" borderId="6" xfId="0" applyFont="1" applyFill="1" applyBorder="1"/>
    <xf numFmtId="0" fontId="117" fillId="0" borderId="6" xfId="0" applyFont="1" applyFill="1" applyBorder="1"/>
    <xf numFmtId="0" fontId="124" fillId="0" borderId="0" xfId="0" applyFont="1" applyFill="1"/>
    <xf numFmtId="0" fontId="118" fillId="0" borderId="0" xfId="0" applyFont="1"/>
    <xf numFmtId="0" fontId="125" fillId="0" borderId="0" xfId="0" applyFont="1" applyFill="1"/>
    <xf numFmtId="0" fontId="1" fillId="0" borderId="0" xfId="0" applyFont="1"/>
    <xf numFmtId="0" fontId="121" fillId="0" borderId="0" xfId="4825" applyFont="1" applyFill="1"/>
  </cellXfs>
  <cellStyles count="8404">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e 2" xfId="5075" xr:uid="{00000000-0005-0000-0000-000001140000}"/>
    <cellStyle name="Normale_B2020" xfId="5076" xr:uid="{00000000-0005-0000-0000-000002140000}"/>
    <cellStyle name="normální_List1" xfId="5077" xr:uid="{00000000-0005-0000-0000-000003140000}"/>
    <cellStyle name="Note 10" xfId="5078" xr:uid="{00000000-0005-0000-0000-000004140000}"/>
    <cellStyle name="Note 10 2" xfId="5079" xr:uid="{00000000-0005-0000-0000-000005140000}"/>
    <cellStyle name="Note 10 3" xfId="5080" xr:uid="{00000000-0005-0000-0000-000006140000}"/>
    <cellStyle name="Note 10 3 2" xfId="5081" xr:uid="{00000000-0005-0000-0000-000007140000}"/>
    <cellStyle name="Note 10 3_ELC_final" xfId="5082" xr:uid="{00000000-0005-0000-0000-000008140000}"/>
    <cellStyle name="Note 10_ELC_final" xfId="5083" xr:uid="{00000000-0005-0000-0000-000009140000}"/>
    <cellStyle name="Note 11" xfId="5084" xr:uid="{00000000-0005-0000-0000-00000A140000}"/>
    <cellStyle name="Note 11 2" xfId="5085" xr:uid="{00000000-0005-0000-0000-00000B140000}"/>
    <cellStyle name="Note 11_ELC_final" xfId="5086" xr:uid="{00000000-0005-0000-0000-00000C140000}"/>
    <cellStyle name="Note 12" xfId="5087" xr:uid="{00000000-0005-0000-0000-00000D140000}"/>
    <cellStyle name="Note 12 2" xfId="5088" xr:uid="{00000000-0005-0000-0000-00000E140000}"/>
    <cellStyle name="Note 12_ELC_final" xfId="5089" xr:uid="{00000000-0005-0000-0000-00000F140000}"/>
    <cellStyle name="Note 13" xfId="5090" xr:uid="{00000000-0005-0000-0000-000010140000}"/>
    <cellStyle name="Note 13 2" xfId="5091" xr:uid="{00000000-0005-0000-0000-000011140000}"/>
    <cellStyle name="Note 13_ELC_final" xfId="5092" xr:uid="{00000000-0005-0000-0000-000012140000}"/>
    <cellStyle name="Note 14" xfId="5093" xr:uid="{00000000-0005-0000-0000-000013140000}"/>
    <cellStyle name="Note 14 2" xfId="5094" xr:uid="{00000000-0005-0000-0000-000014140000}"/>
    <cellStyle name="Note 14_ELC_final" xfId="5095" xr:uid="{00000000-0005-0000-0000-000015140000}"/>
    <cellStyle name="Note 15" xfId="5096" xr:uid="{00000000-0005-0000-0000-000016140000}"/>
    <cellStyle name="Note 15 2" xfId="5097" xr:uid="{00000000-0005-0000-0000-000017140000}"/>
    <cellStyle name="Note 15_ELC_final" xfId="5098" xr:uid="{00000000-0005-0000-0000-000018140000}"/>
    <cellStyle name="Note 16" xfId="5099" xr:uid="{00000000-0005-0000-0000-000019140000}"/>
    <cellStyle name="Note 16 2" xfId="5100" xr:uid="{00000000-0005-0000-0000-00001A140000}"/>
    <cellStyle name="Note 16_ELC_final" xfId="5101" xr:uid="{00000000-0005-0000-0000-00001B140000}"/>
    <cellStyle name="Note 17" xfId="5102" xr:uid="{00000000-0005-0000-0000-00001C140000}"/>
    <cellStyle name="Note 17 2" xfId="5103" xr:uid="{00000000-0005-0000-0000-00001D140000}"/>
    <cellStyle name="Note 17_ELC_final" xfId="5104" xr:uid="{00000000-0005-0000-0000-00001E140000}"/>
    <cellStyle name="Note 18" xfId="5105" xr:uid="{00000000-0005-0000-0000-00001F140000}"/>
    <cellStyle name="Note 18 2" xfId="5106" xr:uid="{00000000-0005-0000-0000-000020140000}"/>
    <cellStyle name="Note 18_ELC_final" xfId="5107" xr:uid="{00000000-0005-0000-0000-000021140000}"/>
    <cellStyle name="Note 19" xfId="5108" xr:uid="{00000000-0005-0000-0000-000022140000}"/>
    <cellStyle name="Note 2" xfId="5109" xr:uid="{00000000-0005-0000-0000-000023140000}"/>
    <cellStyle name="Note 2 10" xfId="5110" xr:uid="{00000000-0005-0000-0000-000024140000}"/>
    <cellStyle name="Note 2 11" xfId="5111" xr:uid="{00000000-0005-0000-0000-000025140000}"/>
    <cellStyle name="Note 2 12" xfId="5112" xr:uid="{00000000-0005-0000-0000-000026140000}"/>
    <cellStyle name="Note 2 13" xfId="5113" xr:uid="{00000000-0005-0000-0000-000027140000}"/>
    <cellStyle name="Note 2 14" xfId="5114" xr:uid="{00000000-0005-0000-0000-000028140000}"/>
    <cellStyle name="Note 2 15" xfId="5115" xr:uid="{00000000-0005-0000-0000-000029140000}"/>
    <cellStyle name="Note 2 16" xfId="5116" xr:uid="{00000000-0005-0000-0000-00002A140000}"/>
    <cellStyle name="Note 2 17" xfId="5117" xr:uid="{00000000-0005-0000-0000-00002B140000}"/>
    <cellStyle name="Note 2 2" xfId="5118" xr:uid="{00000000-0005-0000-0000-00002C140000}"/>
    <cellStyle name="Note 2 2 2" xfId="5119" xr:uid="{00000000-0005-0000-0000-00002D140000}"/>
    <cellStyle name="Note 2 3" xfId="5120" xr:uid="{00000000-0005-0000-0000-00002E140000}"/>
    <cellStyle name="Note 2 3 2" xfId="5121" xr:uid="{00000000-0005-0000-0000-00002F140000}"/>
    <cellStyle name="Note 2 3 3" xfId="5122" xr:uid="{00000000-0005-0000-0000-000030140000}"/>
    <cellStyle name="Note 2 4" xfId="5123" xr:uid="{00000000-0005-0000-0000-000031140000}"/>
    <cellStyle name="Note 2 5" xfId="5124" xr:uid="{00000000-0005-0000-0000-000032140000}"/>
    <cellStyle name="Note 2 6" xfId="5125" xr:uid="{00000000-0005-0000-0000-000033140000}"/>
    <cellStyle name="Note 2 7" xfId="5126" xr:uid="{00000000-0005-0000-0000-000034140000}"/>
    <cellStyle name="Note 2 8" xfId="5127" xr:uid="{00000000-0005-0000-0000-000035140000}"/>
    <cellStyle name="Note 2 9" xfId="5128" xr:uid="{00000000-0005-0000-0000-000036140000}"/>
    <cellStyle name="Note 2_PrimaryEnergyPrices_TIMES" xfId="5129" xr:uid="{00000000-0005-0000-0000-000037140000}"/>
    <cellStyle name="Note 20" xfId="5130" xr:uid="{00000000-0005-0000-0000-000038140000}"/>
    <cellStyle name="Note 21" xfId="5131" xr:uid="{00000000-0005-0000-0000-000039140000}"/>
    <cellStyle name="Note 22" xfId="5132" xr:uid="{00000000-0005-0000-0000-00003A140000}"/>
    <cellStyle name="Note 23" xfId="5133" xr:uid="{00000000-0005-0000-0000-00003B140000}"/>
    <cellStyle name="Note 24" xfId="5134" xr:uid="{00000000-0005-0000-0000-00003C140000}"/>
    <cellStyle name="Note 25" xfId="5135" xr:uid="{00000000-0005-0000-0000-00003D140000}"/>
    <cellStyle name="Note 26" xfId="5136" xr:uid="{00000000-0005-0000-0000-00003E140000}"/>
    <cellStyle name="Note 27" xfId="5137" xr:uid="{00000000-0005-0000-0000-00003F140000}"/>
    <cellStyle name="Note 28" xfId="5138" xr:uid="{00000000-0005-0000-0000-000040140000}"/>
    <cellStyle name="Note 29" xfId="5139" xr:uid="{00000000-0005-0000-0000-000041140000}"/>
    <cellStyle name="Note 3" xfId="5140" xr:uid="{00000000-0005-0000-0000-000042140000}"/>
    <cellStyle name="Note 3 2" xfId="5141" xr:uid="{00000000-0005-0000-0000-000043140000}"/>
    <cellStyle name="Note 3 2 2" xfId="5142" xr:uid="{00000000-0005-0000-0000-000044140000}"/>
    <cellStyle name="Note 3 3" xfId="5143" xr:uid="{00000000-0005-0000-0000-000045140000}"/>
    <cellStyle name="Note 3 4" xfId="5144" xr:uid="{00000000-0005-0000-0000-000046140000}"/>
    <cellStyle name="Note 3 4 2" xfId="5145" xr:uid="{00000000-0005-0000-0000-000047140000}"/>
    <cellStyle name="Note 3 4 3" xfId="5146" xr:uid="{00000000-0005-0000-0000-000048140000}"/>
    <cellStyle name="Note 3 5" xfId="5147" xr:uid="{00000000-0005-0000-0000-000049140000}"/>
    <cellStyle name="Note 3 6" xfId="5148" xr:uid="{00000000-0005-0000-0000-00004A140000}"/>
    <cellStyle name="Note 3 7" xfId="5149" xr:uid="{00000000-0005-0000-0000-00004B140000}"/>
    <cellStyle name="Note 30" xfId="5150" xr:uid="{00000000-0005-0000-0000-00004C140000}"/>
    <cellStyle name="Note 31" xfId="5151" xr:uid="{00000000-0005-0000-0000-00004D140000}"/>
    <cellStyle name="Note 32" xfId="5152" xr:uid="{00000000-0005-0000-0000-00004E140000}"/>
    <cellStyle name="Note 33" xfId="5153" xr:uid="{00000000-0005-0000-0000-00004F140000}"/>
    <cellStyle name="Note 34" xfId="5154" xr:uid="{00000000-0005-0000-0000-000050140000}"/>
    <cellStyle name="Note 35" xfId="5155" xr:uid="{00000000-0005-0000-0000-000051140000}"/>
    <cellStyle name="Note 36" xfId="5156" xr:uid="{00000000-0005-0000-0000-000052140000}"/>
    <cellStyle name="Note 37" xfId="5157" xr:uid="{00000000-0005-0000-0000-000053140000}"/>
    <cellStyle name="Note 38" xfId="5158" xr:uid="{00000000-0005-0000-0000-000054140000}"/>
    <cellStyle name="Note 39" xfId="5159" xr:uid="{00000000-0005-0000-0000-000055140000}"/>
    <cellStyle name="Note 4" xfId="5160" xr:uid="{00000000-0005-0000-0000-000056140000}"/>
    <cellStyle name="Note 4 2" xfId="5161" xr:uid="{00000000-0005-0000-0000-000057140000}"/>
    <cellStyle name="Note 4 3" xfId="5162" xr:uid="{00000000-0005-0000-0000-000058140000}"/>
    <cellStyle name="Note 4 3 2" xfId="5163" xr:uid="{00000000-0005-0000-0000-000059140000}"/>
    <cellStyle name="Note 4 3_ELC_final" xfId="5164" xr:uid="{00000000-0005-0000-0000-00005A140000}"/>
    <cellStyle name="Note 4 4" xfId="5165" xr:uid="{00000000-0005-0000-0000-00005B140000}"/>
    <cellStyle name="Note 4_ELC_final" xfId="5166" xr:uid="{00000000-0005-0000-0000-00005C140000}"/>
    <cellStyle name="Note 40" xfId="5167" xr:uid="{00000000-0005-0000-0000-00005D140000}"/>
    <cellStyle name="Note 41" xfId="5168" xr:uid="{00000000-0005-0000-0000-00005E140000}"/>
    <cellStyle name="Note 5" xfId="5169" xr:uid="{00000000-0005-0000-0000-00005F140000}"/>
    <cellStyle name="Note 5 2" xfId="5170" xr:uid="{00000000-0005-0000-0000-000060140000}"/>
    <cellStyle name="Note 5 3" xfId="5171" xr:uid="{00000000-0005-0000-0000-000061140000}"/>
    <cellStyle name="Note 5 3 2" xfId="5172" xr:uid="{00000000-0005-0000-0000-000062140000}"/>
    <cellStyle name="Note 5 3_ELC_final" xfId="5173" xr:uid="{00000000-0005-0000-0000-000063140000}"/>
    <cellStyle name="Note 5 4" xfId="5174" xr:uid="{00000000-0005-0000-0000-000064140000}"/>
    <cellStyle name="Note 5_ELC_final" xfId="5175" xr:uid="{00000000-0005-0000-0000-000065140000}"/>
    <cellStyle name="Note 6" xfId="5176" xr:uid="{00000000-0005-0000-0000-000066140000}"/>
    <cellStyle name="Note 6 2" xfId="5177" xr:uid="{00000000-0005-0000-0000-000067140000}"/>
    <cellStyle name="Note 6 3" xfId="5178" xr:uid="{00000000-0005-0000-0000-000068140000}"/>
    <cellStyle name="Note 6 3 2" xfId="5179" xr:uid="{00000000-0005-0000-0000-000069140000}"/>
    <cellStyle name="Note 6 3_ELC_final" xfId="5180" xr:uid="{00000000-0005-0000-0000-00006A140000}"/>
    <cellStyle name="Note 6 4" xfId="5181" xr:uid="{00000000-0005-0000-0000-00006B140000}"/>
    <cellStyle name="Note 6_ELC_final" xfId="5182" xr:uid="{00000000-0005-0000-0000-00006C140000}"/>
    <cellStyle name="Note 7" xfId="5183" xr:uid="{00000000-0005-0000-0000-00006D140000}"/>
    <cellStyle name="Note 7 2" xfId="5184" xr:uid="{00000000-0005-0000-0000-00006E140000}"/>
    <cellStyle name="Note 7 2 2" xfId="5185" xr:uid="{00000000-0005-0000-0000-00006F140000}"/>
    <cellStyle name="Note 7 3" xfId="5186" xr:uid="{00000000-0005-0000-0000-000070140000}"/>
    <cellStyle name="Note 7 3 2" xfId="5187" xr:uid="{00000000-0005-0000-0000-000071140000}"/>
    <cellStyle name="Note 7 3_ELC_final" xfId="5188" xr:uid="{00000000-0005-0000-0000-000072140000}"/>
    <cellStyle name="Note 7 4" xfId="5189" xr:uid="{00000000-0005-0000-0000-000073140000}"/>
    <cellStyle name="Note 7 5" xfId="5190" xr:uid="{00000000-0005-0000-0000-000074140000}"/>
    <cellStyle name="Note 7_ELC_final" xfId="5191" xr:uid="{00000000-0005-0000-0000-000075140000}"/>
    <cellStyle name="Note 8" xfId="5192" xr:uid="{00000000-0005-0000-0000-000076140000}"/>
    <cellStyle name="Note 8 2" xfId="5193" xr:uid="{00000000-0005-0000-0000-000077140000}"/>
    <cellStyle name="Note 8 2 2" xfId="5194" xr:uid="{00000000-0005-0000-0000-000078140000}"/>
    <cellStyle name="Note 8 3" xfId="5195" xr:uid="{00000000-0005-0000-0000-000079140000}"/>
    <cellStyle name="Note 8 3 2" xfId="5196" xr:uid="{00000000-0005-0000-0000-00007A140000}"/>
    <cellStyle name="Note 8 3_ELC_final" xfId="5197" xr:uid="{00000000-0005-0000-0000-00007B140000}"/>
    <cellStyle name="Note 8 4" xfId="5198" xr:uid="{00000000-0005-0000-0000-00007C140000}"/>
    <cellStyle name="Note 8 5" xfId="5199" xr:uid="{00000000-0005-0000-0000-00007D140000}"/>
    <cellStyle name="Note 8_ELC_final" xfId="5200" xr:uid="{00000000-0005-0000-0000-00007E140000}"/>
    <cellStyle name="Note 9" xfId="5201" xr:uid="{00000000-0005-0000-0000-00007F140000}"/>
    <cellStyle name="Note 9 2" xfId="5202" xr:uid="{00000000-0005-0000-0000-000080140000}"/>
    <cellStyle name="Note 9 3" xfId="5203" xr:uid="{00000000-0005-0000-0000-000081140000}"/>
    <cellStyle name="Note 9 3 2" xfId="5204" xr:uid="{00000000-0005-0000-0000-000082140000}"/>
    <cellStyle name="Note 9 3_ELC_final" xfId="5205" xr:uid="{00000000-0005-0000-0000-000083140000}"/>
    <cellStyle name="Note 9 4" xfId="5206" xr:uid="{00000000-0005-0000-0000-000084140000}"/>
    <cellStyle name="Note 9 5" xfId="5207" xr:uid="{00000000-0005-0000-0000-000085140000}"/>
    <cellStyle name="Note 9_ELC_final" xfId="5208" xr:uid="{00000000-0005-0000-0000-000086140000}"/>
    <cellStyle name="Notiz" xfId="5209" xr:uid="{00000000-0005-0000-0000-000087140000}"/>
    <cellStyle name="Notiz 2" xfId="5210" xr:uid="{00000000-0005-0000-0000-000088140000}"/>
    <cellStyle name="Notiz 3" xfId="5211" xr:uid="{00000000-0005-0000-0000-000089140000}"/>
    <cellStyle name="num_note" xfId="5212" xr:uid="{00000000-0005-0000-0000-00008A140000}"/>
    <cellStyle name="Nuovo" xfId="5213" xr:uid="{00000000-0005-0000-0000-00008B140000}"/>
    <cellStyle name="Nuovo 10" xfId="5214" xr:uid="{00000000-0005-0000-0000-00008C140000}"/>
    <cellStyle name="Nuovo 11" xfId="5215" xr:uid="{00000000-0005-0000-0000-00008D140000}"/>
    <cellStyle name="Nuovo 12" xfId="5216" xr:uid="{00000000-0005-0000-0000-00008E140000}"/>
    <cellStyle name="Nuovo 13" xfId="5217" xr:uid="{00000000-0005-0000-0000-00008F140000}"/>
    <cellStyle name="Nuovo 14" xfId="5218" xr:uid="{00000000-0005-0000-0000-000090140000}"/>
    <cellStyle name="Nuovo 15" xfId="5219" xr:uid="{00000000-0005-0000-0000-000091140000}"/>
    <cellStyle name="Nuovo 16" xfId="5220" xr:uid="{00000000-0005-0000-0000-000092140000}"/>
    <cellStyle name="Nuovo 17" xfId="5221" xr:uid="{00000000-0005-0000-0000-000093140000}"/>
    <cellStyle name="Nuovo 18" xfId="5222" xr:uid="{00000000-0005-0000-0000-000094140000}"/>
    <cellStyle name="Nuovo 19" xfId="5223" xr:uid="{00000000-0005-0000-0000-000095140000}"/>
    <cellStyle name="Nuovo 2" xfId="5224" xr:uid="{00000000-0005-0000-0000-000096140000}"/>
    <cellStyle name="Nuovo 2 2" xfId="5225" xr:uid="{00000000-0005-0000-0000-000097140000}"/>
    <cellStyle name="Nuovo 2 3" xfId="5226" xr:uid="{00000000-0005-0000-0000-000098140000}"/>
    <cellStyle name="Nuovo 20" xfId="5227" xr:uid="{00000000-0005-0000-0000-000099140000}"/>
    <cellStyle name="Nuovo 21" xfId="5228" xr:uid="{00000000-0005-0000-0000-00009A140000}"/>
    <cellStyle name="Nuovo 22" xfId="5229" xr:uid="{00000000-0005-0000-0000-00009B140000}"/>
    <cellStyle name="Nuovo 23" xfId="5230" xr:uid="{00000000-0005-0000-0000-00009C140000}"/>
    <cellStyle name="Nuovo 24" xfId="5231" xr:uid="{00000000-0005-0000-0000-00009D140000}"/>
    <cellStyle name="Nuovo 25" xfId="5232" xr:uid="{00000000-0005-0000-0000-00009E140000}"/>
    <cellStyle name="Nuovo 26" xfId="5233" xr:uid="{00000000-0005-0000-0000-00009F140000}"/>
    <cellStyle name="Nuovo 27" xfId="5234" xr:uid="{00000000-0005-0000-0000-0000A0140000}"/>
    <cellStyle name="Nuovo 28" xfId="5235" xr:uid="{00000000-0005-0000-0000-0000A1140000}"/>
    <cellStyle name="Nuovo 29" xfId="5236" xr:uid="{00000000-0005-0000-0000-0000A2140000}"/>
    <cellStyle name="Nuovo 3" xfId="5237" xr:uid="{00000000-0005-0000-0000-0000A3140000}"/>
    <cellStyle name="Nuovo 30" xfId="5238" xr:uid="{00000000-0005-0000-0000-0000A4140000}"/>
    <cellStyle name="Nuovo 31" xfId="5239" xr:uid="{00000000-0005-0000-0000-0000A5140000}"/>
    <cellStyle name="Nuovo 32" xfId="5240" xr:uid="{00000000-0005-0000-0000-0000A6140000}"/>
    <cellStyle name="Nuovo 33" xfId="5241" xr:uid="{00000000-0005-0000-0000-0000A7140000}"/>
    <cellStyle name="Nuovo 34" xfId="5242" xr:uid="{00000000-0005-0000-0000-0000A8140000}"/>
    <cellStyle name="Nuovo 35" xfId="5243" xr:uid="{00000000-0005-0000-0000-0000A9140000}"/>
    <cellStyle name="Nuovo 36" xfId="5244" xr:uid="{00000000-0005-0000-0000-0000AA140000}"/>
    <cellStyle name="Nuovo 37" xfId="5245" xr:uid="{00000000-0005-0000-0000-0000AB140000}"/>
    <cellStyle name="Nuovo 38" xfId="5246" xr:uid="{00000000-0005-0000-0000-0000AC140000}"/>
    <cellStyle name="Nuovo 4" xfId="5247" xr:uid="{00000000-0005-0000-0000-0000AD140000}"/>
    <cellStyle name="Nuovo 4 2" xfId="5248" xr:uid="{00000000-0005-0000-0000-0000AE140000}"/>
    <cellStyle name="Nuovo 5" xfId="5249" xr:uid="{00000000-0005-0000-0000-0000AF140000}"/>
    <cellStyle name="Nuovo 6" xfId="5250" xr:uid="{00000000-0005-0000-0000-0000B0140000}"/>
    <cellStyle name="Nuovo 7" xfId="5251" xr:uid="{00000000-0005-0000-0000-0000B1140000}"/>
    <cellStyle name="Nuovo 8" xfId="5252" xr:uid="{00000000-0005-0000-0000-0000B2140000}"/>
    <cellStyle name="Nuovo 9" xfId="5253" xr:uid="{00000000-0005-0000-0000-0000B3140000}"/>
    <cellStyle name="Összesen" xfId="5254" xr:uid="{00000000-0005-0000-0000-0000B4140000}"/>
    <cellStyle name="Output 10" xfId="5255" xr:uid="{00000000-0005-0000-0000-0000B5140000}"/>
    <cellStyle name="Output 11" xfId="5256" xr:uid="{00000000-0005-0000-0000-0000B6140000}"/>
    <cellStyle name="Output 12" xfId="5257" xr:uid="{00000000-0005-0000-0000-0000B7140000}"/>
    <cellStyle name="Output 13" xfId="5258" xr:uid="{00000000-0005-0000-0000-0000B8140000}"/>
    <cellStyle name="Output 14" xfId="5259" xr:uid="{00000000-0005-0000-0000-0000B9140000}"/>
    <cellStyle name="Output 15" xfId="5260" xr:uid="{00000000-0005-0000-0000-0000BA140000}"/>
    <cellStyle name="Output 16" xfId="5261" xr:uid="{00000000-0005-0000-0000-0000BB140000}"/>
    <cellStyle name="Output 17" xfId="5262" xr:uid="{00000000-0005-0000-0000-0000BC140000}"/>
    <cellStyle name="Output 18" xfId="5263" xr:uid="{00000000-0005-0000-0000-0000BD140000}"/>
    <cellStyle name="Output 19" xfId="5264" xr:uid="{00000000-0005-0000-0000-0000BE140000}"/>
    <cellStyle name="Output 2" xfId="5265" xr:uid="{00000000-0005-0000-0000-0000BF140000}"/>
    <cellStyle name="Output 2 10" xfId="5266" xr:uid="{00000000-0005-0000-0000-0000C0140000}"/>
    <cellStyle name="Output 2 2" xfId="5267" xr:uid="{00000000-0005-0000-0000-0000C1140000}"/>
    <cellStyle name="Output 2 3" xfId="5268" xr:uid="{00000000-0005-0000-0000-0000C2140000}"/>
    <cellStyle name="Output 2 4" xfId="5269" xr:uid="{00000000-0005-0000-0000-0000C3140000}"/>
    <cellStyle name="Output 2 5" xfId="5270" xr:uid="{00000000-0005-0000-0000-0000C4140000}"/>
    <cellStyle name="Output 2 6" xfId="5271" xr:uid="{00000000-0005-0000-0000-0000C5140000}"/>
    <cellStyle name="Output 2 7" xfId="5272" xr:uid="{00000000-0005-0000-0000-0000C6140000}"/>
    <cellStyle name="Output 2 8" xfId="5273" xr:uid="{00000000-0005-0000-0000-0000C7140000}"/>
    <cellStyle name="Output 2 9" xfId="5274" xr:uid="{00000000-0005-0000-0000-0000C8140000}"/>
    <cellStyle name="Output 20" xfId="5275" xr:uid="{00000000-0005-0000-0000-0000C9140000}"/>
    <cellStyle name="Output 21" xfId="5276" xr:uid="{00000000-0005-0000-0000-0000CA140000}"/>
    <cellStyle name="Output 22" xfId="5277" xr:uid="{00000000-0005-0000-0000-0000CB140000}"/>
    <cellStyle name="Output 23" xfId="5278" xr:uid="{00000000-0005-0000-0000-0000CC140000}"/>
    <cellStyle name="Output 24" xfId="5279" xr:uid="{00000000-0005-0000-0000-0000CD140000}"/>
    <cellStyle name="Output 25" xfId="5280" xr:uid="{00000000-0005-0000-0000-0000CE140000}"/>
    <cellStyle name="Output 26" xfId="5281" xr:uid="{00000000-0005-0000-0000-0000CF140000}"/>
    <cellStyle name="Output 27" xfId="5282" xr:uid="{00000000-0005-0000-0000-0000D0140000}"/>
    <cellStyle name="Output 28" xfId="5283" xr:uid="{00000000-0005-0000-0000-0000D1140000}"/>
    <cellStyle name="Output 29" xfId="5284" xr:uid="{00000000-0005-0000-0000-0000D2140000}"/>
    <cellStyle name="Output 3" xfId="5285" xr:uid="{00000000-0005-0000-0000-0000D3140000}"/>
    <cellStyle name="Output 3 2" xfId="5286" xr:uid="{00000000-0005-0000-0000-0000D4140000}"/>
    <cellStyle name="Output 3 3" xfId="5287" xr:uid="{00000000-0005-0000-0000-0000D5140000}"/>
    <cellStyle name="Output 3 4" xfId="5288" xr:uid="{00000000-0005-0000-0000-0000D6140000}"/>
    <cellStyle name="Output 3 5" xfId="5289" xr:uid="{00000000-0005-0000-0000-0000D7140000}"/>
    <cellStyle name="Output 30" xfId="5290" xr:uid="{00000000-0005-0000-0000-0000D8140000}"/>
    <cellStyle name="Output 31" xfId="5291" xr:uid="{00000000-0005-0000-0000-0000D9140000}"/>
    <cellStyle name="Output 32" xfId="5292" xr:uid="{00000000-0005-0000-0000-0000DA140000}"/>
    <cellStyle name="Output 33" xfId="5293" xr:uid="{00000000-0005-0000-0000-0000DB140000}"/>
    <cellStyle name="Output 34" xfId="5294" xr:uid="{00000000-0005-0000-0000-0000DC140000}"/>
    <cellStyle name="Output 35" xfId="5295" xr:uid="{00000000-0005-0000-0000-0000DD140000}"/>
    <cellStyle name="Output 36" xfId="5296" xr:uid="{00000000-0005-0000-0000-0000DE140000}"/>
    <cellStyle name="Output 37" xfId="5297" xr:uid="{00000000-0005-0000-0000-0000DF140000}"/>
    <cellStyle name="Output 38" xfId="5298" xr:uid="{00000000-0005-0000-0000-0000E0140000}"/>
    <cellStyle name="Output 39" xfId="5299" xr:uid="{00000000-0005-0000-0000-0000E1140000}"/>
    <cellStyle name="Output 4" xfId="5300" xr:uid="{00000000-0005-0000-0000-0000E2140000}"/>
    <cellStyle name="Output 40" xfId="5301" xr:uid="{00000000-0005-0000-0000-0000E3140000}"/>
    <cellStyle name="Output 41" xfId="5302" xr:uid="{00000000-0005-0000-0000-0000E4140000}"/>
    <cellStyle name="Output 42" xfId="5303" xr:uid="{00000000-0005-0000-0000-0000E5140000}"/>
    <cellStyle name="Output 43" xfId="5304" xr:uid="{00000000-0005-0000-0000-0000E6140000}"/>
    <cellStyle name="Output 5" xfId="5305" xr:uid="{00000000-0005-0000-0000-0000E7140000}"/>
    <cellStyle name="Output 6" xfId="5306" xr:uid="{00000000-0005-0000-0000-0000E8140000}"/>
    <cellStyle name="Output 7" xfId="5307" xr:uid="{00000000-0005-0000-0000-0000E9140000}"/>
    <cellStyle name="Output 8" xfId="5308" xr:uid="{00000000-0005-0000-0000-0000EA140000}"/>
    <cellStyle name="Output 9" xfId="5309" xr:uid="{00000000-0005-0000-0000-0000EB140000}"/>
    <cellStyle name="Pattern" xfId="5310" xr:uid="{00000000-0005-0000-0000-0000EC140000}"/>
    <cellStyle name="Percent 10" xfId="5311" xr:uid="{00000000-0005-0000-0000-0000ED140000}"/>
    <cellStyle name="Percent 10 10" xfId="5312" xr:uid="{00000000-0005-0000-0000-0000EE140000}"/>
    <cellStyle name="Percent 10 11" xfId="5313" xr:uid="{00000000-0005-0000-0000-0000EF140000}"/>
    <cellStyle name="Percent 10 12" xfId="5314" xr:uid="{00000000-0005-0000-0000-0000F0140000}"/>
    <cellStyle name="Percent 10 12 2" xfId="5315" xr:uid="{00000000-0005-0000-0000-0000F1140000}"/>
    <cellStyle name="Percent 10 13" xfId="5316" xr:uid="{00000000-0005-0000-0000-0000F2140000}"/>
    <cellStyle name="Percent 10 13 2" xfId="5317" xr:uid="{00000000-0005-0000-0000-0000F3140000}"/>
    <cellStyle name="Percent 10 14" xfId="5318" xr:uid="{00000000-0005-0000-0000-0000F4140000}"/>
    <cellStyle name="Percent 10 14 2" xfId="5319" xr:uid="{00000000-0005-0000-0000-0000F5140000}"/>
    <cellStyle name="Percent 10 15" xfId="5320" xr:uid="{00000000-0005-0000-0000-0000F6140000}"/>
    <cellStyle name="Percent 10 15 2" xfId="5321" xr:uid="{00000000-0005-0000-0000-0000F7140000}"/>
    <cellStyle name="Percent 10 16" xfId="5322" xr:uid="{00000000-0005-0000-0000-0000F8140000}"/>
    <cellStyle name="Percent 10 16 2" xfId="5323" xr:uid="{00000000-0005-0000-0000-0000F9140000}"/>
    <cellStyle name="Percent 10 17" xfId="5324" xr:uid="{00000000-0005-0000-0000-0000FA140000}"/>
    <cellStyle name="Percent 10 17 2" xfId="5325" xr:uid="{00000000-0005-0000-0000-0000FB140000}"/>
    <cellStyle name="Percent 10 18" xfId="5326" xr:uid="{00000000-0005-0000-0000-0000FC140000}"/>
    <cellStyle name="Percent 10 18 2" xfId="5327" xr:uid="{00000000-0005-0000-0000-0000FD140000}"/>
    <cellStyle name="Percent 10 19" xfId="5328" xr:uid="{00000000-0005-0000-0000-0000FE140000}"/>
    <cellStyle name="Percent 10 19 2" xfId="5329" xr:uid="{00000000-0005-0000-0000-0000FF140000}"/>
    <cellStyle name="Percent 10 2" xfId="5330" xr:uid="{00000000-0005-0000-0000-000000150000}"/>
    <cellStyle name="Percent 10 2 2" xfId="5331" xr:uid="{00000000-0005-0000-0000-000001150000}"/>
    <cellStyle name="Percent 10 2 2 2" xfId="5332" xr:uid="{00000000-0005-0000-0000-000002150000}"/>
    <cellStyle name="Percent 10 2 3" xfId="5333" xr:uid="{00000000-0005-0000-0000-000003150000}"/>
    <cellStyle name="Percent 10 2 3 2" xfId="5334" xr:uid="{00000000-0005-0000-0000-000004150000}"/>
    <cellStyle name="Percent 10 2 4" xfId="5335" xr:uid="{00000000-0005-0000-0000-000005150000}"/>
    <cellStyle name="Percent 10 2 5" xfId="5336" xr:uid="{00000000-0005-0000-0000-000006150000}"/>
    <cellStyle name="Percent 10 20" xfId="5337" xr:uid="{00000000-0005-0000-0000-000007150000}"/>
    <cellStyle name="Percent 10 20 2" xfId="5338" xr:uid="{00000000-0005-0000-0000-000008150000}"/>
    <cellStyle name="Percent 10 3" xfId="5339" xr:uid="{00000000-0005-0000-0000-000009150000}"/>
    <cellStyle name="Percent 10 3 2" xfId="5340" xr:uid="{00000000-0005-0000-0000-00000A150000}"/>
    <cellStyle name="Percent 10 3 2 2" xfId="5341" xr:uid="{00000000-0005-0000-0000-00000B150000}"/>
    <cellStyle name="Percent 10 3 3" xfId="5342" xr:uid="{00000000-0005-0000-0000-00000C150000}"/>
    <cellStyle name="Percent 10 3 3 2" xfId="5343" xr:uid="{00000000-0005-0000-0000-00000D150000}"/>
    <cellStyle name="Percent 10 3 4" xfId="5344" xr:uid="{00000000-0005-0000-0000-00000E150000}"/>
    <cellStyle name="Percent 10 3 5" xfId="5345" xr:uid="{00000000-0005-0000-0000-00000F150000}"/>
    <cellStyle name="Percent 10 4" xfId="5346" xr:uid="{00000000-0005-0000-0000-000010150000}"/>
    <cellStyle name="Percent 10 4 2" xfId="5347" xr:uid="{00000000-0005-0000-0000-000011150000}"/>
    <cellStyle name="Percent 10 4 2 2" xfId="5348" xr:uid="{00000000-0005-0000-0000-000012150000}"/>
    <cellStyle name="Percent 10 4 3" xfId="5349" xr:uid="{00000000-0005-0000-0000-000013150000}"/>
    <cellStyle name="Percent 10 4 3 2" xfId="5350" xr:uid="{00000000-0005-0000-0000-000014150000}"/>
    <cellStyle name="Percent 10 4 4" xfId="5351" xr:uid="{00000000-0005-0000-0000-000015150000}"/>
    <cellStyle name="Percent 10 4 5" xfId="5352" xr:uid="{00000000-0005-0000-0000-000016150000}"/>
    <cellStyle name="Percent 10 5" xfId="5353" xr:uid="{00000000-0005-0000-0000-000017150000}"/>
    <cellStyle name="Percent 10 5 2" xfId="5354" xr:uid="{00000000-0005-0000-0000-000018150000}"/>
    <cellStyle name="Percent 10 5 2 2" xfId="5355" xr:uid="{00000000-0005-0000-0000-000019150000}"/>
    <cellStyle name="Percent 10 5 3" xfId="5356" xr:uid="{00000000-0005-0000-0000-00001A150000}"/>
    <cellStyle name="Percent 10 5 3 2" xfId="5357" xr:uid="{00000000-0005-0000-0000-00001B150000}"/>
    <cellStyle name="Percent 10 5 4" xfId="5358" xr:uid="{00000000-0005-0000-0000-00001C150000}"/>
    <cellStyle name="Percent 10 5 5" xfId="5359" xr:uid="{00000000-0005-0000-0000-00001D150000}"/>
    <cellStyle name="Percent 10 6" xfId="5360" xr:uid="{00000000-0005-0000-0000-00001E150000}"/>
    <cellStyle name="Percent 10 6 2" xfId="5361" xr:uid="{00000000-0005-0000-0000-00001F150000}"/>
    <cellStyle name="Percent 10 6 2 2" xfId="5362" xr:uid="{00000000-0005-0000-0000-000020150000}"/>
    <cellStyle name="Percent 10 6 3" xfId="5363" xr:uid="{00000000-0005-0000-0000-000021150000}"/>
    <cellStyle name="Percent 10 6 3 2" xfId="5364" xr:uid="{00000000-0005-0000-0000-000022150000}"/>
    <cellStyle name="Percent 10 6 4" xfId="5365" xr:uid="{00000000-0005-0000-0000-000023150000}"/>
    <cellStyle name="Percent 10 6 5" xfId="5366" xr:uid="{00000000-0005-0000-0000-000024150000}"/>
    <cellStyle name="Percent 10 7" xfId="5367" xr:uid="{00000000-0005-0000-0000-000025150000}"/>
    <cellStyle name="Percent 10 7 2" xfId="5368" xr:uid="{00000000-0005-0000-0000-000026150000}"/>
    <cellStyle name="Percent 10 7 2 2" xfId="5369" xr:uid="{00000000-0005-0000-0000-000027150000}"/>
    <cellStyle name="Percent 10 7 3" xfId="5370" xr:uid="{00000000-0005-0000-0000-000028150000}"/>
    <cellStyle name="Percent 10 7 3 2" xfId="5371" xr:uid="{00000000-0005-0000-0000-000029150000}"/>
    <cellStyle name="Percent 10 7 4" xfId="5372" xr:uid="{00000000-0005-0000-0000-00002A150000}"/>
    <cellStyle name="Percent 10 7 4 2" xfId="5373" xr:uid="{00000000-0005-0000-0000-00002B150000}"/>
    <cellStyle name="Percent 10 7 5" xfId="5374" xr:uid="{00000000-0005-0000-0000-00002C150000}"/>
    <cellStyle name="Percent 10 7 5 2" xfId="5375" xr:uid="{00000000-0005-0000-0000-00002D150000}"/>
    <cellStyle name="Percent 10 7 6" xfId="5376" xr:uid="{00000000-0005-0000-0000-00002E150000}"/>
    <cellStyle name="Percent 10 7 7" xfId="5377" xr:uid="{00000000-0005-0000-0000-00002F150000}"/>
    <cellStyle name="Percent 10 8" xfId="5378" xr:uid="{00000000-0005-0000-0000-000030150000}"/>
    <cellStyle name="Percent 10 8 2" xfId="5379" xr:uid="{00000000-0005-0000-0000-000031150000}"/>
    <cellStyle name="Percent 10 8 2 2" xfId="5380" xr:uid="{00000000-0005-0000-0000-000032150000}"/>
    <cellStyle name="Percent 10 8 3" xfId="5381" xr:uid="{00000000-0005-0000-0000-000033150000}"/>
    <cellStyle name="Percent 10 8 3 2" xfId="5382" xr:uid="{00000000-0005-0000-0000-000034150000}"/>
    <cellStyle name="Percent 10 8 4" xfId="5383" xr:uid="{00000000-0005-0000-0000-000035150000}"/>
    <cellStyle name="Percent 10 8 5" xfId="5384" xr:uid="{00000000-0005-0000-0000-000036150000}"/>
    <cellStyle name="Percent 10 9" xfId="5385" xr:uid="{00000000-0005-0000-0000-000037150000}"/>
    <cellStyle name="Percent 10 9 2" xfId="5386" xr:uid="{00000000-0005-0000-0000-000038150000}"/>
    <cellStyle name="Percent 11" xfId="5387" xr:uid="{00000000-0005-0000-0000-000039150000}"/>
    <cellStyle name="Percent 11 10" xfId="5388" xr:uid="{00000000-0005-0000-0000-00003A150000}"/>
    <cellStyle name="Percent 11 10 2" xfId="5389" xr:uid="{00000000-0005-0000-0000-00003B150000}"/>
    <cellStyle name="Percent 11 11" xfId="5390" xr:uid="{00000000-0005-0000-0000-00003C150000}"/>
    <cellStyle name="Percent 11 12" xfId="5391" xr:uid="{00000000-0005-0000-0000-00003D150000}"/>
    <cellStyle name="Percent 11 2" xfId="5392" xr:uid="{00000000-0005-0000-0000-00003E150000}"/>
    <cellStyle name="Percent 11 2 2" xfId="5393" xr:uid="{00000000-0005-0000-0000-00003F150000}"/>
    <cellStyle name="Percent 11 2 2 2" xfId="5394" xr:uid="{00000000-0005-0000-0000-000040150000}"/>
    <cellStyle name="Percent 11 2 3" xfId="5395" xr:uid="{00000000-0005-0000-0000-000041150000}"/>
    <cellStyle name="Percent 11 2 3 2" xfId="5396" xr:uid="{00000000-0005-0000-0000-000042150000}"/>
    <cellStyle name="Percent 11 2 4" xfId="5397" xr:uid="{00000000-0005-0000-0000-000043150000}"/>
    <cellStyle name="Percent 11 2 5" xfId="5398" xr:uid="{00000000-0005-0000-0000-000044150000}"/>
    <cellStyle name="Percent 11 3" xfId="5399" xr:uid="{00000000-0005-0000-0000-000045150000}"/>
    <cellStyle name="Percent 11 3 2" xfId="5400" xr:uid="{00000000-0005-0000-0000-000046150000}"/>
    <cellStyle name="Percent 11 3 2 2" xfId="5401" xr:uid="{00000000-0005-0000-0000-000047150000}"/>
    <cellStyle name="Percent 11 3 3" xfId="5402" xr:uid="{00000000-0005-0000-0000-000048150000}"/>
    <cellStyle name="Percent 11 3 3 2" xfId="5403" xr:uid="{00000000-0005-0000-0000-000049150000}"/>
    <cellStyle name="Percent 11 3 4" xfId="5404" xr:uid="{00000000-0005-0000-0000-00004A150000}"/>
    <cellStyle name="Percent 11 3 5" xfId="5405" xr:uid="{00000000-0005-0000-0000-00004B150000}"/>
    <cellStyle name="Percent 11 4" xfId="5406" xr:uid="{00000000-0005-0000-0000-00004C150000}"/>
    <cellStyle name="Percent 11 4 2" xfId="5407" xr:uid="{00000000-0005-0000-0000-00004D150000}"/>
    <cellStyle name="Percent 11 4 2 2" xfId="5408" xr:uid="{00000000-0005-0000-0000-00004E150000}"/>
    <cellStyle name="Percent 11 4 3" xfId="5409" xr:uid="{00000000-0005-0000-0000-00004F150000}"/>
    <cellStyle name="Percent 11 4 3 2" xfId="5410" xr:uid="{00000000-0005-0000-0000-000050150000}"/>
    <cellStyle name="Percent 11 4 4" xfId="5411" xr:uid="{00000000-0005-0000-0000-000051150000}"/>
    <cellStyle name="Percent 11 4 5" xfId="5412" xr:uid="{00000000-0005-0000-0000-000052150000}"/>
    <cellStyle name="Percent 11 5" xfId="5413" xr:uid="{00000000-0005-0000-0000-000053150000}"/>
    <cellStyle name="Percent 11 5 2" xfId="5414" xr:uid="{00000000-0005-0000-0000-000054150000}"/>
    <cellStyle name="Percent 11 5 2 2" xfId="5415" xr:uid="{00000000-0005-0000-0000-000055150000}"/>
    <cellStyle name="Percent 11 5 3" xfId="5416" xr:uid="{00000000-0005-0000-0000-000056150000}"/>
    <cellStyle name="Percent 11 5 3 2" xfId="5417" xr:uid="{00000000-0005-0000-0000-000057150000}"/>
    <cellStyle name="Percent 11 5 4" xfId="5418" xr:uid="{00000000-0005-0000-0000-000058150000}"/>
    <cellStyle name="Percent 11 5 5" xfId="5419" xr:uid="{00000000-0005-0000-0000-000059150000}"/>
    <cellStyle name="Percent 11 6" xfId="5420" xr:uid="{00000000-0005-0000-0000-00005A150000}"/>
    <cellStyle name="Percent 11 6 2" xfId="5421" xr:uid="{00000000-0005-0000-0000-00005B150000}"/>
    <cellStyle name="Percent 11 6 2 2" xfId="5422" xr:uid="{00000000-0005-0000-0000-00005C150000}"/>
    <cellStyle name="Percent 11 6 3" xfId="5423" xr:uid="{00000000-0005-0000-0000-00005D150000}"/>
    <cellStyle name="Percent 11 6 3 2" xfId="5424" xr:uid="{00000000-0005-0000-0000-00005E150000}"/>
    <cellStyle name="Percent 11 6 4" xfId="5425" xr:uid="{00000000-0005-0000-0000-00005F150000}"/>
    <cellStyle name="Percent 11 6 5" xfId="5426" xr:uid="{00000000-0005-0000-0000-000060150000}"/>
    <cellStyle name="Percent 11 7" xfId="5427" xr:uid="{00000000-0005-0000-0000-000061150000}"/>
    <cellStyle name="Percent 11 7 2" xfId="5428" xr:uid="{00000000-0005-0000-0000-000062150000}"/>
    <cellStyle name="Percent 11 7 2 2" xfId="5429" xr:uid="{00000000-0005-0000-0000-000063150000}"/>
    <cellStyle name="Percent 11 7 3" xfId="5430" xr:uid="{00000000-0005-0000-0000-000064150000}"/>
    <cellStyle name="Percent 11 7 3 2" xfId="5431" xr:uid="{00000000-0005-0000-0000-000065150000}"/>
    <cellStyle name="Percent 11 7 4" xfId="5432" xr:uid="{00000000-0005-0000-0000-000066150000}"/>
    <cellStyle name="Percent 11 7 4 2" xfId="5433" xr:uid="{00000000-0005-0000-0000-000067150000}"/>
    <cellStyle name="Percent 11 7 5" xfId="5434" xr:uid="{00000000-0005-0000-0000-000068150000}"/>
    <cellStyle name="Percent 11 7 5 2" xfId="5435" xr:uid="{00000000-0005-0000-0000-000069150000}"/>
    <cellStyle name="Percent 11 7 6" xfId="5436" xr:uid="{00000000-0005-0000-0000-00006A150000}"/>
    <cellStyle name="Percent 11 7 7" xfId="5437" xr:uid="{00000000-0005-0000-0000-00006B150000}"/>
    <cellStyle name="Percent 11 8" xfId="5438" xr:uid="{00000000-0005-0000-0000-00006C150000}"/>
    <cellStyle name="Percent 11 8 2" xfId="5439" xr:uid="{00000000-0005-0000-0000-00006D150000}"/>
    <cellStyle name="Percent 11 8 2 2" xfId="5440" xr:uid="{00000000-0005-0000-0000-00006E150000}"/>
    <cellStyle name="Percent 11 8 3" xfId="5441" xr:uid="{00000000-0005-0000-0000-00006F150000}"/>
    <cellStyle name="Percent 11 8 3 2" xfId="5442" xr:uid="{00000000-0005-0000-0000-000070150000}"/>
    <cellStyle name="Percent 11 8 4" xfId="5443" xr:uid="{00000000-0005-0000-0000-000071150000}"/>
    <cellStyle name="Percent 11 8 5" xfId="5444" xr:uid="{00000000-0005-0000-0000-000072150000}"/>
    <cellStyle name="Percent 11 9" xfId="5445" xr:uid="{00000000-0005-0000-0000-000073150000}"/>
    <cellStyle name="Percent 11 9 2" xfId="5446" xr:uid="{00000000-0005-0000-0000-000074150000}"/>
    <cellStyle name="Percent 12" xfId="5447" xr:uid="{00000000-0005-0000-0000-000075150000}"/>
    <cellStyle name="Percent 12 10" xfId="5448" xr:uid="{00000000-0005-0000-0000-000076150000}"/>
    <cellStyle name="Percent 12 10 2" xfId="5449" xr:uid="{00000000-0005-0000-0000-000077150000}"/>
    <cellStyle name="Percent 12 11" xfId="5450" xr:uid="{00000000-0005-0000-0000-000078150000}"/>
    <cellStyle name="Percent 12 12" xfId="5451" xr:uid="{00000000-0005-0000-0000-000079150000}"/>
    <cellStyle name="Percent 12 2" xfId="5452" xr:uid="{00000000-0005-0000-0000-00007A150000}"/>
    <cellStyle name="Percent 12 2 2" xfId="5453" xr:uid="{00000000-0005-0000-0000-00007B150000}"/>
    <cellStyle name="Percent 12 2 2 2" xfId="5454" xr:uid="{00000000-0005-0000-0000-00007C150000}"/>
    <cellStyle name="Percent 12 2 3" xfId="5455" xr:uid="{00000000-0005-0000-0000-00007D150000}"/>
    <cellStyle name="Percent 12 2 3 2" xfId="5456" xr:uid="{00000000-0005-0000-0000-00007E150000}"/>
    <cellStyle name="Percent 12 2 4" xfId="5457" xr:uid="{00000000-0005-0000-0000-00007F150000}"/>
    <cellStyle name="Percent 12 2 5" xfId="5458" xr:uid="{00000000-0005-0000-0000-000080150000}"/>
    <cellStyle name="Percent 12 3" xfId="5459" xr:uid="{00000000-0005-0000-0000-000081150000}"/>
    <cellStyle name="Percent 12 3 2" xfId="5460" xr:uid="{00000000-0005-0000-0000-000082150000}"/>
    <cellStyle name="Percent 12 3 2 2" xfId="5461" xr:uid="{00000000-0005-0000-0000-000083150000}"/>
    <cellStyle name="Percent 12 3 3" xfId="5462" xr:uid="{00000000-0005-0000-0000-000084150000}"/>
    <cellStyle name="Percent 12 3 3 2" xfId="5463" xr:uid="{00000000-0005-0000-0000-000085150000}"/>
    <cellStyle name="Percent 12 3 4" xfId="5464" xr:uid="{00000000-0005-0000-0000-000086150000}"/>
    <cellStyle name="Percent 12 3 5" xfId="5465" xr:uid="{00000000-0005-0000-0000-000087150000}"/>
    <cellStyle name="Percent 12 4" xfId="5466" xr:uid="{00000000-0005-0000-0000-000088150000}"/>
    <cellStyle name="Percent 12 4 2" xfId="5467" xr:uid="{00000000-0005-0000-0000-000089150000}"/>
    <cellStyle name="Percent 12 4 2 2" xfId="5468" xr:uid="{00000000-0005-0000-0000-00008A150000}"/>
    <cellStyle name="Percent 12 4 3" xfId="5469" xr:uid="{00000000-0005-0000-0000-00008B150000}"/>
    <cellStyle name="Percent 12 4 3 2" xfId="5470" xr:uid="{00000000-0005-0000-0000-00008C150000}"/>
    <cellStyle name="Percent 12 4 4" xfId="5471" xr:uid="{00000000-0005-0000-0000-00008D150000}"/>
    <cellStyle name="Percent 12 4 5" xfId="5472" xr:uid="{00000000-0005-0000-0000-00008E150000}"/>
    <cellStyle name="Percent 12 5" xfId="5473" xr:uid="{00000000-0005-0000-0000-00008F150000}"/>
    <cellStyle name="Percent 12 5 2" xfId="5474" xr:uid="{00000000-0005-0000-0000-000090150000}"/>
    <cellStyle name="Percent 12 5 2 2" xfId="5475" xr:uid="{00000000-0005-0000-0000-000091150000}"/>
    <cellStyle name="Percent 12 5 3" xfId="5476" xr:uid="{00000000-0005-0000-0000-000092150000}"/>
    <cellStyle name="Percent 12 5 3 2" xfId="5477" xr:uid="{00000000-0005-0000-0000-000093150000}"/>
    <cellStyle name="Percent 12 5 4" xfId="5478" xr:uid="{00000000-0005-0000-0000-000094150000}"/>
    <cellStyle name="Percent 12 5 5" xfId="5479" xr:uid="{00000000-0005-0000-0000-000095150000}"/>
    <cellStyle name="Percent 12 6" xfId="5480" xr:uid="{00000000-0005-0000-0000-000096150000}"/>
    <cellStyle name="Percent 12 6 2" xfId="5481" xr:uid="{00000000-0005-0000-0000-000097150000}"/>
    <cellStyle name="Percent 12 6 2 2" xfId="5482" xr:uid="{00000000-0005-0000-0000-000098150000}"/>
    <cellStyle name="Percent 12 6 3" xfId="5483" xr:uid="{00000000-0005-0000-0000-000099150000}"/>
    <cellStyle name="Percent 12 6 3 2" xfId="5484" xr:uid="{00000000-0005-0000-0000-00009A150000}"/>
    <cellStyle name="Percent 12 6 4" xfId="5485" xr:uid="{00000000-0005-0000-0000-00009B150000}"/>
    <cellStyle name="Percent 12 6 5" xfId="5486" xr:uid="{00000000-0005-0000-0000-00009C150000}"/>
    <cellStyle name="Percent 12 7" xfId="5487" xr:uid="{00000000-0005-0000-0000-00009D150000}"/>
    <cellStyle name="Percent 12 7 2" xfId="5488" xr:uid="{00000000-0005-0000-0000-00009E150000}"/>
    <cellStyle name="Percent 12 7 2 2" xfId="5489" xr:uid="{00000000-0005-0000-0000-00009F150000}"/>
    <cellStyle name="Percent 12 7 3" xfId="5490" xr:uid="{00000000-0005-0000-0000-0000A0150000}"/>
    <cellStyle name="Percent 12 7 3 2" xfId="5491" xr:uid="{00000000-0005-0000-0000-0000A1150000}"/>
    <cellStyle name="Percent 12 7 4" xfId="5492" xr:uid="{00000000-0005-0000-0000-0000A2150000}"/>
    <cellStyle name="Percent 12 7 4 2" xfId="5493" xr:uid="{00000000-0005-0000-0000-0000A3150000}"/>
    <cellStyle name="Percent 12 7 5" xfId="5494" xr:uid="{00000000-0005-0000-0000-0000A4150000}"/>
    <cellStyle name="Percent 12 7 5 2" xfId="5495" xr:uid="{00000000-0005-0000-0000-0000A5150000}"/>
    <cellStyle name="Percent 12 7 6" xfId="5496" xr:uid="{00000000-0005-0000-0000-0000A6150000}"/>
    <cellStyle name="Percent 12 7 7" xfId="5497" xr:uid="{00000000-0005-0000-0000-0000A7150000}"/>
    <cellStyle name="Percent 12 8" xfId="5498" xr:uid="{00000000-0005-0000-0000-0000A8150000}"/>
    <cellStyle name="Percent 12 8 2" xfId="5499" xr:uid="{00000000-0005-0000-0000-0000A9150000}"/>
    <cellStyle name="Percent 12 8 2 2" xfId="5500" xr:uid="{00000000-0005-0000-0000-0000AA150000}"/>
    <cellStyle name="Percent 12 8 3" xfId="5501" xr:uid="{00000000-0005-0000-0000-0000AB150000}"/>
    <cellStyle name="Percent 12 8 3 2" xfId="5502" xr:uid="{00000000-0005-0000-0000-0000AC150000}"/>
    <cellStyle name="Percent 12 8 4" xfId="5503" xr:uid="{00000000-0005-0000-0000-0000AD150000}"/>
    <cellStyle name="Percent 12 8 5" xfId="5504" xr:uid="{00000000-0005-0000-0000-0000AE150000}"/>
    <cellStyle name="Percent 12 9" xfId="5505" xr:uid="{00000000-0005-0000-0000-0000AF150000}"/>
    <cellStyle name="Percent 12 9 2" xfId="5506" xr:uid="{00000000-0005-0000-0000-0000B0150000}"/>
    <cellStyle name="Percent 13" xfId="5507" xr:uid="{00000000-0005-0000-0000-0000B1150000}"/>
    <cellStyle name="Percent 13 10" xfId="5508" xr:uid="{00000000-0005-0000-0000-0000B2150000}"/>
    <cellStyle name="Percent 13 10 2" xfId="5509" xr:uid="{00000000-0005-0000-0000-0000B3150000}"/>
    <cellStyle name="Percent 13 11" xfId="5510" xr:uid="{00000000-0005-0000-0000-0000B4150000}"/>
    <cellStyle name="Percent 13 12" xfId="5511" xr:uid="{00000000-0005-0000-0000-0000B5150000}"/>
    <cellStyle name="Percent 13 2" xfId="5512" xr:uid="{00000000-0005-0000-0000-0000B6150000}"/>
    <cellStyle name="Percent 13 2 2" xfId="5513" xr:uid="{00000000-0005-0000-0000-0000B7150000}"/>
    <cellStyle name="Percent 13 2 2 2" xfId="5514" xr:uid="{00000000-0005-0000-0000-0000B8150000}"/>
    <cellStyle name="Percent 13 2 3" xfId="5515" xr:uid="{00000000-0005-0000-0000-0000B9150000}"/>
    <cellStyle name="Percent 13 2 3 2" xfId="5516" xr:uid="{00000000-0005-0000-0000-0000BA150000}"/>
    <cellStyle name="Percent 13 2 4" xfId="5517" xr:uid="{00000000-0005-0000-0000-0000BB150000}"/>
    <cellStyle name="Percent 13 2 5" xfId="5518" xr:uid="{00000000-0005-0000-0000-0000BC150000}"/>
    <cellStyle name="Percent 13 3" xfId="5519" xr:uid="{00000000-0005-0000-0000-0000BD150000}"/>
    <cellStyle name="Percent 13 3 2" xfId="5520" xr:uid="{00000000-0005-0000-0000-0000BE150000}"/>
    <cellStyle name="Percent 13 3 2 2" xfId="5521" xr:uid="{00000000-0005-0000-0000-0000BF150000}"/>
    <cellStyle name="Percent 13 3 3" xfId="5522" xr:uid="{00000000-0005-0000-0000-0000C0150000}"/>
    <cellStyle name="Percent 13 3 3 2" xfId="5523" xr:uid="{00000000-0005-0000-0000-0000C1150000}"/>
    <cellStyle name="Percent 13 3 4" xfId="5524" xr:uid="{00000000-0005-0000-0000-0000C2150000}"/>
    <cellStyle name="Percent 13 3 5" xfId="5525" xr:uid="{00000000-0005-0000-0000-0000C3150000}"/>
    <cellStyle name="Percent 13 4" xfId="5526" xr:uid="{00000000-0005-0000-0000-0000C4150000}"/>
    <cellStyle name="Percent 13 4 2" xfId="5527" xr:uid="{00000000-0005-0000-0000-0000C5150000}"/>
    <cellStyle name="Percent 13 4 2 2" xfId="5528" xr:uid="{00000000-0005-0000-0000-0000C6150000}"/>
    <cellStyle name="Percent 13 4 3" xfId="5529" xr:uid="{00000000-0005-0000-0000-0000C7150000}"/>
    <cellStyle name="Percent 13 4 3 2" xfId="5530" xr:uid="{00000000-0005-0000-0000-0000C8150000}"/>
    <cellStyle name="Percent 13 4 4" xfId="5531" xr:uid="{00000000-0005-0000-0000-0000C9150000}"/>
    <cellStyle name="Percent 13 4 5" xfId="5532" xr:uid="{00000000-0005-0000-0000-0000CA150000}"/>
    <cellStyle name="Percent 13 5" xfId="5533" xr:uid="{00000000-0005-0000-0000-0000CB150000}"/>
    <cellStyle name="Percent 13 5 2" xfId="5534" xr:uid="{00000000-0005-0000-0000-0000CC150000}"/>
    <cellStyle name="Percent 13 5 2 2" xfId="5535" xr:uid="{00000000-0005-0000-0000-0000CD150000}"/>
    <cellStyle name="Percent 13 5 3" xfId="5536" xr:uid="{00000000-0005-0000-0000-0000CE150000}"/>
    <cellStyle name="Percent 13 5 3 2" xfId="5537" xr:uid="{00000000-0005-0000-0000-0000CF150000}"/>
    <cellStyle name="Percent 13 5 4" xfId="5538" xr:uid="{00000000-0005-0000-0000-0000D0150000}"/>
    <cellStyle name="Percent 13 5 5" xfId="5539" xr:uid="{00000000-0005-0000-0000-0000D1150000}"/>
    <cellStyle name="Percent 13 6" xfId="5540" xr:uid="{00000000-0005-0000-0000-0000D2150000}"/>
    <cellStyle name="Percent 13 6 2" xfId="5541" xr:uid="{00000000-0005-0000-0000-0000D3150000}"/>
    <cellStyle name="Percent 13 6 2 2" xfId="5542" xr:uid="{00000000-0005-0000-0000-0000D4150000}"/>
    <cellStyle name="Percent 13 6 3" xfId="5543" xr:uid="{00000000-0005-0000-0000-0000D5150000}"/>
    <cellStyle name="Percent 13 6 3 2" xfId="5544" xr:uid="{00000000-0005-0000-0000-0000D6150000}"/>
    <cellStyle name="Percent 13 6 4" xfId="5545" xr:uid="{00000000-0005-0000-0000-0000D7150000}"/>
    <cellStyle name="Percent 13 6 5" xfId="5546" xr:uid="{00000000-0005-0000-0000-0000D8150000}"/>
    <cellStyle name="Percent 13 7" xfId="5547" xr:uid="{00000000-0005-0000-0000-0000D9150000}"/>
    <cellStyle name="Percent 13 7 2" xfId="5548" xr:uid="{00000000-0005-0000-0000-0000DA150000}"/>
    <cellStyle name="Percent 13 7 2 2" xfId="5549" xr:uid="{00000000-0005-0000-0000-0000DB150000}"/>
    <cellStyle name="Percent 13 7 3" xfId="5550" xr:uid="{00000000-0005-0000-0000-0000DC150000}"/>
    <cellStyle name="Percent 13 7 3 2" xfId="5551" xr:uid="{00000000-0005-0000-0000-0000DD150000}"/>
    <cellStyle name="Percent 13 7 4" xfId="5552" xr:uid="{00000000-0005-0000-0000-0000DE150000}"/>
    <cellStyle name="Percent 13 7 4 2" xfId="5553" xr:uid="{00000000-0005-0000-0000-0000DF150000}"/>
    <cellStyle name="Percent 13 7 5" xfId="5554" xr:uid="{00000000-0005-0000-0000-0000E0150000}"/>
    <cellStyle name="Percent 13 7 5 2" xfId="5555" xr:uid="{00000000-0005-0000-0000-0000E1150000}"/>
    <cellStyle name="Percent 13 7 6" xfId="5556" xr:uid="{00000000-0005-0000-0000-0000E2150000}"/>
    <cellStyle name="Percent 13 7 7" xfId="5557" xr:uid="{00000000-0005-0000-0000-0000E3150000}"/>
    <cellStyle name="Percent 13 8" xfId="5558" xr:uid="{00000000-0005-0000-0000-0000E4150000}"/>
    <cellStyle name="Percent 13 8 2" xfId="5559" xr:uid="{00000000-0005-0000-0000-0000E5150000}"/>
    <cellStyle name="Percent 13 8 2 2" xfId="5560" xr:uid="{00000000-0005-0000-0000-0000E6150000}"/>
    <cellStyle name="Percent 13 8 3" xfId="5561" xr:uid="{00000000-0005-0000-0000-0000E7150000}"/>
    <cellStyle name="Percent 13 8 3 2" xfId="5562" xr:uid="{00000000-0005-0000-0000-0000E8150000}"/>
    <cellStyle name="Percent 13 8 4" xfId="5563" xr:uid="{00000000-0005-0000-0000-0000E9150000}"/>
    <cellStyle name="Percent 13 8 5" xfId="5564" xr:uid="{00000000-0005-0000-0000-0000EA150000}"/>
    <cellStyle name="Percent 13 9" xfId="5565" xr:uid="{00000000-0005-0000-0000-0000EB150000}"/>
    <cellStyle name="Percent 13 9 2" xfId="5566" xr:uid="{00000000-0005-0000-0000-0000EC150000}"/>
    <cellStyle name="Percent 14" xfId="5567" xr:uid="{00000000-0005-0000-0000-0000ED150000}"/>
    <cellStyle name="Percent 14 10" xfId="5568" xr:uid="{00000000-0005-0000-0000-0000EE150000}"/>
    <cellStyle name="Percent 14 10 2" xfId="5569" xr:uid="{00000000-0005-0000-0000-0000EF150000}"/>
    <cellStyle name="Percent 14 11" xfId="5570" xr:uid="{00000000-0005-0000-0000-0000F0150000}"/>
    <cellStyle name="Percent 14 12" xfId="5571" xr:uid="{00000000-0005-0000-0000-0000F1150000}"/>
    <cellStyle name="Percent 14 2" xfId="5572" xr:uid="{00000000-0005-0000-0000-0000F2150000}"/>
    <cellStyle name="Percent 14 2 2" xfId="5573" xr:uid="{00000000-0005-0000-0000-0000F3150000}"/>
    <cellStyle name="Percent 14 2 2 2" xfId="5574" xr:uid="{00000000-0005-0000-0000-0000F4150000}"/>
    <cellStyle name="Percent 14 2 3" xfId="5575" xr:uid="{00000000-0005-0000-0000-0000F5150000}"/>
    <cellStyle name="Percent 14 2 3 2" xfId="5576" xr:uid="{00000000-0005-0000-0000-0000F6150000}"/>
    <cellStyle name="Percent 14 2 4" xfId="5577" xr:uid="{00000000-0005-0000-0000-0000F7150000}"/>
    <cellStyle name="Percent 14 2 5" xfId="5578" xr:uid="{00000000-0005-0000-0000-0000F8150000}"/>
    <cellStyle name="Percent 14 3" xfId="5579" xr:uid="{00000000-0005-0000-0000-0000F9150000}"/>
    <cellStyle name="Percent 14 3 2" xfId="5580" xr:uid="{00000000-0005-0000-0000-0000FA150000}"/>
    <cellStyle name="Percent 14 3 2 2" xfId="5581" xr:uid="{00000000-0005-0000-0000-0000FB150000}"/>
    <cellStyle name="Percent 14 3 3" xfId="5582" xr:uid="{00000000-0005-0000-0000-0000FC150000}"/>
    <cellStyle name="Percent 14 3 3 2" xfId="5583" xr:uid="{00000000-0005-0000-0000-0000FD150000}"/>
    <cellStyle name="Percent 14 3 4" xfId="5584" xr:uid="{00000000-0005-0000-0000-0000FE150000}"/>
    <cellStyle name="Percent 14 3 5" xfId="5585" xr:uid="{00000000-0005-0000-0000-0000FF150000}"/>
    <cellStyle name="Percent 14 4" xfId="5586" xr:uid="{00000000-0005-0000-0000-000000160000}"/>
    <cellStyle name="Percent 14 4 2" xfId="5587" xr:uid="{00000000-0005-0000-0000-000001160000}"/>
    <cellStyle name="Percent 14 4 2 2" xfId="5588" xr:uid="{00000000-0005-0000-0000-000002160000}"/>
    <cellStyle name="Percent 14 4 3" xfId="5589" xr:uid="{00000000-0005-0000-0000-000003160000}"/>
    <cellStyle name="Percent 14 4 3 2" xfId="5590" xr:uid="{00000000-0005-0000-0000-000004160000}"/>
    <cellStyle name="Percent 14 4 4" xfId="5591" xr:uid="{00000000-0005-0000-0000-000005160000}"/>
    <cellStyle name="Percent 14 4 5" xfId="5592" xr:uid="{00000000-0005-0000-0000-000006160000}"/>
    <cellStyle name="Percent 14 5" xfId="5593" xr:uid="{00000000-0005-0000-0000-000007160000}"/>
    <cellStyle name="Percent 14 5 2" xfId="5594" xr:uid="{00000000-0005-0000-0000-000008160000}"/>
    <cellStyle name="Percent 14 5 2 2" xfId="5595" xr:uid="{00000000-0005-0000-0000-000009160000}"/>
    <cellStyle name="Percent 14 5 3" xfId="5596" xr:uid="{00000000-0005-0000-0000-00000A160000}"/>
    <cellStyle name="Percent 14 5 3 2" xfId="5597" xr:uid="{00000000-0005-0000-0000-00000B160000}"/>
    <cellStyle name="Percent 14 5 4" xfId="5598" xr:uid="{00000000-0005-0000-0000-00000C160000}"/>
    <cellStyle name="Percent 14 5 5" xfId="5599" xr:uid="{00000000-0005-0000-0000-00000D160000}"/>
    <cellStyle name="Percent 14 6" xfId="5600" xr:uid="{00000000-0005-0000-0000-00000E160000}"/>
    <cellStyle name="Percent 14 6 2" xfId="5601" xr:uid="{00000000-0005-0000-0000-00000F160000}"/>
    <cellStyle name="Percent 14 6 2 2" xfId="5602" xr:uid="{00000000-0005-0000-0000-000010160000}"/>
    <cellStyle name="Percent 14 6 3" xfId="5603" xr:uid="{00000000-0005-0000-0000-000011160000}"/>
    <cellStyle name="Percent 14 6 3 2" xfId="5604" xr:uid="{00000000-0005-0000-0000-000012160000}"/>
    <cellStyle name="Percent 14 6 4" xfId="5605" xr:uid="{00000000-0005-0000-0000-000013160000}"/>
    <cellStyle name="Percent 14 6 5" xfId="5606" xr:uid="{00000000-0005-0000-0000-000014160000}"/>
    <cellStyle name="Percent 14 7" xfId="5607" xr:uid="{00000000-0005-0000-0000-000015160000}"/>
    <cellStyle name="Percent 14 7 2" xfId="5608" xr:uid="{00000000-0005-0000-0000-000016160000}"/>
    <cellStyle name="Percent 14 7 2 2" xfId="5609" xr:uid="{00000000-0005-0000-0000-000017160000}"/>
    <cellStyle name="Percent 14 7 3" xfId="5610" xr:uid="{00000000-0005-0000-0000-000018160000}"/>
    <cellStyle name="Percent 14 7 3 2" xfId="5611" xr:uid="{00000000-0005-0000-0000-000019160000}"/>
    <cellStyle name="Percent 14 7 4" xfId="5612" xr:uid="{00000000-0005-0000-0000-00001A160000}"/>
    <cellStyle name="Percent 14 7 4 2" xfId="5613" xr:uid="{00000000-0005-0000-0000-00001B160000}"/>
    <cellStyle name="Percent 14 7 5" xfId="5614" xr:uid="{00000000-0005-0000-0000-00001C160000}"/>
    <cellStyle name="Percent 14 7 5 2" xfId="5615" xr:uid="{00000000-0005-0000-0000-00001D160000}"/>
    <cellStyle name="Percent 14 7 6" xfId="5616" xr:uid="{00000000-0005-0000-0000-00001E160000}"/>
    <cellStyle name="Percent 14 7 7" xfId="5617" xr:uid="{00000000-0005-0000-0000-00001F160000}"/>
    <cellStyle name="Percent 14 8" xfId="5618" xr:uid="{00000000-0005-0000-0000-000020160000}"/>
    <cellStyle name="Percent 14 8 2" xfId="5619" xr:uid="{00000000-0005-0000-0000-000021160000}"/>
    <cellStyle name="Percent 14 8 2 2" xfId="5620" xr:uid="{00000000-0005-0000-0000-000022160000}"/>
    <cellStyle name="Percent 14 8 3" xfId="5621" xr:uid="{00000000-0005-0000-0000-000023160000}"/>
    <cellStyle name="Percent 14 8 3 2" xfId="5622" xr:uid="{00000000-0005-0000-0000-000024160000}"/>
    <cellStyle name="Percent 14 8 4" xfId="5623" xr:uid="{00000000-0005-0000-0000-000025160000}"/>
    <cellStyle name="Percent 14 8 5" xfId="5624" xr:uid="{00000000-0005-0000-0000-000026160000}"/>
    <cellStyle name="Percent 14 9" xfId="5625" xr:uid="{00000000-0005-0000-0000-000027160000}"/>
    <cellStyle name="Percent 14 9 2" xfId="5626" xr:uid="{00000000-0005-0000-0000-000028160000}"/>
    <cellStyle name="Percent 15" xfId="5627" xr:uid="{00000000-0005-0000-0000-000029160000}"/>
    <cellStyle name="Percent 15 10" xfId="5628" xr:uid="{00000000-0005-0000-0000-00002A160000}"/>
    <cellStyle name="Percent 15 10 2" xfId="5629" xr:uid="{00000000-0005-0000-0000-00002B160000}"/>
    <cellStyle name="Percent 15 10 3" xfId="5630" xr:uid="{00000000-0005-0000-0000-00002C160000}"/>
    <cellStyle name="Percent 15 11" xfId="5631" xr:uid="{00000000-0005-0000-0000-00002D160000}"/>
    <cellStyle name="Percent 15 11 2" xfId="5632" xr:uid="{00000000-0005-0000-0000-00002E160000}"/>
    <cellStyle name="Percent 15 11 3" xfId="5633" xr:uid="{00000000-0005-0000-0000-00002F160000}"/>
    <cellStyle name="Percent 15 12" xfId="5634" xr:uid="{00000000-0005-0000-0000-000030160000}"/>
    <cellStyle name="Percent 15 12 2" xfId="5635" xr:uid="{00000000-0005-0000-0000-000031160000}"/>
    <cellStyle name="Percent 15 12 3" xfId="5636" xr:uid="{00000000-0005-0000-0000-000032160000}"/>
    <cellStyle name="Percent 15 13" xfId="5637" xr:uid="{00000000-0005-0000-0000-000033160000}"/>
    <cellStyle name="Percent 15 13 2" xfId="5638" xr:uid="{00000000-0005-0000-0000-000034160000}"/>
    <cellStyle name="Percent 15 13 3" xfId="5639" xr:uid="{00000000-0005-0000-0000-000035160000}"/>
    <cellStyle name="Percent 15 14" xfId="5640" xr:uid="{00000000-0005-0000-0000-000036160000}"/>
    <cellStyle name="Percent 15 14 2" xfId="5641" xr:uid="{00000000-0005-0000-0000-000037160000}"/>
    <cellStyle name="Percent 15 14 3" xfId="5642" xr:uid="{00000000-0005-0000-0000-000038160000}"/>
    <cellStyle name="Percent 15 15" xfId="5643" xr:uid="{00000000-0005-0000-0000-000039160000}"/>
    <cellStyle name="Percent 15 15 2" xfId="5644" xr:uid="{00000000-0005-0000-0000-00003A160000}"/>
    <cellStyle name="Percent 15 16" xfId="5645" xr:uid="{00000000-0005-0000-0000-00003B160000}"/>
    <cellStyle name="Percent 15 17" xfId="5646" xr:uid="{00000000-0005-0000-0000-00003C160000}"/>
    <cellStyle name="Percent 15 2" xfId="5647" xr:uid="{00000000-0005-0000-0000-00003D160000}"/>
    <cellStyle name="Percent 15 2 10" xfId="5648" xr:uid="{00000000-0005-0000-0000-00003E160000}"/>
    <cellStyle name="Percent 15 2 2" xfId="5649" xr:uid="{00000000-0005-0000-0000-00003F160000}"/>
    <cellStyle name="Percent 15 2 2 2" xfId="5650" xr:uid="{00000000-0005-0000-0000-000040160000}"/>
    <cellStyle name="Percent 15 2 2 3" xfId="5651" xr:uid="{00000000-0005-0000-0000-000041160000}"/>
    <cellStyle name="Percent 15 2 2 4" xfId="5652" xr:uid="{00000000-0005-0000-0000-000042160000}"/>
    <cellStyle name="Percent 15 2 3" xfId="5653" xr:uid="{00000000-0005-0000-0000-000043160000}"/>
    <cellStyle name="Percent 15 2 3 2" xfId="5654" xr:uid="{00000000-0005-0000-0000-000044160000}"/>
    <cellStyle name="Percent 15 2 3 3" xfId="5655" xr:uid="{00000000-0005-0000-0000-000045160000}"/>
    <cellStyle name="Percent 15 2 3 4" xfId="5656" xr:uid="{00000000-0005-0000-0000-000046160000}"/>
    <cellStyle name="Percent 15 2 4" xfId="5657" xr:uid="{00000000-0005-0000-0000-000047160000}"/>
    <cellStyle name="Percent 15 2 4 2" xfId="5658" xr:uid="{00000000-0005-0000-0000-000048160000}"/>
    <cellStyle name="Percent 15 2 4 3" xfId="5659" xr:uid="{00000000-0005-0000-0000-000049160000}"/>
    <cellStyle name="Percent 15 2 4 4" xfId="5660" xr:uid="{00000000-0005-0000-0000-00004A160000}"/>
    <cellStyle name="Percent 15 2 5" xfId="5661" xr:uid="{00000000-0005-0000-0000-00004B160000}"/>
    <cellStyle name="Percent 15 2 5 2" xfId="5662" xr:uid="{00000000-0005-0000-0000-00004C160000}"/>
    <cellStyle name="Percent 15 2 5 3" xfId="5663" xr:uid="{00000000-0005-0000-0000-00004D160000}"/>
    <cellStyle name="Percent 15 2 5 4" xfId="5664" xr:uid="{00000000-0005-0000-0000-00004E160000}"/>
    <cellStyle name="Percent 15 2 6" xfId="5665" xr:uid="{00000000-0005-0000-0000-00004F160000}"/>
    <cellStyle name="Percent 15 2 6 2" xfId="5666" xr:uid="{00000000-0005-0000-0000-000050160000}"/>
    <cellStyle name="Percent 15 2 6 3" xfId="5667" xr:uid="{00000000-0005-0000-0000-000051160000}"/>
    <cellStyle name="Percent 15 2 6 4" xfId="5668" xr:uid="{00000000-0005-0000-0000-000052160000}"/>
    <cellStyle name="Percent 15 2 7" xfId="5669" xr:uid="{00000000-0005-0000-0000-000053160000}"/>
    <cellStyle name="Percent 15 2 7 2" xfId="5670" xr:uid="{00000000-0005-0000-0000-000054160000}"/>
    <cellStyle name="Percent 15 2 7 3" xfId="5671" xr:uid="{00000000-0005-0000-0000-000055160000}"/>
    <cellStyle name="Percent 15 2 7 4" xfId="5672" xr:uid="{00000000-0005-0000-0000-000056160000}"/>
    <cellStyle name="Percent 15 2 8" xfId="5673" xr:uid="{00000000-0005-0000-0000-000057160000}"/>
    <cellStyle name="Percent 15 2 8 2" xfId="5674" xr:uid="{00000000-0005-0000-0000-000058160000}"/>
    <cellStyle name="Percent 15 2 9" xfId="5675" xr:uid="{00000000-0005-0000-0000-000059160000}"/>
    <cellStyle name="Percent 15 3" xfId="5676" xr:uid="{00000000-0005-0000-0000-00005A160000}"/>
    <cellStyle name="Percent 15 3 2" xfId="5677" xr:uid="{00000000-0005-0000-0000-00005B160000}"/>
    <cellStyle name="Percent 15 3 3" xfId="5678" xr:uid="{00000000-0005-0000-0000-00005C160000}"/>
    <cellStyle name="Percent 15 3 4" xfId="5679" xr:uid="{00000000-0005-0000-0000-00005D160000}"/>
    <cellStyle name="Percent 15 4" xfId="5680" xr:uid="{00000000-0005-0000-0000-00005E160000}"/>
    <cellStyle name="Percent 15 4 2" xfId="5681" xr:uid="{00000000-0005-0000-0000-00005F160000}"/>
    <cellStyle name="Percent 15 4 2 2" xfId="5682" xr:uid="{00000000-0005-0000-0000-000060160000}"/>
    <cellStyle name="Percent 15 4 3" xfId="5683" xr:uid="{00000000-0005-0000-0000-000061160000}"/>
    <cellStyle name="Percent 15 4 3 2" xfId="5684" xr:uid="{00000000-0005-0000-0000-000062160000}"/>
    <cellStyle name="Percent 15 4 4" xfId="5685" xr:uid="{00000000-0005-0000-0000-000063160000}"/>
    <cellStyle name="Percent 15 4 5" xfId="5686" xr:uid="{00000000-0005-0000-0000-000064160000}"/>
    <cellStyle name="Percent 15 5" xfId="5687" xr:uid="{00000000-0005-0000-0000-000065160000}"/>
    <cellStyle name="Percent 15 5 2" xfId="5688" xr:uid="{00000000-0005-0000-0000-000066160000}"/>
    <cellStyle name="Percent 15 5 3" xfId="5689" xr:uid="{00000000-0005-0000-0000-000067160000}"/>
    <cellStyle name="Percent 15 5 4" xfId="5690" xr:uid="{00000000-0005-0000-0000-000068160000}"/>
    <cellStyle name="Percent 15 6" xfId="5691" xr:uid="{00000000-0005-0000-0000-000069160000}"/>
    <cellStyle name="Percent 15 6 2" xfId="5692" xr:uid="{00000000-0005-0000-0000-00006A160000}"/>
    <cellStyle name="Percent 15 6 3" xfId="5693" xr:uid="{00000000-0005-0000-0000-00006B160000}"/>
    <cellStyle name="Percent 15 6 4" xfId="5694" xr:uid="{00000000-0005-0000-0000-00006C160000}"/>
    <cellStyle name="Percent 15 7" xfId="5695" xr:uid="{00000000-0005-0000-0000-00006D160000}"/>
    <cellStyle name="Percent 15 7 2" xfId="5696" xr:uid="{00000000-0005-0000-0000-00006E160000}"/>
    <cellStyle name="Percent 15 7 2 2" xfId="5697" xr:uid="{00000000-0005-0000-0000-00006F160000}"/>
    <cellStyle name="Percent 15 7 2 3" xfId="5698" xr:uid="{00000000-0005-0000-0000-000070160000}"/>
    <cellStyle name="Percent 15 7 3" xfId="5699" xr:uid="{00000000-0005-0000-0000-000071160000}"/>
    <cellStyle name="Percent 15 7 3 2" xfId="5700" xr:uid="{00000000-0005-0000-0000-000072160000}"/>
    <cellStyle name="Percent 15 7 4" xfId="5701" xr:uid="{00000000-0005-0000-0000-000073160000}"/>
    <cellStyle name="Percent 15 7 5" xfId="5702" xr:uid="{00000000-0005-0000-0000-000074160000}"/>
    <cellStyle name="Percent 15 8" xfId="5703" xr:uid="{00000000-0005-0000-0000-000075160000}"/>
    <cellStyle name="Percent 15 8 2" xfId="5704" xr:uid="{00000000-0005-0000-0000-000076160000}"/>
    <cellStyle name="Percent 15 8 3" xfId="5705" xr:uid="{00000000-0005-0000-0000-000077160000}"/>
    <cellStyle name="Percent 15 8 4" xfId="5706" xr:uid="{00000000-0005-0000-0000-000078160000}"/>
    <cellStyle name="Percent 15 9" xfId="5707" xr:uid="{00000000-0005-0000-0000-000079160000}"/>
    <cellStyle name="Percent 15 9 2" xfId="5708" xr:uid="{00000000-0005-0000-0000-00007A160000}"/>
    <cellStyle name="Percent 15 9 3" xfId="5709" xr:uid="{00000000-0005-0000-0000-00007B160000}"/>
    <cellStyle name="Percent 16" xfId="5710" xr:uid="{00000000-0005-0000-0000-00007C160000}"/>
    <cellStyle name="Percent 16 10" xfId="5711" xr:uid="{00000000-0005-0000-0000-00007D160000}"/>
    <cellStyle name="Percent 16 11" xfId="5712" xr:uid="{00000000-0005-0000-0000-00007E160000}"/>
    <cellStyle name="Percent 16 2" xfId="5713" xr:uid="{00000000-0005-0000-0000-00007F160000}"/>
    <cellStyle name="Percent 16 2 2" xfId="5714" xr:uid="{00000000-0005-0000-0000-000080160000}"/>
    <cellStyle name="Percent 16 2 2 2" xfId="5715" xr:uid="{00000000-0005-0000-0000-000081160000}"/>
    <cellStyle name="Percent 16 2 3" xfId="5716" xr:uid="{00000000-0005-0000-0000-000082160000}"/>
    <cellStyle name="Percent 16 2 3 2" xfId="5717" xr:uid="{00000000-0005-0000-0000-000083160000}"/>
    <cellStyle name="Percent 16 2 4" xfId="5718" xr:uid="{00000000-0005-0000-0000-000084160000}"/>
    <cellStyle name="Percent 16 2 5" xfId="5719" xr:uid="{00000000-0005-0000-0000-000085160000}"/>
    <cellStyle name="Percent 16 3" xfId="5720" xr:uid="{00000000-0005-0000-0000-000086160000}"/>
    <cellStyle name="Percent 16 3 10" xfId="5721" xr:uid="{00000000-0005-0000-0000-000087160000}"/>
    <cellStyle name="Percent 16 3 10 2" xfId="5722" xr:uid="{00000000-0005-0000-0000-000088160000}"/>
    <cellStyle name="Percent 16 3 10 3" xfId="5723" xr:uid="{00000000-0005-0000-0000-000089160000}"/>
    <cellStyle name="Percent 16 3 11" xfId="5724" xr:uid="{00000000-0005-0000-0000-00008A160000}"/>
    <cellStyle name="Percent 16 3 11 2" xfId="5725" xr:uid="{00000000-0005-0000-0000-00008B160000}"/>
    <cellStyle name="Percent 16 3 11 3" xfId="5726" xr:uid="{00000000-0005-0000-0000-00008C160000}"/>
    <cellStyle name="Percent 16 3 12" xfId="5727" xr:uid="{00000000-0005-0000-0000-00008D160000}"/>
    <cellStyle name="Percent 16 3 12 2" xfId="5728" xr:uid="{00000000-0005-0000-0000-00008E160000}"/>
    <cellStyle name="Percent 16 3 12 3" xfId="5729" xr:uid="{00000000-0005-0000-0000-00008F160000}"/>
    <cellStyle name="Percent 16 3 13" xfId="5730" xr:uid="{00000000-0005-0000-0000-000090160000}"/>
    <cellStyle name="Percent 16 3 13 2" xfId="5731" xr:uid="{00000000-0005-0000-0000-000091160000}"/>
    <cellStyle name="Percent 16 3 13 3" xfId="5732" xr:uid="{00000000-0005-0000-0000-000092160000}"/>
    <cellStyle name="Percent 16 3 14" xfId="5733" xr:uid="{00000000-0005-0000-0000-000093160000}"/>
    <cellStyle name="Percent 16 3 14 2" xfId="5734" xr:uid="{00000000-0005-0000-0000-000094160000}"/>
    <cellStyle name="Percent 16 3 14 3" xfId="5735" xr:uid="{00000000-0005-0000-0000-000095160000}"/>
    <cellStyle name="Percent 16 3 15" xfId="5736" xr:uid="{00000000-0005-0000-0000-000096160000}"/>
    <cellStyle name="Percent 16 3 15 2" xfId="5737" xr:uid="{00000000-0005-0000-0000-000097160000}"/>
    <cellStyle name="Percent 16 3 15 3" xfId="5738" xr:uid="{00000000-0005-0000-0000-000098160000}"/>
    <cellStyle name="Percent 16 3 16" xfId="5739" xr:uid="{00000000-0005-0000-0000-000099160000}"/>
    <cellStyle name="Percent 16 3 16 2" xfId="5740" xr:uid="{00000000-0005-0000-0000-00009A160000}"/>
    <cellStyle name="Percent 16 3 16 3" xfId="5741" xr:uid="{00000000-0005-0000-0000-00009B160000}"/>
    <cellStyle name="Percent 16 3 17" xfId="5742" xr:uid="{00000000-0005-0000-0000-00009C160000}"/>
    <cellStyle name="Percent 16 3 17 2" xfId="5743" xr:uid="{00000000-0005-0000-0000-00009D160000}"/>
    <cellStyle name="Percent 16 3 17 3" xfId="5744" xr:uid="{00000000-0005-0000-0000-00009E160000}"/>
    <cellStyle name="Percent 16 3 18" xfId="5745" xr:uid="{00000000-0005-0000-0000-00009F160000}"/>
    <cellStyle name="Percent 16 3 18 2" xfId="5746" xr:uid="{00000000-0005-0000-0000-0000A0160000}"/>
    <cellStyle name="Percent 16 3 19" xfId="5747" xr:uid="{00000000-0005-0000-0000-0000A1160000}"/>
    <cellStyle name="Percent 16 3 19 2" xfId="5748" xr:uid="{00000000-0005-0000-0000-0000A2160000}"/>
    <cellStyle name="Percent 16 3 2" xfId="5749" xr:uid="{00000000-0005-0000-0000-0000A3160000}"/>
    <cellStyle name="Percent 16 3 2 2" xfId="5750" xr:uid="{00000000-0005-0000-0000-0000A4160000}"/>
    <cellStyle name="Percent 16 3 2 3" xfId="5751" xr:uid="{00000000-0005-0000-0000-0000A5160000}"/>
    <cellStyle name="Percent 16 3 20" xfId="5752" xr:uid="{00000000-0005-0000-0000-0000A6160000}"/>
    <cellStyle name="Percent 16 3 21" xfId="5753" xr:uid="{00000000-0005-0000-0000-0000A7160000}"/>
    <cellStyle name="Percent 16 3 3" xfId="5754" xr:uid="{00000000-0005-0000-0000-0000A8160000}"/>
    <cellStyle name="Percent 16 3 3 2" xfId="5755" xr:uid="{00000000-0005-0000-0000-0000A9160000}"/>
    <cellStyle name="Percent 16 3 3 3" xfId="5756" xr:uid="{00000000-0005-0000-0000-0000AA160000}"/>
    <cellStyle name="Percent 16 3 4" xfId="5757" xr:uid="{00000000-0005-0000-0000-0000AB160000}"/>
    <cellStyle name="Percent 16 3 4 2" xfId="5758" xr:uid="{00000000-0005-0000-0000-0000AC160000}"/>
    <cellStyle name="Percent 16 3 4 3" xfId="5759" xr:uid="{00000000-0005-0000-0000-0000AD160000}"/>
    <cellStyle name="Percent 16 3 5" xfId="5760" xr:uid="{00000000-0005-0000-0000-0000AE160000}"/>
    <cellStyle name="Percent 16 3 5 2" xfId="5761" xr:uid="{00000000-0005-0000-0000-0000AF160000}"/>
    <cellStyle name="Percent 16 3 5 3" xfId="5762" xr:uid="{00000000-0005-0000-0000-0000B0160000}"/>
    <cellStyle name="Percent 16 3 6" xfId="5763" xr:uid="{00000000-0005-0000-0000-0000B1160000}"/>
    <cellStyle name="Percent 16 3 6 2" xfId="5764" xr:uid="{00000000-0005-0000-0000-0000B2160000}"/>
    <cellStyle name="Percent 16 3 6 3" xfId="5765" xr:uid="{00000000-0005-0000-0000-0000B3160000}"/>
    <cellStyle name="Percent 16 3 7" xfId="5766" xr:uid="{00000000-0005-0000-0000-0000B4160000}"/>
    <cellStyle name="Percent 16 3 7 2" xfId="5767" xr:uid="{00000000-0005-0000-0000-0000B5160000}"/>
    <cellStyle name="Percent 16 3 7 3" xfId="5768" xr:uid="{00000000-0005-0000-0000-0000B6160000}"/>
    <cellStyle name="Percent 16 3 8" xfId="5769" xr:uid="{00000000-0005-0000-0000-0000B7160000}"/>
    <cellStyle name="Percent 16 3 8 2" xfId="5770" xr:uid="{00000000-0005-0000-0000-0000B8160000}"/>
    <cellStyle name="Percent 16 3 8 3" xfId="5771" xr:uid="{00000000-0005-0000-0000-0000B9160000}"/>
    <cellStyle name="Percent 16 3 9" xfId="5772" xr:uid="{00000000-0005-0000-0000-0000BA160000}"/>
    <cellStyle name="Percent 16 3 9 2" xfId="5773" xr:uid="{00000000-0005-0000-0000-0000BB160000}"/>
    <cellStyle name="Percent 16 3 9 3" xfId="5774" xr:uid="{00000000-0005-0000-0000-0000BC160000}"/>
    <cellStyle name="Percent 16 4" xfId="5775" xr:uid="{00000000-0005-0000-0000-0000BD160000}"/>
    <cellStyle name="Percent 16 4 10" xfId="5776" xr:uid="{00000000-0005-0000-0000-0000BE160000}"/>
    <cellStyle name="Percent 16 4 10 2" xfId="5777" xr:uid="{00000000-0005-0000-0000-0000BF160000}"/>
    <cellStyle name="Percent 16 4 10 3" xfId="5778" xr:uid="{00000000-0005-0000-0000-0000C0160000}"/>
    <cellStyle name="Percent 16 4 11" xfId="5779" xr:uid="{00000000-0005-0000-0000-0000C1160000}"/>
    <cellStyle name="Percent 16 4 11 2" xfId="5780" xr:uid="{00000000-0005-0000-0000-0000C2160000}"/>
    <cellStyle name="Percent 16 4 11 3" xfId="5781" xr:uid="{00000000-0005-0000-0000-0000C3160000}"/>
    <cellStyle name="Percent 16 4 12" xfId="5782" xr:uid="{00000000-0005-0000-0000-0000C4160000}"/>
    <cellStyle name="Percent 16 4 12 2" xfId="5783" xr:uid="{00000000-0005-0000-0000-0000C5160000}"/>
    <cellStyle name="Percent 16 4 12 3" xfId="5784" xr:uid="{00000000-0005-0000-0000-0000C6160000}"/>
    <cellStyle name="Percent 16 4 13" xfId="5785" xr:uid="{00000000-0005-0000-0000-0000C7160000}"/>
    <cellStyle name="Percent 16 4 13 2" xfId="5786" xr:uid="{00000000-0005-0000-0000-0000C8160000}"/>
    <cellStyle name="Percent 16 4 13 3" xfId="5787" xr:uid="{00000000-0005-0000-0000-0000C9160000}"/>
    <cellStyle name="Percent 16 4 14" xfId="5788" xr:uid="{00000000-0005-0000-0000-0000CA160000}"/>
    <cellStyle name="Percent 16 4 14 2" xfId="5789" xr:uid="{00000000-0005-0000-0000-0000CB160000}"/>
    <cellStyle name="Percent 16 4 14 3" xfId="5790" xr:uid="{00000000-0005-0000-0000-0000CC160000}"/>
    <cellStyle name="Percent 16 4 15" xfId="5791" xr:uid="{00000000-0005-0000-0000-0000CD160000}"/>
    <cellStyle name="Percent 16 4 15 2" xfId="5792" xr:uid="{00000000-0005-0000-0000-0000CE160000}"/>
    <cellStyle name="Percent 16 4 15 3" xfId="5793" xr:uid="{00000000-0005-0000-0000-0000CF160000}"/>
    <cellStyle name="Percent 16 4 16" xfId="5794" xr:uid="{00000000-0005-0000-0000-0000D0160000}"/>
    <cellStyle name="Percent 16 4 16 2" xfId="5795" xr:uid="{00000000-0005-0000-0000-0000D1160000}"/>
    <cellStyle name="Percent 16 4 16 3" xfId="5796" xr:uid="{00000000-0005-0000-0000-0000D2160000}"/>
    <cellStyle name="Percent 16 4 17" xfId="5797" xr:uid="{00000000-0005-0000-0000-0000D3160000}"/>
    <cellStyle name="Percent 16 4 17 2" xfId="5798" xr:uid="{00000000-0005-0000-0000-0000D4160000}"/>
    <cellStyle name="Percent 16 4 17 3" xfId="5799" xr:uid="{00000000-0005-0000-0000-0000D5160000}"/>
    <cellStyle name="Percent 16 4 18" xfId="5800" xr:uid="{00000000-0005-0000-0000-0000D6160000}"/>
    <cellStyle name="Percent 16 4 18 2" xfId="5801" xr:uid="{00000000-0005-0000-0000-0000D7160000}"/>
    <cellStyle name="Percent 16 4 19" xfId="5802" xr:uid="{00000000-0005-0000-0000-0000D8160000}"/>
    <cellStyle name="Percent 16 4 19 2" xfId="5803" xr:uid="{00000000-0005-0000-0000-0000D9160000}"/>
    <cellStyle name="Percent 16 4 2" xfId="5804" xr:uid="{00000000-0005-0000-0000-0000DA160000}"/>
    <cellStyle name="Percent 16 4 2 2" xfId="5805" xr:uid="{00000000-0005-0000-0000-0000DB160000}"/>
    <cellStyle name="Percent 16 4 2 3" xfId="5806" xr:uid="{00000000-0005-0000-0000-0000DC160000}"/>
    <cellStyle name="Percent 16 4 20" xfId="5807" xr:uid="{00000000-0005-0000-0000-0000DD160000}"/>
    <cellStyle name="Percent 16 4 21" xfId="5808" xr:uid="{00000000-0005-0000-0000-0000DE160000}"/>
    <cellStyle name="Percent 16 4 3" xfId="5809" xr:uid="{00000000-0005-0000-0000-0000DF160000}"/>
    <cellStyle name="Percent 16 4 3 2" xfId="5810" xr:uid="{00000000-0005-0000-0000-0000E0160000}"/>
    <cellStyle name="Percent 16 4 3 3" xfId="5811" xr:uid="{00000000-0005-0000-0000-0000E1160000}"/>
    <cellStyle name="Percent 16 4 4" xfId="5812" xr:uid="{00000000-0005-0000-0000-0000E2160000}"/>
    <cellStyle name="Percent 16 4 4 2" xfId="5813" xr:uid="{00000000-0005-0000-0000-0000E3160000}"/>
    <cellStyle name="Percent 16 4 4 3" xfId="5814" xr:uid="{00000000-0005-0000-0000-0000E4160000}"/>
    <cellStyle name="Percent 16 4 5" xfId="5815" xr:uid="{00000000-0005-0000-0000-0000E5160000}"/>
    <cellStyle name="Percent 16 4 5 2" xfId="5816" xr:uid="{00000000-0005-0000-0000-0000E6160000}"/>
    <cellStyle name="Percent 16 4 5 3" xfId="5817" xr:uid="{00000000-0005-0000-0000-0000E7160000}"/>
    <cellStyle name="Percent 16 4 6" xfId="5818" xr:uid="{00000000-0005-0000-0000-0000E8160000}"/>
    <cellStyle name="Percent 16 4 6 2" xfId="5819" xr:uid="{00000000-0005-0000-0000-0000E9160000}"/>
    <cellStyle name="Percent 16 4 6 3" xfId="5820" xr:uid="{00000000-0005-0000-0000-0000EA160000}"/>
    <cellStyle name="Percent 16 4 7" xfId="5821" xr:uid="{00000000-0005-0000-0000-0000EB160000}"/>
    <cellStyle name="Percent 16 4 7 2" xfId="5822" xr:uid="{00000000-0005-0000-0000-0000EC160000}"/>
    <cellStyle name="Percent 16 4 7 3" xfId="5823" xr:uid="{00000000-0005-0000-0000-0000ED160000}"/>
    <cellStyle name="Percent 16 4 8" xfId="5824" xr:uid="{00000000-0005-0000-0000-0000EE160000}"/>
    <cellStyle name="Percent 16 4 8 2" xfId="5825" xr:uid="{00000000-0005-0000-0000-0000EF160000}"/>
    <cellStyle name="Percent 16 4 8 3" xfId="5826" xr:uid="{00000000-0005-0000-0000-0000F0160000}"/>
    <cellStyle name="Percent 16 4 9" xfId="5827" xr:uid="{00000000-0005-0000-0000-0000F1160000}"/>
    <cellStyle name="Percent 16 4 9 2" xfId="5828" xr:uid="{00000000-0005-0000-0000-0000F2160000}"/>
    <cellStyle name="Percent 16 4 9 3" xfId="5829" xr:uid="{00000000-0005-0000-0000-0000F3160000}"/>
    <cellStyle name="Percent 16 5" xfId="5830" xr:uid="{00000000-0005-0000-0000-0000F4160000}"/>
    <cellStyle name="Percent 16 5 10" xfId="5831" xr:uid="{00000000-0005-0000-0000-0000F5160000}"/>
    <cellStyle name="Percent 16 5 10 2" xfId="5832" xr:uid="{00000000-0005-0000-0000-0000F6160000}"/>
    <cellStyle name="Percent 16 5 10 3" xfId="5833" xr:uid="{00000000-0005-0000-0000-0000F7160000}"/>
    <cellStyle name="Percent 16 5 11" xfId="5834" xr:uid="{00000000-0005-0000-0000-0000F8160000}"/>
    <cellStyle name="Percent 16 5 11 2" xfId="5835" xr:uid="{00000000-0005-0000-0000-0000F9160000}"/>
    <cellStyle name="Percent 16 5 11 3" xfId="5836" xr:uid="{00000000-0005-0000-0000-0000FA160000}"/>
    <cellStyle name="Percent 16 5 12" xfId="5837" xr:uid="{00000000-0005-0000-0000-0000FB160000}"/>
    <cellStyle name="Percent 16 5 12 2" xfId="5838" xr:uid="{00000000-0005-0000-0000-0000FC160000}"/>
    <cellStyle name="Percent 16 5 12 3" xfId="5839" xr:uid="{00000000-0005-0000-0000-0000FD160000}"/>
    <cellStyle name="Percent 16 5 13" xfId="5840" xr:uid="{00000000-0005-0000-0000-0000FE160000}"/>
    <cellStyle name="Percent 16 5 13 2" xfId="5841" xr:uid="{00000000-0005-0000-0000-0000FF160000}"/>
    <cellStyle name="Percent 16 5 13 3" xfId="5842" xr:uid="{00000000-0005-0000-0000-000000170000}"/>
    <cellStyle name="Percent 16 5 14" xfId="5843" xr:uid="{00000000-0005-0000-0000-000001170000}"/>
    <cellStyle name="Percent 16 5 14 2" xfId="5844" xr:uid="{00000000-0005-0000-0000-000002170000}"/>
    <cellStyle name="Percent 16 5 14 3" xfId="5845" xr:uid="{00000000-0005-0000-0000-000003170000}"/>
    <cellStyle name="Percent 16 5 15" xfId="5846" xr:uid="{00000000-0005-0000-0000-000004170000}"/>
    <cellStyle name="Percent 16 5 15 2" xfId="5847" xr:uid="{00000000-0005-0000-0000-000005170000}"/>
    <cellStyle name="Percent 16 5 15 3" xfId="5848" xr:uid="{00000000-0005-0000-0000-000006170000}"/>
    <cellStyle name="Percent 16 5 16" xfId="5849" xr:uid="{00000000-0005-0000-0000-000007170000}"/>
    <cellStyle name="Percent 16 5 16 2" xfId="5850" xr:uid="{00000000-0005-0000-0000-000008170000}"/>
    <cellStyle name="Percent 16 5 16 3" xfId="5851" xr:uid="{00000000-0005-0000-0000-000009170000}"/>
    <cellStyle name="Percent 16 5 17" xfId="5852" xr:uid="{00000000-0005-0000-0000-00000A170000}"/>
    <cellStyle name="Percent 16 5 17 2" xfId="5853" xr:uid="{00000000-0005-0000-0000-00000B170000}"/>
    <cellStyle name="Percent 16 5 17 3" xfId="5854" xr:uid="{00000000-0005-0000-0000-00000C170000}"/>
    <cellStyle name="Percent 16 5 18" xfId="5855" xr:uid="{00000000-0005-0000-0000-00000D170000}"/>
    <cellStyle name="Percent 16 5 18 2" xfId="5856" xr:uid="{00000000-0005-0000-0000-00000E170000}"/>
    <cellStyle name="Percent 16 5 19" xfId="5857" xr:uid="{00000000-0005-0000-0000-00000F170000}"/>
    <cellStyle name="Percent 16 5 19 2" xfId="5858" xr:uid="{00000000-0005-0000-0000-000010170000}"/>
    <cellStyle name="Percent 16 5 2" xfId="5859" xr:uid="{00000000-0005-0000-0000-000011170000}"/>
    <cellStyle name="Percent 16 5 2 2" xfId="5860" xr:uid="{00000000-0005-0000-0000-000012170000}"/>
    <cellStyle name="Percent 16 5 2 3" xfId="5861" xr:uid="{00000000-0005-0000-0000-000013170000}"/>
    <cellStyle name="Percent 16 5 20" xfId="5862" xr:uid="{00000000-0005-0000-0000-000014170000}"/>
    <cellStyle name="Percent 16 5 21" xfId="5863" xr:uid="{00000000-0005-0000-0000-000015170000}"/>
    <cellStyle name="Percent 16 5 3" xfId="5864" xr:uid="{00000000-0005-0000-0000-000016170000}"/>
    <cellStyle name="Percent 16 5 3 2" xfId="5865" xr:uid="{00000000-0005-0000-0000-000017170000}"/>
    <cellStyle name="Percent 16 5 3 3" xfId="5866" xr:uid="{00000000-0005-0000-0000-000018170000}"/>
    <cellStyle name="Percent 16 5 4" xfId="5867" xr:uid="{00000000-0005-0000-0000-000019170000}"/>
    <cellStyle name="Percent 16 5 4 2" xfId="5868" xr:uid="{00000000-0005-0000-0000-00001A170000}"/>
    <cellStyle name="Percent 16 5 4 3" xfId="5869" xr:uid="{00000000-0005-0000-0000-00001B170000}"/>
    <cellStyle name="Percent 16 5 5" xfId="5870" xr:uid="{00000000-0005-0000-0000-00001C170000}"/>
    <cellStyle name="Percent 16 5 5 2" xfId="5871" xr:uid="{00000000-0005-0000-0000-00001D170000}"/>
    <cellStyle name="Percent 16 5 5 3" xfId="5872" xr:uid="{00000000-0005-0000-0000-00001E170000}"/>
    <cellStyle name="Percent 16 5 6" xfId="5873" xr:uid="{00000000-0005-0000-0000-00001F170000}"/>
    <cellStyle name="Percent 16 5 6 2" xfId="5874" xr:uid="{00000000-0005-0000-0000-000020170000}"/>
    <cellStyle name="Percent 16 5 6 3" xfId="5875" xr:uid="{00000000-0005-0000-0000-000021170000}"/>
    <cellStyle name="Percent 16 5 7" xfId="5876" xr:uid="{00000000-0005-0000-0000-000022170000}"/>
    <cellStyle name="Percent 16 5 7 2" xfId="5877" xr:uid="{00000000-0005-0000-0000-000023170000}"/>
    <cellStyle name="Percent 16 5 7 3" xfId="5878" xr:uid="{00000000-0005-0000-0000-000024170000}"/>
    <cellStyle name="Percent 16 5 8" xfId="5879" xr:uid="{00000000-0005-0000-0000-000025170000}"/>
    <cellStyle name="Percent 16 5 8 2" xfId="5880" xr:uid="{00000000-0005-0000-0000-000026170000}"/>
    <cellStyle name="Percent 16 5 8 3" xfId="5881" xr:uid="{00000000-0005-0000-0000-000027170000}"/>
    <cellStyle name="Percent 16 5 9" xfId="5882" xr:uid="{00000000-0005-0000-0000-000028170000}"/>
    <cellStyle name="Percent 16 5 9 2" xfId="5883" xr:uid="{00000000-0005-0000-0000-000029170000}"/>
    <cellStyle name="Percent 16 5 9 3" xfId="5884" xr:uid="{00000000-0005-0000-0000-00002A170000}"/>
    <cellStyle name="Percent 16 6" xfId="5885" xr:uid="{00000000-0005-0000-0000-00002B170000}"/>
    <cellStyle name="Percent 16 6 10" xfId="5886" xr:uid="{00000000-0005-0000-0000-00002C170000}"/>
    <cellStyle name="Percent 16 6 10 2" xfId="5887" xr:uid="{00000000-0005-0000-0000-00002D170000}"/>
    <cellStyle name="Percent 16 6 10 3" xfId="5888" xr:uid="{00000000-0005-0000-0000-00002E170000}"/>
    <cellStyle name="Percent 16 6 11" xfId="5889" xr:uid="{00000000-0005-0000-0000-00002F170000}"/>
    <cellStyle name="Percent 16 6 11 2" xfId="5890" xr:uid="{00000000-0005-0000-0000-000030170000}"/>
    <cellStyle name="Percent 16 6 11 3" xfId="5891" xr:uid="{00000000-0005-0000-0000-000031170000}"/>
    <cellStyle name="Percent 16 6 12" xfId="5892" xr:uid="{00000000-0005-0000-0000-000032170000}"/>
    <cellStyle name="Percent 16 6 12 2" xfId="5893" xr:uid="{00000000-0005-0000-0000-000033170000}"/>
    <cellStyle name="Percent 16 6 12 3" xfId="5894" xr:uid="{00000000-0005-0000-0000-000034170000}"/>
    <cellStyle name="Percent 16 6 13" xfId="5895" xr:uid="{00000000-0005-0000-0000-000035170000}"/>
    <cellStyle name="Percent 16 6 13 2" xfId="5896" xr:uid="{00000000-0005-0000-0000-000036170000}"/>
    <cellStyle name="Percent 16 6 13 3" xfId="5897" xr:uid="{00000000-0005-0000-0000-000037170000}"/>
    <cellStyle name="Percent 16 6 14" xfId="5898" xr:uid="{00000000-0005-0000-0000-000038170000}"/>
    <cellStyle name="Percent 16 6 14 2" xfId="5899" xr:uid="{00000000-0005-0000-0000-000039170000}"/>
    <cellStyle name="Percent 16 6 14 3" xfId="5900" xr:uid="{00000000-0005-0000-0000-00003A170000}"/>
    <cellStyle name="Percent 16 6 15" xfId="5901" xr:uid="{00000000-0005-0000-0000-00003B170000}"/>
    <cellStyle name="Percent 16 6 15 2" xfId="5902" xr:uid="{00000000-0005-0000-0000-00003C170000}"/>
    <cellStyle name="Percent 16 6 15 3" xfId="5903" xr:uid="{00000000-0005-0000-0000-00003D170000}"/>
    <cellStyle name="Percent 16 6 16" xfId="5904" xr:uid="{00000000-0005-0000-0000-00003E170000}"/>
    <cellStyle name="Percent 16 6 16 2" xfId="5905" xr:uid="{00000000-0005-0000-0000-00003F170000}"/>
    <cellStyle name="Percent 16 6 16 3" xfId="5906" xr:uid="{00000000-0005-0000-0000-000040170000}"/>
    <cellStyle name="Percent 16 6 17" xfId="5907" xr:uid="{00000000-0005-0000-0000-000041170000}"/>
    <cellStyle name="Percent 16 6 17 2" xfId="5908" xr:uid="{00000000-0005-0000-0000-000042170000}"/>
    <cellStyle name="Percent 16 6 17 3" xfId="5909" xr:uid="{00000000-0005-0000-0000-000043170000}"/>
    <cellStyle name="Percent 16 6 18" xfId="5910" xr:uid="{00000000-0005-0000-0000-000044170000}"/>
    <cellStyle name="Percent 16 6 18 2" xfId="5911" xr:uid="{00000000-0005-0000-0000-000045170000}"/>
    <cellStyle name="Percent 16 6 19" xfId="5912" xr:uid="{00000000-0005-0000-0000-000046170000}"/>
    <cellStyle name="Percent 16 6 19 2" xfId="5913" xr:uid="{00000000-0005-0000-0000-000047170000}"/>
    <cellStyle name="Percent 16 6 2" xfId="5914" xr:uid="{00000000-0005-0000-0000-000048170000}"/>
    <cellStyle name="Percent 16 6 2 2" xfId="5915" xr:uid="{00000000-0005-0000-0000-000049170000}"/>
    <cellStyle name="Percent 16 6 2 3" xfId="5916" xr:uid="{00000000-0005-0000-0000-00004A170000}"/>
    <cellStyle name="Percent 16 6 20" xfId="5917" xr:uid="{00000000-0005-0000-0000-00004B170000}"/>
    <cellStyle name="Percent 16 6 21" xfId="5918" xr:uid="{00000000-0005-0000-0000-00004C170000}"/>
    <cellStyle name="Percent 16 6 3" xfId="5919" xr:uid="{00000000-0005-0000-0000-00004D170000}"/>
    <cellStyle name="Percent 16 6 3 2" xfId="5920" xr:uid="{00000000-0005-0000-0000-00004E170000}"/>
    <cellStyle name="Percent 16 6 3 3" xfId="5921" xr:uid="{00000000-0005-0000-0000-00004F170000}"/>
    <cellStyle name="Percent 16 6 4" xfId="5922" xr:uid="{00000000-0005-0000-0000-000050170000}"/>
    <cellStyle name="Percent 16 6 4 2" xfId="5923" xr:uid="{00000000-0005-0000-0000-000051170000}"/>
    <cellStyle name="Percent 16 6 4 3" xfId="5924" xr:uid="{00000000-0005-0000-0000-000052170000}"/>
    <cellStyle name="Percent 16 6 5" xfId="5925" xr:uid="{00000000-0005-0000-0000-000053170000}"/>
    <cellStyle name="Percent 16 6 5 2" xfId="5926" xr:uid="{00000000-0005-0000-0000-000054170000}"/>
    <cellStyle name="Percent 16 6 5 3" xfId="5927" xr:uid="{00000000-0005-0000-0000-000055170000}"/>
    <cellStyle name="Percent 16 6 6" xfId="5928" xr:uid="{00000000-0005-0000-0000-000056170000}"/>
    <cellStyle name="Percent 16 6 6 2" xfId="5929" xr:uid="{00000000-0005-0000-0000-000057170000}"/>
    <cellStyle name="Percent 16 6 6 3" xfId="5930" xr:uid="{00000000-0005-0000-0000-000058170000}"/>
    <cellStyle name="Percent 16 6 7" xfId="5931" xr:uid="{00000000-0005-0000-0000-000059170000}"/>
    <cellStyle name="Percent 16 6 7 2" xfId="5932" xr:uid="{00000000-0005-0000-0000-00005A170000}"/>
    <cellStyle name="Percent 16 6 7 3" xfId="5933" xr:uid="{00000000-0005-0000-0000-00005B170000}"/>
    <cellStyle name="Percent 16 6 8" xfId="5934" xr:uid="{00000000-0005-0000-0000-00005C170000}"/>
    <cellStyle name="Percent 16 6 8 2" xfId="5935" xr:uid="{00000000-0005-0000-0000-00005D170000}"/>
    <cellStyle name="Percent 16 6 8 3" xfId="5936" xr:uid="{00000000-0005-0000-0000-00005E170000}"/>
    <cellStyle name="Percent 16 6 9" xfId="5937" xr:uid="{00000000-0005-0000-0000-00005F170000}"/>
    <cellStyle name="Percent 16 6 9 2" xfId="5938" xr:uid="{00000000-0005-0000-0000-000060170000}"/>
    <cellStyle name="Percent 16 6 9 3" xfId="5939" xr:uid="{00000000-0005-0000-0000-000061170000}"/>
    <cellStyle name="Percent 16 7" xfId="5940" xr:uid="{00000000-0005-0000-0000-000062170000}"/>
    <cellStyle name="Percent 16 7 10" xfId="5941" xr:uid="{00000000-0005-0000-0000-000063170000}"/>
    <cellStyle name="Percent 16 7 10 2" xfId="5942" xr:uid="{00000000-0005-0000-0000-000064170000}"/>
    <cellStyle name="Percent 16 7 10 3" xfId="5943" xr:uid="{00000000-0005-0000-0000-000065170000}"/>
    <cellStyle name="Percent 16 7 11" xfId="5944" xr:uid="{00000000-0005-0000-0000-000066170000}"/>
    <cellStyle name="Percent 16 7 11 2" xfId="5945" xr:uid="{00000000-0005-0000-0000-000067170000}"/>
    <cellStyle name="Percent 16 7 11 3" xfId="5946" xr:uid="{00000000-0005-0000-0000-000068170000}"/>
    <cellStyle name="Percent 16 7 12" xfId="5947" xr:uid="{00000000-0005-0000-0000-000069170000}"/>
    <cellStyle name="Percent 16 7 12 2" xfId="5948" xr:uid="{00000000-0005-0000-0000-00006A170000}"/>
    <cellStyle name="Percent 16 7 12 3" xfId="5949" xr:uid="{00000000-0005-0000-0000-00006B170000}"/>
    <cellStyle name="Percent 16 7 13" xfId="5950" xr:uid="{00000000-0005-0000-0000-00006C170000}"/>
    <cellStyle name="Percent 16 7 13 2" xfId="5951" xr:uid="{00000000-0005-0000-0000-00006D170000}"/>
    <cellStyle name="Percent 16 7 13 3" xfId="5952" xr:uid="{00000000-0005-0000-0000-00006E170000}"/>
    <cellStyle name="Percent 16 7 14" xfId="5953" xr:uid="{00000000-0005-0000-0000-00006F170000}"/>
    <cellStyle name="Percent 16 7 14 2" xfId="5954" xr:uid="{00000000-0005-0000-0000-000070170000}"/>
    <cellStyle name="Percent 16 7 14 3" xfId="5955" xr:uid="{00000000-0005-0000-0000-000071170000}"/>
    <cellStyle name="Percent 16 7 15" xfId="5956" xr:uid="{00000000-0005-0000-0000-000072170000}"/>
    <cellStyle name="Percent 16 7 15 2" xfId="5957" xr:uid="{00000000-0005-0000-0000-000073170000}"/>
    <cellStyle name="Percent 16 7 15 3" xfId="5958" xr:uid="{00000000-0005-0000-0000-000074170000}"/>
    <cellStyle name="Percent 16 7 16" xfId="5959" xr:uid="{00000000-0005-0000-0000-000075170000}"/>
    <cellStyle name="Percent 16 7 16 2" xfId="5960" xr:uid="{00000000-0005-0000-0000-000076170000}"/>
    <cellStyle name="Percent 16 7 16 3" xfId="5961" xr:uid="{00000000-0005-0000-0000-000077170000}"/>
    <cellStyle name="Percent 16 7 17" xfId="5962" xr:uid="{00000000-0005-0000-0000-000078170000}"/>
    <cellStyle name="Percent 16 7 17 2" xfId="5963" xr:uid="{00000000-0005-0000-0000-000079170000}"/>
    <cellStyle name="Percent 16 7 17 3" xfId="5964" xr:uid="{00000000-0005-0000-0000-00007A170000}"/>
    <cellStyle name="Percent 16 7 18" xfId="5965" xr:uid="{00000000-0005-0000-0000-00007B170000}"/>
    <cellStyle name="Percent 16 7 18 2" xfId="5966" xr:uid="{00000000-0005-0000-0000-00007C170000}"/>
    <cellStyle name="Percent 16 7 19" xfId="5967" xr:uid="{00000000-0005-0000-0000-00007D170000}"/>
    <cellStyle name="Percent 16 7 19 2" xfId="5968" xr:uid="{00000000-0005-0000-0000-00007E170000}"/>
    <cellStyle name="Percent 16 7 2" xfId="5969" xr:uid="{00000000-0005-0000-0000-00007F170000}"/>
    <cellStyle name="Percent 16 7 2 2" xfId="5970" xr:uid="{00000000-0005-0000-0000-000080170000}"/>
    <cellStyle name="Percent 16 7 2 2 2" xfId="5971" xr:uid="{00000000-0005-0000-0000-000081170000}"/>
    <cellStyle name="Percent 16 7 2 3" xfId="5972" xr:uid="{00000000-0005-0000-0000-000082170000}"/>
    <cellStyle name="Percent 16 7 2 3 2" xfId="5973" xr:uid="{00000000-0005-0000-0000-000083170000}"/>
    <cellStyle name="Percent 16 7 2 4" xfId="5974" xr:uid="{00000000-0005-0000-0000-000084170000}"/>
    <cellStyle name="Percent 16 7 2 5" xfId="5975" xr:uid="{00000000-0005-0000-0000-000085170000}"/>
    <cellStyle name="Percent 16 7 20" xfId="5976" xr:uid="{00000000-0005-0000-0000-000086170000}"/>
    <cellStyle name="Percent 16 7 21" xfId="5977" xr:uid="{00000000-0005-0000-0000-000087170000}"/>
    <cellStyle name="Percent 16 7 3" xfId="5978" xr:uid="{00000000-0005-0000-0000-000088170000}"/>
    <cellStyle name="Percent 16 7 3 2" xfId="5979" xr:uid="{00000000-0005-0000-0000-000089170000}"/>
    <cellStyle name="Percent 16 7 3 2 2" xfId="5980" xr:uid="{00000000-0005-0000-0000-00008A170000}"/>
    <cellStyle name="Percent 16 7 3 3" xfId="5981" xr:uid="{00000000-0005-0000-0000-00008B170000}"/>
    <cellStyle name="Percent 16 7 3 3 2" xfId="5982" xr:uid="{00000000-0005-0000-0000-00008C170000}"/>
    <cellStyle name="Percent 16 7 3 4" xfId="5983" xr:uid="{00000000-0005-0000-0000-00008D170000}"/>
    <cellStyle name="Percent 16 7 3 5" xfId="5984" xr:uid="{00000000-0005-0000-0000-00008E170000}"/>
    <cellStyle name="Percent 16 7 4" xfId="5985" xr:uid="{00000000-0005-0000-0000-00008F170000}"/>
    <cellStyle name="Percent 16 7 4 2" xfId="5986" xr:uid="{00000000-0005-0000-0000-000090170000}"/>
    <cellStyle name="Percent 16 7 4 3" xfId="5987" xr:uid="{00000000-0005-0000-0000-000091170000}"/>
    <cellStyle name="Percent 16 7 5" xfId="5988" xr:uid="{00000000-0005-0000-0000-000092170000}"/>
    <cellStyle name="Percent 16 7 5 2" xfId="5989" xr:uid="{00000000-0005-0000-0000-000093170000}"/>
    <cellStyle name="Percent 16 7 5 3" xfId="5990" xr:uid="{00000000-0005-0000-0000-000094170000}"/>
    <cellStyle name="Percent 16 7 6" xfId="5991" xr:uid="{00000000-0005-0000-0000-000095170000}"/>
    <cellStyle name="Percent 16 7 6 2" xfId="5992" xr:uid="{00000000-0005-0000-0000-000096170000}"/>
    <cellStyle name="Percent 16 7 6 3" xfId="5993" xr:uid="{00000000-0005-0000-0000-000097170000}"/>
    <cellStyle name="Percent 16 7 7" xfId="5994" xr:uid="{00000000-0005-0000-0000-000098170000}"/>
    <cellStyle name="Percent 16 7 7 2" xfId="5995" xr:uid="{00000000-0005-0000-0000-000099170000}"/>
    <cellStyle name="Percent 16 7 7 3" xfId="5996" xr:uid="{00000000-0005-0000-0000-00009A170000}"/>
    <cellStyle name="Percent 16 7 8" xfId="5997" xr:uid="{00000000-0005-0000-0000-00009B170000}"/>
    <cellStyle name="Percent 16 7 8 2" xfId="5998" xr:uid="{00000000-0005-0000-0000-00009C170000}"/>
    <cellStyle name="Percent 16 7 8 3" xfId="5999" xr:uid="{00000000-0005-0000-0000-00009D170000}"/>
    <cellStyle name="Percent 16 7 9" xfId="6000" xr:uid="{00000000-0005-0000-0000-00009E170000}"/>
    <cellStyle name="Percent 16 7 9 2" xfId="6001" xr:uid="{00000000-0005-0000-0000-00009F170000}"/>
    <cellStyle name="Percent 16 7 9 3" xfId="6002" xr:uid="{00000000-0005-0000-0000-0000A0170000}"/>
    <cellStyle name="Percent 16 8" xfId="6003" xr:uid="{00000000-0005-0000-0000-0000A1170000}"/>
    <cellStyle name="Percent 16 8 10" xfId="6004" xr:uid="{00000000-0005-0000-0000-0000A2170000}"/>
    <cellStyle name="Percent 16 8 10 2" xfId="6005" xr:uid="{00000000-0005-0000-0000-0000A3170000}"/>
    <cellStyle name="Percent 16 8 10 3" xfId="6006" xr:uid="{00000000-0005-0000-0000-0000A4170000}"/>
    <cellStyle name="Percent 16 8 11" xfId="6007" xr:uid="{00000000-0005-0000-0000-0000A5170000}"/>
    <cellStyle name="Percent 16 8 11 2" xfId="6008" xr:uid="{00000000-0005-0000-0000-0000A6170000}"/>
    <cellStyle name="Percent 16 8 11 3" xfId="6009" xr:uid="{00000000-0005-0000-0000-0000A7170000}"/>
    <cellStyle name="Percent 16 8 12" xfId="6010" xr:uid="{00000000-0005-0000-0000-0000A8170000}"/>
    <cellStyle name="Percent 16 8 12 2" xfId="6011" xr:uid="{00000000-0005-0000-0000-0000A9170000}"/>
    <cellStyle name="Percent 16 8 12 3" xfId="6012" xr:uid="{00000000-0005-0000-0000-0000AA170000}"/>
    <cellStyle name="Percent 16 8 13" xfId="6013" xr:uid="{00000000-0005-0000-0000-0000AB170000}"/>
    <cellStyle name="Percent 16 8 13 2" xfId="6014" xr:uid="{00000000-0005-0000-0000-0000AC170000}"/>
    <cellStyle name="Percent 16 8 13 3" xfId="6015" xr:uid="{00000000-0005-0000-0000-0000AD170000}"/>
    <cellStyle name="Percent 16 8 14" xfId="6016" xr:uid="{00000000-0005-0000-0000-0000AE170000}"/>
    <cellStyle name="Percent 16 8 14 2" xfId="6017" xr:uid="{00000000-0005-0000-0000-0000AF170000}"/>
    <cellStyle name="Percent 16 8 14 3" xfId="6018" xr:uid="{00000000-0005-0000-0000-0000B0170000}"/>
    <cellStyle name="Percent 16 8 15" xfId="6019" xr:uid="{00000000-0005-0000-0000-0000B1170000}"/>
    <cellStyle name="Percent 16 8 15 2" xfId="6020" xr:uid="{00000000-0005-0000-0000-0000B2170000}"/>
    <cellStyle name="Percent 16 8 15 3" xfId="6021" xr:uid="{00000000-0005-0000-0000-0000B3170000}"/>
    <cellStyle name="Percent 16 8 16" xfId="6022" xr:uid="{00000000-0005-0000-0000-0000B4170000}"/>
    <cellStyle name="Percent 16 8 16 2" xfId="6023" xr:uid="{00000000-0005-0000-0000-0000B5170000}"/>
    <cellStyle name="Percent 16 8 16 3" xfId="6024" xr:uid="{00000000-0005-0000-0000-0000B6170000}"/>
    <cellStyle name="Percent 16 8 17" xfId="6025" xr:uid="{00000000-0005-0000-0000-0000B7170000}"/>
    <cellStyle name="Percent 16 8 17 2" xfId="6026" xr:uid="{00000000-0005-0000-0000-0000B8170000}"/>
    <cellStyle name="Percent 16 8 17 3" xfId="6027" xr:uid="{00000000-0005-0000-0000-0000B9170000}"/>
    <cellStyle name="Percent 16 8 18" xfId="6028" xr:uid="{00000000-0005-0000-0000-0000BA170000}"/>
    <cellStyle name="Percent 16 8 19" xfId="6029" xr:uid="{00000000-0005-0000-0000-0000BB170000}"/>
    <cellStyle name="Percent 16 8 2" xfId="6030" xr:uid="{00000000-0005-0000-0000-0000BC170000}"/>
    <cellStyle name="Percent 16 8 2 2" xfId="6031" xr:uid="{00000000-0005-0000-0000-0000BD170000}"/>
    <cellStyle name="Percent 16 8 2 3" xfId="6032" xr:uid="{00000000-0005-0000-0000-0000BE170000}"/>
    <cellStyle name="Percent 16 8 3" xfId="6033" xr:uid="{00000000-0005-0000-0000-0000BF170000}"/>
    <cellStyle name="Percent 16 8 3 2" xfId="6034" xr:uid="{00000000-0005-0000-0000-0000C0170000}"/>
    <cellStyle name="Percent 16 8 3 3" xfId="6035" xr:uid="{00000000-0005-0000-0000-0000C1170000}"/>
    <cellStyle name="Percent 16 8 4" xfId="6036" xr:uid="{00000000-0005-0000-0000-0000C2170000}"/>
    <cellStyle name="Percent 16 8 4 2" xfId="6037" xr:uid="{00000000-0005-0000-0000-0000C3170000}"/>
    <cellStyle name="Percent 16 8 4 3" xfId="6038" xr:uid="{00000000-0005-0000-0000-0000C4170000}"/>
    <cellStyle name="Percent 16 8 5" xfId="6039" xr:uid="{00000000-0005-0000-0000-0000C5170000}"/>
    <cellStyle name="Percent 16 8 5 2" xfId="6040" xr:uid="{00000000-0005-0000-0000-0000C6170000}"/>
    <cellStyle name="Percent 16 8 5 3" xfId="6041" xr:uid="{00000000-0005-0000-0000-0000C7170000}"/>
    <cellStyle name="Percent 16 8 6" xfId="6042" xr:uid="{00000000-0005-0000-0000-0000C8170000}"/>
    <cellStyle name="Percent 16 8 6 2" xfId="6043" xr:uid="{00000000-0005-0000-0000-0000C9170000}"/>
    <cellStyle name="Percent 16 8 6 3" xfId="6044" xr:uid="{00000000-0005-0000-0000-0000CA170000}"/>
    <cellStyle name="Percent 16 8 7" xfId="6045" xr:uid="{00000000-0005-0000-0000-0000CB170000}"/>
    <cellStyle name="Percent 16 8 7 2" xfId="6046" xr:uid="{00000000-0005-0000-0000-0000CC170000}"/>
    <cellStyle name="Percent 16 8 7 3" xfId="6047" xr:uid="{00000000-0005-0000-0000-0000CD170000}"/>
    <cellStyle name="Percent 16 8 8" xfId="6048" xr:uid="{00000000-0005-0000-0000-0000CE170000}"/>
    <cellStyle name="Percent 16 8 8 2" xfId="6049" xr:uid="{00000000-0005-0000-0000-0000CF170000}"/>
    <cellStyle name="Percent 16 8 8 3" xfId="6050" xr:uid="{00000000-0005-0000-0000-0000D0170000}"/>
    <cellStyle name="Percent 16 8 9" xfId="6051" xr:uid="{00000000-0005-0000-0000-0000D1170000}"/>
    <cellStyle name="Percent 16 8 9 2" xfId="6052" xr:uid="{00000000-0005-0000-0000-0000D2170000}"/>
    <cellStyle name="Percent 16 8 9 3" xfId="6053" xr:uid="{00000000-0005-0000-0000-0000D3170000}"/>
    <cellStyle name="Percent 16 9" xfId="6054" xr:uid="{00000000-0005-0000-0000-0000D4170000}"/>
    <cellStyle name="Percent 16 9 10" xfId="6055" xr:uid="{00000000-0005-0000-0000-0000D5170000}"/>
    <cellStyle name="Percent 16 9 10 2" xfId="6056" xr:uid="{00000000-0005-0000-0000-0000D6170000}"/>
    <cellStyle name="Percent 16 9 10 3" xfId="6057" xr:uid="{00000000-0005-0000-0000-0000D7170000}"/>
    <cellStyle name="Percent 16 9 11" xfId="6058" xr:uid="{00000000-0005-0000-0000-0000D8170000}"/>
    <cellStyle name="Percent 16 9 11 2" xfId="6059" xr:uid="{00000000-0005-0000-0000-0000D9170000}"/>
    <cellStyle name="Percent 16 9 11 3" xfId="6060" xr:uid="{00000000-0005-0000-0000-0000DA170000}"/>
    <cellStyle name="Percent 16 9 12" xfId="6061" xr:uid="{00000000-0005-0000-0000-0000DB170000}"/>
    <cellStyle name="Percent 16 9 12 2" xfId="6062" xr:uid="{00000000-0005-0000-0000-0000DC170000}"/>
    <cellStyle name="Percent 16 9 12 3" xfId="6063" xr:uid="{00000000-0005-0000-0000-0000DD170000}"/>
    <cellStyle name="Percent 16 9 13" xfId="6064" xr:uid="{00000000-0005-0000-0000-0000DE170000}"/>
    <cellStyle name="Percent 16 9 13 2" xfId="6065" xr:uid="{00000000-0005-0000-0000-0000DF170000}"/>
    <cellStyle name="Percent 16 9 13 3" xfId="6066" xr:uid="{00000000-0005-0000-0000-0000E0170000}"/>
    <cellStyle name="Percent 16 9 14" xfId="6067" xr:uid="{00000000-0005-0000-0000-0000E1170000}"/>
    <cellStyle name="Percent 16 9 14 2" xfId="6068" xr:uid="{00000000-0005-0000-0000-0000E2170000}"/>
    <cellStyle name="Percent 16 9 14 3" xfId="6069" xr:uid="{00000000-0005-0000-0000-0000E3170000}"/>
    <cellStyle name="Percent 16 9 15" xfId="6070" xr:uid="{00000000-0005-0000-0000-0000E4170000}"/>
    <cellStyle name="Percent 16 9 15 2" xfId="6071" xr:uid="{00000000-0005-0000-0000-0000E5170000}"/>
    <cellStyle name="Percent 16 9 15 3" xfId="6072" xr:uid="{00000000-0005-0000-0000-0000E6170000}"/>
    <cellStyle name="Percent 16 9 16" xfId="6073" xr:uid="{00000000-0005-0000-0000-0000E7170000}"/>
    <cellStyle name="Percent 16 9 16 2" xfId="6074" xr:uid="{00000000-0005-0000-0000-0000E8170000}"/>
    <cellStyle name="Percent 16 9 16 3" xfId="6075" xr:uid="{00000000-0005-0000-0000-0000E9170000}"/>
    <cellStyle name="Percent 16 9 17" xfId="6076" xr:uid="{00000000-0005-0000-0000-0000EA170000}"/>
    <cellStyle name="Percent 16 9 17 2" xfId="6077" xr:uid="{00000000-0005-0000-0000-0000EB170000}"/>
    <cellStyle name="Percent 16 9 17 3" xfId="6078" xr:uid="{00000000-0005-0000-0000-0000EC170000}"/>
    <cellStyle name="Percent 16 9 18" xfId="6079" xr:uid="{00000000-0005-0000-0000-0000ED170000}"/>
    <cellStyle name="Percent 16 9 19" xfId="6080" xr:uid="{00000000-0005-0000-0000-0000EE170000}"/>
    <cellStyle name="Percent 16 9 2" xfId="6081" xr:uid="{00000000-0005-0000-0000-0000EF170000}"/>
    <cellStyle name="Percent 16 9 2 2" xfId="6082" xr:uid="{00000000-0005-0000-0000-0000F0170000}"/>
    <cellStyle name="Percent 16 9 2 3" xfId="6083" xr:uid="{00000000-0005-0000-0000-0000F1170000}"/>
    <cellStyle name="Percent 16 9 3" xfId="6084" xr:uid="{00000000-0005-0000-0000-0000F2170000}"/>
    <cellStyle name="Percent 16 9 3 2" xfId="6085" xr:uid="{00000000-0005-0000-0000-0000F3170000}"/>
    <cellStyle name="Percent 16 9 3 3" xfId="6086" xr:uid="{00000000-0005-0000-0000-0000F4170000}"/>
    <cellStyle name="Percent 16 9 4" xfId="6087" xr:uid="{00000000-0005-0000-0000-0000F5170000}"/>
    <cellStyle name="Percent 16 9 4 2" xfId="6088" xr:uid="{00000000-0005-0000-0000-0000F6170000}"/>
    <cellStyle name="Percent 16 9 4 3" xfId="6089" xr:uid="{00000000-0005-0000-0000-0000F7170000}"/>
    <cellStyle name="Percent 16 9 5" xfId="6090" xr:uid="{00000000-0005-0000-0000-0000F8170000}"/>
    <cellStyle name="Percent 16 9 5 2" xfId="6091" xr:uid="{00000000-0005-0000-0000-0000F9170000}"/>
    <cellStyle name="Percent 16 9 5 3" xfId="6092" xr:uid="{00000000-0005-0000-0000-0000FA170000}"/>
    <cellStyle name="Percent 16 9 6" xfId="6093" xr:uid="{00000000-0005-0000-0000-0000FB170000}"/>
    <cellStyle name="Percent 16 9 6 2" xfId="6094" xr:uid="{00000000-0005-0000-0000-0000FC170000}"/>
    <cellStyle name="Percent 16 9 6 3" xfId="6095" xr:uid="{00000000-0005-0000-0000-0000FD170000}"/>
    <cellStyle name="Percent 16 9 7" xfId="6096" xr:uid="{00000000-0005-0000-0000-0000FE170000}"/>
    <cellStyle name="Percent 16 9 7 2" xfId="6097" xr:uid="{00000000-0005-0000-0000-0000FF170000}"/>
    <cellStyle name="Percent 16 9 7 3" xfId="6098" xr:uid="{00000000-0005-0000-0000-000000180000}"/>
    <cellStyle name="Percent 16 9 8" xfId="6099" xr:uid="{00000000-0005-0000-0000-000001180000}"/>
    <cellStyle name="Percent 16 9 8 2" xfId="6100" xr:uid="{00000000-0005-0000-0000-000002180000}"/>
    <cellStyle name="Percent 16 9 8 3" xfId="6101" xr:uid="{00000000-0005-0000-0000-000003180000}"/>
    <cellStyle name="Percent 16 9 9" xfId="6102" xr:uid="{00000000-0005-0000-0000-000004180000}"/>
    <cellStyle name="Percent 16 9 9 2" xfId="6103" xr:uid="{00000000-0005-0000-0000-000005180000}"/>
    <cellStyle name="Percent 16 9 9 3" xfId="6104" xr:uid="{00000000-0005-0000-0000-000006180000}"/>
    <cellStyle name="Percent 17" xfId="6105" xr:uid="{00000000-0005-0000-0000-000007180000}"/>
    <cellStyle name="Percent 17 10" xfId="6106" xr:uid="{00000000-0005-0000-0000-000008180000}"/>
    <cellStyle name="Percent 17 11" xfId="6107" xr:uid="{00000000-0005-0000-0000-000009180000}"/>
    <cellStyle name="Percent 17 2" xfId="6108" xr:uid="{00000000-0005-0000-0000-00000A180000}"/>
    <cellStyle name="Percent 17 2 2" xfId="6109" xr:uid="{00000000-0005-0000-0000-00000B180000}"/>
    <cellStyle name="Percent 17 3" xfId="6110" xr:uid="{00000000-0005-0000-0000-00000C180000}"/>
    <cellStyle name="Percent 17 3 2" xfId="6111" xr:uid="{00000000-0005-0000-0000-00000D180000}"/>
    <cellStyle name="Percent 17 4" xfId="6112" xr:uid="{00000000-0005-0000-0000-00000E180000}"/>
    <cellStyle name="Percent 17 4 2" xfId="6113" xr:uid="{00000000-0005-0000-0000-00000F180000}"/>
    <cellStyle name="Percent 17 5" xfId="6114" xr:uid="{00000000-0005-0000-0000-000010180000}"/>
    <cellStyle name="Percent 17 5 2" xfId="6115" xr:uid="{00000000-0005-0000-0000-000011180000}"/>
    <cellStyle name="Percent 17 6" xfId="6116" xr:uid="{00000000-0005-0000-0000-000012180000}"/>
    <cellStyle name="Percent 17 6 2" xfId="6117" xr:uid="{00000000-0005-0000-0000-000013180000}"/>
    <cellStyle name="Percent 17 7" xfId="6118" xr:uid="{00000000-0005-0000-0000-000014180000}"/>
    <cellStyle name="Percent 17 7 2" xfId="6119" xr:uid="{00000000-0005-0000-0000-000015180000}"/>
    <cellStyle name="Percent 17 7 2 2" xfId="6120" xr:uid="{00000000-0005-0000-0000-000016180000}"/>
    <cellStyle name="Percent 17 7 3" xfId="6121" xr:uid="{00000000-0005-0000-0000-000017180000}"/>
    <cellStyle name="Percent 17 7 3 2" xfId="6122" xr:uid="{00000000-0005-0000-0000-000018180000}"/>
    <cellStyle name="Percent 17 7 4" xfId="6123" xr:uid="{00000000-0005-0000-0000-000019180000}"/>
    <cellStyle name="Percent 17 8" xfId="6124" xr:uid="{00000000-0005-0000-0000-00001A180000}"/>
    <cellStyle name="Percent 17 8 2" xfId="6125" xr:uid="{00000000-0005-0000-0000-00001B180000}"/>
    <cellStyle name="Percent 17 8 2 2" xfId="6126" xr:uid="{00000000-0005-0000-0000-00001C180000}"/>
    <cellStyle name="Percent 17 8 3" xfId="6127" xr:uid="{00000000-0005-0000-0000-00001D180000}"/>
    <cellStyle name="Percent 17 9" xfId="6128" xr:uid="{00000000-0005-0000-0000-00001E180000}"/>
    <cellStyle name="Percent 17 9 2" xfId="6129" xr:uid="{00000000-0005-0000-0000-00001F180000}"/>
    <cellStyle name="Percent 18" xfId="6130" xr:uid="{00000000-0005-0000-0000-000020180000}"/>
    <cellStyle name="Percent 18 2" xfId="6131" xr:uid="{00000000-0005-0000-0000-000021180000}"/>
    <cellStyle name="Percent 18 2 2" xfId="6132" xr:uid="{00000000-0005-0000-0000-000022180000}"/>
    <cellStyle name="Percent 18 3" xfId="6133" xr:uid="{00000000-0005-0000-0000-000023180000}"/>
    <cellStyle name="Percent 19" xfId="6134" xr:uid="{00000000-0005-0000-0000-000024180000}"/>
    <cellStyle name="Percent 19 2" xfId="6135" xr:uid="{00000000-0005-0000-0000-000025180000}"/>
    <cellStyle name="Percent 19 2 2" xfId="6136" xr:uid="{00000000-0005-0000-0000-000026180000}"/>
    <cellStyle name="Percent 19 3" xfId="6137" xr:uid="{00000000-0005-0000-0000-000027180000}"/>
    <cellStyle name="Percent 2" xfId="6138" xr:uid="{00000000-0005-0000-0000-000028180000}"/>
    <cellStyle name="Percent 2 10" xfId="6139" xr:uid="{00000000-0005-0000-0000-000029180000}"/>
    <cellStyle name="Percent 2 10 10" xfId="6140" xr:uid="{00000000-0005-0000-0000-00002A180000}"/>
    <cellStyle name="Percent 2 10 2" xfId="6141" xr:uid="{00000000-0005-0000-0000-00002B180000}"/>
    <cellStyle name="Percent 2 10 2 2" xfId="6142" xr:uid="{00000000-0005-0000-0000-00002C180000}"/>
    <cellStyle name="Percent 2 10 2 3" xfId="6143" xr:uid="{00000000-0005-0000-0000-00002D180000}"/>
    <cellStyle name="Percent 2 10 3" xfId="6144" xr:uid="{00000000-0005-0000-0000-00002E180000}"/>
    <cellStyle name="Percent 2 10 3 2" xfId="6145" xr:uid="{00000000-0005-0000-0000-00002F180000}"/>
    <cellStyle name="Percent 2 10 3 3" xfId="6146" xr:uid="{00000000-0005-0000-0000-000030180000}"/>
    <cellStyle name="Percent 2 10 4" xfId="6147" xr:uid="{00000000-0005-0000-0000-000031180000}"/>
    <cellStyle name="Percent 2 10 4 2" xfId="6148" xr:uid="{00000000-0005-0000-0000-000032180000}"/>
    <cellStyle name="Percent 2 10 4 3" xfId="6149" xr:uid="{00000000-0005-0000-0000-000033180000}"/>
    <cellStyle name="Percent 2 10 5" xfId="6150" xr:uid="{00000000-0005-0000-0000-000034180000}"/>
    <cellStyle name="Percent 2 10 5 2" xfId="6151" xr:uid="{00000000-0005-0000-0000-000035180000}"/>
    <cellStyle name="Percent 2 10 5 3" xfId="6152" xr:uid="{00000000-0005-0000-0000-000036180000}"/>
    <cellStyle name="Percent 2 10 6" xfId="6153" xr:uid="{00000000-0005-0000-0000-000037180000}"/>
    <cellStyle name="Percent 2 10 6 2" xfId="6154" xr:uid="{00000000-0005-0000-0000-000038180000}"/>
    <cellStyle name="Percent 2 10 6 3" xfId="6155" xr:uid="{00000000-0005-0000-0000-000039180000}"/>
    <cellStyle name="Percent 2 10 7" xfId="6156" xr:uid="{00000000-0005-0000-0000-00003A180000}"/>
    <cellStyle name="Percent 2 10 7 2" xfId="6157" xr:uid="{00000000-0005-0000-0000-00003B180000}"/>
    <cellStyle name="Percent 2 10 7 3" xfId="6158" xr:uid="{00000000-0005-0000-0000-00003C180000}"/>
    <cellStyle name="Percent 2 10 8" xfId="6159" xr:uid="{00000000-0005-0000-0000-00003D180000}"/>
    <cellStyle name="Percent 2 10 8 2" xfId="6160" xr:uid="{00000000-0005-0000-0000-00003E180000}"/>
    <cellStyle name="Percent 2 10 8 3" xfId="6161" xr:uid="{00000000-0005-0000-0000-00003F180000}"/>
    <cellStyle name="Percent 2 10 9" xfId="6162" xr:uid="{00000000-0005-0000-0000-000040180000}"/>
    <cellStyle name="Percent 2 11" xfId="6163" xr:uid="{00000000-0005-0000-0000-000041180000}"/>
    <cellStyle name="Percent 2 11 10" xfId="6164" xr:uid="{00000000-0005-0000-0000-000042180000}"/>
    <cellStyle name="Percent 2 11 2" xfId="6165" xr:uid="{00000000-0005-0000-0000-000043180000}"/>
    <cellStyle name="Percent 2 11 2 2" xfId="6166" xr:uid="{00000000-0005-0000-0000-000044180000}"/>
    <cellStyle name="Percent 2 11 2 3" xfId="6167" xr:uid="{00000000-0005-0000-0000-000045180000}"/>
    <cellStyle name="Percent 2 11 3" xfId="6168" xr:uid="{00000000-0005-0000-0000-000046180000}"/>
    <cellStyle name="Percent 2 11 3 2" xfId="6169" xr:uid="{00000000-0005-0000-0000-000047180000}"/>
    <cellStyle name="Percent 2 11 3 3" xfId="6170" xr:uid="{00000000-0005-0000-0000-000048180000}"/>
    <cellStyle name="Percent 2 11 4" xfId="6171" xr:uid="{00000000-0005-0000-0000-000049180000}"/>
    <cellStyle name="Percent 2 11 4 2" xfId="6172" xr:uid="{00000000-0005-0000-0000-00004A180000}"/>
    <cellStyle name="Percent 2 11 4 3" xfId="6173" xr:uid="{00000000-0005-0000-0000-00004B180000}"/>
    <cellStyle name="Percent 2 11 5" xfId="6174" xr:uid="{00000000-0005-0000-0000-00004C180000}"/>
    <cellStyle name="Percent 2 11 5 2" xfId="6175" xr:uid="{00000000-0005-0000-0000-00004D180000}"/>
    <cellStyle name="Percent 2 11 5 3" xfId="6176" xr:uid="{00000000-0005-0000-0000-00004E180000}"/>
    <cellStyle name="Percent 2 11 6" xfId="6177" xr:uid="{00000000-0005-0000-0000-00004F180000}"/>
    <cellStyle name="Percent 2 11 6 2" xfId="6178" xr:uid="{00000000-0005-0000-0000-000050180000}"/>
    <cellStyle name="Percent 2 11 6 3" xfId="6179" xr:uid="{00000000-0005-0000-0000-000051180000}"/>
    <cellStyle name="Percent 2 11 7" xfId="6180" xr:uid="{00000000-0005-0000-0000-000052180000}"/>
    <cellStyle name="Percent 2 11 7 2" xfId="6181" xr:uid="{00000000-0005-0000-0000-000053180000}"/>
    <cellStyle name="Percent 2 11 7 3" xfId="6182" xr:uid="{00000000-0005-0000-0000-000054180000}"/>
    <cellStyle name="Percent 2 11 8" xfId="6183" xr:uid="{00000000-0005-0000-0000-000055180000}"/>
    <cellStyle name="Percent 2 11 8 2" xfId="6184" xr:uid="{00000000-0005-0000-0000-000056180000}"/>
    <cellStyle name="Percent 2 11 8 3" xfId="6185" xr:uid="{00000000-0005-0000-0000-000057180000}"/>
    <cellStyle name="Percent 2 11 9" xfId="6186" xr:uid="{00000000-0005-0000-0000-000058180000}"/>
    <cellStyle name="Percent 2 12" xfId="6187" xr:uid="{00000000-0005-0000-0000-000059180000}"/>
    <cellStyle name="Percent 2 12 2" xfId="6188" xr:uid="{00000000-0005-0000-0000-00005A180000}"/>
    <cellStyle name="Percent 2 12 3" xfId="6189" xr:uid="{00000000-0005-0000-0000-00005B180000}"/>
    <cellStyle name="Percent 2 13" xfId="6190" xr:uid="{00000000-0005-0000-0000-00005C180000}"/>
    <cellStyle name="Percent 2 13 2" xfId="6191" xr:uid="{00000000-0005-0000-0000-00005D180000}"/>
    <cellStyle name="Percent 2 13 3" xfId="6192" xr:uid="{00000000-0005-0000-0000-00005E180000}"/>
    <cellStyle name="Percent 2 14" xfId="6193" xr:uid="{00000000-0005-0000-0000-00005F180000}"/>
    <cellStyle name="Percent 2 14 2" xfId="6194" xr:uid="{00000000-0005-0000-0000-000060180000}"/>
    <cellStyle name="Percent 2 14 3" xfId="6195" xr:uid="{00000000-0005-0000-0000-000061180000}"/>
    <cellStyle name="Percent 2 15" xfId="6196" xr:uid="{00000000-0005-0000-0000-000062180000}"/>
    <cellStyle name="Percent 2 15 2" xfId="6197" xr:uid="{00000000-0005-0000-0000-000063180000}"/>
    <cellStyle name="Percent 2 15 3" xfId="6198" xr:uid="{00000000-0005-0000-0000-000064180000}"/>
    <cellStyle name="Percent 2 16" xfId="6199" xr:uid="{00000000-0005-0000-0000-000065180000}"/>
    <cellStyle name="Percent 2 16 2" xfId="6200" xr:uid="{00000000-0005-0000-0000-000066180000}"/>
    <cellStyle name="Percent 2 16 3" xfId="6201" xr:uid="{00000000-0005-0000-0000-000067180000}"/>
    <cellStyle name="Percent 2 17" xfId="6202" xr:uid="{00000000-0005-0000-0000-000068180000}"/>
    <cellStyle name="Percent 2 17 2" xfId="6203" xr:uid="{00000000-0005-0000-0000-000069180000}"/>
    <cellStyle name="Percent 2 17 3" xfId="6204" xr:uid="{00000000-0005-0000-0000-00006A180000}"/>
    <cellStyle name="Percent 2 18" xfId="6205" xr:uid="{00000000-0005-0000-0000-00006B180000}"/>
    <cellStyle name="Percent 2 18 2" xfId="6206" xr:uid="{00000000-0005-0000-0000-00006C180000}"/>
    <cellStyle name="Percent 2 18 3" xfId="6207" xr:uid="{00000000-0005-0000-0000-00006D180000}"/>
    <cellStyle name="Percent 2 19" xfId="6208" xr:uid="{00000000-0005-0000-0000-00006E180000}"/>
    <cellStyle name="Percent 2 19 2" xfId="6209" xr:uid="{00000000-0005-0000-0000-00006F180000}"/>
    <cellStyle name="Percent 2 2" xfId="6210" xr:uid="{00000000-0005-0000-0000-000070180000}"/>
    <cellStyle name="Percent 2 2 10" xfId="6211" xr:uid="{00000000-0005-0000-0000-000071180000}"/>
    <cellStyle name="Percent 2 2 10 2" xfId="6212" xr:uid="{00000000-0005-0000-0000-000072180000}"/>
    <cellStyle name="Percent 2 2 2" xfId="6213" xr:uid="{00000000-0005-0000-0000-000073180000}"/>
    <cellStyle name="Percent 2 2 2 2" xfId="6214" xr:uid="{00000000-0005-0000-0000-000074180000}"/>
    <cellStyle name="Percent 2 2 2 2 2" xfId="6215" xr:uid="{00000000-0005-0000-0000-000075180000}"/>
    <cellStyle name="Percent 2 2 3" xfId="6216" xr:uid="{00000000-0005-0000-0000-000076180000}"/>
    <cellStyle name="Percent 2 2 3 2" xfId="6217" xr:uid="{00000000-0005-0000-0000-000077180000}"/>
    <cellStyle name="Percent 2 2 3 2 2" xfId="6218" xr:uid="{00000000-0005-0000-0000-000078180000}"/>
    <cellStyle name="Percent 2 2 3 2 2 2" xfId="6219" xr:uid="{00000000-0005-0000-0000-000079180000}"/>
    <cellStyle name="Percent 2 2 3 3" xfId="6220" xr:uid="{00000000-0005-0000-0000-00007A180000}"/>
    <cellStyle name="Percent 2 2 3 3 2" xfId="6221" xr:uid="{00000000-0005-0000-0000-00007B180000}"/>
    <cellStyle name="Percent 2 2 3 4" xfId="6222" xr:uid="{00000000-0005-0000-0000-00007C180000}"/>
    <cellStyle name="Percent 2 2 3 4 2" xfId="6223" xr:uid="{00000000-0005-0000-0000-00007D180000}"/>
    <cellStyle name="Percent 2 2 3 4 2 2" xfId="6224" xr:uid="{00000000-0005-0000-0000-00007E180000}"/>
    <cellStyle name="Percent 2 2 3 4 3" xfId="6225" xr:uid="{00000000-0005-0000-0000-00007F180000}"/>
    <cellStyle name="Percent 2 2 3 5" xfId="6226" xr:uid="{00000000-0005-0000-0000-000080180000}"/>
    <cellStyle name="Percent 2 2 3 5 2" xfId="6227" xr:uid="{00000000-0005-0000-0000-000081180000}"/>
    <cellStyle name="Percent 2 2 4" xfId="6228" xr:uid="{00000000-0005-0000-0000-000082180000}"/>
    <cellStyle name="Percent 2 2 4 2" xfId="6229" xr:uid="{00000000-0005-0000-0000-000083180000}"/>
    <cellStyle name="Percent 2 2 4 2 2" xfId="6230" xr:uid="{00000000-0005-0000-0000-000084180000}"/>
    <cellStyle name="Percent 2 2 4 3" xfId="6231" xr:uid="{00000000-0005-0000-0000-000085180000}"/>
    <cellStyle name="Percent 2 2 4 3 2" xfId="6232" xr:uid="{00000000-0005-0000-0000-000086180000}"/>
    <cellStyle name="Percent 2 2 4 4" xfId="6233" xr:uid="{00000000-0005-0000-0000-000087180000}"/>
    <cellStyle name="Percent 2 2 4 5" xfId="6234" xr:uid="{00000000-0005-0000-0000-000088180000}"/>
    <cellStyle name="Percent 2 2 5" xfId="6235" xr:uid="{00000000-0005-0000-0000-000089180000}"/>
    <cellStyle name="Percent 2 2 5 2" xfId="6236" xr:uid="{00000000-0005-0000-0000-00008A180000}"/>
    <cellStyle name="Percent 2 2 5 3" xfId="6237" xr:uid="{00000000-0005-0000-0000-00008B180000}"/>
    <cellStyle name="Percent 2 2 6" xfId="6238" xr:uid="{00000000-0005-0000-0000-00008C180000}"/>
    <cellStyle name="Percent 2 2 6 2" xfId="6239" xr:uid="{00000000-0005-0000-0000-00008D180000}"/>
    <cellStyle name="Percent 2 2 6 2 2" xfId="6240" xr:uid="{00000000-0005-0000-0000-00008E180000}"/>
    <cellStyle name="Percent 2 2 6 3" xfId="6241" xr:uid="{00000000-0005-0000-0000-00008F180000}"/>
    <cellStyle name="Percent 2 2 6 3 2" xfId="6242" xr:uid="{00000000-0005-0000-0000-000090180000}"/>
    <cellStyle name="Percent 2 2 6 4" xfId="6243" xr:uid="{00000000-0005-0000-0000-000091180000}"/>
    <cellStyle name="Percent 2 2 6 5" xfId="6244" xr:uid="{00000000-0005-0000-0000-000092180000}"/>
    <cellStyle name="Percent 2 2 7" xfId="6245" xr:uid="{00000000-0005-0000-0000-000093180000}"/>
    <cellStyle name="Percent 2 2 7 2" xfId="6246" xr:uid="{00000000-0005-0000-0000-000094180000}"/>
    <cellStyle name="Percent 2 2 7 2 2" xfId="6247" xr:uid="{00000000-0005-0000-0000-000095180000}"/>
    <cellStyle name="Percent 2 2 7 3" xfId="6248" xr:uid="{00000000-0005-0000-0000-000096180000}"/>
    <cellStyle name="Percent 2 2 7 3 2" xfId="6249" xr:uid="{00000000-0005-0000-0000-000097180000}"/>
    <cellStyle name="Percent 2 2 7 4" xfId="6250" xr:uid="{00000000-0005-0000-0000-000098180000}"/>
    <cellStyle name="Percent 2 2 7 5" xfId="6251" xr:uid="{00000000-0005-0000-0000-000099180000}"/>
    <cellStyle name="Percent 2 2 8" xfId="6252" xr:uid="{00000000-0005-0000-0000-00009A180000}"/>
    <cellStyle name="Percent 2 2 8 2" xfId="6253" xr:uid="{00000000-0005-0000-0000-00009B180000}"/>
    <cellStyle name="Percent 2 2 8 3" xfId="6254" xr:uid="{00000000-0005-0000-0000-00009C180000}"/>
    <cellStyle name="Percent 2 2 9" xfId="6255" xr:uid="{00000000-0005-0000-0000-00009D180000}"/>
    <cellStyle name="Percent 2 2 9 2" xfId="6256" xr:uid="{00000000-0005-0000-0000-00009E180000}"/>
    <cellStyle name="Percent 2 20" xfId="6257" xr:uid="{00000000-0005-0000-0000-00009F180000}"/>
    <cellStyle name="Percent 2 20 2" xfId="6258" xr:uid="{00000000-0005-0000-0000-0000A0180000}"/>
    <cellStyle name="Percent 2 21" xfId="6259" xr:uid="{00000000-0005-0000-0000-0000A1180000}"/>
    <cellStyle name="Percent 2 21 2" xfId="6260" xr:uid="{00000000-0005-0000-0000-0000A2180000}"/>
    <cellStyle name="Percent 2 22" xfId="6261" xr:uid="{00000000-0005-0000-0000-0000A3180000}"/>
    <cellStyle name="Percent 2 22 2" xfId="6262" xr:uid="{00000000-0005-0000-0000-0000A4180000}"/>
    <cellStyle name="Percent 2 23" xfId="6263" xr:uid="{00000000-0005-0000-0000-0000A5180000}"/>
    <cellStyle name="Percent 2 23 2" xfId="6264" xr:uid="{00000000-0005-0000-0000-0000A6180000}"/>
    <cellStyle name="Percent 2 24" xfId="6265" xr:uid="{00000000-0005-0000-0000-0000A7180000}"/>
    <cellStyle name="Percent 2 24 2" xfId="6266" xr:uid="{00000000-0005-0000-0000-0000A8180000}"/>
    <cellStyle name="Percent 2 25" xfId="6267" xr:uid="{00000000-0005-0000-0000-0000A9180000}"/>
    <cellStyle name="Percent 2 25 2" xfId="6268" xr:uid="{00000000-0005-0000-0000-0000AA180000}"/>
    <cellStyle name="Percent 2 26" xfId="6269" xr:uid="{00000000-0005-0000-0000-0000AB180000}"/>
    <cellStyle name="Percent 2 26 2" xfId="6270" xr:uid="{00000000-0005-0000-0000-0000AC180000}"/>
    <cellStyle name="Percent 2 27" xfId="6271" xr:uid="{00000000-0005-0000-0000-0000AD180000}"/>
    <cellStyle name="Percent 2 27 2" xfId="6272" xr:uid="{00000000-0005-0000-0000-0000AE180000}"/>
    <cellStyle name="Percent 2 28" xfId="6273" xr:uid="{00000000-0005-0000-0000-0000AF180000}"/>
    <cellStyle name="Percent 2 28 2" xfId="6274" xr:uid="{00000000-0005-0000-0000-0000B0180000}"/>
    <cellStyle name="Percent 2 29" xfId="6275" xr:uid="{00000000-0005-0000-0000-0000B1180000}"/>
    <cellStyle name="Percent 2 29 2" xfId="6276" xr:uid="{00000000-0005-0000-0000-0000B2180000}"/>
    <cellStyle name="Percent 2 3" xfId="6277" xr:uid="{00000000-0005-0000-0000-0000B3180000}"/>
    <cellStyle name="Percent 2 3 10" xfId="6278" xr:uid="{00000000-0005-0000-0000-0000B4180000}"/>
    <cellStyle name="Percent 2 3 10 2" xfId="6279" xr:uid="{00000000-0005-0000-0000-0000B5180000}"/>
    <cellStyle name="Percent 2 3 11" xfId="6280" xr:uid="{00000000-0005-0000-0000-0000B6180000}"/>
    <cellStyle name="Percent 2 3 11 2" xfId="6281" xr:uid="{00000000-0005-0000-0000-0000B7180000}"/>
    <cellStyle name="Percent 2 3 12" xfId="6282" xr:uid="{00000000-0005-0000-0000-0000B8180000}"/>
    <cellStyle name="Percent 2 3 12 2" xfId="6283" xr:uid="{00000000-0005-0000-0000-0000B9180000}"/>
    <cellStyle name="Percent 2 3 13" xfId="6284" xr:uid="{00000000-0005-0000-0000-0000BA180000}"/>
    <cellStyle name="Percent 2 3 13 2" xfId="6285" xr:uid="{00000000-0005-0000-0000-0000BB180000}"/>
    <cellStyle name="Percent 2 3 14" xfId="6286" xr:uid="{00000000-0005-0000-0000-0000BC180000}"/>
    <cellStyle name="Percent 2 3 14 2" xfId="6287" xr:uid="{00000000-0005-0000-0000-0000BD180000}"/>
    <cellStyle name="Percent 2 3 15" xfId="6288" xr:uid="{00000000-0005-0000-0000-0000BE180000}"/>
    <cellStyle name="Percent 2 3 15 2" xfId="6289" xr:uid="{00000000-0005-0000-0000-0000BF180000}"/>
    <cellStyle name="Percent 2 3 16" xfId="6290" xr:uid="{00000000-0005-0000-0000-0000C0180000}"/>
    <cellStyle name="Percent 2 3 16 2" xfId="6291" xr:uid="{00000000-0005-0000-0000-0000C1180000}"/>
    <cellStyle name="Percent 2 3 17" xfId="6292" xr:uid="{00000000-0005-0000-0000-0000C2180000}"/>
    <cellStyle name="Percent 2 3 17 2" xfId="6293" xr:uid="{00000000-0005-0000-0000-0000C3180000}"/>
    <cellStyle name="Percent 2 3 2" xfId="6294" xr:uid="{00000000-0005-0000-0000-0000C4180000}"/>
    <cellStyle name="Percent 2 3 2 2" xfId="6295" xr:uid="{00000000-0005-0000-0000-0000C5180000}"/>
    <cellStyle name="Percent 2 3 2 2 2" xfId="6296" xr:uid="{00000000-0005-0000-0000-0000C6180000}"/>
    <cellStyle name="Percent 2 3 3" xfId="6297" xr:uid="{00000000-0005-0000-0000-0000C7180000}"/>
    <cellStyle name="Percent 2 3 3 2" xfId="6298" xr:uid="{00000000-0005-0000-0000-0000C8180000}"/>
    <cellStyle name="Percent 2 3 3 2 2" xfId="6299" xr:uid="{00000000-0005-0000-0000-0000C9180000}"/>
    <cellStyle name="Percent 2 3 3 2 2 2" xfId="6300" xr:uid="{00000000-0005-0000-0000-0000CA180000}"/>
    <cellStyle name="Percent 2 3 3 3" xfId="6301" xr:uid="{00000000-0005-0000-0000-0000CB180000}"/>
    <cellStyle name="Percent 2 3 3 3 2" xfId="6302" xr:uid="{00000000-0005-0000-0000-0000CC180000}"/>
    <cellStyle name="Percent 2 3 3 3 2 2" xfId="6303" xr:uid="{00000000-0005-0000-0000-0000CD180000}"/>
    <cellStyle name="Percent 2 3 3 3 3" xfId="6304" xr:uid="{00000000-0005-0000-0000-0000CE180000}"/>
    <cellStyle name="Percent 2 3 3 3 3 2" xfId="6305" xr:uid="{00000000-0005-0000-0000-0000CF180000}"/>
    <cellStyle name="Percent 2 3 3 3 4" xfId="6306" xr:uid="{00000000-0005-0000-0000-0000D0180000}"/>
    <cellStyle name="Percent 2 3 3 3 4 2" xfId="6307" xr:uid="{00000000-0005-0000-0000-0000D1180000}"/>
    <cellStyle name="Percent 2 3 3 3 4 2 2" xfId="6308" xr:uid="{00000000-0005-0000-0000-0000D2180000}"/>
    <cellStyle name="Percent 2 3 3 3 4 3" xfId="6309" xr:uid="{00000000-0005-0000-0000-0000D3180000}"/>
    <cellStyle name="Percent 2 3 3 3 5" xfId="6310" xr:uid="{00000000-0005-0000-0000-0000D4180000}"/>
    <cellStyle name="Percent 2 3 3 4" xfId="6311" xr:uid="{00000000-0005-0000-0000-0000D5180000}"/>
    <cellStyle name="Percent 2 3 3 4 2" xfId="6312" xr:uid="{00000000-0005-0000-0000-0000D6180000}"/>
    <cellStyle name="Percent 2 3 4" xfId="6313" xr:uid="{00000000-0005-0000-0000-0000D7180000}"/>
    <cellStyle name="Percent 2 3 4 2" xfId="6314" xr:uid="{00000000-0005-0000-0000-0000D8180000}"/>
    <cellStyle name="Percent 2 3 4 3" xfId="6315" xr:uid="{00000000-0005-0000-0000-0000D9180000}"/>
    <cellStyle name="Percent 2 3 5" xfId="6316" xr:uid="{00000000-0005-0000-0000-0000DA180000}"/>
    <cellStyle name="Percent 2 3 5 2" xfId="6317" xr:uid="{00000000-0005-0000-0000-0000DB180000}"/>
    <cellStyle name="Percent 2 3 5 2 2" xfId="6318" xr:uid="{00000000-0005-0000-0000-0000DC180000}"/>
    <cellStyle name="Percent 2 3 5 3" xfId="6319" xr:uid="{00000000-0005-0000-0000-0000DD180000}"/>
    <cellStyle name="Percent 2 3 5 4" xfId="6320" xr:uid="{00000000-0005-0000-0000-0000DE180000}"/>
    <cellStyle name="Percent 2 3 6" xfId="6321" xr:uid="{00000000-0005-0000-0000-0000DF180000}"/>
    <cellStyle name="Percent 2 3 6 2" xfId="6322" xr:uid="{00000000-0005-0000-0000-0000E0180000}"/>
    <cellStyle name="Percent 2 3 6 3" xfId="6323" xr:uid="{00000000-0005-0000-0000-0000E1180000}"/>
    <cellStyle name="Percent 2 3 7" xfId="6324" xr:uid="{00000000-0005-0000-0000-0000E2180000}"/>
    <cellStyle name="Percent 2 3 7 2" xfId="6325" xr:uid="{00000000-0005-0000-0000-0000E3180000}"/>
    <cellStyle name="Percent 2 3 7 3" xfId="6326" xr:uid="{00000000-0005-0000-0000-0000E4180000}"/>
    <cellStyle name="Percent 2 3 8" xfId="6327" xr:uid="{00000000-0005-0000-0000-0000E5180000}"/>
    <cellStyle name="Percent 2 3 8 2" xfId="6328" xr:uid="{00000000-0005-0000-0000-0000E6180000}"/>
    <cellStyle name="Percent 2 3 8 3" xfId="6329" xr:uid="{00000000-0005-0000-0000-0000E7180000}"/>
    <cellStyle name="Percent 2 3 9" xfId="6330" xr:uid="{00000000-0005-0000-0000-0000E8180000}"/>
    <cellStyle name="Percent 2 3 9 2" xfId="6331" xr:uid="{00000000-0005-0000-0000-0000E9180000}"/>
    <cellStyle name="Percent 2 30" xfId="6332" xr:uid="{00000000-0005-0000-0000-0000EA180000}"/>
    <cellStyle name="Percent 2 30 2" xfId="6333" xr:uid="{00000000-0005-0000-0000-0000EB180000}"/>
    <cellStyle name="Percent 2 31" xfId="6334" xr:uid="{00000000-0005-0000-0000-0000EC180000}"/>
    <cellStyle name="Percent 2 31 2" xfId="6335" xr:uid="{00000000-0005-0000-0000-0000ED180000}"/>
    <cellStyle name="Percent 2 32" xfId="6336" xr:uid="{00000000-0005-0000-0000-0000EE180000}"/>
    <cellStyle name="Percent 2 32 2" xfId="6337" xr:uid="{00000000-0005-0000-0000-0000EF180000}"/>
    <cellStyle name="Percent 2 33" xfId="6338" xr:uid="{00000000-0005-0000-0000-0000F0180000}"/>
    <cellStyle name="Percent 2 33 2" xfId="6339" xr:uid="{00000000-0005-0000-0000-0000F1180000}"/>
    <cellStyle name="Percent 2 34" xfId="6340" xr:uid="{00000000-0005-0000-0000-0000F2180000}"/>
    <cellStyle name="Percent 2 34 2" xfId="6341" xr:uid="{00000000-0005-0000-0000-0000F3180000}"/>
    <cellStyle name="Percent 2 35" xfId="6342" xr:uid="{00000000-0005-0000-0000-0000F4180000}"/>
    <cellStyle name="Percent 2 35 2" xfId="6343" xr:uid="{00000000-0005-0000-0000-0000F5180000}"/>
    <cellStyle name="Percent 2 36" xfId="6344" xr:uid="{00000000-0005-0000-0000-0000F6180000}"/>
    <cellStyle name="Percent 2 36 2" xfId="6345" xr:uid="{00000000-0005-0000-0000-0000F7180000}"/>
    <cellStyle name="Percent 2 37" xfId="6346" xr:uid="{00000000-0005-0000-0000-0000F8180000}"/>
    <cellStyle name="Percent 2 37 2" xfId="6347" xr:uid="{00000000-0005-0000-0000-0000F9180000}"/>
    <cellStyle name="Percent 2 38" xfId="6348" xr:uid="{00000000-0005-0000-0000-0000FA180000}"/>
    <cellStyle name="Percent 2 38 2" xfId="6349" xr:uid="{00000000-0005-0000-0000-0000FB180000}"/>
    <cellStyle name="Percent 2 39" xfId="6350" xr:uid="{00000000-0005-0000-0000-0000FC180000}"/>
    <cellStyle name="Percent 2 39 2" xfId="6351" xr:uid="{00000000-0005-0000-0000-0000FD180000}"/>
    <cellStyle name="Percent 2 4" xfId="6352" xr:uid="{00000000-0005-0000-0000-0000FE180000}"/>
    <cellStyle name="Percent 2 4 10" xfId="6353" xr:uid="{00000000-0005-0000-0000-0000FF180000}"/>
    <cellStyle name="Percent 2 4 10 2" xfId="6354" xr:uid="{00000000-0005-0000-0000-000000190000}"/>
    <cellStyle name="Percent 2 4 11" xfId="6355" xr:uid="{00000000-0005-0000-0000-000001190000}"/>
    <cellStyle name="Percent 2 4 11 2" xfId="6356" xr:uid="{00000000-0005-0000-0000-000002190000}"/>
    <cellStyle name="Percent 2 4 12" xfId="6357" xr:uid="{00000000-0005-0000-0000-000003190000}"/>
    <cellStyle name="Percent 2 4 12 2" xfId="6358" xr:uid="{00000000-0005-0000-0000-000004190000}"/>
    <cellStyle name="Percent 2 4 13" xfId="6359" xr:uid="{00000000-0005-0000-0000-000005190000}"/>
    <cellStyle name="Percent 2 4 13 2" xfId="6360" xr:uid="{00000000-0005-0000-0000-000006190000}"/>
    <cellStyle name="Percent 2 4 14" xfId="6361" xr:uid="{00000000-0005-0000-0000-000007190000}"/>
    <cellStyle name="Percent 2 4 14 2" xfId="6362" xr:uid="{00000000-0005-0000-0000-000008190000}"/>
    <cellStyle name="Percent 2 4 15" xfId="6363" xr:uid="{00000000-0005-0000-0000-000009190000}"/>
    <cellStyle name="Percent 2 4 15 2" xfId="6364" xr:uid="{00000000-0005-0000-0000-00000A190000}"/>
    <cellStyle name="Percent 2 4 16" xfId="6365" xr:uid="{00000000-0005-0000-0000-00000B190000}"/>
    <cellStyle name="Percent 2 4 16 2" xfId="6366" xr:uid="{00000000-0005-0000-0000-00000C190000}"/>
    <cellStyle name="Percent 2 4 17" xfId="6367" xr:uid="{00000000-0005-0000-0000-00000D190000}"/>
    <cellStyle name="Percent 2 4 17 2" xfId="6368" xr:uid="{00000000-0005-0000-0000-00000E190000}"/>
    <cellStyle name="Percent 2 4 18" xfId="6369" xr:uid="{00000000-0005-0000-0000-00000F190000}"/>
    <cellStyle name="Percent 2 4 18 2" xfId="6370" xr:uid="{00000000-0005-0000-0000-000010190000}"/>
    <cellStyle name="Percent 2 4 19" xfId="6371" xr:uid="{00000000-0005-0000-0000-000011190000}"/>
    <cellStyle name="Percent 2 4 2" xfId="6372" xr:uid="{00000000-0005-0000-0000-000012190000}"/>
    <cellStyle name="Percent 2 4 2 2" xfId="6373" xr:uid="{00000000-0005-0000-0000-000013190000}"/>
    <cellStyle name="Percent 2 4 2 3" xfId="6374" xr:uid="{00000000-0005-0000-0000-000014190000}"/>
    <cellStyle name="Percent 2 4 3" xfId="6375" xr:uid="{00000000-0005-0000-0000-000015190000}"/>
    <cellStyle name="Percent 2 4 3 2" xfId="6376" xr:uid="{00000000-0005-0000-0000-000016190000}"/>
    <cellStyle name="Percent 2 4 3 3" xfId="6377" xr:uid="{00000000-0005-0000-0000-000017190000}"/>
    <cellStyle name="Percent 2 4 4" xfId="6378" xr:uid="{00000000-0005-0000-0000-000018190000}"/>
    <cellStyle name="Percent 2 4 4 2" xfId="6379" xr:uid="{00000000-0005-0000-0000-000019190000}"/>
    <cellStyle name="Percent 2 4 4 3" xfId="6380" xr:uid="{00000000-0005-0000-0000-00001A190000}"/>
    <cellStyle name="Percent 2 4 5" xfId="6381" xr:uid="{00000000-0005-0000-0000-00001B190000}"/>
    <cellStyle name="Percent 2 4 5 2" xfId="6382" xr:uid="{00000000-0005-0000-0000-00001C190000}"/>
    <cellStyle name="Percent 2 4 5 3" xfId="6383" xr:uid="{00000000-0005-0000-0000-00001D190000}"/>
    <cellStyle name="Percent 2 4 6" xfId="6384" xr:uid="{00000000-0005-0000-0000-00001E190000}"/>
    <cellStyle name="Percent 2 4 6 2" xfId="6385" xr:uid="{00000000-0005-0000-0000-00001F190000}"/>
    <cellStyle name="Percent 2 4 6 3" xfId="6386" xr:uid="{00000000-0005-0000-0000-000020190000}"/>
    <cellStyle name="Percent 2 4 7" xfId="6387" xr:uid="{00000000-0005-0000-0000-000021190000}"/>
    <cellStyle name="Percent 2 4 7 2" xfId="6388" xr:uid="{00000000-0005-0000-0000-000022190000}"/>
    <cellStyle name="Percent 2 4 7 3" xfId="6389" xr:uid="{00000000-0005-0000-0000-000023190000}"/>
    <cellStyle name="Percent 2 4 8" xfId="6390" xr:uid="{00000000-0005-0000-0000-000024190000}"/>
    <cellStyle name="Percent 2 4 8 2" xfId="6391" xr:uid="{00000000-0005-0000-0000-000025190000}"/>
    <cellStyle name="Percent 2 4 8 3" xfId="6392" xr:uid="{00000000-0005-0000-0000-000026190000}"/>
    <cellStyle name="Percent 2 4 9" xfId="6393" xr:uid="{00000000-0005-0000-0000-000027190000}"/>
    <cellStyle name="Percent 2 4 9 2" xfId="6394" xr:uid="{00000000-0005-0000-0000-000028190000}"/>
    <cellStyle name="Percent 2 4 9 3" xfId="6395" xr:uid="{00000000-0005-0000-0000-000029190000}"/>
    <cellStyle name="Percent 2 40" xfId="6396" xr:uid="{00000000-0005-0000-0000-00002A190000}"/>
    <cellStyle name="Percent 2 40 2" xfId="6397" xr:uid="{00000000-0005-0000-0000-00002B190000}"/>
    <cellStyle name="Percent 2 41" xfId="6398" xr:uid="{00000000-0005-0000-0000-00002C190000}"/>
    <cellStyle name="Percent 2 41 2" xfId="6399" xr:uid="{00000000-0005-0000-0000-00002D190000}"/>
    <cellStyle name="Percent 2 42" xfId="6400" xr:uid="{00000000-0005-0000-0000-00002E190000}"/>
    <cellStyle name="Percent 2 42 2" xfId="6401" xr:uid="{00000000-0005-0000-0000-00002F190000}"/>
    <cellStyle name="Percent 2 43" xfId="6402" xr:uid="{00000000-0005-0000-0000-000030190000}"/>
    <cellStyle name="Percent 2 43 2" xfId="6403" xr:uid="{00000000-0005-0000-0000-000031190000}"/>
    <cellStyle name="Percent 2 44" xfId="6404" xr:uid="{00000000-0005-0000-0000-000032190000}"/>
    <cellStyle name="Percent 2 44 2" xfId="6405" xr:uid="{00000000-0005-0000-0000-000033190000}"/>
    <cellStyle name="Percent 2 45" xfId="6406" xr:uid="{00000000-0005-0000-0000-000034190000}"/>
    <cellStyle name="Percent 2 45 2" xfId="6407" xr:uid="{00000000-0005-0000-0000-000035190000}"/>
    <cellStyle name="Percent 2 46" xfId="6408" xr:uid="{00000000-0005-0000-0000-000036190000}"/>
    <cellStyle name="Percent 2 46 2" xfId="6409" xr:uid="{00000000-0005-0000-0000-000037190000}"/>
    <cellStyle name="Percent 2 47" xfId="6410" xr:uid="{00000000-0005-0000-0000-000038190000}"/>
    <cellStyle name="Percent 2 47 2" xfId="6411" xr:uid="{00000000-0005-0000-0000-000039190000}"/>
    <cellStyle name="Percent 2 48" xfId="6412" xr:uid="{00000000-0005-0000-0000-00003A190000}"/>
    <cellStyle name="Percent 2 48 2" xfId="6413" xr:uid="{00000000-0005-0000-0000-00003B190000}"/>
    <cellStyle name="Percent 2 48 2 2" xfId="6414" xr:uid="{00000000-0005-0000-0000-00003C190000}"/>
    <cellStyle name="Percent 2 48 3" xfId="6415" xr:uid="{00000000-0005-0000-0000-00003D190000}"/>
    <cellStyle name="Percent 2 49" xfId="6416" xr:uid="{00000000-0005-0000-0000-00003E190000}"/>
    <cellStyle name="Percent 2 49 2" xfId="6417" xr:uid="{00000000-0005-0000-0000-00003F190000}"/>
    <cellStyle name="Percent 2 5" xfId="6418" xr:uid="{00000000-0005-0000-0000-000040190000}"/>
    <cellStyle name="Percent 2 5 10" xfId="6419" xr:uid="{00000000-0005-0000-0000-000041190000}"/>
    <cellStyle name="Percent 2 5 10 2" xfId="6420" xr:uid="{00000000-0005-0000-0000-000042190000}"/>
    <cellStyle name="Percent 2 5 11" xfId="6421" xr:uid="{00000000-0005-0000-0000-000043190000}"/>
    <cellStyle name="Percent 2 5 11 2" xfId="6422" xr:uid="{00000000-0005-0000-0000-000044190000}"/>
    <cellStyle name="Percent 2 5 12" xfId="6423" xr:uid="{00000000-0005-0000-0000-000045190000}"/>
    <cellStyle name="Percent 2 5 12 2" xfId="6424" xr:uid="{00000000-0005-0000-0000-000046190000}"/>
    <cellStyle name="Percent 2 5 13" xfId="6425" xr:uid="{00000000-0005-0000-0000-000047190000}"/>
    <cellStyle name="Percent 2 5 13 2" xfId="6426" xr:uid="{00000000-0005-0000-0000-000048190000}"/>
    <cellStyle name="Percent 2 5 14" xfId="6427" xr:uid="{00000000-0005-0000-0000-000049190000}"/>
    <cellStyle name="Percent 2 5 14 2" xfId="6428" xr:uid="{00000000-0005-0000-0000-00004A190000}"/>
    <cellStyle name="Percent 2 5 15" xfId="6429" xr:uid="{00000000-0005-0000-0000-00004B190000}"/>
    <cellStyle name="Percent 2 5 15 2" xfId="6430" xr:uid="{00000000-0005-0000-0000-00004C190000}"/>
    <cellStyle name="Percent 2 5 16" xfId="6431" xr:uid="{00000000-0005-0000-0000-00004D190000}"/>
    <cellStyle name="Percent 2 5 16 2" xfId="6432" xr:uid="{00000000-0005-0000-0000-00004E190000}"/>
    <cellStyle name="Percent 2 5 2" xfId="6433" xr:uid="{00000000-0005-0000-0000-00004F190000}"/>
    <cellStyle name="Percent 2 5 2 2" xfId="6434" xr:uid="{00000000-0005-0000-0000-000050190000}"/>
    <cellStyle name="Percent 2 5 2 2 2" xfId="6435" xr:uid="{00000000-0005-0000-0000-000051190000}"/>
    <cellStyle name="Percent 2 5 3" xfId="6436" xr:uid="{00000000-0005-0000-0000-000052190000}"/>
    <cellStyle name="Percent 2 5 3 2" xfId="6437" xr:uid="{00000000-0005-0000-0000-000053190000}"/>
    <cellStyle name="Percent 2 5 3 2 2" xfId="6438" xr:uid="{00000000-0005-0000-0000-000054190000}"/>
    <cellStyle name="Percent 2 5 4" xfId="6439" xr:uid="{00000000-0005-0000-0000-000055190000}"/>
    <cellStyle name="Percent 2 5 4 2" xfId="6440" xr:uid="{00000000-0005-0000-0000-000056190000}"/>
    <cellStyle name="Percent 2 5 4 3" xfId="6441" xr:uid="{00000000-0005-0000-0000-000057190000}"/>
    <cellStyle name="Percent 2 5 5" xfId="6442" xr:uid="{00000000-0005-0000-0000-000058190000}"/>
    <cellStyle name="Percent 2 5 5 2" xfId="6443" xr:uid="{00000000-0005-0000-0000-000059190000}"/>
    <cellStyle name="Percent 2 5 5 3" xfId="6444" xr:uid="{00000000-0005-0000-0000-00005A190000}"/>
    <cellStyle name="Percent 2 5 6" xfId="6445" xr:uid="{00000000-0005-0000-0000-00005B190000}"/>
    <cellStyle name="Percent 2 5 6 2" xfId="6446" xr:uid="{00000000-0005-0000-0000-00005C190000}"/>
    <cellStyle name="Percent 2 5 6 3" xfId="6447" xr:uid="{00000000-0005-0000-0000-00005D190000}"/>
    <cellStyle name="Percent 2 5 7" xfId="6448" xr:uid="{00000000-0005-0000-0000-00005E190000}"/>
    <cellStyle name="Percent 2 5 7 2" xfId="6449" xr:uid="{00000000-0005-0000-0000-00005F190000}"/>
    <cellStyle name="Percent 2 5 7 3" xfId="6450" xr:uid="{00000000-0005-0000-0000-000060190000}"/>
    <cellStyle name="Percent 2 5 8" xfId="6451" xr:uid="{00000000-0005-0000-0000-000061190000}"/>
    <cellStyle name="Percent 2 5 8 2" xfId="6452" xr:uid="{00000000-0005-0000-0000-000062190000}"/>
    <cellStyle name="Percent 2 5 8 3" xfId="6453" xr:uid="{00000000-0005-0000-0000-000063190000}"/>
    <cellStyle name="Percent 2 5 9" xfId="6454" xr:uid="{00000000-0005-0000-0000-000064190000}"/>
    <cellStyle name="Percent 2 5 9 2" xfId="6455" xr:uid="{00000000-0005-0000-0000-000065190000}"/>
    <cellStyle name="Percent 2 50" xfId="6456" xr:uid="{00000000-0005-0000-0000-000066190000}"/>
    <cellStyle name="Percent 2 6" xfId="6457" xr:uid="{00000000-0005-0000-0000-000067190000}"/>
    <cellStyle name="Percent 2 6 10" xfId="6458" xr:uid="{00000000-0005-0000-0000-000068190000}"/>
    <cellStyle name="Percent 2 6 10 2" xfId="6459" xr:uid="{00000000-0005-0000-0000-000069190000}"/>
    <cellStyle name="Percent 2 6 11" xfId="6460" xr:uid="{00000000-0005-0000-0000-00006A190000}"/>
    <cellStyle name="Percent 2 6 11 2" xfId="6461" xr:uid="{00000000-0005-0000-0000-00006B190000}"/>
    <cellStyle name="Percent 2 6 12" xfId="6462" xr:uid="{00000000-0005-0000-0000-00006C190000}"/>
    <cellStyle name="Percent 2 6 12 2" xfId="6463" xr:uid="{00000000-0005-0000-0000-00006D190000}"/>
    <cellStyle name="Percent 2 6 13" xfId="6464" xr:uid="{00000000-0005-0000-0000-00006E190000}"/>
    <cellStyle name="Percent 2 6 13 2" xfId="6465" xr:uid="{00000000-0005-0000-0000-00006F190000}"/>
    <cellStyle name="Percent 2 6 14" xfId="6466" xr:uid="{00000000-0005-0000-0000-000070190000}"/>
    <cellStyle name="Percent 2 6 14 2" xfId="6467" xr:uid="{00000000-0005-0000-0000-000071190000}"/>
    <cellStyle name="Percent 2 6 15" xfId="6468" xr:uid="{00000000-0005-0000-0000-000072190000}"/>
    <cellStyle name="Percent 2 6 15 2" xfId="6469" xr:uid="{00000000-0005-0000-0000-000073190000}"/>
    <cellStyle name="Percent 2 6 16" xfId="6470" xr:uid="{00000000-0005-0000-0000-000074190000}"/>
    <cellStyle name="Percent 2 6 16 2" xfId="6471" xr:uid="{00000000-0005-0000-0000-000075190000}"/>
    <cellStyle name="Percent 2 6 17" xfId="6472" xr:uid="{00000000-0005-0000-0000-000076190000}"/>
    <cellStyle name="Percent 2 6 2" xfId="6473" xr:uid="{00000000-0005-0000-0000-000077190000}"/>
    <cellStyle name="Percent 2 6 2 2" xfId="6474" xr:uid="{00000000-0005-0000-0000-000078190000}"/>
    <cellStyle name="Percent 2 6 2 3" xfId="6475" xr:uid="{00000000-0005-0000-0000-000079190000}"/>
    <cellStyle name="Percent 2 6 3" xfId="6476" xr:uid="{00000000-0005-0000-0000-00007A190000}"/>
    <cellStyle name="Percent 2 6 3 2" xfId="6477" xr:uid="{00000000-0005-0000-0000-00007B190000}"/>
    <cellStyle name="Percent 2 6 3 3" xfId="6478" xr:uid="{00000000-0005-0000-0000-00007C190000}"/>
    <cellStyle name="Percent 2 6 4" xfId="6479" xr:uid="{00000000-0005-0000-0000-00007D190000}"/>
    <cellStyle name="Percent 2 6 4 2" xfId="6480" xr:uid="{00000000-0005-0000-0000-00007E190000}"/>
    <cellStyle name="Percent 2 6 4 3" xfId="6481" xr:uid="{00000000-0005-0000-0000-00007F190000}"/>
    <cellStyle name="Percent 2 6 5" xfId="6482" xr:uid="{00000000-0005-0000-0000-000080190000}"/>
    <cellStyle name="Percent 2 6 5 2" xfId="6483" xr:uid="{00000000-0005-0000-0000-000081190000}"/>
    <cellStyle name="Percent 2 6 5 3" xfId="6484" xr:uid="{00000000-0005-0000-0000-000082190000}"/>
    <cellStyle name="Percent 2 6 6" xfId="6485" xr:uid="{00000000-0005-0000-0000-000083190000}"/>
    <cellStyle name="Percent 2 6 6 2" xfId="6486" xr:uid="{00000000-0005-0000-0000-000084190000}"/>
    <cellStyle name="Percent 2 6 6 3" xfId="6487" xr:uid="{00000000-0005-0000-0000-000085190000}"/>
    <cellStyle name="Percent 2 6 7" xfId="6488" xr:uid="{00000000-0005-0000-0000-000086190000}"/>
    <cellStyle name="Percent 2 6 7 2" xfId="6489" xr:uid="{00000000-0005-0000-0000-000087190000}"/>
    <cellStyle name="Percent 2 6 7 3" xfId="6490" xr:uid="{00000000-0005-0000-0000-000088190000}"/>
    <cellStyle name="Percent 2 6 8" xfId="6491" xr:uid="{00000000-0005-0000-0000-000089190000}"/>
    <cellStyle name="Percent 2 6 8 2" xfId="6492" xr:uid="{00000000-0005-0000-0000-00008A190000}"/>
    <cellStyle name="Percent 2 6 8 3" xfId="6493" xr:uid="{00000000-0005-0000-0000-00008B190000}"/>
    <cellStyle name="Percent 2 6 9" xfId="6494" xr:uid="{00000000-0005-0000-0000-00008C190000}"/>
    <cellStyle name="Percent 2 6 9 2" xfId="6495" xr:uid="{00000000-0005-0000-0000-00008D190000}"/>
    <cellStyle name="Percent 2 7" xfId="6496" xr:uid="{00000000-0005-0000-0000-00008E190000}"/>
    <cellStyle name="Percent 2 7 10" xfId="6497" xr:uid="{00000000-0005-0000-0000-00008F190000}"/>
    <cellStyle name="Percent 2 7 2" xfId="6498" xr:uid="{00000000-0005-0000-0000-000090190000}"/>
    <cellStyle name="Percent 2 7 2 2" xfId="6499" xr:uid="{00000000-0005-0000-0000-000091190000}"/>
    <cellStyle name="Percent 2 7 2 3" xfId="6500" xr:uid="{00000000-0005-0000-0000-000092190000}"/>
    <cellStyle name="Percent 2 7 3" xfId="6501" xr:uid="{00000000-0005-0000-0000-000093190000}"/>
    <cellStyle name="Percent 2 7 3 2" xfId="6502" xr:uid="{00000000-0005-0000-0000-000094190000}"/>
    <cellStyle name="Percent 2 7 3 3" xfId="6503" xr:uid="{00000000-0005-0000-0000-000095190000}"/>
    <cellStyle name="Percent 2 7 4" xfId="6504" xr:uid="{00000000-0005-0000-0000-000096190000}"/>
    <cellStyle name="Percent 2 7 4 2" xfId="6505" xr:uid="{00000000-0005-0000-0000-000097190000}"/>
    <cellStyle name="Percent 2 7 4 3" xfId="6506" xr:uid="{00000000-0005-0000-0000-000098190000}"/>
    <cellStyle name="Percent 2 7 5" xfId="6507" xr:uid="{00000000-0005-0000-0000-000099190000}"/>
    <cellStyle name="Percent 2 7 5 2" xfId="6508" xr:uid="{00000000-0005-0000-0000-00009A190000}"/>
    <cellStyle name="Percent 2 7 5 3" xfId="6509" xr:uid="{00000000-0005-0000-0000-00009B190000}"/>
    <cellStyle name="Percent 2 7 6" xfId="6510" xr:uid="{00000000-0005-0000-0000-00009C190000}"/>
    <cellStyle name="Percent 2 7 6 2" xfId="6511" xr:uid="{00000000-0005-0000-0000-00009D190000}"/>
    <cellStyle name="Percent 2 7 6 3" xfId="6512" xr:uid="{00000000-0005-0000-0000-00009E190000}"/>
    <cellStyle name="Percent 2 7 7" xfId="6513" xr:uid="{00000000-0005-0000-0000-00009F190000}"/>
    <cellStyle name="Percent 2 7 7 2" xfId="6514" xr:uid="{00000000-0005-0000-0000-0000A0190000}"/>
    <cellStyle name="Percent 2 7 7 3" xfId="6515" xr:uid="{00000000-0005-0000-0000-0000A1190000}"/>
    <cellStyle name="Percent 2 7 8" xfId="6516" xr:uid="{00000000-0005-0000-0000-0000A2190000}"/>
    <cellStyle name="Percent 2 7 8 2" xfId="6517" xr:uid="{00000000-0005-0000-0000-0000A3190000}"/>
    <cellStyle name="Percent 2 7 8 3" xfId="6518" xr:uid="{00000000-0005-0000-0000-0000A4190000}"/>
    <cellStyle name="Percent 2 7 9" xfId="6519" xr:uid="{00000000-0005-0000-0000-0000A5190000}"/>
    <cellStyle name="Percent 2 8" xfId="6520" xr:uid="{00000000-0005-0000-0000-0000A6190000}"/>
    <cellStyle name="Percent 2 8 10" xfId="6521" xr:uid="{00000000-0005-0000-0000-0000A7190000}"/>
    <cellStyle name="Percent 2 8 2" xfId="6522" xr:uid="{00000000-0005-0000-0000-0000A8190000}"/>
    <cellStyle name="Percent 2 8 2 2" xfId="6523" xr:uid="{00000000-0005-0000-0000-0000A9190000}"/>
    <cellStyle name="Percent 2 8 2 3" xfId="6524" xr:uid="{00000000-0005-0000-0000-0000AA190000}"/>
    <cellStyle name="Percent 2 8 3" xfId="6525" xr:uid="{00000000-0005-0000-0000-0000AB190000}"/>
    <cellStyle name="Percent 2 8 3 2" xfId="6526" xr:uid="{00000000-0005-0000-0000-0000AC190000}"/>
    <cellStyle name="Percent 2 8 3 3" xfId="6527" xr:uid="{00000000-0005-0000-0000-0000AD190000}"/>
    <cellStyle name="Percent 2 8 4" xfId="6528" xr:uid="{00000000-0005-0000-0000-0000AE190000}"/>
    <cellStyle name="Percent 2 8 4 2" xfId="6529" xr:uid="{00000000-0005-0000-0000-0000AF190000}"/>
    <cellStyle name="Percent 2 8 4 3" xfId="6530" xr:uid="{00000000-0005-0000-0000-0000B0190000}"/>
    <cellStyle name="Percent 2 8 5" xfId="6531" xr:uid="{00000000-0005-0000-0000-0000B1190000}"/>
    <cellStyle name="Percent 2 8 5 2" xfId="6532" xr:uid="{00000000-0005-0000-0000-0000B2190000}"/>
    <cellStyle name="Percent 2 8 5 3" xfId="6533" xr:uid="{00000000-0005-0000-0000-0000B3190000}"/>
    <cellStyle name="Percent 2 8 6" xfId="6534" xr:uid="{00000000-0005-0000-0000-0000B4190000}"/>
    <cellStyle name="Percent 2 8 6 2" xfId="6535" xr:uid="{00000000-0005-0000-0000-0000B5190000}"/>
    <cellStyle name="Percent 2 8 6 3" xfId="6536" xr:uid="{00000000-0005-0000-0000-0000B6190000}"/>
    <cellStyle name="Percent 2 8 7" xfId="6537" xr:uid="{00000000-0005-0000-0000-0000B7190000}"/>
    <cellStyle name="Percent 2 8 7 2" xfId="6538" xr:uid="{00000000-0005-0000-0000-0000B8190000}"/>
    <cellStyle name="Percent 2 8 7 3" xfId="6539" xr:uid="{00000000-0005-0000-0000-0000B9190000}"/>
    <cellStyle name="Percent 2 8 8" xfId="6540" xr:uid="{00000000-0005-0000-0000-0000BA190000}"/>
    <cellStyle name="Percent 2 8 8 2" xfId="6541" xr:uid="{00000000-0005-0000-0000-0000BB190000}"/>
    <cellStyle name="Percent 2 8 8 3" xfId="6542" xr:uid="{00000000-0005-0000-0000-0000BC190000}"/>
    <cellStyle name="Percent 2 8 9" xfId="6543" xr:uid="{00000000-0005-0000-0000-0000BD190000}"/>
    <cellStyle name="Percent 2 9" xfId="6544" xr:uid="{00000000-0005-0000-0000-0000BE190000}"/>
    <cellStyle name="Percent 2 9 10" xfId="6545" xr:uid="{00000000-0005-0000-0000-0000BF190000}"/>
    <cellStyle name="Percent 2 9 2" xfId="6546" xr:uid="{00000000-0005-0000-0000-0000C0190000}"/>
    <cellStyle name="Percent 2 9 2 2" xfId="6547" xr:uid="{00000000-0005-0000-0000-0000C1190000}"/>
    <cellStyle name="Percent 2 9 2 3" xfId="6548" xr:uid="{00000000-0005-0000-0000-0000C2190000}"/>
    <cellStyle name="Percent 2 9 3" xfId="6549" xr:uid="{00000000-0005-0000-0000-0000C3190000}"/>
    <cellStyle name="Percent 2 9 3 2" xfId="6550" xr:uid="{00000000-0005-0000-0000-0000C4190000}"/>
    <cellStyle name="Percent 2 9 3 3" xfId="6551" xr:uid="{00000000-0005-0000-0000-0000C5190000}"/>
    <cellStyle name="Percent 2 9 4" xfId="6552" xr:uid="{00000000-0005-0000-0000-0000C6190000}"/>
    <cellStyle name="Percent 2 9 4 2" xfId="6553" xr:uid="{00000000-0005-0000-0000-0000C7190000}"/>
    <cellStyle name="Percent 2 9 4 3" xfId="6554" xr:uid="{00000000-0005-0000-0000-0000C8190000}"/>
    <cellStyle name="Percent 2 9 5" xfId="6555" xr:uid="{00000000-0005-0000-0000-0000C9190000}"/>
    <cellStyle name="Percent 2 9 5 2" xfId="6556" xr:uid="{00000000-0005-0000-0000-0000CA190000}"/>
    <cellStyle name="Percent 2 9 5 3" xfId="6557" xr:uid="{00000000-0005-0000-0000-0000CB190000}"/>
    <cellStyle name="Percent 2 9 6" xfId="6558" xr:uid="{00000000-0005-0000-0000-0000CC190000}"/>
    <cellStyle name="Percent 2 9 6 2" xfId="6559" xr:uid="{00000000-0005-0000-0000-0000CD190000}"/>
    <cellStyle name="Percent 2 9 6 3" xfId="6560" xr:uid="{00000000-0005-0000-0000-0000CE190000}"/>
    <cellStyle name="Percent 2 9 7" xfId="6561" xr:uid="{00000000-0005-0000-0000-0000CF190000}"/>
    <cellStyle name="Percent 2 9 7 2" xfId="6562" xr:uid="{00000000-0005-0000-0000-0000D0190000}"/>
    <cellStyle name="Percent 2 9 7 3" xfId="6563" xr:uid="{00000000-0005-0000-0000-0000D1190000}"/>
    <cellStyle name="Percent 2 9 8" xfId="6564" xr:uid="{00000000-0005-0000-0000-0000D2190000}"/>
    <cellStyle name="Percent 2 9 8 2" xfId="6565" xr:uid="{00000000-0005-0000-0000-0000D3190000}"/>
    <cellStyle name="Percent 2 9 8 3" xfId="6566" xr:uid="{00000000-0005-0000-0000-0000D4190000}"/>
    <cellStyle name="Percent 2 9 9" xfId="6567" xr:uid="{00000000-0005-0000-0000-0000D5190000}"/>
    <cellStyle name="Percent 20" xfId="6568" xr:uid="{00000000-0005-0000-0000-0000D6190000}"/>
    <cellStyle name="Percent 20 2" xfId="6569" xr:uid="{00000000-0005-0000-0000-0000D7190000}"/>
    <cellStyle name="Percent 20 2 2" xfId="6570" xr:uid="{00000000-0005-0000-0000-0000D8190000}"/>
    <cellStyle name="Percent 20 3" xfId="6571" xr:uid="{00000000-0005-0000-0000-0000D9190000}"/>
    <cellStyle name="Percent 20 3 2" xfId="6572" xr:uid="{00000000-0005-0000-0000-0000DA190000}"/>
    <cellStyle name="Percent 20 4" xfId="6573" xr:uid="{00000000-0005-0000-0000-0000DB190000}"/>
    <cellStyle name="Percent 20 4 2" xfId="6574" xr:uid="{00000000-0005-0000-0000-0000DC190000}"/>
    <cellStyle name="Percent 20 5" xfId="6575" xr:uid="{00000000-0005-0000-0000-0000DD190000}"/>
    <cellStyle name="Percent 20 5 2" xfId="6576" xr:uid="{00000000-0005-0000-0000-0000DE190000}"/>
    <cellStyle name="Percent 20 6" xfId="6577" xr:uid="{00000000-0005-0000-0000-0000DF190000}"/>
    <cellStyle name="Percent 20 6 2" xfId="6578" xr:uid="{00000000-0005-0000-0000-0000E0190000}"/>
    <cellStyle name="Percent 20 7" xfId="6579" xr:uid="{00000000-0005-0000-0000-0000E1190000}"/>
    <cellStyle name="Percent 20 7 2" xfId="6580" xr:uid="{00000000-0005-0000-0000-0000E2190000}"/>
    <cellStyle name="Percent 20 7 2 2" xfId="6581" xr:uid="{00000000-0005-0000-0000-0000E3190000}"/>
    <cellStyle name="Percent 20 7 3" xfId="6582" xr:uid="{00000000-0005-0000-0000-0000E4190000}"/>
    <cellStyle name="Percent 20 7 3 2" xfId="6583" xr:uid="{00000000-0005-0000-0000-0000E5190000}"/>
    <cellStyle name="Percent 20 7 4" xfId="6584" xr:uid="{00000000-0005-0000-0000-0000E6190000}"/>
    <cellStyle name="Percent 20 8" xfId="6585" xr:uid="{00000000-0005-0000-0000-0000E7190000}"/>
    <cellStyle name="Percent 21" xfId="6586" xr:uid="{00000000-0005-0000-0000-0000E8190000}"/>
    <cellStyle name="Percent 21 2" xfId="6587" xr:uid="{00000000-0005-0000-0000-0000E9190000}"/>
    <cellStyle name="Percent 21 2 2" xfId="6588" xr:uid="{00000000-0005-0000-0000-0000EA190000}"/>
    <cellStyle name="Percent 21 3" xfId="6589" xr:uid="{00000000-0005-0000-0000-0000EB190000}"/>
    <cellStyle name="Percent 21 3 2" xfId="6590" xr:uid="{00000000-0005-0000-0000-0000EC190000}"/>
    <cellStyle name="Percent 21 4" xfId="6591" xr:uid="{00000000-0005-0000-0000-0000ED190000}"/>
    <cellStyle name="Percent 21 4 2" xfId="6592" xr:uid="{00000000-0005-0000-0000-0000EE190000}"/>
    <cellStyle name="Percent 21 5" xfId="6593" xr:uid="{00000000-0005-0000-0000-0000EF190000}"/>
    <cellStyle name="Percent 21 5 2" xfId="6594" xr:uid="{00000000-0005-0000-0000-0000F0190000}"/>
    <cellStyle name="Percent 21 6" xfId="6595" xr:uid="{00000000-0005-0000-0000-0000F1190000}"/>
    <cellStyle name="Percent 21 6 2" xfId="6596" xr:uid="{00000000-0005-0000-0000-0000F2190000}"/>
    <cellStyle name="Percent 21 7" xfId="6597" xr:uid="{00000000-0005-0000-0000-0000F3190000}"/>
    <cellStyle name="Percent 21 7 2" xfId="6598" xr:uid="{00000000-0005-0000-0000-0000F4190000}"/>
    <cellStyle name="Percent 21 7 2 2" xfId="6599" xr:uid="{00000000-0005-0000-0000-0000F5190000}"/>
    <cellStyle name="Percent 21 7 3" xfId="6600" xr:uid="{00000000-0005-0000-0000-0000F6190000}"/>
    <cellStyle name="Percent 21 7 3 2" xfId="6601" xr:uid="{00000000-0005-0000-0000-0000F7190000}"/>
    <cellStyle name="Percent 21 7 4" xfId="6602" xr:uid="{00000000-0005-0000-0000-0000F8190000}"/>
    <cellStyle name="Percent 21 8" xfId="6603" xr:uid="{00000000-0005-0000-0000-0000F9190000}"/>
    <cellStyle name="Percent 22" xfId="6604" xr:uid="{00000000-0005-0000-0000-0000FA190000}"/>
    <cellStyle name="Percent 22 2" xfId="6605" xr:uid="{00000000-0005-0000-0000-0000FB190000}"/>
    <cellStyle name="Percent 22 2 2" xfId="6606" xr:uid="{00000000-0005-0000-0000-0000FC190000}"/>
    <cellStyle name="Percent 22 3" xfId="6607" xr:uid="{00000000-0005-0000-0000-0000FD190000}"/>
    <cellStyle name="Percent 22 3 2" xfId="6608" xr:uid="{00000000-0005-0000-0000-0000FE190000}"/>
    <cellStyle name="Percent 22 4" xfId="6609" xr:uid="{00000000-0005-0000-0000-0000FF190000}"/>
    <cellStyle name="Percent 22 4 2" xfId="6610" xr:uid="{00000000-0005-0000-0000-0000001A0000}"/>
    <cellStyle name="Percent 22 5" xfId="6611" xr:uid="{00000000-0005-0000-0000-0000011A0000}"/>
    <cellStyle name="Percent 22 5 2" xfId="6612" xr:uid="{00000000-0005-0000-0000-0000021A0000}"/>
    <cellStyle name="Percent 22 6" xfId="6613" xr:uid="{00000000-0005-0000-0000-0000031A0000}"/>
    <cellStyle name="Percent 22 6 2" xfId="6614" xr:uid="{00000000-0005-0000-0000-0000041A0000}"/>
    <cellStyle name="Percent 22 7" xfId="6615" xr:uid="{00000000-0005-0000-0000-0000051A0000}"/>
    <cellStyle name="Percent 22 7 2" xfId="6616" xr:uid="{00000000-0005-0000-0000-0000061A0000}"/>
    <cellStyle name="Percent 22 7 2 2" xfId="6617" xr:uid="{00000000-0005-0000-0000-0000071A0000}"/>
    <cellStyle name="Percent 22 7 3" xfId="6618" xr:uid="{00000000-0005-0000-0000-0000081A0000}"/>
    <cellStyle name="Percent 22 7 3 2" xfId="6619" xr:uid="{00000000-0005-0000-0000-0000091A0000}"/>
    <cellStyle name="Percent 22 7 4" xfId="6620" xr:uid="{00000000-0005-0000-0000-00000A1A0000}"/>
    <cellStyle name="Percent 22 8" xfId="6621" xr:uid="{00000000-0005-0000-0000-00000B1A0000}"/>
    <cellStyle name="Percent 23" xfId="6622" xr:uid="{00000000-0005-0000-0000-00000C1A0000}"/>
    <cellStyle name="Percent 23 2" xfId="6623" xr:uid="{00000000-0005-0000-0000-00000D1A0000}"/>
    <cellStyle name="Percent 23 2 2" xfId="6624" xr:uid="{00000000-0005-0000-0000-00000E1A0000}"/>
    <cellStyle name="Percent 23 3" xfId="6625" xr:uid="{00000000-0005-0000-0000-00000F1A0000}"/>
    <cellStyle name="Percent 23 3 2" xfId="6626" xr:uid="{00000000-0005-0000-0000-0000101A0000}"/>
    <cellStyle name="Percent 23 4" xfId="6627" xr:uid="{00000000-0005-0000-0000-0000111A0000}"/>
    <cellStyle name="Percent 23 4 2" xfId="6628" xr:uid="{00000000-0005-0000-0000-0000121A0000}"/>
    <cellStyle name="Percent 23 5" xfId="6629" xr:uid="{00000000-0005-0000-0000-0000131A0000}"/>
    <cellStyle name="Percent 23 5 2" xfId="6630" xr:uid="{00000000-0005-0000-0000-0000141A0000}"/>
    <cellStyle name="Percent 23 6" xfId="6631" xr:uid="{00000000-0005-0000-0000-0000151A0000}"/>
    <cellStyle name="Percent 23 6 2" xfId="6632" xr:uid="{00000000-0005-0000-0000-0000161A0000}"/>
    <cellStyle name="Percent 23 7" xfId="6633" xr:uid="{00000000-0005-0000-0000-0000171A0000}"/>
    <cellStyle name="Percent 23 7 2" xfId="6634" xr:uid="{00000000-0005-0000-0000-0000181A0000}"/>
    <cellStyle name="Percent 23 7 2 2" xfId="6635" xr:uid="{00000000-0005-0000-0000-0000191A0000}"/>
    <cellStyle name="Percent 23 7 3" xfId="6636" xr:uid="{00000000-0005-0000-0000-00001A1A0000}"/>
    <cellStyle name="Percent 23 7 3 2" xfId="6637" xr:uid="{00000000-0005-0000-0000-00001B1A0000}"/>
    <cellStyle name="Percent 23 7 4" xfId="6638" xr:uid="{00000000-0005-0000-0000-00001C1A0000}"/>
    <cellStyle name="Percent 23 8" xfId="6639" xr:uid="{00000000-0005-0000-0000-00001D1A0000}"/>
    <cellStyle name="Percent 24" xfId="6640" xr:uid="{00000000-0005-0000-0000-00001E1A0000}"/>
    <cellStyle name="Percent 24 2" xfId="6641" xr:uid="{00000000-0005-0000-0000-00001F1A0000}"/>
    <cellStyle name="Percent 24 2 2" xfId="6642" xr:uid="{00000000-0005-0000-0000-0000201A0000}"/>
    <cellStyle name="Percent 24 3" xfId="6643" xr:uid="{00000000-0005-0000-0000-0000211A0000}"/>
    <cellStyle name="Percent 24 3 2" xfId="6644" xr:uid="{00000000-0005-0000-0000-0000221A0000}"/>
    <cellStyle name="Percent 24 4" xfId="6645" xr:uid="{00000000-0005-0000-0000-0000231A0000}"/>
    <cellStyle name="Percent 24 4 2" xfId="6646" xr:uid="{00000000-0005-0000-0000-0000241A0000}"/>
    <cellStyle name="Percent 24 5" xfId="6647" xr:uid="{00000000-0005-0000-0000-0000251A0000}"/>
    <cellStyle name="Percent 24 5 2" xfId="6648" xr:uid="{00000000-0005-0000-0000-0000261A0000}"/>
    <cellStyle name="Percent 24 6" xfId="6649" xr:uid="{00000000-0005-0000-0000-0000271A0000}"/>
    <cellStyle name="Percent 24 6 2" xfId="6650" xr:uid="{00000000-0005-0000-0000-0000281A0000}"/>
    <cellStyle name="Percent 24 7" xfId="6651" xr:uid="{00000000-0005-0000-0000-0000291A0000}"/>
    <cellStyle name="Percent 24 7 2" xfId="6652" xr:uid="{00000000-0005-0000-0000-00002A1A0000}"/>
    <cellStyle name="Percent 24 7 2 2" xfId="6653" xr:uid="{00000000-0005-0000-0000-00002B1A0000}"/>
    <cellStyle name="Percent 24 7 3" xfId="6654" xr:uid="{00000000-0005-0000-0000-00002C1A0000}"/>
    <cellStyle name="Percent 24 7 3 2" xfId="6655" xr:uid="{00000000-0005-0000-0000-00002D1A0000}"/>
    <cellStyle name="Percent 24 7 4" xfId="6656" xr:uid="{00000000-0005-0000-0000-00002E1A0000}"/>
    <cellStyle name="Percent 24 8" xfId="6657" xr:uid="{00000000-0005-0000-0000-00002F1A0000}"/>
    <cellStyle name="Percent 24 8 2" xfId="6658" xr:uid="{00000000-0005-0000-0000-0000301A0000}"/>
    <cellStyle name="Percent 24 9" xfId="6659" xr:uid="{00000000-0005-0000-0000-0000311A0000}"/>
    <cellStyle name="Percent 25" xfId="6660" xr:uid="{00000000-0005-0000-0000-0000321A0000}"/>
    <cellStyle name="Percent 25 2" xfId="6661" xr:uid="{00000000-0005-0000-0000-0000331A0000}"/>
    <cellStyle name="Percent 25 2 2" xfId="6662" xr:uid="{00000000-0005-0000-0000-0000341A0000}"/>
    <cellStyle name="Percent 25 3" xfId="6663" xr:uid="{00000000-0005-0000-0000-0000351A0000}"/>
    <cellStyle name="Percent 25 3 2" xfId="6664" xr:uid="{00000000-0005-0000-0000-0000361A0000}"/>
    <cellStyle name="Percent 25 4" xfId="6665" xr:uid="{00000000-0005-0000-0000-0000371A0000}"/>
    <cellStyle name="Percent 25 4 2" xfId="6666" xr:uid="{00000000-0005-0000-0000-0000381A0000}"/>
    <cellStyle name="Percent 25 5" xfId="6667" xr:uid="{00000000-0005-0000-0000-0000391A0000}"/>
    <cellStyle name="Percent 25 5 2" xfId="6668" xr:uid="{00000000-0005-0000-0000-00003A1A0000}"/>
    <cellStyle name="Percent 25 6" xfId="6669" xr:uid="{00000000-0005-0000-0000-00003B1A0000}"/>
    <cellStyle name="Percent 25 6 2" xfId="6670" xr:uid="{00000000-0005-0000-0000-00003C1A0000}"/>
    <cellStyle name="Percent 25 7" xfId="6671" xr:uid="{00000000-0005-0000-0000-00003D1A0000}"/>
    <cellStyle name="Percent 25 7 2" xfId="6672" xr:uid="{00000000-0005-0000-0000-00003E1A0000}"/>
    <cellStyle name="Percent 25 7 2 2" xfId="6673" xr:uid="{00000000-0005-0000-0000-00003F1A0000}"/>
    <cellStyle name="Percent 25 7 3" xfId="6674" xr:uid="{00000000-0005-0000-0000-0000401A0000}"/>
    <cellStyle name="Percent 25 7 3 2" xfId="6675" xr:uid="{00000000-0005-0000-0000-0000411A0000}"/>
    <cellStyle name="Percent 25 7 4" xfId="6676" xr:uid="{00000000-0005-0000-0000-0000421A0000}"/>
    <cellStyle name="Percent 25 8" xfId="6677" xr:uid="{00000000-0005-0000-0000-0000431A0000}"/>
    <cellStyle name="Percent 26" xfId="6678" xr:uid="{00000000-0005-0000-0000-0000441A0000}"/>
    <cellStyle name="Percent 26 2" xfId="6679" xr:uid="{00000000-0005-0000-0000-0000451A0000}"/>
    <cellStyle name="Percent 26 2 2" xfId="6680" xr:uid="{00000000-0005-0000-0000-0000461A0000}"/>
    <cellStyle name="Percent 26 3" xfId="6681" xr:uid="{00000000-0005-0000-0000-0000471A0000}"/>
    <cellStyle name="Percent 26 3 2" xfId="6682" xr:uid="{00000000-0005-0000-0000-0000481A0000}"/>
    <cellStyle name="Percent 26 4" xfId="6683" xr:uid="{00000000-0005-0000-0000-0000491A0000}"/>
    <cellStyle name="Percent 26 4 2" xfId="6684" xr:uid="{00000000-0005-0000-0000-00004A1A0000}"/>
    <cellStyle name="Percent 26 5" xfId="6685" xr:uid="{00000000-0005-0000-0000-00004B1A0000}"/>
    <cellStyle name="Percent 26 5 2" xfId="6686" xr:uid="{00000000-0005-0000-0000-00004C1A0000}"/>
    <cellStyle name="Percent 26 6" xfId="6687" xr:uid="{00000000-0005-0000-0000-00004D1A0000}"/>
    <cellStyle name="Percent 26 6 2" xfId="6688" xr:uid="{00000000-0005-0000-0000-00004E1A0000}"/>
    <cellStyle name="Percent 26 7" xfId="6689" xr:uid="{00000000-0005-0000-0000-00004F1A0000}"/>
    <cellStyle name="Percent 26 7 2" xfId="6690" xr:uid="{00000000-0005-0000-0000-0000501A0000}"/>
    <cellStyle name="Percent 26 7 2 2" xfId="6691" xr:uid="{00000000-0005-0000-0000-0000511A0000}"/>
    <cellStyle name="Percent 26 7 3" xfId="6692" xr:uid="{00000000-0005-0000-0000-0000521A0000}"/>
    <cellStyle name="Percent 26 7 3 2" xfId="6693" xr:uid="{00000000-0005-0000-0000-0000531A0000}"/>
    <cellStyle name="Percent 26 7 4" xfId="6694" xr:uid="{00000000-0005-0000-0000-0000541A0000}"/>
    <cellStyle name="Percent 26 8" xfId="6695" xr:uid="{00000000-0005-0000-0000-0000551A0000}"/>
    <cellStyle name="Percent 27" xfId="6696" xr:uid="{00000000-0005-0000-0000-0000561A0000}"/>
    <cellStyle name="Percent 27 2" xfId="6697" xr:uid="{00000000-0005-0000-0000-0000571A0000}"/>
    <cellStyle name="Percent 28" xfId="6698" xr:uid="{00000000-0005-0000-0000-0000581A0000}"/>
    <cellStyle name="Percent 28 2" xfId="6699" xr:uid="{00000000-0005-0000-0000-0000591A0000}"/>
    <cellStyle name="Percent 28 2 2" xfId="6700" xr:uid="{00000000-0005-0000-0000-00005A1A0000}"/>
    <cellStyle name="Percent 28 3" xfId="6701" xr:uid="{00000000-0005-0000-0000-00005B1A0000}"/>
    <cellStyle name="Percent 3" xfId="6702" xr:uid="{00000000-0005-0000-0000-00005C1A0000}"/>
    <cellStyle name="Percent 3 10" xfId="6703" xr:uid="{00000000-0005-0000-0000-00005D1A0000}"/>
    <cellStyle name="Percent 3 10 10" xfId="6704" xr:uid="{00000000-0005-0000-0000-00005E1A0000}"/>
    <cellStyle name="Percent 3 10 10 2" xfId="6705" xr:uid="{00000000-0005-0000-0000-00005F1A0000}"/>
    <cellStyle name="Percent 3 10 11" xfId="6706" xr:uid="{00000000-0005-0000-0000-0000601A0000}"/>
    <cellStyle name="Percent 3 10 11 2" xfId="6707" xr:uid="{00000000-0005-0000-0000-0000611A0000}"/>
    <cellStyle name="Percent 3 10 12" xfId="6708" xr:uid="{00000000-0005-0000-0000-0000621A0000}"/>
    <cellStyle name="Percent 3 10 12 2" xfId="6709" xr:uid="{00000000-0005-0000-0000-0000631A0000}"/>
    <cellStyle name="Percent 3 10 13" xfId="6710" xr:uid="{00000000-0005-0000-0000-0000641A0000}"/>
    <cellStyle name="Percent 3 10 13 2" xfId="6711" xr:uid="{00000000-0005-0000-0000-0000651A0000}"/>
    <cellStyle name="Percent 3 10 14" xfId="6712" xr:uid="{00000000-0005-0000-0000-0000661A0000}"/>
    <cellStyle name="Percent 3 10 14 2" xfId="6713" xr:uid="{00000000-0005-0000-0000-0000671A0000}"/>
    <cellStyle name="Percent 3 10 15" xfId="6714" xr:uid="{00000000-0005-0000-0000-0000681A0000}"/>
    <cellStyle name="Percent 3 10 15 2" xfId="6715" xr:uid="{00000000-0005-0000-0000-0000691A0000}"/>
    <cellStyle name="Percent 3 10 16" xfId="6716" xr:uid="{00000000-0005-0000-0000-00006A1A0000}"/>
    <cellStyle name="Percent 3 10 2" xfId="6717" xr:uid="{00000000-0005-0000-0000-00006B1A0000}"/>
    <cellStyle name="Percent 3 10 2 2" xfId="6718" xr:uid="{00000000-0005-0000-0000-00006C1A0000}"/>
    <cellStyle name="Percent 3 10 3" xfId="6719" xr:uid="{00000000-0005-0000-0000-00006D1A0000}"/>
    <cellStyle name="Percent 3 10 3 2" xfId="6720" xr:uid="{00000000-0005-0000-0000-00006E1A0000}"/>
    <cellStyle name="Percent 3 10 4" xfId="6721" xr:uid="{00000000-0005-0000-0000-00006F1A0000}"/>
    <cellStyle name="Percent 3 10 4 2" xfId="6722" xr:uid="{00000000-0005-0000-0000-0000701A0000}"/>
    <cellStyle name="Percent 3 10 5" xfId="6723" xr:uid="{00000000-0005-0000-0000-0000711A0000}"/>
    <cellStyle name="Percent 3 10 5 2" xfId="6724" xr:uid="{00000000-0005-0000-0000-0000721A0000}"/>
    <cellStyle name="Percent 3 10 6" xfId="6725" xr:uid="{00000000-0005-0000-0000-0000731A0000}"/>
    <cellStyle name="Percent 3 10 6 2" xfId="6726" xr:uid="{00000000-0005-0000-0000-0000741A0000}"/>
    <cellStyle name="Percent 3 10 7" xfId="6727" xr:uid="{00000000-0005-0000-0000-0000751A0000}"/>
    <cellStyle name="Percent 3 10 7 2" xfId="6728" xr:uid="{00000000-0005-0000-0000-0000761A0000}"/>
    <cellStyle name="Percent 3 10 8" xfId="6729" xr:uid="{00000000-0005-0000-0000-0000771A0000}"/>
    <cellStyle name="Percent 3 10 8 2" xfId="6730" xr:uid="{00000000-0005-0000-0000-0000781A0000}"/>
    <cellStyle name="Percent 3 10 9" xfId="6731" xr:uid="{00000000-0005-0000-0000-0000791A0000}"/>
    <cellStyle name="Percent 3 10 9 2" xfId="6732" xr:uid="{00000000-0005-0000-0000-00007A1A0000}"/>
    <cellStyle name="Percent 3 11" xfId="6733" xr:uid="{00000000-0005-0000-0000-00007B1A0000}"/>
    <cellStyle name="Percent 3 11 2" xfId="6734" xr:uid="{00000000-0005-0000-0000-00007C1A0000}"/>
    <cellStyle name="Percent 3 12" xfId="6735" xr:uid="{00000000-0005-0000-0000-00007D1A0000}"/>
    <cellStyle name="Percent 3 12 2" xfId="6736" xr:uid="{00000000-0005-0000-0000-00007E1A0000}"/>
    <cellStyle name="Percent 3 13" xfId="6737" xr:uid="{00000000-0005-0000-0000-00007F1A0000}"/>
    <cellStyle name="Percent 3 13 2" xfId="6738" xr:uid="{00000000-0005-0000-0000-0000801A0000}"/>
    <cellStyle name="Percent 3 14" xfId="6739" xr:uid="{00000000-0005-0000-0000-0000811A0000}"/>
    <cellStyle name="Percent 3 14 2" xfId="6740" xr:uid="{00000000-0005-0000-0000-0000821A0000}"/>
    <cellStyle name="Percent 3 15" xfId="6741" xr:uid="{00000000-0005-0000-0000-0000831A0000}"/>
    <cellStyle name="Percent 3 15 2" xfId="6742" xr:uid="{00000000-0005-0000-0000-0000841A0000}"/>
    <cellStyle name="Percent 3 16" xfId="6743" xr:uid="{00000000-0005-0000-0000-0000851A0000}"/>
    <cellStyle name="Percent 3 16 2" xfId="6744" xr:uid="{00000000-0005-0000-0000-0000861A0000}"/>
    <cellStyle name="Percent 3 17" xfId="6745" xr:uid="{00000000-0005-0000-0000-0000871A0000}"/>
    <cellStyle name="Percent 3 17 2" xfId="6746" xr:uid="{00000000-0005-0000-0000-0000881A0000}"/>
    <cellStyle name="Percent 3 18" xfId="6747" xr:uid="{00000000-0005-0000-0000-0000891A0000}"/>
    <cellStyle name="Percent 3 18 2" xfId="6748" xr:uid="{00000000-0005-0000-0000-00008A1A0000}"/>
    <cellStyle name="Percent 3 19" xfId="6749" xr:uid="{00000000-0005-0000-0000-00008B1A0000}"/>
    <cellStyle name="Percent 3 19 2" xfId="6750" xr:uid="{00000000-0005-0000-0000-00008C1A0000}"/>
    <cellStyle name="Percent 3 2" xfId="6751" xr:uid="{00000000-0005-0000-0000-00008D1A0000}"/>
    <cellStyle name="Percent 3 2 10" xfId="6752" xr:uid="{00000000-0005-0000-0000-00008E1A0000}"/>
    <cellStyle name="Percent 3 2 10 2" xfId="6753" xr:uid="{00000000-0005-0000-0000-00008F1A0000}"/>
    <cellStyle name="Percent 3 2 11" xfId="6754" xr:uid="{00000000-0005-0000-0000-0000901A0000}"/>
    <cellStyle name="Percent 3 2 11 2" xfId="6755" xr:uid="{00000000-0005-0000-0000-0000911A0000}"/>
    <cellStyle name="Percent 3 2 12" xfId="6756" xr:uid="{00000000-0005-0000-0000-0000921A0000}"/>
    <cellStyle name="Percent 3 2 12 2" xfId="6757" xr:uid="{00000000-0005-0000-0000-0000931A0000}"/>
    <cellStyle name="Percent 3 2 13" xfId="6758" xr:uid="{00000000-0005-0000-0000-0000941A0000}"/>
    <cellStyle name="Percent 3 2 13 2" xfId="6759" xr:uid="{00000000-0005-0000-0000-0000951A0000}"/>
    <cellStyle name="Percent 3 2 14" xfId="6760" xr:uid="{00000000-0005-0000-0000-0000961A0000}"/>
    <cellStyle name="Percent 3 2 14 2" xfId="6761" xr:uid="{00000000-0005-0000-0000-0000971A0000}"/>
    <cellStyle name="Percent 3 2 15" xfId="6762" xr:uid="{00000000-0005-0000-0000-0000981A0000}"/>
    <cellStyle name="Percent 3 2 15 2" xfId="6763" xr:uid="{00000000-0005-0000-0000-0000991A0000}"/>
    <cellStyle name="Percent 3 2 16" xfId="6764" xr:uid="{00000000-0005-0000-0000-00009A1A0000}"/>
    <cellStyle name="Percent 3 2 16 2" xfId="6765" xr:uid="{00000000-0005-0000-0000-00009B1A0000}"/>
    <cellStyle name="Percent 3 2 17" xfId="6766" xr:uid="{00000000-0005-0000-0000-00009C1A0000}"/>
    <cellStyle name="Percent 3 2 17 2" xfId="6767" xr:uid="{00000000-0005-0000-0000-00009D1A0000}"/>
    <cellStyle name="Percent 3 2 18" xfId="6768" xr:uid="{00000000-0005-0000-0000-00009E1A0000}"/>
    <cellStyle name="Percent 3 2 18 2" xfId="6769" xr:uid="{00000000-0005-0000-0000-00009F1A0000}"/>
    <cellStyle name="Percent 3 2 2" xfId="6770" xr:uid="{00000000-0005-0000-0000-0000A01A0000}"/>
    <cellStyle name="Percent 3 2 2 2" xfId="6771" xr:uid="{00000000-0005-0000-0000-0000A11A0000}"/>
    <cellStyle name="Percent 3 2 2 2 2" xfId="6772" xr:uid="{00000000-0005-0000-0000-0000A21A0000}"/>
    <cellStyle name="Percent 3 2 2 2 2 2" xfId="6773" xr:uid="{00000000-0005-0000-0000-0000A31A0000}"/>
    <cellStyle name="Percent 3 2 2 2 3" xfId="6774" xr:uid="{00000000-0005-0000-0000-0000A41A0000}"/>
    <cellStyle name="Percent 3 2 2 2 3 2" xfId="6775" xr:uid="{00000000-0005-0000-0000-0000A51A0000}"/>
    <cellStyle name="Percent 3 2 2 2 4" xfId="6776" xr:uid="{00000000-0005-0000-0000-0000A61A0000}"/>
    <cellStyle name="Percent 3 2 2 3" xfId="6777" xr:uid="{00000000-0005-0000-0000-0000A71A0000}"/>
    <cellStyle name="Percent 3 2 2 3 2" xfId="6778" xr:uid="{00000000-0005-0000-0000-0000A81A0000}"/>
    <cellStyle name="Percent 3 2 2 4" xfId="6779" xr:uid="{00000000-0005-0000-0000-0000A91A0000}"/>
    <cellStyle name="Percent 3 2 2 4 2" xfId="6780" xr:uid="{00000000-0005-0000-0000-0000AA1A0000}"/>
    <cellStyle name="Percent 3 2 3" xfId="6781" xr:uid="{00000000-0005-0000-0000-0000AB1A0000}"/>
    <cellStyle name="Percent 3 2 3 2" xfId="6782" xr:uid="{00000000-0005-0000-0000-0000AC1A0000}"/>
    <cellStyle name="Percent 3 2 3 2 2" xfId="6783" xr:uid="{00000000-0005-0000-0000-0000AD1A0000}"/>
    <cellStyle name="Percent 3 2 3 3" xfId="6784" xr:uid="{00000000-0005-0000-0000-0000AE1A0000}"/>
    <cellStyle name="Percent 3 2 3 3 2" xfId="6785" xr:uid="{00000000-0005-0000-0000-0000AF1A0000}"/>
    <cellStyle name="Percent 3 2 3 4" xfId="6786" xr:uid="{00000000-0005-0000-0000-0000B01A0000}"/>
    <cellStyle name="Percent 3 2 3 4 2" xfId="6787" xr:uid="{00000000-0005-0000-0000-0000B11A0000}"/>
    <cellStyle name="Percent 3 2 4" xfId="6788" xr:uid="{00000000-0005-0000-0000-0000B21A0000}"/>
    <cellStyle name="Percent 3 2 4 2" xfId="6789" xr:uid="{00000000-0005-0000-0000-0000B31A0000}"/>
    <cellStyle name="Percent 3 2 5" xfId="6790" xr:uid="{00000000-0005-0000-0000-0000B41A0000}"/>
    <cellStyle name="Percent 3 2 5 2" xfId="6791" xr:uid="{00000000-0005-0000-0000-0000B51A0000}"/>
    <cellStyle name="Percent 3 2 6" xfId="6792" xr:uid="{00000000-0005-0000-0000-0000B61A0000}"/>
    <cellStyle name="Percent 3 2 6 2" xfId="6793" xr:uid="{00000000-0005-0000-0000-0000B71A0000}"/>
    <cellStyle name="Percent 3 2 7" xfId="6794" xr:uid="{00000000-0005-0000-0000-0000B81A0000}"/>
    <cellStyle name="Percent 3 2 7 2" xfId="6795" xr:uid="{00000000-0005-0000-0000-0000B91A0000}"/>
    <cellStyle name="Percent 3 2 8" xfId="6796" xr:uid="{00000000-0005-0000-0000-0000BA1A0000}"/>
    <cellStyle name="Percent 3 2 8 2" xfId="6797" xr:uid="{00000000-0005-0000-0000-0000BB1A0000}"/>
    <cellStyle name="Percent 3 2 9" xfId="6798" xr:uid="{00000000-0005-0000-0000-0000BC1A0000}"/>
    <cellStyle name="Percent 3 2 9 2" xfId="6799" xr:uid="{00000000-0005-0000-0000-0000BD1A0000}"/>
    <cellStyle name="Percent 3 20" xfId="6800" xr:uid="{00000000-0005-0000-0000-0000BE1A0000}"/>
    <cellStyle name="Percent 3 20 2" xfId="6801" xr:uid="{00000000-0005-0000-0000-0000BF1A0000}"/>
    <cellStyle name="Percent 3 21" xfId="6802" xr:uid="{00000000-0005-0000-0000-0000C01A0000}"/>
    <cellStyle name="Percent 3 21 2" xfId="6803" xr:uid="{00000000-0005-0000-0000-0000C11A0000}"/>
    <cellStyle name="Percent 3 22" xfId="6804" xr:uid="{00000000-0005-0000-0000-0000C21A0000}"/>
    <cellStyle name="Percent 3 22 2" xfId="6805" xr:uid="{00000000-0005-0000-0000-0000C31A0000}"/>
    <cellStyle name="Percent 3 23" xfId="6806" xr:uid="{00000000-0005-0000-0000-0000C41A0000}"/>
    <cellStyle name="Percent 3 23 2" xfId="6807" xr:uid="{00000000-0005-0000-0000-0000C51A0000}"/>
    <cellStyle name="Percent 3 24" xfId="6808" xr:uid="{00000000-0005-0000-0000-0000C61A0000}"/>
    <cellStyle name="Percent 3 24 2" xfId="6809" xr:uid="{00000000-0005-0000-0000-0000C71A0000}"/>
    <cellStyle name="Percent 3 25" xfId="6810" xr:uid="{00000000-0005-0000-0000-0000C81A0000}"/>
    <cellStyle name="Percent 3 25 2" xfId="6811" xr:uid="{00000000-0005-0000-0000-0000C91A0000}"/>
    <cellStyle name="Percent 3 26" xfId="6812" xr:uid="{00000000-0005-0000-0000-0000CA1A0000}"/>
    <cellStyle name="Percent 3 26 2" xfId="6813" xr:uid="{00000000-0005-0000-0000-0000CB1A0000}"/>
    <cellStyle name="Percent 3 27" xfId="6814" xr:uid="{00000000-0005-0000-0000-0000CC1A0000}"/>
    <cellStyle name="Percent 3 27 2" xfId="6815" xr:uid="{00000000-0005-0000-0000-0000CD1A0000}"/>
    <cellStyle name="Percent 3 28" xfId="6816" xr:uid="{00000000-0005-0000-0000-0000CE1A0000}"/>
    <cellStyle name="Percent 3 28 2" xfId="6817" xr:uid="{00000000-0005-0000-0000-0000CF1A0000}"/>
    <cellStyle name="Percent 3 29" xfId="6818" xr:uid="{00000000-0005-0000-0000-0000D01A0000}"/>
    <cellStyle name="Percent 3 29 2" xfId="6819" xr:uid="{00000000-0005-0000-0000-0000D11A0000}"/>
    <cellStyle name="Percent 3 3" xfId="6820" xr:uid="{00000000-0005-0000-0000-0000D21A0000}"/>
    <cellStyle name="Percent 3 3 10" xfId="6821" xr:uid="{00000000-0005-0000-0000-0000D31A0000}"/>
    <cellStyle name="Percent 3 3 10 2" xfId="6822" xr:uid="{00000000-0005-0000-0000-0000D41A0000}"/>
    <cellStyle name="Percent 3 3 11" xfId="6823" xr:uid="{00000000-0005-0000-0000-0000D51A0000}"/>
    <cellStyle name="Percent 3 3 11 2" xfId="6824" xr:uid="{00000000-0005-0000-0000-0000D61A0000}"/>
    <cellStyle name="Percent 3 3 12" xfId="6825" xr:uid="{00000000-0005-0000-0000-0000D71A0000}"/>
    <cellStyle name="Percent 3 3 12 2" xfId="6826" xr:uid="{00000000-0005-0000-0000-0000D81A0000}"/>
    <cellStyle name="Percent 3 3 13" xfId="6827" xr:uid="{00000000-0005-0000-0000-0000D91A0000}"/>
    <cellStyle name="Percent 3 3 13 2" xfId="6828" xr:uid="{00000000-0005-0000-0000-0000DA1A0000}"/>
    <cellStyle name="Percent 3 3 14" xfId="6829" xr:uid="{00000000-0005-0000-0000-0000DB1A0000}"/>
    <cellStyle name="Percent 3 3 14 2" xfId="6830" xr:uid="{00000000-0005-0000-0000-0000DC1A0000}"/>
    <cellStyle name="Percent 3 3 15" xfId="6831" xr:uid="{00000000-0005-0000-0000-0000DD1A0000}"/>
    <cellStyle name="Percent 3 3 15 2" xfId="6832" xr:uid="{00000000-0005-0000-0000-0000DE1A0000}"/>
    <cellStyle name="Percent 3 3 16" xfId="6833" xr:uid="{00000000-0005-0000-0000-0000DF1A0000}"/>
    <cellStyle name="Percent 3 3 16 2" xfId="6834" xr:uid="{00000000-0005-0000-0000-0000E01A0000}"/>
    <cellStyle name="Percent 3 3 2" xfId="6835" xr:uid="{00000000-0005-0000-0000-0000E11A0000}"/>
    <cellStyle name="Percent 3 3 2 2" xfId="6836" xr:uid="{00000000-0005-0000-0000-0000E21A0000}"/>
    <cellStyle name="Percent 3 3 2 2 2" xfId="6837" xr:uid="{00000000-0005-0000-0000-0000E31A0000}"/>
    <cellStyle name="Percent 3 3 3" xfId="6838" xr:uid="{00000000-0005-0000-0000-0000E41A0000}"/>
    <cellStyle name="Percent 3 3 3 2" xfId="6839" xr:uid="{00000000-0005-0000-0000-0000E51A0000}"/>
    <cellStyle name="Percent 3 3 3 2 2" xfId="6840" xr:uid="{00000000-0005-0000-0000-0000E61A0000}"/>
    <cellStyle name="Percent 3 3 3 2 2 2" xfId="6841" xr:uid="{00000000-0005-0000-0000-0000E71A0000}"/>
    <cellStyle name="Percent 3 3 3 3" xfId="6842" xr:uid="{00000000-0005-0000-0000-0000E81A0000}"/>
    <cellStyle name="Percent 3 3 3 3 2" xfId="6843" xr:uid="{00000000-0005-0000-0000-0000E91A0000}"/>
    <cellStyle name="Percent 3 3 3 3 2 2" xfId="6844" xr:uid="{00000000-0005-0000-0000-0000EA1A0000}"/>
    <cellStyle name="Percent 3 3 3 3 3" xfId="6845" xr:uid="{00000000-0005-0000-0000-0000EB1A0000}"/>
    <cellStyle name="Percent 3 3 3 3 3 2" xfId="6846" xr:uid="{00000000-0005-0000-0000-0000EC1A0000}"/>
    <cellStyle name="Percent 3 3 3 3 4" xfId="6847" xr:uid="{00000000-0005-0000-0000-0000ED1A0000}"/>
    <cellStyle name="Percent 3 3 3 3 4 2" xfId="6848" xr:uid="{00000000-0005-0000-0000-0000EE1A0000}"/>
    <cellStyle name="Percent 3 3 3 3 4 2 2" xfId="6849" xr:uid="{00000000-0005-0000-0000-0000EF1A0000}"/>
    <cellStyle name="Percent 3 3 3 3 4 3" xfId="6850" xr:uid="{00000000-0005-0000-0000-0000F01A0000}"/>
    <cellStyle name="Percent 3 3 3 3 5" xfId="6851" xr:uid="{00000000-0005-0000-0000-0000F11A0000}"/>
    <cellStyle name="Percent 3 3 3 4" xfId="6852" xr:uid="{00000000-0005-0000-0000-0000F21A0000}"/>
    <cellStyle name="Percent 3 3 3 4 2" xfId="6853" xr:uid="{00000000-0005-0000-0000-0000F31A0000}"/>
    <cellStyle name="Percent 3 3 4" xfId="6854" xr:uid="{00000000-0005-0000-0000-0000F41A0000}"/>
    <cellStyle name="Percent 3 3 4 2" xfId="6855" xr:uid="{00000000-0005-0000-0000-0000F51A0000}"/>
    <cellStyle name="Percent 3 3 4 2 2" xfId="6856" xr:uid="{00000000-0005-0000-0000-0000F61A0000}"/>
    <cellStyle name="Percent 3 3 4 3" xfId="6857" xr:uid="{00000000-0005-0000-0000-0000F71A0000}"/>
    <cellStyle name="Percent 3 3 5" xfId="6858" xr:uid="{00000000-0005-0000-0000-0000F81A0000}"/>
    <cellStyle name="Percent 3 3 5 2" xfId="6859" xr:uid="{00000000-0005-0000-0000-0000F91A0000}"/>
    <cellStyle name="Percent 3 3 6" xfId="6860" xr:uid="{00000000-0005-0000-0000-0000FA1A0000}"/>
    <cellStyle name="Percent 3 3 6 2" xfId="6861" xr:uid="{00000000-0005-0000-0000-0000FB1A0000}"/>
    <cellStyle name="Percent 3 3 6 2 2" xfId="6862" xr:uid="{00000000-0005-0000-0000-0000FC1A0000}"/>
    <cellStyle name="Percent 3 3 6 3" xfId="6863" xr:uid="{00000000-0005-0000-0000-0000FD1A0000}"/>
    <cellStyle name="Percent 3 3 7" xfId="6864" xr:uid="{00000000-0005-0000-0000-0000FE1A0000}"/>
    <cellStyle name="Percent 3 3 7 2" xfId="6865" xr:uid="{00000000-0005-0000-0000-0000FF1A0000}"/>
    <cellStyle name="Percent 3 3 8" xfId="6866" xr:uid="{00000000-0005-0000-0000-0000001B0000}"/>
    <cellStyle name="Percent 3 3 8 2" xfId="6867" xr:uid="{00000000-0005-0000-0000-0000011B0000}"/>
    <cellStyle name="Percent 3 3 9" xfId="6868" xr:uid="{00000000-0005-0000-0000-0000021B0000}"/>
    <cellStyle name="Percent 3 3 9 2" xfId="6869" xr:uid="{00000000-0005-0000-0000-0000031B0000}"/>
    <cellStyle name="Percent 3 30" xfId="6870" xr:uid="{00000000-0005-0000-0000-0000041B0000}"/>
    <cellStyle name="Percent 3 30 2" xfId="6871" xr:uid="{00000000-0005-0000-0000-0000051B0000}"/>
    <cellStyle name="Percent 3 4" xfId="6872" xr:uid="{00000000-0005-0000-0000-0000061B0000}"/>
    <cellStyle name="Percent 3 4 10" xfId="6873" xr:uid="{00000000-0005-0000-0000-0000071B0000}"/>
    <cellStyle name="Percent 3 4 10 2" xfId="6874" xr:uid="{00000000-0005-0000-0000-0000081B0000}"/>
    <cellStyle name="Percent 3 4 11" xfId="6875" xr:uid="{00000000-0005-0000-0000-0000091B0000}"/>
    <cellStyle name="Percent 3 4 11 2" xfId="6876" xr:uid="{00000000-0005-0000-0000-00000A1B0000}"/>
    <cellStyle name="Percent 3 4 12" xfId="6877" xr:uid="{00000000-0005-0000-0000-00000B1B0000}"/>
    <cellStyle name="Percent 3 4 12 2" xfId="6878" xr:uid="{00000000-0005-0000-0000-00000C1B0000}"/>
    <cellStyle name="Percent 3 4 13" xfId="6879" xr:uid="{00000000-0005-0000-0000-00000D1B0000}"/>
    <cellStyle name="Percent 3 4 13 2" xfId="6880" xr:uid="{00000000-0005-0000-0000-00000E1B0000}"/>
    <cellStyle name="Percent 3 4 14" xfId="6881" xr:uid="{00000000-0005-0000-0000-00000F1B0000}"/>
    <cellStyle name="Percent 3 4 14 2" xfId="6882" xr:uid="{00000000-0005-0000-0000-0000101B0000}"/>
    <cellStyle name="Percent 3 4 15" xfId="6883" xr:uid="{00000000-0005-0000-0000-0000111B0000}"/>
    <cellStyle name="Percent 3 4 15 2" xfId="6884" xr:uid="{00000000-0005-0000-0000-0000121B0000}"/>
    <cellStyle name="Percent 3 4 16" xfId="6885" xr:uid="{00000000-0005-0000-0000-0000131B0000}"/>
    <cellStyle name="Percent 3 4 16 2" xfId="6886" xr:uid="{00000000-0005-0000-0000-0000141B0000}"/>
    <cellStyle name="Percent 3 4 2" xfId="6887" xr:uid="{00000000-0005-0000-0000-0000151B0000}"/>
    <cellStyle name="Percent 3 4 2 2" xfId="6888" xr:uid="{00000000-0005-0000-0000-0000161B0000}"/>
    <cellStyle name="Percent 3 4 2 2 2" xfId="6889" xr:uid="{00000000-0005-0000-0000-0000171B0000}"/>
    <cellStyle name="Percent 3 4 3" xfId="6890" xr:uid="{00000000-0005-0000-0000-0000181B0000}"/>
    <cellStyle name="Percent 3 4 3 2" xfId="6891" xr:uid="{00000000-0005-0000-0000-0000191B0000}"/>
    <cellStyle name="Percent 3 4 4" xfId="6892" xr:uid="{00000000-0005-0000-0000-00001A1B0000}"/>
    <cellStyle name="Percent 3 4 4 2" xfId="6893" xr:uid="{00000000-0005-0000-0000-00001B1B0000}"/>
    <cellStyle name="Percent 3 4 4 2 2" xfId="6894" xr:uid="{00000000-0005-0000-0000-00001C1B0000}"/>
    <cellStyle name="Percent 3 4 4 3" xfId="6895" xr:uid="{00000000-0005-0000-0000-00001D1B0000}"/>
    <cellStyle name="Percent 3 4 5" xfId="6896" xr:uid="{00000000-0005-0000-0000-00001E1B0000}"/>
    <cellStyle name="Percent 3 4 5 2" xfId="6897" xr:uid="{00000000-0005-0000-0000-00001F1B0000}"/>
    <cellStyle name="Percent 3 4 6" xfId="6898" xr:uid="{00000000-0005-0000-0000-0000201B0000}"/>
    <cellStyle name="Percent 3 4 6 2" xfId="6899" xr:uid="{00000000-0005-0000-0000-0000211B0000}"/>
    <cellStyle name="Percent 3 4 7" xfId="6900" xr:uid="{00000000-0005-0000-0000-0000221B0000}"/>
    <cellStyle name="Percent 3 4 7 2" xfId="6901" xr:uid="{00000000-0005-0000-0000-0000231B0000}"/>
    <cellStyle name="Percent 3 4 8" xfId="6902" xr:uid="{00000000-0005-0000-0000-0000241B0000}"/>
    <cellStyle name="Percent 3 4 8 2" xfId="6903" xr:uid="{00000000-0005-0000-0000-0000251B0000}"/>
    <cellStyle name="Percent 3 4 9" xfId="6904" xr:uid="{00000000-0005-0000-0000-0000261B0000}"/>
    <cellStyle name="Percent 3 4 9 2" xfId="6905" xr:uid="{00000000-0005-0000-0000-0000271B0000}"/>
    <cellStyle name="Percent 3 5" xfId="6906" xr:uid="{00000000-0005-0000-0000-0000281B0000}"/>
    <cellStyle name="Percent 3 5 10" xfId="6907" xr:uid="{00000000-0005-0000-0000-0000291B0000}"/>
    <cellStyle name="Percent 3 5 10 2" xfId="6908" xr:uid="{00000000-0005-0000-0000-00002A1B0000}"/>
    <cellStyle name="Percent 3 5 11" xfId="6909" xr:uid="{00000000-0005-0000-0000-00002B1B0000}"/>
    <cellStyle name="Percent 3 5 11 2" xfId="6910" xr:uid="{00000000-0005-0000-0000-00002C1B0000}"/>
    <cellStyle name="Percent 3 5 12" xfId="6911" xr:uid="{00000000-0005-0000-0000-00002D1B0000}"/>
    <cellStyle name="Percent 3 5 12 2" xfId="6912" xr:uid="{00000000-0005-0000-0000-00002E1B0000}"/>
    <cellStyle name="Percent 3 5 13" xfId="6913" xr:uid="{00000000-0005-0000-0000-00002F1B0000}"/>
    <cellStyle name="Percent 3 5 13 2" xfId="6914" xr:uid="{00000000-0005-0000-0000-0000301B0000}"/>
    <cellStyle name="Percent 3 5 14" xfId="6915" xr:uid="{00000000-0005-0000-0000-0000311B0000}"/>
    <cellStyle name="Percent 3 5 14 2" xfId="6916" xr:uid="{00000000-0005-0000-0000-0000321B0000}"/>
    <cellStyle name="Percent 3 5 15" xfId="6917" xr:uid="{00000000-0005-0000-0000-0000331B0000}"/>
    <cellStyle name="Percent 3 5 15 2" xfId="6918" xr:uid="{00000000-0005-0000-0000-0000341B0000}"/>
    <cellStyle name="Percent 3 5 16" xfId="6919" xr:uid="{00000000-0005-0000-0000-0000351B0000}"/>
    <cellStyle name="Percent 3 5 16 2" xfId="6920" xr:uid="{00000000-0005-0000-0000-0000361B0000}"/>
    <cellStyle name="Percent 3 5 17" xfId="6921" xr:uid="{00000000-0005-0000-0000-0000371B0000}"/>
    <cellStyle name="Percent 3 5 17 2" xfId="6922" xr:uid="{00000000-0005-0000-0000-0000381B0000}"/>
    <cellStyle name="Percent 3 5 18" xfId="6923" xr:uid="{00000000-0005-0000-0000-0000391B0000}"/>
    <cellStyle name="Percent 3 5 18 2" xfId="6924" xr:uid="{00000000-0005-0000-0000-00003A1B0000}"/>
    <cellStyle name="Percent 3 5 19" xfId="6925" xr:uid="{00000000-0005-0000-0000-00003B1B0000}"/>
    <cellStyle name="Percent 3 5 2" xfId="6926" xr:uid="{00000000-0005-0000-0000-00003C1B0000}"/>
    <cellStyle name="Percent 3 5 2 2" xfId="6927" xr:uid="{00000000-0005-0000-0000-00003D1B0000}"/>
    <cellStyle name="Percent 3 5 2 3" xfId="6928" xr:uid="{00000000-0005-0000-0000-00003E1B0000}"/>
    <cellStyle name="Percent 3 5 3" xfId="6929" xr:uid="{00000000-0005-0000-0000-00003F1B0000}"/>
    <cellStyle name="Percent 3 5 3 2" xfId="6930" xr:uid="{00000000-0005-0000-0000-0000401B0000}"/>
    <cellStyle name="Percent 3 5 4" xfId="6931" xr:uid="{00000000-0005-0000-0000-0000411B0000}"/>
    <cellStyle name="Percent 3 5 4 2" xfId="6932" xr:uid="{00000000-0005-0000-0000-0000421B0000}"/>
    <cellStyle name="Percent 3 5 5" xfId="6933" xr:uid="{00000000-0005-0000-0000-0000431B0000}"/>
    <cellStyle name="Percent 3 5 5 2" xfId="6934" xr:uid="{00000000-0005-0000-0000-0000441B0000}"/>
    <cellStyle name="Percent 3 5 6" xfId="6935" xr:uid="{00000000-0005-0000-0000-0000451B0000}"/>
    <cellStyle name="Percent 3 5 6 2" xfId="6936" xr:uid="{00000000-0005-0000-0000-0000461B0000}"/>
    <cellStyle name="Percent 3 5 7" xfId="6937" xr:uid="{00000000-0005-0000-0000-0000471B0000}"/>
    <cellStyle name="Percent 3 5 7 2" xfId="6938" xr:uid="{00000000-0005-0000-0000-0000481B0000}"/>
    <cellStyle name="Percent 3 5 8" xfId="6939" xr:uid="{00000000-0005-0000-0000-0000491B0000}"/>
    <cellStyle name="Percent 3 5 8 2" xfId="6940" xr:uid="{00000000-0005-0000-0000-00004A1B0000}"/>
    <cellStyle name="Percent 3 5 9" xfId="6941" xr:uid="{00000000-0005-0000-0000-00004B1B0000}"/>
    <cellStyle name="Percent 3 5 9 2" xfId="6942" xr:uid="{00000000-0005-0000-0000-00004C1B0000}"/>
    <cellStyle name="Percent 3 6" xfId="6943" xr:uid="{00000000-0005-0000-0000-00004D1B0000}"/>
    <cellStyle name="Percent 3 6 10" xfId="6944" xr:uid="{00000000-0005-0000-0000-00004E1B0000}"/>
    <cellStyle name="Percent 3 6 10 2" xfId="6945" xr:uid="{00000000-0005-0000-0000-00004F1B0000}"/>
    <cellStyle name="Percent 3 6 11" xfId="6946" xr:uid="{00000000-0005-0000-0000-0000501B0000}"/>
    <cellStyle name="Percent 3 6 11 2" xfId="6947" xr:uid="{00000000-0005-0000-0000-0000511B0000}"/>
    <cellStyle name="Percent 3 6 12" xfId="6948" xr:uid="{00000000-0005-0000-0000-0000521B0000}"/>
    <cellStyle name="Percent 3 6 12 2" xfId="6949" xr:uid="{00000000-0005-0000-0000-0000531B0000}"/>
    <cellStyle name="Percent 3 6 13" xfId="6950" xr:uid="{00000000-0005-0000-0000-0000541B0000}"/>
    <cellStyle name="Percent 3 6 13 2" xfId="6951" xr:uid="{00000000-0005-0000-0000-0000551B0000}"/>
    <cellStyle name="Percent 3 6 14" xfId="6952" xr:uid="{00000000-0005-0000-0000-0000561B0000}"/>
    <cellStyle name="Percent 3 6 14 2" xfId="6953" xr:uid="{00000000-0005-0000-0000-0000571B0000}"/>
    <cellStyle name="Percent 3 6 15" xfId="6954" xr:uid="{00000000-0005-0000-0000-0000581B0000}"/>
    <cellStyle name="Percent 3 6 15 2" xfId="6955" xr:uid="{00000000-0005-0000-0000-0000591B0000}"/>
    <cellStyle name="Percent 3 6 16" xfId="6956" xr:uid="{00000000-0005-0000-0000-00005A1B0000}"/>
    <cellStyle name="Percent 3 6 16 2" xfId="6957" xr:uid="{00000000-0005-0000-0000-00005B1B0000}"/>
    <cellStyle name="Percent 3 6 2" xfId="6958" xr:uid="{00000000-0005-0000-0000-00005C1B0000}"/>
    <cellStyle name="Percent 3 6 2 2" xfId="6959" xr:uid="{00000000-0005-0000-0000-00005D1B0000}"/>
    <cellStyle name="Percent 3 6 2 2 2" xfId="6960" xr:uid="{00000000-0005-0000-0000-00005E1B0000}"/>
    <cellStyle name="Percent 3 6 3" xfId="6961" xr:uid="{00000000-0005-0000-0000-00005F1B0000}"/>
    <cellStyle name="Percent 3 6 3 2" xfId="6962" xr:uid="{00000000-0005-0000-0000-0000601B0000}"/>
    <cellStyle name="Percent 3 6 3 2 2" xfId="6963" xr:uid="{00000000-0005-0000-0000-0000611B0000}"/>
    <cellStyle name="Percent 3 6 4" xfId="6964" xr:uid="{00000000-0005-0000-0000-0000621B0000}"/>
    <cellStyle name="Percent 3 6 4 2" xfId="6965" xr:uid="{00000000-0005-0000-0000-0000631B0000}"/>
    <cellStyle name="Percent 3 6 5" xfId="6966" xr:uid="{00000000-0005-0000-0000-0000641B0000}"/>
    <cellStyle name="Percent 3 6 5 2" xfId="6967" xr:uid="{00000000-0005-0000-0000-0000651B0000}"/>
    <cellStyle name="Percent 3 6 6" xfId="6968" xr:uid="{00000000-0005-0000-0000-0000661B0000}"/>
    <cellStyle name="Percent 3 6 6 2" xfId="6969" xr:uid="{00000000-0005-0000-0000-0000671B0000}"/>
    <cellStyle name="Percent 3 6 7" xfId="6970" xr:uid="{00000000-0005-0000-0000-0000681B0000}"/>
    <cellStyle name="Percent 3 6 7 2" xfId="6971" xr:uid="{00000000-0005-0000-0000-0000691B0000}"/>
    <cellStyle name="Percent 3 6 8" xfId="6972" xr:uid="{00000000-0005-0000-0000-00006A1B0000}"/>
    <cellStyle name="Percent 3 6 8 2" xfId="6973" xr:uid="{00000000-0005-0000-0000-00006B1B0000}"/>
    <cellStyle name="Percent 3 6 9" xfId="6974" xr:uid="{00000000-0005-0000-0000-00006C1B0000}"/>
    <cellStyle name="Percent 3 6 9 2" xfId="6975" xr:uid="{00000000-0005-0000-0000-00006D1B0000}"/>
    <cellStyle name="Percent 3 7" xfId="6976" xr:uid="{00000000-0005-0000-0000-00006E1B0000}"/>
    <cellStyle name="Percent 3 7 10" xfId="6977" xr:uid="{00000000-0005-0000-0000-00006F1B0000}"/>
    <cellStyle name="Percent 3 7 10 2" xfId="6978" xr:uid="{00000000-0005-0000-0000-0000701B0000}"/>
    <cellStyle name="Percent 3 7 11" xfId="6979" xr:uid="{00000000-0005-0000-0000-0000711B0000}"/>
    <cellStyle name="Percent 3 7 11 2" xfId="6980" xr:uid="{00000000-0005-0000-0000-0000721B0000}"/>
    <cellStyle name="Percent 3 7 12" xfId="6981" xr:uid="{00000000-0005-0000-0000-0000731B0000}"/>
    <cellStyle name="Percent 3 7 12 2" xfId="6982" xr:uid="{00000000-0005-0000-0000-0000741B0000}"/>
    <cellStyle name="Percent 3 7 13" xfId="6983" xr:uid="{00000000-0005-0000-0000-0000751B0000}"/>
    <cellStyle name="Percent 3 7 13 2" xfId="6984" xr:uid="{00000000-0005-0000-0000-0000761B0000}"/>
    <cellStyle name="Percent 3 7 14" xfId="6985" xr:uid="{00000000-0005-0000-0000-0000771B0000}"/>
    <cellStyle name="Percent 3 7 14 2" xfId="6986" xr:uid="{00000000-0005-0000-0000-0000781B0000}"/>
    <cellStyle name="Percent 3 7 15" xfId="6987" xr:uid="{00000000-0005-0000-0000-0000791B0000}"/>
    <cellStyle name="Percent 3 7 15 2" xfId="6988" xr:uid="{00000000-0005-0000-0000-00007A1B0000}"/>
    <cellStyle name="Percent 3 7 16" xfId="6989" xr:uid="{00000000-0005-0000-0000-00007B1B0000}"/>
    <cellStyle name="Percent 3 7 16 2" xfId="6990" xr:uid="{00000000-0005-0000-0000-00007C1B0000}"/>
    <cellStyle name="Percent 3 7 17" xfId="6991" xr:uid="{00000000-0005-0000-0000-00007D1B0000}"/>
    <cellStyle name="Percent 3 7 2" xfId="6992" xr:uid="{00000000-0005-0000-0000-00007E1B0000}"/>
    <cellStyle name="Percent 3 7 2 2" xfId="6993" xr:uid="{00000000-0005-0000-0000-00007F1B0000}"/>
    <cellStyle name="Percent 3 7 3" xfId="6994" xr:uid="{00000000-0005-0000-0000-0000801B0000}"/>
    <cellStyle name="Percent 3 7 3 2" xfId="6995" xr:uid="{00000000-0005-0000-0000-0000811B0000}"/>
    <cellStyle name="Percent 3 7 4" xfId="6996" xr:uid="{00000000-0005-0000-0000-0000821B0000}"/>
    <cellStyle name="Percent 3 7 4 2" xfId="6997" xr:uid="{00000000-0005-0000-0000-0000831B0000}"/>
    <cellStyle name="Percent 3 7 5" xfId="6998" xr:uid="{00000000-0005-0000-0000-0000841B0000}"/>
    <cellStyle name="Percent 3 7 5 2" xfId="6999" xr:uid="{00000000-0005-0000-0000-0000851B0000}"/>
    <cellStyle name="Percent 3 7 6" xfId="7000" xr:uid="{00000000-0005-0000-0000-0000861B0000}"/>
    <cellStyle name="Percent 3 7 6 2" xfId="7001" xr:uid="{00000000-0005-0000-0000-0000871B0000}"/>
    <cellStyle name="Percent 3 7 7" xfId="7002" xr:uid="{00000000-0005-0000-0000-0000881B0000}"/>
    <cellStyle name="Percent 3 7 7 2" xfId="7003" xr:uid="{00000000-0005-0000-0000-0000891B0000}"/>
    <cellStyle name="Percent 3 7 8" xfId="7004" xr:uid="{00000000-0005-0000-0000-00008A1B0000}"/>
    <cellStyle name="Percent 3 7 8 2" xfId="7005" xr:uid="{00000000-0005-0000-0000-00008B1B0000}"/>
    <cellStyle name="Percent 3 7 9" xfId="7006" xr:uid="{00000000-0005-0000-0000-00008C1B0000}"/>
    <cellStyle name="Percent 3 7 9 2" xfId="7007" xr:uid="{00000000-0005-0000-0000-00008D1B0000}"/>
    <cellStyle name="Percent 3 8" xfId="7008" xr:uid="{00000000-0005-0000-0000-00008E1B0000}"/>
    <cellStyle name="Percent 3 8 10" xfId="7009" xr:uid="{00000000-0005-0000-0000-00008F1B0000}"/>
    <cellStyle name="Percent 3 8 10 2" xfId="7010" xr:uid="{00000000-0005-0000-0000-0000901B0000}"/>
    <cellStyle name="Percent 3 8 11" xfId="7011" xr:uid="{00000000-0005-0000-0000-0000911B0000}"/>
    <cellStyle name="Percent 3 8 11 2" xfId="7012" xr:uid="{00000000-0005-0000-0000-0000921B0000}"/>
    <cellStyle name="Percent 3 8 12" xfId="7013" xr:uid="{00000000-0005-0000-0000-0000931B0000}"/>
    <cellStyle name="Percent 3 8 12 2" xfId="7014" xr:uid="{00000000-0005-0000-0000-0000941B0000}"/>
    <cellStyle name="Percent 3 8 13" xfId="7015" xr:uid="{00000000-0005-0000-0000-0000951B0000}"/>
    <cellStyle name="Percent 3 8 13 2" xfId="7016" xr:uid="{00000000-0005-0000-0000-0000961B0000}"/>
    <cellStyle name="Percent 3 8 14" xfId="7017" xr:uid="{00000000-0005-0000-0000-0000971B0000}"/>
    <cellStyle name="Percent 3 8 14 2" xfId="7018" xr:uid="{00000000-0005-0000-0000-0000981B0000}"/>
    <cellStyle name="Percent 3 8 15" xfId="7019" xr:uid="{00000000-0005-0000-0000-0000991B0000}"/>
    <cellStyle name="Percent 3 8 15 2" xfId="7020" xr:uid="{00000000-0005-0000-0000-00009A1B0000}"/>
    <cellStyle name="Percent 3 8 16" xfId="7021" xr:uid="{00000000-0005-0000-0000-00009B1B0000}"/>
    <cellStyle name="Percent 3 8 17" xfId="7022" xr:uid="{00000000-0005-0000-0000-00009C1B0000}"/>
    <cellStyle name="Percent 3 8 2" xfId="7023" xr:uid="{00000000-0005-0000-0000-00009D1B0000}"/>
    <cellStyle name="Percent 3 8 2 2" xfId="7024" xr:uid="{00000000-0005-0000-0000-00009E1B0000}"/>
    <cellStyle name="Percent 3 8 3" xfId="7025" xr:uid="{00000000-0005-0000-0000-00009F1B0000}"/>
    <cellStyle name="Percent 3 8 3 2" xfId="7026" xr:uid="{00000000-0005-0000-0000-0000A01B0000}"/>
    <cellStyle name="Percent 3 8 4" xfId="7027" xr:uid="{00000000-0005-0000-0000-0000A11B0000}"/>
    <cellStyle name="Percent 3 8 4 2" xfId="7028" xr:uid="{00000000-0005-0000-0000-0000A21B0000}"/>
    <cellStyle name="Percent 3 8 5" xfId="7029" xr:uid="{00000000-0005-0000-0000-0000A31B0000}"/>
    <cellStyle name="Percent 3 8 5 2" xfId="7030" xr:uid="{00000000-0005-0000-0000-0000A41B0000}"/>
    <cellStyle name="Percent 3 8 6" xfId="7031" xr:uid="{00000000-0005-0000-0000-0000A51B0000}"/>
    <cellStyle name="Percent 3 8 6 2" xfId="7032" xr:uid="{00000000-0005-0000-0000-0000A61B0000}"/>
    <cellStyle name="Percent 3 8 7" xfId="7033" xr:uid="{00000000-0005-0000-0000-0000A71B0000}"/>
    <cellStyle name="Percent 3 8 7 2" xfId="7034" xr:uid="{00000000-0005-0000-0000-0000A81B0000}"/>
    <cellStyle name="Percent 3 8 8" xfId="7035" xr:uid="{00000000-0005-0000-0000-0000A91B0000}"/>
    <cellStyle name="Percent 3 8 8 2" xfId="7036" xr:uid="{00000000-0005-0000-0000-0000AA1B0000}"/>
    <cellStyle name="Percent 3 8 9" xfId="7037" xr:uid="{00000000-0005-0000-0000-0000AB1B0000}"/>
    <cellStyle name="Percent 3 8 9 2" xfId="7038" xr:uid="{00000000-0005-0000-0000-0000AC1B0000}"/>
    <cellStyle name="Percent 3 9" xfId="7039" xr:uid="{00000000-0005-0000-0000-0000AD1B0000}"/>
    <cellStyle name="Percent 3 9 10" xfId="7040" xr:uid="{00000000-0005-0000-0000-0000AE1B0000}"/>
    <cellStyle name="Percent 3 9 10 2" xfId="7041" xr:uid="{00000000-0005-0000-0000-0000AF1B0000}"/>
    <cellStyle name="Percent 3 9 11" xfId="7042" xr:uid="{00000000-0005-0000-0000-0000B01B0000}"/>
    <cellStyle name="Percent 3 9 11 2" xfId="7043" xr:uid="{00000000-0005-0000-0000-0000B11B0000}"/>
    <cellStyle name="Percent 3 9 12" xfId="7044" xr:uid="{00000000-0005-0000-0000-0000B21B0000}"/>
    <cellStyle name="Percent 3 9 12 2" xfId="7045" xr:uid="{00000000-0005-0000-0000-0000B31B0000}"/>
    <cellStyle name="Percent 3 9 13" xfId="7046" xr:uid="{00000000-0005-0000-0000-0000B41B0000}"/>
    <cellStyle name="Percent 3 9 13 2" xfId="7047" xr:uid="{00000000-0005-0000-0000-0000B51B0000}"/>
    <cellStyle name="Percent 3 9 14" xfId="7048" xr:uid="{00000000-0005-0000-0000-0000B61B0000}"/>
    <cellStyle name="Percent 3 9 14 2" xfId="7049" xr:uid="{00000000-0005-0000-0000-0000B71B0000}"/>
    <cellStyle name="Percent 3 9 15" xfId="7050" xr:uid="{00000000-0005-0000-0000-0000B81B0000}"/>
    <cellStyle name="Percent 3 9 15 2" xfId="7051" xr:uid="{00000000-0005-0000-0000-0000B91B0000}"/>
    <cellStyle name="Percent 3 9 16" xfId="7052" xr:uid="{00000000-0005-0000-0000-0000BA1B0000}"/>
    <cellStyle name="Percent 3 9 2" xfId="7053" xr:uid="{00000000-0005-0000-0000-0000BB1B0000}"/>
    <cellStyle name="Percent 3 9 2 2" xfId="7054" xr:uid="{00000000-0005-0000-0000-0000BC1B0000}"/>
    <cellStyle name="Percent 3 9 3" xfId="7055" xr:uid="{00000000-0005-0000-0000-0000BD1B0000}"/>
    <cellStyle name="Percent 3 9 3 2" xfId="7056" xr:uid="{00000000-0005-0000-0000-0000BE1B0000}"/>
    <cellStyle name="Percent 3 9 4" xfId="7057" xr:uid="{00000000-0005-0000-0000-0000BF1B0000}"/>
    <cellStyle name="Percent 3 9 4 2" xfId="7058" xr:uid="{00000000-0005-0000-0000-0000C01B0000}"/>
    <cellStyle name="Percent 3 9 5" xfId="7059" xr:uid="{00000000-0005-0000-0000-0000C11B0000}"/>
    <cellStyle name="Percent 3 9 5 2" xfId="7060" xr:uid="{00000000-0005-0000-0000-0000C21B0000}"/>
    <cellStyle name="Percent 3 9 6" xfId="7061" xr:uid="{00000000-0005-0000-0000-0000C31B0000}"/>
    <cellStyle name="Percent 3 9 6 2" xfId="7062" xr:uid="{00000000-0005-0000-0000-0000C41B0000}"/>
    <cellStyle name="Percent 3 9 7" xfId="7063" xr:uid="{00000000-0005-0000-0000-0000C51B0000}"/>
    <cellStyle name="Percent 3 9 7 2" xfId="7064" xr:uid="{00000000-0005-0000-0000-0000C61B0000}"/>
    <cellStyle name="Percent 3 9 8" xfId="7065" xr:uid="{00000000-0005-0000-0000-0000C71B0000}"/>
    <cellStyle name="Percent 3 9 8 2" xfId="7066" xr:uid="{00000000-0005-0000-0000-0000C81B0000}"/>
    <cellStyle name="Percent 3 9 9" xfId="7067" xr:uid="{00000000-0005-0000-0000-0000C91B0000}"/>
    <cellStyle name="Percent 3 9 9 2" xfId="7068" xr:uid="{00000000-0005-0000-0000-0000CA1B0000}"/>
    <cellStyle name="Percent 31" xfId="7069" xr:uid="{00000000-0005-0000-0000-0000CB1B0000}"/>
    <cellStyle name="Percent 31 2" xfId="7070" xr:uid="{00000000-0005-0000-0000-0000CC1B0000}"/>
    <cellStyle name="Percent 4" xfId="7071" xr:uid="{00000000-0005-0000-0000-0000CD1B0000}"/>
    <cellStyle name="Percent 4 10" xfId="7072" xr:uid="{00000000-0005-0000-0000-0000CE1B0000}"/>
    <cellStyle name="Percent 4 10 2" xfId="7073" xr:uid="{00000000-0005-0000-0000-0000CF1B0000}"/>
    <cellStyle name="Percent 4 10 3" xfId="7074" xr:uid="{00000000-0005-0000-0000-0000D01B0000}"/>
    <cellStyle name="Percent 4 11" xfId="7075" xr:uid="{00000000-0005-0000-0000-0000D11B0000}"/>
    <cellStyle name="Percent 4 11 2" xfId="7076" xr:uid="{00000000-0005-0000-0000-0000D21B0000}"/>
    <cellStyle name="Percent 4 11 3" xfId="7077" xr:uid="{00000000-0005-0000-0000-0000D31B0000}"/>
    <cellStyle name="Percent 4 12" xfId="7078" xr:uid="{00000000-0005-0000-0000-0000D41B0000}"/>
    <cellStyle name="Percent 4 12 2" xfId="7079" xr:uid="{00000000-0005-0000-0000-0000D51B0000}"/>
    <cellStyle name="Percent 4 12 3" xfId="7080" xr:uid="{00000000-0005-0000-0000-0000D61B0000}"/>
    <cellStyle name="Percent 4 13" xfId="7081" xr:uid="{00000000-0005-0000-0000-0000D71B0000}"/>
    <cellStyle name="Percent 4 13 2" xfId="7082" xr:uid="{00000000-0005-0000-0000-0000D81B0000}"/>
    <cellStyle name="Percent 4 13 3" xfId="7083" xr:uid="{00000000-0005-0000-0000-0000D91B0000}"/>
    <cellStyle name="Percent 4 14" xfId="7084" xr:uid="{00000000-0005-0000-0000-0000DA1B0000}"/>
    <cellStyle name="Percent 4 14 2" xfId="7085" xr:uid="{00000000-0005-0000-0000-0000DB1B0000}"/>
    <cellStyle name="Percent 4 14 3" xfId="7086" xr:uid="{00000000-0005-0000-0000-0000DC1B0000}"/>
    <cellStyle name="Percent 4 15" xfId="7087" xr:uid="{00000000-0005-0000-0000-0000DD1B0000}"/>
    <cellStyle name="Percent 4 15 2" xfId="7088" xr:uid="{00000000-0005-0000-0000-0000DE1B0000}"/>
    <cellStyle name="Percent 4 16" xfId="7089" xr:uid="{00000000-0005-0000-0000-0000DF1B0000}"/>
    <cellStyle name="Percent 4 16 2" xfId="7090" xr:uid="{00000000-0005-0000-0000-0000E01B0000}"/>
    <cellStyle name="Percent 4 16 2 2" xfId="7091" xr:uid="{00000000-0005-0000-0000-0000E11B0000}"/>
    <cellStyle name="Percent 4 16 3" xfId="7092" xr:uid="{00000000-0005-0000-0000-0000E21B0000}"/>
    <cellStyle name="Percent 4 17" xfId="7093" xr:uid="{00000000-0005-0000-0000-0000E31B0000}"/>
    <cellStyle name="Percent 4 17 2" xfId="7094" xr:uid="{00000000-0005-0000-0000-0000E41B0000}"/>
    <cellStyle name="Percent 4 18" xfId="7095" xr:uid="{00000000-0005-0000-0000-0000E51B0000}"/>
    <cellStyle name="Percent 4 18 2" xfId="7096" xr:uid="{00000000-0005-0000-0000-0000E61B0000}"/>
    <cellStyle name="Percent 4 18 2 2" xfId="7097" xr:uid="{00000000-0005-0000-0000-0000E71B0000}"/>
    <cellStyle name="Percent 4 18 3" xfId="7098" xr:uid="{00000000-0005-0000-0000-0000E81B0000}"/>
    <cellStyle name="Percent 4 19" xfId="7099" xr:uid="{00000000-0005-0000-0000-0000E91B0000}"/>
    <cellStyle name="Percent 4 19 2" xfId="7100" xr:uid="{00000000-0005-0000-0000-0000EA1B0000}"/>
    <cellStyle name="Percent 4 2" xfId="7101" xr:uid="{00000000-0005-0000-0000-0000EB1B0000}"/>
    <cellStyle name="Percent 4 2 10" xfId="7102" xr:uid="{00000000-0005-0000-0000-0000EC1B0000}"/>
    <cellStyle name="Percent 4 2 10 2" xfId="7103" xr:uid="{00000000-0005-0000-0000-0000ED1B0000}"/>
    <cellStyle name="Percent 4 2 2" xfId="7104" xr:uid="{00000000-0005-0000-0000-0000EE1B0000}"/>
    <cellStyle name="Percent 4 2 2 2" xfId="7105" xr:uid="{00000000-0005-0000-0000-0000EF1B0000}"/>
    <cellStyle name="Percent 4 2 2 2 2" xfId="7106" xr:uid="{00000000-0005-0000-0000-0000F01B0000}"/>
    <cellStyle name="Percent 4 2 3" xfId="7107" xr:uid="{00000000-0005-0000-0000-0000F11B0000}"/>
    <cellStyle name="Percent 4 2 3 2" xfId="7108" xr:uid="{00000000-0005-0000-0000-0000F21B0000}"/>
    <cellStyle name="Percent 4 2 3 3" xfId="7109" xr:uid="{00000000-0005-0000-0000-0000F31B0000}"/>
    <cellStyle name="Percent 4 2 4" xfId="7110" xr:uid="{00000000-0005-0000-0000-0000F41B0000}"/>
    <cellStyle name="Percent 4 2 4 2" xfId="7111" xr:uid="{00000000-0005-0000-0000-0000F51B0000}"/>
    <cellStyle name="Percent 4 2 4 2 2" xfId="7112" xr:uid="{00000000-0005-0000-0000-0000F61B0000}"/>
    <cellStyle name="Percent 4 2 4 3" xfId="7113" xr:uid="{00000000-0005-0000-0000-0000F71B0000}"/>
    <cellStyle name="Percent 4 2 4 3 2" xfId="7114" xr:uid="{00000000-0005-0000-0000-0000F81B0000}"/>
    <cellStyle name="Percent 4 2 4 4" xfId="7115" xr:uid="{00000000-0005-0000-0000-0000F91B0000}"/>
    <cellStyle name="Percent 4 2 4 5" xfId="7116" xr:uid="{00000000-0005-0000-0000-0000FA1B0000}"/>
    <cellStyle name="Percent 4 2 5" xfId="7117" xr:uid="{00000000-0005-0000-0000-0000FB1B0000}"/>
    <cellStyle name="Percent 4 2 5 2" xfId="7118" xr:uid="{00000000-0005-0000-0000-0000FC1B0000}"/>
    <cellStyle name="Percent 4 2 5 3" xfId="7119" xr:uid="{00000000-0005-0000-0000-0000FD1B0000}"/>
    <cellStyle name="Percent 4 2 6" xfId="7120" xr:uid="{00000000-0005-0000-0000-0000FE1B0000}"/>
    <cellStyle name="Percent 4 2 6 2" xfId="7121" xr:uid="{00000000-0005-0000-0000-0000FF1B0000}"/>
    <cellStyle name="Percent 4 2 6 2 2" xfId="7122" xr:uid="{00000000-0005-0000-0000-0000001C0000}"/>
    <cellStyle name="Percent 4 2 6 3" xfId="7123" xr:uid="{00000000-0005-0000-0000-0000011C0000}"/>
    <cellStyle name="Percent 4 2 6 3 2" xfId="7124" xr:uid="{00000000-0005-0000-0000-0000021C0000}"/>
    <cellStyle name="Percent 4 2 6 4" xfId="7125" xr:uid="{00000000-0005-0000-0000-0000031C0000}"/>
    <cellStyle name="Percent 4 2 6 5" xfId="7126" xr:uid="{00000000-0005-0000-0000-0000041C0000}"/>
    <cellStyle name="Percent 4 2 7" xfId="7127" xr:uid="{00000000-0005-0000-0000-0000051C0000}"/>
    <cellStyle name="Percent 4 2 7 2" xfId="7128" xr:uid="{00000000-0005-0000-0000-0000061C0000}"/>
    <cellStyle name="Percent 4 2 7 3" xfId="7129" xr:uid="{00000000-0005-0000-0000-0000071C0000}"/>
    <cellStyle name="Percent 4 2 8" xfId="7130" xr:uid="{00000000-0005-0000-0000-0000081C0000}"/>
    <cellStyle name="Percent 4 2 8 2" xfId="7131" xr:uid="{00000000-0005-0000-0000-0000091C0000}"/>
    <cellStyle name="Percent 4 2 8 3" xfId="7132" xr:uid="{00000000-0005-0000-0000-00000A1C0000}"/>
    <cellStyle name="Percent 4 2 9" xfId="7133" xr:uid="{00000000-0005-0000-0000-00000B1C0000}"/>
    <cellStyle name="Percent 4 2 9 2" xfId="7134" xr:uid="{00000000-0005-0000-0000-00000C1C0000}"/>
    <cellStyle name="Percent 4 20" xfId="7135" xr:uid="{00000000-0005-0000-0000-00000D1C0000}"/>
    <cellStyle name="Percent 4 20 2" xfId="7136" xr:uid="{00000000-0005-0000-0000-00000E1C0000}"/>
    <cellStyle name="Percent 4 21" xfId="7137" xr:uid="{00000000-0005-0000-0000-00000F1C0000}"/>
    <cellStyle name="Percent 4 21 2" xfId="7138" xr:uid="{00000000-0005-0000-0000-0000101C0000}"/>
    <cellStyle name="Percent 4 22" xfId="7139" xr:uid="{00000000-0005-0000-0000-0000111C0000}"/>
    <cellStyle name="Percent 4 22 2" xfId="7140" xr:uid="{00000000-0005-0000-0000-0000121C0000}"/>
    <cellStyle name="Percent 4 23" xfId="7141" xr:uid="{00000000-0005-0000-0000-0000131C0000}"/>
    <cellStyle name="Percent 4 23 2" xfId="7142" xr:uid="{00000000-0005-0000-0000-0000141C0000}"/>
    <cellStyle name="Percent 4 24" xfId="7143" xr:uid="{00000000-0005-0000-0000-0000151C0000}"/>
    <cellStyle name="Percent 4 24 2" xfId="7144" xr:uid="{00000000-0005-0000-0000-0000161C0000}"/>
    <cellStyle name="Percent 4 25" xfId="7145" xr:uid="{00000000-0005-0000-0000-0000171C0000}"/>
    <cellStyle name="Percent 4 25 2" xfId="7146" xr:uid="{00000000-0005-0000-0000-0000181C0000}"/>
    <cellStyle name="Percent 4 26" xfId="7147" xr:uid="{00000000-0005-0000-0000-0000191C0000}"/>
    <cellStyle name="Percent 4 26 2" xfId="7148" xr:uid="{00000000-0005-0000-0000-00001A1C0000}"/>
    <cellStyle name="Percent 4 27" xfId="7149" xr:uid="{00000000-0005-0000-0000-00001B1C0000}"/>
    <cellStyle name="Percent 4 27 2" xfId="7150" xr:uid="{00000000-0005-0000-0000-00001C1C0000}"/>
    <cellStyle name="Percent 4 28" xfId="7151" xr:uid="{00000000-0005-0000-0000-00001D1C0000}"/>
    <cellStyle name="Percent 4 28 2" xfId="7152" xr:uid="{00000000-0005-0000-0000-00001E1C0000}"/>
    <cellStyle name="Percent 4 29" xfId="7153" xr:uid="{00000000-0005-0000-0000-00001F1C0000}"/>
    <cellStyle name="Percent 4 29 2" xfId="7154" xr:uid="{00000000-0005-0000-0000-0000201C0000}"/>
    <cellStyle name="Percent 4 29 2 2" xfId="7155" xr:uid="{00000000-0005-0000-0000-0000211C0000}"/>
    <cellStyle name="Percent 4 29 3" xfId="7156" xr:uid="{00000000-0005-0000-0000-0000221C0000}"/>
    <cellStyle name="Percent 4 29 3 2" xfId="7157" xr:uid="{00000000-0005-0000-0000-0000231C0000}"/>
    <cellStyle name="Percent 4 29 4" xfId="7158" xr:uid="{00000000-0005-0000-0000-0000241C0000}"/>
    <cellStyle name="Percent 4 3" xfId="7159" xr:uid="{00000000-0005-0000-0000-0000251C0000}"/>
    <cellStyle name="Percent 4 3 2" xfId="7160" xr:uid="{00000000-0005-0000-0000-0000261C0000}"/>
    <cellStyle name="Percent 4 3 2 2" xfId="7161" xr:uid="{00000000-0005-0000-0000-0000271C0000}"/>
    <cellStyle name="Percent 4 3 2 3" xfId="7162" xr:uid="{00000000-0005-0000-0000-0000281C0000}"/>
    <cellStyle name="Percent 4 3 3" xfId="7163" xr:uid="{00000000-0005-0000-0000-0000291C0000}"/>
    <cellStyle name="Percent 4 3 3 2" xfId="7164" xr:uid="{00000000-0005-0000-0000-00002A1C0000}"/>
    <cellStyle name="Percent 4 3 3 3" xfId="7165" xr:uid="{00000000-0005-0000-0000-00002B1C0000}"/>
    <cellStyle name="Percent 4 3 4" xfId="7166" xr:uid="{00000000-0005-0000-0000-00002C1C0000}"/>
    <cellStyle name="Percent 4 3 4 2" xfId="7167" xr:uid="{00000000-0005-0000-0000-00002D1C0000}"/>
    <cellStyle name="Percent 4 3 4 3" xfId="7168" xr:uid="{00000000-0005-0000-0000-00002E1C0000}"/>
    <cellStyle name="Percent 4 3 5" xfId="7169" xr:uid="{00000000-0005-0000-0000-00002F1C0000}"/>
    <cellStyle name="Percent 4 3 5 2" xfId="7170" xr:uid="{00000000-0005-0000-0000-0000301C0000}"/>
    <cellStyle name="Percent 4 3 5 3" xfId="7171" xr:uid="{00000000-0005-0000-0000-0000311C0000}"/>
    <cellStyle name="Percent 4 3 6" xfId="7172" xr:uid="{00000000-0005-0000-0000-0000321C0000}"/>
    <cellStyle name="Percent 4 3 6 2" xfId="7173" xr:uid="{00000000-0005-0000-0000-0000331C0000}"/>
    <cellStyle name="Percent 4 3 6 3" xfId="7174" xr:uid="{00000000-0005-0000-0000-0000341C0000}"/>
    <cellStyle name="Percent 4 3 7" xfId="7175" xr:uid="{00000000-0005-0000-0000-0000351C0000}"/>
    <cellStyle name="Percent 4 3 7 2" xfId="7176" xr:uid="{00000000-0005-0000-0000-0000361C0000}"/>
    <cellStyle name="Percent 4 3 7 3" xfId="7177" xr:uid="{00000000-0005-0000-0000-0000371C0000}"/>
    <cellStyle name="Percent 4 3 8" xfId="7178" xr:uid="{00000000-0005-0000-0000-0000381C0000}"/>
    <cellStyle name="Percent 4 3 8 2" xfId="7179" xr:uid="{00000000-0005-0000-0000-0000391C0000}"/>
    <cellStyle name="Percent 4 3 8 3" xfId="7180" xr:uid="{00000000-0005-0000-0000-00003A1C0000}"/>
    <cellStyle name="Percent 4 3 9" xfId="7181" xr:uid="{00000000-0005-0000-0000-00003B1C0000}"/>
    <cellStyle name="Percent 4 3 9 2" xfId="7182" xr:uid="{00000000-0005-0000-0000-00003C1C0000}"/>
    <cellStyle name="Percent 4 30" xfId="7183" xr:uid="{00000000-0005-0000-0000-00003D1C0000}"/>
    <cellStyle name="Percent 4 30 2" xfId="7184" xr:uid="{00000000-0005-0000-0000-00003E1C0000}"/>
    <cellStyle name="Percent 4 31" xfId="7185" xr:uid="{00000000-0005-0000-0000-00003F1C0000}"/>
    <cellStyle name="Percent 4 31 2" xfId="7186" xr:uid="{00000000-0005-0000-0000-0000401C0000}"/>
    <cellStyle name="Percent 4 32" xfId="7187" xr:uid="{00000000-0005-0000-0000-0000411C0000}"/>
    <cellStyle name="Percent 4 32 2" xfId="7188" xr:uid="{00000000-0005-0000-0000-0000421C0000}"/>
    <cellStyle name="Percent 4 4" xfId="7189" xr:uid="{00000000-0005-0000-0000-0000431C0000}"/>
    <cellStyle name="Percent 4 4 10" xfId="7190" xr:uid="{00000000-0005-0000-0000-0000441C0000}"/>
    <cellStyle name="Percent 4 4 10 2" xfId="7191" xr:uid="{00000000-0005-0000-0000-0000451C0000}"/>
    <cellStyle name="Percent 4 4 11" xfId="7192" xr:uid="{00000000-0005-0000-0000-0000461C0000}"/>
    <cellStyle name="Percent 4 4 2" xfId="7193" xr:uid="{00000000-0005-0000-0000-0000471C0000}"/>
    <cellStyle name="Percent 4 4 2 2" xfId="7194" xr:uid="{00000000-0005-0000-0000-0000481C0000}"/>
    <cellStyle name="Percent 4 4 2 3" xfId="7195" xr:uid="{00000000-0005-0000-0000-0000491C0000}"/>
    <cellStyle name="Percent 4 4 3" xfId="7196" xr:uid="{00000000-0005-0000-0000-00004A1C0000}"/>
    <cellStyle name="Percent 4 4 3 2" xfId="7197" xr:uid="{00000000-0005-0000-0000-00004B1C0000}"/>
    <cellStyle name="Percent 4 4 3 3" xfId="7198" xr:uid="{00000000-0005-0000-0000-00004C1C0000}"/>
    <cellStyle name="Percent 4 4 4" xfId="7199" xr:uid="{00000000-0005-0000-0000-00004D1C0000}"/>
    <cellStyle name="Percent 4 4 4 2" xfId="7200" xr:uid="{00000000-0005-0000-0000-00004E1C0000}"/>
    <cellStyle name="Percent 4 4 4 3" xfId="7201" xr:uid="{00000000-0005-0000-0000-00004F1C0000}"/>
    <cellStyle name="Percent 4 4 5" xfId="7202" xr:uid="{00000000-0005-0000-0000-0000501C0000}"/>
    <cellStyle name="Percent 4 4 5 2" xfId="7203" xr:uid="{00000000-0005-0000-0000-0000511C0000}"/>
    <cellStyle name="Percent 4 4 5 3" xfId="7204" xr:uid="{00000000-0005-0000-0000-0000521C0000}"/>
    <cellStyle name="Percent 4 4 6" xfId="7205" xr:uid="{00000000-0005-0000-0000-0000531C0000}"/>
    <cellStyle name="Percent 4 4 6 2" xfId="7206" xr:uid="{00000000-0005-0000-0000-0000541C0000}"/>
    <cellStyle name="Percent 4 4 6 3" xfId="7207" xr:uid="{00000000-0005-0000-0000-0000551C0000}"/>
    <cellStyle name="Percent 4 4 7" xfId="7208" xr:uid="{00000000-0005-0000-0000-0000561C0000}"/>
    <cellStyle name="Percent 4 4 7 2" xfId="7209" xr:uid="{00000000-0005-0000-0000-0000571C0000}"/>
    <cellStyle name="Percent 4 4 7 3" xfId="7210" xr:uid="{00000000-0005-0000-0000-0000581C0000}"/>
    <cellStyle name="Percent 4 4 8" xfId="7211" xr:uid="{00000000-0005-0000-0000-0000591C0000}"/>
    <cellStyle name="Percent 4 4 8 2" xfId="7212" xr:uid="{00000000-0005-0000-0000-00005A1C0000}"/>
    <cellStyle name="Percent 4 4 8 3" xfId="7213" xr:uid="{00000000-0005-0000-0000-00005B1C0000}"/>
    <cellStyle name="Percent 4 4 9" xfId="7214" xr:uid="{00000000-0005-0000-0000-00005C1C0000}"/>
    <cellStyle name="Percent 4 4 9 2" xfId="7215" xr:uid="{00000000-0005-0000-0000-00005D1C0000}"/>
    <cellStyle name="Percent 4 4 9 3" xfId="7216" xr:uid="{00000000-0005-0000-0000-00005E1C0000}"/>
    <cellStyle name="Percent 4 5" xfId="7217" xr:uid="{00000000-0005-0000-0000-00005F1C0000}"/>
    <cellStyle name="Percent 4 5 10" xfId="7218" xr:uid="{00000000-0005-0000-0000-0000601C0000}"/>
    <cellStyle name="Percent 4 5 10 2" xfId="7219" xr:uid="{00000000-0005-0000-0000-0000611C0000}"/>
    <cellStyle name="Percent 4 5 2" xfId="7220" xr:uid="{00000000-0005-0000-0000-0000621C0000}"/>
    <cellStyle name="Percent 4 5 2 2" xfId="7221" xr:uid="{00000000-0005-0000-0000-0000631C0000}"/>
    <cellStyle name="Percent 4 5 2 2 2" xfId="7222" xr:uid="{00000000-0005-0000-0000-0000641C0000}"/>
    <cellStyle name="Percent 4 5 3" xfId="7223" xr:uid="{00000000-0005-0000-0000-0000651C0000}"/>
    <cellStyle name="Percent 4 5 3 2" xfId="7224" xr:uid="{00000000-0005-0000-0000-0000661C0000}"/>
    <cellStyle name="Percent 4 5 3 3" xfId="7225" xr:uid="{00000000-0005-0000-0000-0000671C0000}"/>
    <cellStyle name="Percent 4 5 4" xfId="7226" xr:uid="{00000000-0005-0000-0000-0000681C0000}"/>
    <cellStyle name="Percent 4 5 4 2" xfId="7227" xr:uid="{00000000-0005-0000-0000-0000691C0000}"/>
    <cellStyle name="Percent 4 5 4 3" xfId="7228" xr:uid="{00000000-0005-0000-0000-00006A1C0000}"/>
    <cellStyle name="Percent 4 5 5" xfId="7229" xr:uid="{00000000-0005-0000-0000-00006B1C0000}"/>
    <cellStyle name="Percent 4 5 5 2" xfId="7230" xr:uid="{00000000-0005-0000-0000-00006C1C0000}"/>
    <cellStyle name="Percent 4 5 5 3" xfId="7231" xr:uid="{00000000-0005-0000-0000-00006D1C0000}"/>
    <cellStyle name="Percent 4 5 6" xfId="7232" xr:uid="{00000000-0005-0000-0000-00006E1C0000}"/>
    <cellStyle name="Percent 4 5 6 2" xfId="7233" xr:uid="{00000000-0005-0000-0000-00006F1C0000}"/>
    <cellStyle name="Percent 4 5 6 3" xfId="7234" xr:uid="{00000000-0005-0000-0000-0000701C0000}"/>
    <cellStyle name="Percent 4 5 7" xfId="7235" xr:uid="{00000000-0005-0000-0000-0000711C0000}"/>
    <cellStyle name="Percent 4 5 7 2" xfId="7236" xr:uid="{00000000-0005-0000-0000-0000721C0000}"/>
    <cellStyle name="Percent 4 5 7 3" xfId="7237" xr:uid="{00000000-0005-0000-0000-0000731C0000}"/>
    <cellStyle name="Percent 4 5 8" xfId="7238" xr:uid="{00000000-0005-0000-0000-0000741C0000}"/>
    <cellStyle name="Percent 4 5 8 2" xfId="7239" xr:uid="{00000000-0005-0000-0000-0000751C0000}"/>
    <cellStyle name="Percent 4 5 8 3" xfId="7240" xr:uid="{00000000-0005-0000-0000-0000761C0000}"/>
    <cellStyle name="Percent 4 5 9" xfId="7241" xr:uid="{00000000-0005-0000-0000-0000771C0000}"/>
    <cellStyle name="Percent 4 5 9 2" xfId="7242" xr:uid="{00000000-0005-0000-0000-0000781C0000}"/>
    <cellStyle name="Percent 4 6" xfId="7243" xr:uid="{00000000-0005-0000-0000-0000791C0000}"/>
    <cellStyle name="Percent 4 6 10" xfId="7244" xr:uid="{00000000-0005-0000-0000-00007A1C0000}"/>
    <cellStyle name="Percent 4 6 2" xfId="7245" xr:uid="{00000000-0005-0000-0000-00007B1C0000}"/>
    <cellStyle name="Percent 4 6 2 2" xfId="7246" xr:uid="{00000000-0005-0000-0000-00007C1C0000}"/>
    <cellStyle name="Percent 4 6 2 3" xfId="7247" xr:uid="{00000000-0005-0000-0000-00007D1C0000}"/>
    <cellStyle name="Percent 4 6 3" xfId="7248" xr:uid="{00000000-0005-0000-0000-00007E1C0000}"/>
    <cellStyle name="Percent 4 6 3 2" xfId="7249" xr:uid="{00000000-0005-0000-0000-00007F1C0000}"/>
    <cellStyle name="Percent 4 6 3 3" xfId="7250" xr:uid="{00000000-0005-0000-0000-0000801C0000}"/>
    <cellStyle name="Percent 4 6 4" xfId="7251" xr:uid="{00000000-0005-0000-0000-0000811C0000}"/>
    <cellStyle name="Percent 4 6 4 2" xfId="7252" xr:uid="{00000000-0005-0000-0000-0000821C0000}"/>
    <cellStyle name="Percent 4 6 4 3" xfId="7253" xr:uid="{00000000-0005-0000-0000-0000831C0000}"/>
    <cellStyle name="Percent 4 6 5" xfId="7254" xr:uid="{00000000-0005-0000-0000-0000841C0000}"/>
    <cellStyle name="Percent 4 6 5 2" xfId="7255" xr:uid="{00000000-0005-0000-0000-0000851C0000}"/>
    <cellStyle name="Percent 4 6 5 3" xfId="7256" xr:uid="{00000000-0005-0000-0000-0000861C0000}"/>
    <cellStyle name="Percent 4 6 6" xfId="7257" xr:uid="{00000000-0005-0000-0000-0000871C0000}"/>
    <cellStyle name="Percent 4 6 6 2" xfId="7258" xr:uid="{00000000-0005-0000-0000-0000881C0000}"/>
    <cellStyle name="Percent 4 6 6 3" xfId="7259" xr:uid="{00000000-0005-0000-0000-0000891C0000}"/>
    <cellStyle name="Percent 4 6 7" xfId="7260" xr:uid="{00000000-0005-0000-0000-00008A1C0000}"/>
    <cellStyle name="Percent 4 6 7 2" xfId="7261" xr:uid="{00000000-0005-0000-0000-00008B1C0000}"/>
    <cellStyle name="Percent 4 6 7 3" xfId="7262" xr:uid="{00000000-0005-0000-0000-00008C1C0000}"/>
    <cellStyle name="Percent 4 6 8" xfId="7263" xr:uid="{00000000-0005-0000-0000-00008D1C0000}"/>
    <cellStyle name="Percent 4 6 8 2" xfId="7264" xr:uid="{00000000-0005-0000-0000-00008E1C0000}"/>
    <cellStyle name="Percent 4 6 8 3" xfId="7265" xr:uid="{00000000-0005-0000-0000-00008F1C0000}"/>
    <cellStyle name="Percent 4 6 9" xfId="7266" xr:uid="{00000000-0005-0000-0000-0000901C0000}"/>
    <cellStyle name="Percent 4 7" xfId="7267" xr:uid="{00000000-0005-0000-0000-0000911C0000}"/>
    <cellStyle name="Percent 4 7 2" xfId="7268" xr:uid="{00000000-0005-0000-0000-0000921C0000}"/>
    <cellStyle name="Percent 4 7 3" xfId="7269" xr:uid="{00000000-0005-0000-0000-0000931C0000}"/>
    <cellStyle name="Percent 4 8" xfId="7270" xr:uid="{00000000-0005-0000-0000-0000941C0000}"/>
    <cellStyle name="Percent 4 8 2" xfId="7271" xr:uid="{00000000-0005-0000-0000-0000951C0000}"/>
    <cellStyle name="Percent 4 8 3" xfId="7272" xr:uid="{00000000-0005-0000-0000-0000961C0000}"/>
    <cellStyle name="Percent 4 9" xfId="7273" xr:uid="{00000000-0005-0000-0000-0000971C0000}"/>
    <cellStyle name="Percent 4 9 2" xfId="7274" xr:uid="{00000000-0005-0000-0000-0000981C0000}"/>
    <cellStyle name="Percent 4 9 3" xfId="7275" xr:uid="{00000000-0005-0000-0000-0000991C0000}"/>
    <cellStyle name="Percent 5" xfId="7276" xr:uid="{00000000-0005-0000-0000-00009A1C0000}"/>
    <cellStyle name="Percent 5 10" xfId="7277" xr:uid="{00000000-0005-0000-0000-00009B1C0000}"/>
    <cellStyle name="Percent 5 10 2" xfId="7278" xr:uid="{00000000-0005-0000-0000-00009C1C0000}"/>
    <cellStyle name="Percent 5 11" xfId="7279" xr:uid="{00000000-0005-0000-0000-00009D1C0000}"/>
    <cellStyle name="Percent 5 11 2" xfId="7280" xr:uid="{00000000-0005-0000-0000-00009E1C0000}"/>
    <cellStyle name="Percent 5 11 2 2" xfId="7281" xr:uid="{00000000-0005-0000-0000-00009F1C0000}"/>
    <cellStyle name="Percent 5 11 3" xfId="7282" xr:uid="{00000000-0005-0000-0000-0000A01C0000}"/>
    <cellStyle name="Percent 5 12" xfId="7283" xr:uid="{00000000-0005-0000-0000-0000A11C0000}"/>
    <cellStyle name="Percent 5 12 2" xfId="7284" xr:uid="{00000000-0005-0000-0000-0000A21C0000}"/>
    <cellStyle name="Percent 5 2" xfId="7285" xr:uid="{00000000-0005-0000-0000-0000A31C0000}"/>
    <cellStyle name="Percent 5 2 2" xfId="7286" xr:uid="{00000000-0005-0000-0000-0000A41C0000}"/>
    <cellStyle name="Percent 5 2 2 2" xfId="7287" xr:uid="{00000000-0005-0000-0000-0000A51C0000}"/>
    <cellStyle name="Percent 5 3" xfId="7288" xr:uid="{00000000-0005-0000-0000-0000A61C0000}"/>
    <cellStyle name="Percent 5 3 2" xfId="7289" xr:uid="{00000000-0005-0000-0000-0000A71C0000}"/>
    <cellStyle name="Percent 5 3 2 2" xfId="7290" xr:uid="{00000000-0005-0000-0000-0000A81C0000}"/>
    <cellStyle name="Percent 5 3 3" xfId="7291" xr:uid="{00000000-0005-0000-0000-0000A91C0000}"/>
    <cellStyle name="Percent 5 3 4" xfId="7292" xr:uid="{00000000-0005-0000-0000-0000AA1C0000}"/>
    <cellStyle name="Percent 5 4" xfId="7293" xr:uid="{00000000-0005-0000-0000-0000AB1C0000}"/>
    <cellStyle name="Percent 5 4 2" xfId="7294" xr:uid="{00000000-0005-0000-0000-0000AC1C0000}"/>
    <cellStyle name="Percent 5 4 2 2" xfId="7295" xr:uid="{00000000-0005-0000-0000-0000AD1C0000}"/>
    <cellStyle name="Percent 5 4 3" xfId="7296" xr:uid="{00000000-0005-0000-0000-0000AE1C0000}"/>
    <cellStyle name="Percent 5 4 4" xfId="7297" xr:uid="{00000000-0005-0000-0000-0000AF1C0000}"/>
    <cellStyle name="Percent 5 5" xfId="7298" xr:uid="{00000000-0005-0000-0000-0000B01C0000}"/>
    <cellStyle name="Percent 5 5 2" xfId="7299" xr:uid="{00000000-0005-0000-0000-0000B11C0000}"/>
    <cellStyle name="Percent 5 5 2 2" xfId="7300" xr:uid="{00000000-0005-0000-0000-0000B21C0000}"/>
    <cellStyle name="Percent 5 5 3" xfId="7301" xr:uid="{00000000-0005-0000-0000-0000B31C0000}"/>
    <cellStyle name="Percent 5 5 3 2" xfId="7302" xr:uid="{00000000-0005-0000-0000-0000B41C0000}"/>
    <cellStyle name="Percent 5 5 4" xfId="7303" xr:uid="{00000000-0005-0000-0000-0000B51C0000}"/>
    <cellStyle name="Percent 5 5 5" xfId="7304" xr:uid="{00000000-0005-0000-0000-0000B61C0000}"/>
    <cellStyle name="Percent 5 6" xfId="7305" xr:uid="{00000000-0005-0000-0000-0000B71C0000}"/>
    <cellStyle name="Percent 5 6 2" xfId="7306" xr:uid="{00000000-0005-0000-0000-0000B81C0000}"/>
    <cellStyle name="Percent 5 6 3" xfId="7307" xr:uid="{00000000-0005-0000-0000-0000B91C0000}"/>
    <cellStyle name="Percent 5 7" xfId="7308" xr:uid="{00000000-0005-0000-0000-0000BA1C0000}"/>
    <cellStyle name="Percent 5 7 2" xfId="7309" xr:uid="{00000000-0005-0000-0000-0000BB1C0000}"/>
    <cellStyle name="Percent 5 7 3" xfId="7310" xr:uid="{00000000-0005-0000-0000-0000BC1C0000}"/>
    <cellStyle name="Percent 5 8" xfId="7311" xr:uid="{00000000-0005-0000-0000-0000BD1C0000}"/>
    <cellStyle name="Percent 5 8 2" xfId="7312" xr:uid="{00000000-0005-0000-0000-0000BE1C0000}"/>
    <cellStyle name="Percent 5 8 3" xfId="7313" xr:uid="{00000000-0005-0000-0000-0000BF1C0000}"/>
    <cellStyle name="Percent 5 9" xfId="7314" xr:uid="{00000000-0005-0000-0000-0000C01C0000}"/>
    <cellStyle name="Percent 5 9 2" xfId="7315" xr:uid="{00000000-0005-0000-0000-0000C11C0000}"/>
    <cellStyle name="Percent 5 9 2 2" xfId="7316" xr:uid="{00000000-0005-0000-0000-0000C21C0000}"/>
    <cellStyle name="Percent 5 9 2 2 2" xfId="7317" xr:uid="{00000000-0005-0000-0000-0000C31C0000}"/>
    <cellStyle name="Percent 5 9 2 3" xfId="7318" xr:uid="{00000000-0005-0000-0000-0000C41C0000}"/>
    <cellStyle name="Percent 5 9 3" xfId="7319" xr:uid="{00000000-0005-0000-0000-0000C51C0000}"/>
    <cellStyle name="Percent 6" xfId="7320" xr:uid="{00000000-0005-0000-0000-0000C61C0000}"/>
    <cellStyle name="Percent 6 10" xfId="7321" xr:uid="{00000000-0005-0000-0000-0000C71C0000}"/>
    <cellStyle name="Percent 6 10 2" xfId="7322" xr:uid="{00000000-0005-0000-0000-0000C81C0000}"/>
    <cellStyle name="Percent 6 11" xfId="7323" xr:uid="{00000000-0005-0000-0000-0000C91C0000}"/>
    <cellStyle name="Percent 6 11 2" xfId="7324" xr:uid="{00000000-0005-0000-0000-0000CA1C0000}"/>
    <cellStyle name="Percent 6 12" xfId="7325" xr:uid="{00000000-0005-0000-0000-0000CB1C0000}"/>
    <cellStyle name="Percent 6 2" xfId="7326" xr:uid="{00000000-0005-0000-0000-0000CC1C0000}"/>
    <cellStyle name="Percent 6 2 2" xfId="7327" xr:uid="{00000000-0005-0000-0000-0000CD1C0000}"/>
    <cellStyle name="Percent 6 2 2 2" xfId="7328" xr:uid="{00000000-0005-0000-0000-0000CE1C0000}"/>
    <cellStyle name="Percent 6 2 3" xfId="7329" xr:uid="{00000000-0005-0000-0000-0000CF1C0000}"/>
    <cellStyle name="Percent 6 3" xfId="7330" xr:uid="{00000000-0005-0000-0000-0000D01C0000}"/>
    <cellStyle name="Percent 6 3 2" xfId="7331" xr:uid="{00000000-0005-0000-0000-0000D11C0000}"/>
    <cellStyle name="Percent 6 3 2 2" xfId="7332" xr:uid="{00000000-0005-0000-0000-0000D21C0000}"/>
    <cellStyle name="Percent 6 3 3" xfId="7333" xr:uid="{00000000-0005-0000-0000-0000D31C0000}"/>
    <cellStyle name="Percent 6 3 3 2" xfId="7334" xr:uid="{00000000-0005-0000-0000-0000D41C0000}"/>
    <cellStyle name="Percent 6 3 4" xfId="7335" xr:uid="{00000000-0005-0000-0000-0000D51C0000}"/>
    <cellStyle name="Percent 6 3 5" xfId="7336" xr:uid="{00000000-0005-0000-0000-0000D61C0000}"/>
    <cellStyle name="Percent 6 4" xfId="7337" xr:uid="{00000000-0005-0000-0000-0000D71C0000}"/>
    <cellStyle name="Percent 6 4 2" xfId="7338" xr:uid="{00000000-0005-0000-0000-0000D81C0000}"/>
    <cellStyle name="Percent 6 4 3" xfId="7339" xr:uid="{00000000-0005-0000-0000-0000D91C0000}"/>
    <cellStyle name="Percent 6 5" xfId="7340" xr:uid="{00000000-0005-0000-0000-0000DA1C0000}"/>
    <cellStyle name="Percent 6 5 2" xfId="7341" xr:uid="{00000000-0005-0000-0000-0000DB1C0000}"/>
    <cellStyle name="Percent 6 5 3" xfId="7342" xr:uid="{00000000-0005-0000-0000-0000DC1C0000}"/>
    <cellStyle name="Percent 6 6" xfId="7343" xr:uid="{00000000-0005-0000-0000-0000DD1C0000}"/>
    <cellStyle name="Percent 6 6 2" xfId="7344" xr:uid="{00000000-0005-0000-0000-0000DE1C0000}"/>
    <cellStyle name="Percent 6 6 3" xfId="7345" xr:uid="{00000000-0005-0000-0000-0000DF1C0000}"/>
    <cellStyle name="Percent 6 7" xfId="7346" xr:uid="{00000000-0005-0000-0000-0000E01C0000}"/>
    <cellStyle name="Percent 6 7 2" xfId="7347" xr:uid="{00000000-0005-0000-0000-0000E11C0000}"/>
    <cellStyle name="Percent 6 7 3" xfId="7348" xr:uid="{00000000-0005-0000-0000-0000E21C0000}"/>
    <cellStyle name="Percent 6 8" xfId="7349" xr:uid="{00000000-0005-0000-0000-0000E31C0000}"/>
    <cellStyle name="Percent 6 8 2" xfId="7350" xr:uid="{00000000-0005-0000-0000-0000E41C0000}"/>
    <cellStyle name="Percent 6 8 3" xfId="7351" xr:uid="{00000000-0005-0000-0000-0000E51C0000}"/>
    <cellStyle name="Percent 6 9" xfId="7352" xr:uid="{00000000-0005-0000-0000-0000E61C0000}"/>
    <cellStyle name="Percent 6 9 2" xfId="7353" xr:uid="{00000000-0005-0000-0000-0000E71C0000}"/>
    <cellStyle name="Percent 6 9 3" xfId="7354" xr:uid="{00000000-0005-0000-0000-0000E81C0000}"/>
    <cellStyle name="Percent 7" xfId="7355" xr:uid="{00000000-0005-0000-0000-0000E91C0000}"/>
    <cellStyle name="Percent 7 10" xfId="7356" xr:uid="{00000000-0005-0000-0000-0000EA1C0000}"/>
    <cellStyle name="Percent 7 10 2" xfId="7357" xr:uid="{00000000-0005-0000-0000-0000EB1C0000}"/>
    <cellStyle name="Percent 7 11" xfId="7358" xr:uid="{00000000-0005-0000-0000-0000EC1C0000}"/>
    <cellStyle name="Percent 7 11 2" xfId="7359" xr:uid="{00000000-0005-0000-0000-0000ED1C0000}"/>
    <cellStyle name="Percent 7 2" xfId="7360" xr:uid="{00000000-0005-0000-0000-0000EE1C0000}"/>
    <cellStyle name="Percent 7 2 2" xfId="7361" xr:uid="{00000000-0005-0000-0000-0000EF1C0000}"/>
    <cellStyle name="Percent 7 2 3" xfId="7362" xr:uid="{00000000-0005-0000-0000-0000F01C0000}"/>
    <cellStyle name="Percent 7 3" xfId="7363" xr:uid="{00000000-0005-0000-0000-0000F11C0000}"/>
    <cellStyle name="Percent 7 3 2" xfId="7364" xr:uid="{00000000-0005-0000-0000-0000F21C0000}"/>
    <cellStyle name="Percent 7 3 3" xfId="7365" xr:uid="{00000000-0005-0000-0000-0000F31C0000}"/>
    <cellStyle name="Percent 7 4" xfId="7366" xr:uid="{00000000-0005-0000-0000-0000F41C0000}"/>
    <cellStyle name="Percent 7 4 2" xfId="7367" xr:uid="{00000000-0005-0000-0000-0000F51C0000}"/>
    <cellStyle name="Percent 7 4 3" xfId="7368" xr:uid="{00000000-0005-0000-0000-0000F61C0000}"/>
    <cellStyle name="Percent 7 5" xfId="7369" xr:uid="{00000000-0005-0000-0000-0000F71C0000}"/>
    <cellStyle name="Percent 7 5 2" xfId="7370" xr:uid="{00000000-0005-0000-0000-0000F81C0000}"/>
    <cellStyle name="Percent 7 5 3" xfId="7371" xr:uid="{00000000-0005-0000-0000-0000F91C0000}"/>
    <cellStyle name="Percent 7 6" xfId="7372" xr:uid="{00000000-0005-0000-0000-0000FA1C0000}"/>
    <cellStyle name="Percent 7 6 2" xfId="7373" xr:uid="{00000000-0005-0000-0000-0000FB1C0000}"/>
    <cellStyle name="Percent 7 6 3" xfId="7374" xr:uid="{00000000-0005-0000-0000-0000FC1C0000}"/>
    <cellStyle name="Percent 7 7" xfId="7375" xr:uid="{00000000-0005-0000-0000-0000FD1C0000}"/>
    <cellStyle name="Percent 7 7 2" xfId="7376" xr:uid="{00000000-0005-0000-0000-0000FE1C0000}"/>
    <cellStyle name="Percent 7 7 3" xfId="7377" xr:uid="{00000000-0005-0000-0000-0000FF1C0000}"/>
    <cellStyle name="Percent 7 8" xfId="7378" xr:uid="{00000000-0005-0000-0000-0000001D0000}"/>
    <cellStyle name="Percent 7 8 2" xfId="7379" xr:uid="{00000000-0005-0000-0000-0000011D0000}"/>
    <cellStyle name="Percent 7 8 3" xfId="7380" xr:uid="{00000000-0005-0000-0000-0000021D0000}"/>
    <cellStyle name="Percent 7 9" xfId="7381" xr:uid="{00000000-0005-0000-0000-0000031D0000}"/>
    <cellStyle name="Percent 7 9 2" xfId="7382" xr:uid="{00000000-0005-0000-0000-0000041D0000}"/>
    <cellStyle name="Percent 8" xfId="7383" xr:uid="{00000000-0005-0000-0000-0000051D0000}"/>
    <cellStyle name="Percent 8 10" xfId="7384" xr:uid="{00000000-0005-0000-0000-0000061D0000}"/>
    <cellStyle name="Percent 8 11" xfId="7385" xr:uid="{00000000-0005-0000-0000-0000071D0000}"/>
    <cellStyle name="Percent 8 2" xfId="7386" xr:uid="{00000000-0005-0000-0000-0000081D0000}"/>
    <cellStyle name="Percent 8 2 2" xfId="7387" xr:uid="{00000000-0005-0000-0000-0000091D0000}"/>
    <cellStyle name="Percent 8 2 2 2" xfId="7388" xr:uid="{00000000-0005-0000-0000-00000A1D0000}"/>
    <cellStyle name="Percent 8 2 3" xfId="7389" xr:uid="{00000000-0005-0000-0000-00000B1D0000}"/>
    <cellStyle name="Percent 8 3" xfId="7390" xr:uid="{00000000-0005-0000-0000-00000C1D0000}"/>
    <cellStyle name="Percent 8 3 2" xfId="7391" xr:uid="{00000000-0005-0000-0000-00000D1D0000}"/>
    <cellStyle name="Percent 8 3 3" xfId="7392" xr:uid="{00000000-0005-0000-0000-00000E1D0000}"/>
    <cellStyle name="Percent 8 4" xfId="7393" xr:uid="{00000000-0005-0000-0000-00000F1D0000}"/>
    <cellStyle name="Percent 8 4 2" xfId="7394" xr:uid="{00000000-0005-0000-0000-0000101D0000}"/>
    <cellStyle name="Percent 8 4 3" xfId="7395" xr:uid="{00000000-0005-0000-0000-0000111D0000}"/>
    <cellStyle name="Percent 8 5" xfId="7396" xr:uid="{00000000-0005-0000-0000-0000121D0000}"/>
    <cellStyle name="Percent 8 5 2" xfId="7397" xr:uid="{00000000-0005-0000-0000-0000131D0000}"/>
    <cellStyle name="Percent 8 5 3" xfId="7398" xr:uid="{00000000-0005-0000-0000-0000141D0000}"/>
    <cellStyle name="Percent 8 6" xfId="7399" xr:uid="{00000000-0005-0000-0000-0000151D0000}"/>
    <cellStyle name="Percent 8 6 2" xfId="7400" xr:uid="{00000000-0005-0000-0000-0000161D0000}"/>
    <cellStyle name="Percent 8 6 3" xfId="7401" xr:uid="{00000000-0005-0000-0000-0000171D0000}"/>
    <cellStyle name="Percent 8 7" xfId="7402" xr:uid="{00000000-0005-0000-0000-0000181D0000}"/>
    <cellStyle name="Percent 8 7 2" xfId="7403" xr:uid="{00000000-0005-0000-0000-0000191D0000}"/>
    <cellStyle name="Percent 8 7 3" xfId="7404" xr:uid="{00000000-0005-0000-0000-00001A1D0000}"/>
    <cellStyle name="Percent 8 8" xfId="7405" xr:uid="{00000000-0005-0000-0000-00001B1D0000}"/>
    <cellStyle name="Percent 8 8 2" xfId="7406" xr:uid="{00000000-0005-0000-0000-00001C1D0000}"/>
    <cellStyle name="Percent 8 8 3" xfId="7407" xr:uid="{00000000-0005-0000-0000-00001D1D0000}"/>
    <cellStyle name="Percent 8 9" xfId="7408" xr:uid="{00000000-0005-0000-0000-00001E1D0000}"/>
    <cellStyle name="Percent 8 9 2" xfId="7409" xr:uid="{00000000-0005-0000-0000-00001F1D0000}"/>
    <cellStyle name="Percent 9" xfId="7410" xr:uid="{00000000-0005-0000-0000-0000201D0000}"/>
    <cellStyle name="Percent 9 10" xfId="7411" xr:uid="{00000000-0005-0000-0000-0000211D0000}"/>
    <cellStyle name="Percent 9 10 2" xfId="7412" xr:uid="{00000000-0005-0000-0000-0000221D0000}"/>
    <cellStyle name="Percent 9 11" xfId="7413" xr:uid="{00000000-0005-0000-0000-0000231D0000}"/>
    <cellStyle name="Percent 9 11 2" xfId="7414" xr:uid="{00000000-0005-0000-0000-0000241D0000}"/>
    <cellStyle name="Percent 9 12" xfId="7415" xr:uid="{00000000-0005-0000-0000-0000251D0000}"/>
    <cellStyle name="Percent 9 12 2" xfId="7416" xr:uid="{00000000-0005-0000-0000-0000261D0000}"/>
    <cellStyle name="Percent 9 13" xfId="7417" xr:uid="{00000000-0005-0000-0000-0000271D0000}"/>
    <cellStyle name="Percent 9 13 2" xfId="7418" xr:uid="{00000000-0005-0000-0000-0000281D0000}"/>
    <cellStyle name="Percent 9 14" xfId="7419" xr:uid="{00000000-0005-0000-0000-0000291D0000}"/>
    <cellStyle name="Percent 9 14 2" xfId="7420" xr:uid="{00000000-0005-0000-0000-00002A1D0000}"/>
    <cellStyle name="Percent 9 15" xfId="7421" xr:uid="{00000000-0005-0000-0000-00002B1D0000}"/>
    <cellStyle name="Percent 9 15 2" xfId="7422" xr:uid="{00000000-0005-0000-0000-00002C1D0000}"/>
    <cellStyle name="Percent 9 16" xfId="7423" xr:uid="{00000000-0005-0000-0000-00002D1D0000}"/>
    <cellStyle name="Percent 9 16 2" xfId="7424" xr:uid="{00000000-0005-0000-0000-00002E1D0000}"/>
    <cellStyle name="Percent 9 17" xfId="7425" xr:uid="{00000000-0005-0000-0000-00002F1D0000}"/>
    <cellStyle name="Percent 9 17 2" xfId="7426" xr:uid="{00000000-0005-0000-0000-0000301D0000}"/>
    <cellStyle name="Percent 9 18" xfId="7427" xr:uid="{00000000-0005-0000-0000-0000311D0000}"/>
    <cellStyle name="Percent 9 18 2" xfId="7428" xr:uid="{00000000-0005-0000-0000-0000321D0000}"/>
    <cellStyle name="Percent 9 19" xfId="7429" xr:uid="{00000000-0005-0000-0000-0000331D0000}"/>
    <cellStyle name="Percent 9 19 2" xfId="7430" xr:uid="{00000000-0005-0000-0000-0000341D0000}"/>
    <cellStyle name="Percent 9 2" xfId="7431" xr:uid="{00000000-0005-0000-0000-0000351D0000}"/>
    <cellStyle name="Percent 9 2 2" xfId="7432" xr:uid="{00000000-0005-0000-0000-0000361D0000}"/>
    <cellStyle name="Percent 9 2 2 2" xfId="7433" xr:uid="{00000000-0005-0000-0000-0000371D0000}"/>
    <cellStyle name="Percent 9 2 3" xfId="7434" xr:uid="{00000000-0005-0000-0000-0000381D0000}"/>
    <cellStyle name="Percent 9 2 3 2" xfId="7435" xr:uid="{00000000-0005-0000-0000-0000391D0000}"/>
    <cellStyle name="Percent 9 2 4" xfId="7436" xr:uid="{00000000-0005-0000-0000-00003A1D0000}"/>
    <cellStyle name="Percent 9 2 5" xfId="7437" xr:uid="{00000000-0005-0000-0000-00003B1D0000}"/>
    <cellStyle name="Percent 9 20" xfId="7438" xr:uid="{00000000-0005-0000-0000-00003C1D0000}"/>
    <cellStyle name="Percent 9 20 2" xfId="7439" xr:uid="{00000000-0005-0000-0000-00003D1D0000}"/>
    <cellStyle name="Percent 9 21" xfId="7440" xr:uid="{00000000-0005-0000-0000-00003E1D0000}"/>
    <cellStyle name="Percent 9 21 2" xfId="7441" xr:uid="{00000000-0005-0000-0000-00003F1D0000}"/>
    <cellStyle name="Percent 9 22" xfId="7442" xr:uid="{00000000-0005-0000-0000-0000401D0000}"/>
    <cellStyle name="Percent 9 22 2" xfId="7443" xr:uid="{00000000-0005-0000-0000-0000411D0000}"/>
    <cellStyle name="Percent 9 23" xfId="7444" xr:uid="{00000000-0005-0000-0000-0000421D0000}"/>
    <cellStyle name="Percent 9 23 2" xfId="7445" xr:uid="{00000000-0005-0000-0000-0000431D0000}"/>
    <cellStyle name="Percent 9 24" xfId="7446" xr:uid="{00000000-0005-0000-0000-0000441D0000}"/>
    <cellStyle name="Percent 9 3" xfId="7447" xr:uid="{00000000-0005-0000-0000-0000451D0000}"/>
    <cellStyle name="Percent 9 3 2" xfId="7448" xr:uid="{00000000-0005-0000-0000-0000461D0000}"/>
    <cellStyle name="Percent 9 3 2 2" xfId="7449" xr:uid="{00000000-0005-0000-0000-0000471D0000}"/>
    <cellStyle name="Percent 9 3 3" xfId="7450" xr:uid="{00000000-0005-0000-0000-0000481D0000}"/>
    <cellStyle name="Percent 9 3 3 2" xfId="7451" xr:uid="{00000000-0005-0000-0000-0000491D0000}"/>
    <cellStyle name="Percent 9 3 4" xfId="7452" xr:uid="{00000000-0005-0000-0000-00004A1D0000}"/>
    <cellStyle name="Percent 9 3 5" xfId="7453" xr:uid="{00000000-0005-0000-0000-00004B1D0000}"/>
    <cellStyle name="Percent 9 4" xfId="7454" xr:uid="{00000000-0005-0000-0000-00004C1D0000}"/>
    <cellStyle name="Percent 9 4 2" xfId="7455" xr:uid="{00000000-0005-0000-0000-00004D1D0000}"/>
    <cellStyle name="Percent 9 4 2 2" xfId="7456" xr:uid="{00000000-0005-0000-0000-00004E1D0000}"/>
    <cellStyle name="Percent 9 4 3" xfId="7457" xr:uid="{00000000-0005-0000-0000-00004F1D0000}"/>
    <cellStyle name="Percent 9 4 3 2" xfId="7458" xr:uid="{00000000-0005-0000-0000-0000501D0000}"/>
    <cellStyle name="Percent 9 4 4" xfId="7459" xr:uid="{00000000-0005-0000-0000-0000511D0000}"/>
    <cellStyle name="Percent 9 4 5" xfId="7460" xr:uid="{00000000-0005-0000-0000-0000521D0000}"/>
    <cellStyle name="Percent 9 5" xfId="7461" xr:uid="{00000000-0005-0000-0000-0000531D0000}"/>
    <cellStyle name="Percent 9 5 2" xfId="7462" xr:uid="{00000000-0005-0000-0000-0000541D0000}"/>
    <cellStyle name="Percent 9 5 2 2" xfId="7463" xr:uid="{00000000-0005-0000-0000-0000551D0000}"/>
    <cellStyle name="Percent 9 5 3" xfId="7464" xr:uid="{00000000-0005-0000-0000-0000561D0000}"/>
    <cellStyle name="Percent 9 5 3 2" xfId="7465" xr:uid="{00000000-0005-0000-0000-0000571D0000}"/>
    <cellStyle name="Percent 9 5 4" xfId="7466" xr:uid="{00000000-0005-0000-0000-0000581D0000}"/>
    <cellStyle name="Percent 9 5 5" xfId="7467" xr:uid="{00000000-0005-0000-0000-0000591D0000}"/>
    <cellStyle name="Percent 9 6" xfId="7468" xr:uid="{00000000-0005-0000-0000-00005A1D0000}"/>
    <cellStyle name="Percent 9 6 2" xfId="7469" xr:uid="{00000000-0005-0000-0000-00005B1D0000}"/>
    <cellStyle name="Percent 9 6 2 2" xfId="7470" xr:uid="{00000000-0005-0000-0000-00005C1D0000}"/>
    <cellStyle name="Percent 9 6 3" xfId="7471" xr:uid="{00000000-0005-0000-0000-00005D1D0000}"/>
    <cellStyle name="Percent 9 6 3 2" xfId="7472" xr:uid="{00000000-0005-0000-0000-00005E1D0000}"/>
    <cellStyle name="Percent 9 6 4" xfId="7473" xr:uid="{00000000-0005-0000-0000-00005F1D0000}"/>
    <cellStyle name="Percent 9 6 5" xfId="7474" xr:uid="{00000000-0005-0000-0000-0000601D0000}"/>
    <cellStyle name="Percent 9 7" xfId="7475" xr:uid="{00000000-0005-0000-0000-0000611D0000}"/>
    <cellStyle name="Percent 9 7 2" xfId="7476" xr:uid="{00000000-0005-0000-0000-0000621D0000}"/>
    <cellStyle name="Percent 9 7 2 2" xfId="7477" xr:uid="{00000000-0005-0000-0000-0000631D0000}"/>
    <cellStyle name="Percent 9 7 3" xfId="7478" xr:uid="{00000000-0005-0000-0000-0000641D0000}"/>
    <cellStyle name="Percent 9 7 3 2" xfId="7479" xr:uid="{00000000-0005-0000-0000-0000651D0000}"/>
    <cellStyle name="Percent 9 7 4" xfId="7480" xr:uid="{00000000-0005-0000-0000-0000661D0000}"/>
    <cellStyle name="Percent 9 7 4 2" xfId="7481" xr:uid="{00000000-0005-0000-0000-0000671D0000}"/>
    <cellStyle name="Percent 9 7 5" xfId="7482" xr:uid="{00000000-0005-0000-0000-0000681D0000}"/>
    <cellStyle name="Percent 9 7 5 2" xfId="7483" xr:uid="{00000000-0005-0000-0000-0000691D0000}"/>
    <cellStyle name="Percent 9 7 6" xfId="7484" xr:uid="{00000000-0005-0000-0000-00006A1D0000}"/>
    <cellStyle name="Percent 9 7 7" xfId="7485" xr:uid="{00000000-0005-0000-0000-00006B1D0000}"/>
    <cellStyle name="Percent 9 8" xfId="7486" xr:uid="{00000000-0005-0000-0000-00006C1D0000}"/>
    <cellStyle name="Percent 9 8 2" xfId="7487" xr:uid="{00000000-0005-0000-0000-00006D1D0000}"/>
    <cellStyle name="Percent 9 8 2 2" xfId="7488" xr:uid="{00000000-0005-0000-0000-00006E1D0000}"/>
    <cellStyle name="Percent 9 8 3" xfId="7489" xr:uid="{00000000-0005-0000-0000-00006F1D0000}"/>
    <cellStyle name="Percent 9 8 3 2" xfId="7490" xr:uid="{00000000-0005-0000-0000-0000701D0000}"/>
    <cellStyle name="Percent 9 8 4" xfId="7491" xr:uid="{00000000-0005-0000-0000-0000711D0000}"/>
    <cellStyle name="Percent 9 8 5" xfId="7492" xr:uid="{00000000-0005-0000-0000-0000721D0000}"/>
    <cellStyle name="Percent 9 9" xfId="7493" xr:uid="{00000000-0005-0000-0000-0000731D0000}"/>
    <cellStyle name="Percent 9 9 2" xfId="7494" xr:uid="{00000000-0005-0000-0000-0000741D0000}"/>
    <cellStyle name="Percentagem 2 2" xfId="7495" xr:uid="{00000000-0005-0000-0000-0000751D0000}"/>
    <cellStyle name="Percentagem 2 2 2" xfId="7496" xr:uid="{00000000-0005-0000-0000-0000761D0000}"/>
    <cellStyle name="Percentagem 2 3" xfId="7497" xr:uid="{00000000-0005-0000-0000-0000771D0000}"/>
    <cellStyle name="Percentagem 2 3 2" xfId="7498" xr:uid="{00000000-0005-0000-0000-0000781D0000}"/>
    <cellStyle name="Pilkku_Layo9704" xfId="7499" xr:uid="{00000000-0005-0000-0000-0000791D0000}"/>
    <cellStyle name="Pyör. luku_Layo9704" xfId="7500" xr:uid="{00000000-0005-0000-0000-00007A1D0000}"/>
    <cellStyle name="Pyör. valuutta_Layo9704" xfId="7501" xr:uid="{00000000-0005-0000-0000-00007B1D0000}"/>
    <cellStyle name="Rossz" xfId="7502" xr:uid="{00000000-0005-0000-0000-00007C1D0000}"/>
    <cellStyle name="Schlecht" xfId="7503" xr:uid="{00000000-0005-0000-0000-00007D1D0000}"/>
    <cellStyle name="Schlecht 2" xfId="7504" xr:uid="{00000000-0005-0000-0000-00007E1D0000}"/>
    <cellStyle name="Semleges" xfId="7505" xr:uid="{00000000-0005-0000-0000-00007F1D0000}"/>
    <cellStyle name="Shade" xfId="7506" xr:uid="{00000000-0005-0000-0000-0000801D0000}"/>
    <cellStyle name="Shade 2" xfId="7507" xr:uid="{00000000-0005-0000-0000-0000811D0000}"/>
    <cellStyle name="source" xfId="7508" xr:uid="{00000000-0005-0000-0000-0000821D0000}"/>
    <cellStyle name="source 2" xfId="7509" xr:uid="{00000000-0005-0000-0000-0000831D0000}"/>
    <cellStyle name="source 2 2" xfId="7510" xr:uid="{00000000-0005-0000-0000-0000841D0000}"/>
    <cellStyle name="source 2 2 2" xfId="7511" xr:uid="{00000000-0005-0000-0000-0000851D0000}"/>
    <cellStyle name="source 3" xfId="7512" xr:uid="{00000000-0005-0000-0000-0000861D0000}"/>
    <cellStyle name="source 4" xfId="7513" xr:uid="{00000000-0005-0000-0000-0000871D0000}"/>
    <cellStyle name="source 4 2" xfId="7514" xr:uid="{00000000-0005-0000-0000-0000881D0000}"/>
    <cellStyle name="Standaard_Blad1" xfId="7515" xr:uid="{00000000-0005-0000-0000-0000891D0000}"/>
    <cellStyle name="Standard 2" xfId="7516" xr:uid="{00000000-0005-0000-0000-00008A1D0000}"/>
    <cellStyle name="Standard 2 2" xfId="7517" xr:uid="{00000000-0005-0000-0000-00008B1D0000}"/>
    <cellStyle name="Standard 3" xfId="7518" xr:uid="{00000000-0005-0000-0000-00008C1D0000}"/>
    <cellStyle name="Standard 3 2" xfId="7519" xr:uid="{00000000-0005-0000-0000-00008D1D0000}"/>
    <cellStyle name="Standard_Sce_D_Extraction" xfId="7520" xr:uid="{00000000-0005-0000-0000-00008E1D0000}"/>
    <cellStyle name="Style 1" xfId="7521" xr:uid="{00000000-0005-0000-0000-00008F1D0000}"/>
    <cellStyle name="Style 1 2" xfId="7522" xr:uid="{00000000-0005-0000-0000-0000901D0000}"/>
    <cellStyle name="Style 103" xfId="7523" xr:uid="{00000000-0005-0000-0000-0000911D0000}"/>
    <cellStyle name="Style 103 2" xfId="7524" xr:uid="{00000000-0005-0000-0000-0000921D0000}"/>
    <cellStyle name="Style 103 2 2" xfId="7525" xr:uid="{00000000-0005-0000-0000-0000931D0000}"/>
    <cellStyle name="Style 103 3" xfId="7526" xr:uid="{00000000-0005-0000-0000-0000941D0000}"/>
    <cellStyle name="Style 103 3 2" xfId="7527" xr:uid="{00000000-0005-0000-0000-0000951D0000}"/>
    <cellStyle name="Style 103 4" xfId="7528" xr:uid="{00000000-0005-0000-0000-0000961D0000}"/>
    <cellStyle name="Style 104" xfId="7529" xr:uid="{00000000-0005-0000-0000-0000971D0000}"/>
    <cellStyle name="Style 104 2" xfId="7530" xr:uid="{00000000-0005-0000-0000-0000981D0000}"/>
    <cellStyle name="Style 104 2 2" xfId="7531" xr:uid="{00000000-0005-0000-0000-0000991D0000}"/>
    <cellStyle name="Style 104 3" xfId="7532" xr:uid="{00000000-0005-0000-0000-00009A1D0000}"/>
    <cellStyle name="Style 104 3 2" xfId="7533" xr:uid="{00000000-0005-0000-0000-00009B1D0000}"/>
    <cellStyle name="Style 104 4" xfId="7534" xr:uid="{00000000-0005-0000-0000-00009C1D0000}"/>
    <cellStyle name="Style 105" xfId="7535" xr:uid="{00000000-0005-0000-0000-00009D1D0000}"/>
    <cellStyle name="Style 105 2" xfId="7536" xr:uid="{00000000-0005-0000-0000-00009E1D0000}"/>
    <cellStyle name="Style 105 2 2" xfId="7537" xr:uid="{00000000-0005-0000-0000-00009F1D0000}"/>
    <cellStyle name="Style 105 3" xfId="7538" xr:uid="{00000000-0005-0000-0000-0000A01D0000}"/>
    <cellStyle name="Style 106" xfId="7539" xr:uid="{00000000-0005-0000-0000-0000A11D0000}"/>
    <cellStyle name="Style 106 2" xfId="7540" xr:uid="{00000000-0005-0000-0000-0000A21D0000}"/>
    <cellStyle name="Style 106 2 2" xfId="7541" xr:uid="{00000000-0005-0000-0000-0000A31D0000}"/>
    <cellStyle name="Style 106 3" xfId="7542" xr:uid="{00000000-0005-0000-0000-0000A41D0000}"/>
    <cellStyle name="Style 107" xfId="7543" xr:uid="{00000000-0005-0000-0000-0000A51D0000}"/>
    <cellStyle name="Style 107 2" xfId="7544" xr:uid="{00000000-0005-0000-0000-0000A61D0000}"/>
    <cellStyle name="Style 107 2 2" xfId="7545" xr:uid="{00000000-0005-0000-0000-0000A71D0000}"/>
    <cellStyle name="Style 107 3" xfId="7546" xr:uid="{00000000-0005-0000-0000-0000A81D0000}"/>
    <cellStyle name="Style 108" xfId="7547" xr:uid="{00000000-0005-0000-0000-0000A91D0000}"/>
    <cellStyle name="Style 108 2" xfId="7548" xr:uid="{00000000-0005-0000-0000-0000AA1D0000}"/>
    <cellStyle name="Style 108 2 2" xfId="7549" xr:uid="{00000000-0005-0000-0000-0000AB1D0000}"/>
    <cellStyle name="Style 108 3" xfId="7550" xr:uid="{00000000-0005-0000-0000-0000AC1D0000}"/>
    <cellStyle name="Style 108 3 2" xfId="7551" xr:uid="{00000000-0005-0000-0000-0000AD1D0000}"/>
    <cellStyle name="Style 108 4" xfId="7552" xr:uid="{00000000-0005-0000-0000-0000AE1D0000}"/>
    <cellStyle name="Style 109" xfId="7553" xr:uid="{00000000-0005-0000-0000-0000AF1D0000}"/>
    <cellStyle name="Style 109 2" xfId="7554" xr:uid="{00000000-0005-0000-0000-0000B01D0000}"/>
    <cellStyle name="Style 109 2 2" xfId="7555" xr:uid="{00000000-0005-0000-0000-0000B11D0000}"/>
    <cellStyle name="Style 109 3" xfId="7556" xr:uid="{00000000-0005-0000-0000-0000B21D0000}"/>
    <cellStyle name="Style 110" xfId="7557" xr:uid="{00000000-0005-0000-0000-0000B31D0000}"/>
    <cellStyle name="Style 110 2" xfId="7558" xr:uid="{00000000-0005-0000-0000-0000B41D0000}"/>
    <cellStyle name="Style 110 2 2" xfId="7559" xr:uid="{00000000-0005-0000-0000-0000B51D0000}"/>
    <cellStyle name="Style 110 3" xfId="7560" xr:uid="{00000000-0005-0000-0000-0000B61D0000}"/>
    <cellStyle name="Style 114" xfId="7561" xr:uid="{00000000-0005-0000-0000-0000B71D0000}"/>
    <cellStyle name="Style 114 2" xfId="7562" xr:uid="{00000000-0005-0000-0000-0000B81D0000}"/>
    <cellStyle name="Style 114 2 2" xfId="7563" xr:uid="{00000000-0005-0000-0000-0000B91D0000}"/>
    <cellStyle name="Style 114 3" xfId="7564" xr:uid="{00000000-0005-0000-0000-0000BA1D0000}"/>
    <cellStyle name="Style 114 3 2" xfId="7565" xr:uid="{00000000-0005-0000-0000-0000BB1D0000}"/>
    <cellStyle name="Style 114 4" xfId="7566" xr:uid="{00000000-0005-0000-0000-0000BC1D0000}"/>
    <cellStyle name="Style 115" xfId="7567" xr:uid="{00000000-0005-0000-0000-0000BD1D0000}"/>
    <cellStyle name="Style 115 2" xfId="7568" xr:uid="{00000000-0005-0000-0000-0000BE1D0000}"/>
    <cellStyle name="Style 115 2 2" xfId="7569" xr:uid="{00000000-0005-0000-0000-0000BF1D0000}"/>
    <cellStyle name="Style 115 3" xfId="7570" xr:uid="{00000000-0005-0000-0000-0000C01D0000}"/>
    <cellStyle name="Style 115 3 2" xfId="7571" xr:uid="{00000000-0005-0000-0000-0000C11D0000}"/>
    <cellStyle name="Style 115 4" xfId="7572" xr:uid="{00000000-0005-0000-0000-0000C21D0000}"/>
    <cellStyle name="Style 116" xfId="7573" xr:uid="{00000000-0005-0000-0000-0000C31D0000}"/>
    <cellStyle name="Style 116 2" xfId="7574" xr:uid="{00000000-0005-0000-0000-0000C41D0000}"/>
    <cellStyle name="Style 116 2 2" xfId="7575" xr:uid="{00000000-0005-0000-0000-0000C51D0000}"/>
    <cellStyle name="Style 116 3" xfId="7576" xr:uid="{00000000-0005-0000-0000-0000C61D0000}"/>
    <cellStyle name="Style 117" xfId="7577" xr:uid="{00000000-0005-0000-0000-0000C71D0000}"/>
    <cellStyle name="Style 117 2" xfId="7578" xr:uid="{00000000-0005-0000-0000-0000C81D0000}"/>
    <cellStyle name="Style 117 2 2" xfId="7579" xr:uid="{00000000-0005-0000-0000-0000C91D0000}"/>
    <cellStyle name="Style 117 3" xfId="7580" xr:uid="{00000000-0005-0000-0000-0000CA1D0000}"/>
    <cellStyle name="Style 118" xfId="7581" xr:uid="{00000000-0005-0000-0000-0000CB1D0000}"/>
    <cellStyle name="Style 118 2" xfId="7582" xr:uid="{00000000-0005-0000-0000-0000CC1D0000}"/>
    <cellStyle name="Style 118 2 2" xfId="7583" xr:uid="{00000000-0005-0000-0000-0000CD1D0000}"/>
    <cellStyle name="Style 118 3" xfId="7584" xr:uid="{00000000-0005-0000-0000-0000CE1D0000}"/>
    <cellStyle name="Style 119" xfId="7585" xr:uid="{00000000-0005-0000-0000-0000CF1D0000}"/>
    <cellStyle name="Style 119 2" xfId="7586" xr:uid="{00000000-0005-0000-0000-0000D01D0000}"/>
    <cellStyle name="Style 119 2 2" xfId="7587" xr:uid="{00000000-0005-0000-0000-0000D11D0000}"/>
    <cellStyle name="Style 119 3" xfId="7588" xr:uid="{00000000-0005-0000-0000-0000D21D0000}"/>
    <cellStyle name="Style 119 3 2" xfId="7589" xr:uid="{00000000-0005-0000-0000-0000D31D0000}"/>
    <cellStyle name="Style 119 4" xfId="7590" xr:uid="{00000000-0005-0000-0000-0000D41D0000}"/>
    <cellStyle name="Style 120" xfId="7591" xr:uid="{00000000-0005-0000-0000-0000D51D0000}"/>
    <cellStyle name="Style 120 2" xfId="7592" xr:uid="{00000000-0005-0000-0000-0000D61D0000}"/>
    <cellStyle name="Style 120 2 2" xfId="7593" xr:uid="{00000000-0005-0000-0000-0000D71D0000}"/>
    <cellStyle name="Style 120 3" xfId="7594" xr:uid="{00000000-0005-0000-0000-0000D81D0000}"/>
    <cellStyle name="Style 121" xfId="7595" xr:uid="{00000000-0005-0000-0000-0000D91D0000}"/>
    <cellStyle name="Style 121 2" xfId="7596" xr:uid="{00000000-0005-0000-0000-0000DA1D0000}"/>
    <cellStyle name="Style 121 2 2" xfId="7597" xr:uid="{00000000-0005-0000-0000-0000DB1D0000}"/>
    <cellStyle name="Style 121 3" xfId="7598" xr:uid="{00000000-0005-0000-0000-0000DC1D0000}"/>
    <cellStyle name="Style 126" xfId="7599" xr:uid="{00000000-0005-0000-0000-0000DD1D0000}"/>
    <cellStyle name="Style 126 2" xfId="7600" xr:uid="{00000000-0005-0000-0000-0000DE1D0000}"/>
    <cellStyle name="Style 126 2 2" xfId="7601" xr:uid="{00000000-0005-0000-0000-0000DF1D0000}"/>
    <cellStyle name="Style 126 3" xfId="7602" xr:uid="{00000000-0005-0000-0000-0000E01D0000}"/>
    <cellStyle name="Style 126 3 2" xfId="7603" xr:uid="{00000000-0005-0000-0000-0000E11D0000}"/>
    <cellStyle name="Style 126 4" xfId="7604" xr:uid="{00000000-0005-0000-0000-0000E21D0000}"/>
    <cellStyle name="Style 127" xfId="7605" xr:uid="{00000000-0005-0000-0000-0000E31D0000}"/>
    <cellStyle name="Style 127 2" xfId="7606" xr:uid="{00000000-0005-0000-0000-0000E41D0000}"/>
    <cellStyle name="Style 127 2 2" xfId="7607" xr:uid="{00000000-0005-0000-0000-0000E51D0000}"/>
    <cellStyle name="Style 127 3" xfId="7608" xr:uid="{00000000-0005-0000-0000-0000E61D0000}"/>
    <cellStyle name="Style 128" xfId="7609" xr:uid="{00000000-0005-0000-0000-0000E71D0000}"/>
    <cellStyle name="Style 128 2" xfId="7610" xr:uid="{00000000-0005-0000-0000-0000E81D0000}"/>
    <cellStyle name="Style 128 2 2" xfId="7611" xr:uid="{00000000-0005-0000-0000-0000E91D0000}"/>
    <cellStyle name="Style 128 3" xfId="7612" xr:uid="{00000000-0005-0000-0000-0000EA1D0000}"/>
    <cellStyle name="Style 129" xfId="7613" xr:uid="{00000000-0005-0000-0000-0000EB1D0000}"/>
    <cellStyle name="Style 129 2" xfId="7614" xr:uid="{00000000-0005-0000-0000-0000EC1D0000}"/>
    <cellStyle name="Style 129 2 2" xfId="7615" xr:uid="{00000000-0005-0000-0000-0000ED1D0000}"/>
    <cellStyle name="Style 129 3" xfId="7616" xr:uid="{00000000-0005-0000-0000-0000EE1D0000}"/>
    <cellStyle name="Style 130" xfId="7617" xr:uid="{00000000-0005-0000-0000-0000EF1D0000}"/>
    <cellStyle name="Style 130 2" xfId="7618" xr:uid="{00000000-0005-0000-0000-0000F01D0000}"/>
    <cellStyle name="Style 130 2 2" xfId="7619" xr:uid="{00000000-0005-0000-0000-0000F11D0000}"/>
    <cellStyle name="Style 130 3" xfId="7620" xr:uid="{00000000-0005-0000-0000-0000F21D0000}"/>
    <cellStyle name="Style 130 3 2" xfId="7621" xr:uid="{00000000-0005-0000-0000-0000F31D0000}"/>
    <cellStyle name="Style 130 4" xfId="7622" xr:uid="{00000000-0005-0000-0000-0000F41D0000}"/>
    <cellStyle name="Style 131" xfId="7623" xr:uid="{00000000-0005-0000-0000-0000F51D0000}"/>
    <cellStyle name="Style 131 2" xfId="7624" xr:uid="{00000000-0005-0000-0000-0000F61D0000}"/>
    <cellStyle name="Style 131 2 2" xfId="7625" xr:uid="{00000000-0005-0000-0000-0000F71D0000}"/>
    <cellStyle name="Style 131 3" xfId="7626" xr:uid="{00000000-0005-0000-0000-0000F81D0000}"/>
    <cellStyle name="Style 132" xfId="7627" xr:uid="{00000000-0005-0000-0000-0000F91D0000}"/>
    <cellStyle name="Style 132 2" xfId="7628" xr:uid="{00000000-0005-0000-0000-0000FA1D0000}"/>
    <cellStyle name="Style 132 2 2" xfId="7629" xr:uid="{00000000-0005-0000-0000-0000FB1D0000}"/>
    <cellStyle name="Style 132 3" xfId="7630" xr:uid="{00000000-0005-0000-0000-0000FC1D0000}"/>
    <cellStyle name="Style 137" xfId="7631" xr:uid="{00000000-0005-0000-0000-0000FD1D0000}"/>
    <cellStyle name="Style 137 2" xfId="7632" xr:uid="{00000000-0005-0000-0000-0000FE1D0000}"/>
    <cellStyle name="Style 137 2 2" xfId="7633" xr:uid="{00000000-0005-0000-0000-0000FF1D0000}"/>
    <cellStyle name="Style 137 3" xfId="7634" xr:uid="{00000000-0005-0000-0000-0000001E0000}"/>
    <cellStyle name="Style 137 3 2" xfId="7635" xr:uid="{00000000-0005-0000-0000-0000011E0000}"/>
    <cellStyle name="Style 137 4" xfId="7636" xr:uid="{00000000-0005-0000-0000-0000021E0000}"/>
    <cellStyle name="Style 138" xfId="7637" xr:uid="{00000000-0005-0000-0000-0000031E0000}"/>
    <cellStyle name="Style 138 2" xfId="7638" xr:uid="{00000000-0005-0000-0000-0000041E0000}"/>
    <cellStyle name="Style 138 2 2" xfId="7639" xr:uid="{00000000-0005-0000-0000-0000051E0000}"/>
    <cellStyle name="Style 138 3" xfId="7640" xr:uid="{00000000-0005-0000-0000-0000061E0000}"/>
    <cellStyle name="Style 139" xfId="7641" xr:uid="{00000000-0005-0000-0000-0000071E0000}"/>
    <cellStyle name="Style 139 2" xfId="7642" xr:uid="{00000000-0005-0000-0000-0000081E0000}"/>
    <cellStyle name="Style 139 2 2" xfId="7643" xr:uid="{00000000-0005-0000-0000-0000091E0000}"/>
    <cellStyle name="Style 139 3" xfId="7644" xr:uid="{00000000-0005-0000-0000-00000A1E0000}"/>
    <cellStyle name="Style 140" xfId="7645" xr:uid="{00000000-0005-0000-0000-00000B1E0000}"/>
    <cellStyle name="Style 140 2" xfId="7646" xr:uid="{00000000-0005-0000-0000-00000C1E0000}"/>
    <cellStyle name="Style 140 2 2" xfId="7647" xr:uid="{00000000-0005-0000-0000-00000D1E0000}"/>
    <cellStyle name="Style 140 3" xfId="7648" xr:uid="{00000000-0005-0000-0000-00000E1E0000}"/>
    <cellStyle name="Style 141" xfId="7649" xr:uid="{00000000-0005-0000-0000-00000F1E0000}"/>
    <cellStyle name="Style 141 2" xfId="7650" xr:uid="{00000000-0005-0000-0000-0000101E0000}"/>
    <cellStyle name="Style 141 2 2" xfId="7651" xr:uid="{00000000-0005-0000-0000-0000111E0000}"/>
    <cellStyle name="Style 141 3" xfId="7652" xr:uid="{00000000-0005-0000-0000-0000121E0000}"/>
    <cellStyle name="Style 141 3 2" xfId="7653" xr:uid="{00000000-0005-0000-0000-0000131E0000}"/>
    <cellStyle name="Style 141 4" xfId="7654" xr:uid="{00000000-0005-0000-0000-0000141E0000}"/>
    <cellStyle name="Style 142" xfId="7655" xr:uid="{00000000-0005-0000-0000-0000151E0000}"/>
    <cellStyle name="Style 142 2" xfId="7656" xr:uid="{00000000-0005-0000-0000-0000161E0000}"/>
    <cellStyle name="Style 142 2 2" xfId="7657" xr:uid="{00000000-0005-0000-0000-0000171E0000}"/>
    <cellStyle name="Style 142 3" xfId="7658" xr:uid="{00000000-0005-0000-0000-0000181E0000}"/>
    <cellStyle name="Style 143" xfId="7659" xr:uid="{00000000-0005-0000-0000-0000191E0000}"/>
    <cellStyle name="Style 143 2" xfId="7660" xr:uid="{00000000-0005-0000-0000-00001A1E0000}"/>
    <cellStyle name="Style 143 2 2" xfId="7661" xr:uid="{00000000-0005-0000-0000-00001B1E0000}"/>
    <cellStyle name="Style 143 3" xfId="7662" xr:uid="{00000000-0005-0000-0000-00001C1E0000}"/>
    <cellStyle name="Style 148" xfId="7663" xr:uid="{00000000-0005-0000-0000-00001D1E0000}"/>
    <cellStyle name="Style 148 2" xfId="7664" xr:uid="{00000000-0005-0000-0000-00001E1E0000}"/>
    <cellStyle name="Style 148 2 2" xfId="7665" xr:uid="{00000000-0005-0000-0000-00001F1E0000}"/>
    <cellStyle name="Style 148 3" xfId="7666" xr:uid="{00000000-0005-0000-0000-0000201E0000}"/>
    <cellStyle name="Style 148 3 2" xfId="7667" xr:uid="{00000000-0005-0000-0000-0000211E0000}"/>
    <cellStyle name="Style 148 4" xfId="7668" xr:uid="{00000000-0005-0000-0000-0000221E0000}"/>
    <cellStyle name="Style 149" xfId="7669" xr:uid="{00000000-0005-0000-0000-0000231E0000}"/>
    <cellStyle name="Style 149 2" xfId="7670" xr:uid="{00000000-0005-0000-0000-0000241E0000}"/>
    <cellStyle name="Style 149 2 2" xfId="7671" xr:uid="{00000000-0005-0000-0000-0000251E0000}"/>
    <cellStyle name="Style 149 3" xfId="7672" xr:uid="{00000000-0005-0000-0000-0000261E0000}"/>
    <cellStyle name="Style 150" xfId="7673" xr:uid="{00000000-0005-0000-0000-0000271E0000}"/>
    <cellStyle name="Style 150 2" xfId="7674" xr:uid="{00000000-0005-0000-0000-0000281E0000}"/>
    <cellStyle name="Style 150 2 2" xfId="7675" xr:uid="{00000000-0005-0000-0000-0000291E0000}"/>
    <cellStyle name="Style 150 3" xfId="7676" xr:uid="{00000000-0005-0000-0000-00002A1E0000}"/>
    <cellStyle name="Style 151" xfId="7677" xr:uid="{00000000-0005-0000-0000-00002B1E0000}"/>
    <cellStyle name="Style 151 2" xfId="7678" xr:uid="{00000000-0005-0000-0000-00002C1E0000}"/>
    <cellStyle name="Style 151 2 2" xfId="7679" xr:uid="{00000000-0005-0000-0000-00002D1E0000}"/>
    <cellStyle name="Style 151 3" xfId="7680" xr:uid="{00000000-0005-0000-0000-00002E1E0000}"/>
    <cellStyle name="Style 152" xfId="7681" xr:uid="{00000000-0005-0000-0000-00002F1E0000}"/>
    <cellStyle name="Style 152 2" xfId="7682" xr:uid="{00000000-0005-0000-0000-0000301E0000}"/>
    <cellStyle name="Style 152 2 2" xfId="7683" xr:uid="{00000000-0005-0000-0000-0000311E0000}"/>
    <cellStyle name="Style 152 3" xfId="7684" xr:uid="{00000000-0005-0000-0000-0000321E0000}"/>
    <cellStyle name="Style 152 3 2" xfId="7685" xr:uid="{00000000-0005-0000-0000-0000331E0000}"/>
    <cellStyle name="Style 152 4" xfId="7686" xr:uid="{00000000-0005-0000-0000-0000341E0000}"/>
    <cellStyle name="Style 153" xfId="7687" xr:uid="{00000000-0005-0000-0000-0000351E0000}"/>
    <cellStyle name="Style 153 2" xfId="7688" xr:uid="{00000000-0005-0000-0000-0000361E0000}"/>
    <cellStyle name="Style 153 2 2" xfId="7689" xr:uid="{00000000-0005-0000-0000-0000371E0000}"/>
    <cellStyle name="Style 153 3" xfId="7690" xr:uid="{00000000-0005-0000-0000-0000381E0000}"/>
    <cellStyle name="Style 154" xfId="7691" xr:uid="{00000000-0005-0000-0000-0000391E0000}"/>
    <cellStyle name="Style 154 2" xfId="7692" xr:uid="{00000000-0005-0000-0000-00003A1E0000}"/>
    <cellStyle name="Style 154 2 2" xfId="7693" xr:uid="{00000000-0005-0000-0000-00003B1E0000}"/>
    <cellStyle name="Style 154 3" xfId="7694" xr:uid="{00000000-0005-0000-0000-00003C1E0000}"/>
    <cellStyle name="Style 159" xfId="7695" xr:uid="{00000000-0005-0000-0000-00003D1E0000}"/>
    <cellStyle name="Style 159 2" xfId="7696" xr:uid="{00000000-0005-0000-0000-00003E1E0000}"/>
    <cellStyle name="Style 159 2 2" xfId="7697" xr:uid="{00000000-0005-0000-0000-00003F1E0000}"/>
    <cellStyle name="Style 159 3" xfId="7698" xr:uid="{00000000-0005-0000-0000-0000401E0000}"/>
    <cellStyle name="Style 159 3 2" xfId="7699" xr:uid="{00000000-0005-0000-0000-0000411E0000}"/>
    <cellStyle name="Style 159 4" xfId="7700" xr:uid="{00000000-0005-0000-0000-0000421E0000}"/>
    <cellStyle name="Style 160" xfId="7701" xr:uid="{00000000-0005-0000-0000-0000431E0000}"/>
    <cellStyle name="Style 160 2" xfId="7702" xr:uid="{00000000-0005-0000-0000-0000441E0000}"/>
    <cellStyle name="Style 160 2 2" xfId="7703" xr:uid="{00000000-0005-0000-0000-0000451E0000}"/>
    <cellStyle name="Style 160 3" xfId="7704" xr:uid="{00000000-0005-0000-0000-0000461E0000}"/>
    <cellStyle name="Style 161" xfId="7705" xr:uid="{00000000-0005-0000-0000-0000471E0000}"/>
    <cellStyle name="Style 161 2" xfId="7706" xr:uid="{00000000-0005-0000-0000-0000481E0000}"/>
    <cellStyle name="Style 161 2 2" xfId="7707" xr:uid="{00000000-0005-0000-0000-0000491E0000}"/>
    <cellStyle name="Style 161 3" xfId="7708" xr:uid="{00000000-0005-0000-0000-00004A1E0000}"/>
    <cellStyle name="Style 162" xfId="7709" xr:uid="{00000000-0005-0000-0000-00004B1E0000}"/>
    <cellStyle name="Style 162 2" xfId="7710" xr:uid="{00000000-0005-0000-0000-00004C1E0000}"/>
    <cellStyle name="Style 162 2 2" xfId="7711" xr:uid="{00000000-0005-0000-0000-00004D1E0000}"/>
    <cellStyle name="Style 162 3" xfId="7712" xr:uid="{00000000-0005-0000-0000-00004E1E0000}"/>
    <cellStyle name="Style 163" xfId="7713" xr:uid="{00000000-0005-0000-0000-00004F1E0000}"/>
    <cellStyle name="Style 163 2" xfId="7714" xr:uid="{00000000-0005-0000-0000-0000501E0000}"/>
    <cellStyle name="Style 163 2 2" xfId="7715" xr:uid="{00000000-0005-0000-0000-0000511E0000}"/>
    <cellStyle name="Style 163 3" xfId="7716" xr:uid="{00000000-0005-0000-0000-0000521E0000}"/>
    <cellStyle name="Style 163 3 2" xfId="7717" xr:uid="{00000000-0005-0000-0000-0000531E0000}"/>
    <cellStyle name="Style 163 4" xfId="7718" xr:uid="{00000000-0005-0000-0000-0000541E0000}"/>
    <cellStyle name="Style 164" xfId="7719" xr:uid="{00000000-0005-0000-0000-0000551E0000}"/>
    <cellStyle name="Style 164 2" xfId="7720" xr:uid="{00000000-0005-0000-0000-0000561E0000}"/>
    <cellStyle name="Style 164 2 2" xfId="7721" xr:uid="{00000000-0005-0000-0000-0000571E0000}"/>
    <cellStyle name="Style 164 3" xfId="7722" xr:uid="{00000000-0005-0000-0000-0000581E0000}"/>
    <cellStyle name="Style 165" xfId="7723" xr:uid="{00000000-0005-0000-0000-0000591E0000}"/>
    <cellStyle name="Style 165 2" xfId="7724" xr:uid="{00000000-0005-0000-0000-00005A1E0000}"/>
    <cellStyle name="Style 165 2 2" xfId="7725" xr:uid="{00000000-0005-0000-0000-00005B1E0000}"/>
    <cellStyle name="Style 165 3" xfId="7726" xr:uid="{00000000-0005-0000-0000-00005C1E0000}"/>
    <cellStyle name="Style 21" xfId="7727" xr:uid="{00000000-0005-0000-0000-00005D1E0000}"/>
    <cellStyle name="Style 21 2" xfId="7728" xr:uid="{00000000-0005-0000-0000-00005E1E0000}"/>
    <cellStyle name="Style 21 2 2" xfId="7729" xr:uid="{00000000-0005-0000-0000-00005F1E0000}"/>
    <cellStyle name="Style 21 2 2 2" xfId="7730" xr:uid="{00000000-0005-0000-0000-0000601E0000}"/>
    <cellStyle name="Style 21 2 3" xfId="7731" xr:uid="{00000000-0005-0000-0000-0000611E0000}"/>
    <cellStyle name="Style 21 2 3 2" xfId="7732" xr:uid="{00000000-0005-0000-0000-0000621E0000}"/>
    <cellStyle name="Style 21 2 4" xfId="7733" xr:uid="{00000000-0005-0000-0000-0000631E0000}"/>
    <cellStyle name="Style 21 2 4 2" xfId="7734" xr:uid="{00000000-0005-0000-0000-0000641E0000}"/>
    <cellStyle name="Style 21 3" xfId="7735" xr:uid="{00000000-0005-0000-0000-0000651E0000}"/>
    <cellStyle name="Style 21 3 2" xfId="7736" xr:uid="{00000000-0005-0000-0000-0000661E0000}"/>
    <cellStyle name="Style 21 3 2 2" xfId="7737" xr:uid="{00000000-0005-0000-0000-0000671E0000}"/>
    <cellStyle name="Style 21 3 3" xfId="7738" xr:uid="{00000000-0005-0000-0000-0000681E0000}"/>
    <cellStyle name="Style 21 3 3 2" xfId="7739" xr:uid="{00000000-0005-0000-0000-0000691E0000}"/>
    <cellStyle name="Style 21 3 4" xfId="7740" xr:uid="{00000000-0005-0000-0000-00006A1E0000}"/>
    <cellStyle name="Style 21 4" xfId="7741" xr:uid="{00000000-0005-0000-0000-00006B1E0000}"/>
    <cellStyle name="Style 21 4 2" xfId="7742" xr:uid="{00000000-0005-0000-0000-00006C1E0000}"/>
    <cellStyle name="Style 21 5" xfId="7743" xr:uid="{00000000-0005-0000-0000-00006D1E0000}"/>
    <cellStyle name="Style 21 5 2" xfId="7744" xr:uid="{00000000-0005-0000-0000-00006E1E0000}"/>
    <cellStyle name="Style 21 6" xfId="7745" xr:uid="{00000000-0005-0000-0000-00006F1E0000}"/>
    <cellStyle name="Style 21 6 2" xfId="7746" xr:uid="{00000000-0005-0000-0000-0000701E0000}"/>
    <cellStyle name="Style 22" xfId="7747" xr:uid="{00000000-0005-0000-0000-0000711E0000}"/>
    <cellStyle name="Style 22 2" xfId="7748" xr:uid="{00000000-0005-0000-0000-0000721E0000}"/>
    <cellStyle name="Style 22 2 2" xfId="7749" xr:uid="{00000000-0005-0000-0000-0000731E0000}"/>
    <cellStyle name="Style 22 3" xfId="7750" xr:uid="{00000000-0005-0000-0000-0000741E0000}"/>
    <cellStyle name="Style 22 3 2" xfId="7751" xr:uid="{00000000-0005-0000-0000-0000751E0000}"/>
    <cellStyle name="Style 22 4" xfId="7752" xr:uid="{00000000-0005-0000-0000-0000761E0000}"/>
    <cellStyle name="Style 22 4 2" xfId="7753" xr:uid="{00000000-0005-0000-0000-0000771E0000}"/>
    <cellStyle name="Style 23" xfId="7754" xr:uid="{00000000-0005-0000-0000-0000781E0000}"/>
    <cellStyle name="Style 23 2" xfId="7755" xr:uid="{00000000-0005-0000-0000-0000791E0000}"/>
    <cellStyle name="Style 23 2 2" xfId="7756" xr:uid="{00000000-0005-0000-0000-00007A1E0000}"/>
    <cellStyle name="Style 23 3" xfId="7757" xr:uid="{00000000-0005-0000-0000-00007B1E0000}"/>
    <cellStyle name="Style 23 3 2" xfId="7758" xr:uid="{00000000-0005-0000-0000-00007C1E0000}"/>
    <cellStyle name="Style 23 4" xfId="7759" xr:uid="{00000000-0005-0000-0000-00007D1E0000}"/>
    <cellStyle name="Style 23 4 2" xfId="7760" xr:uid="{00000000-0005-0000-0000-00007E1E0000}"/>
    <cellStyle name="Style 24" xfId="7761" xr:uid="{00000000-0005-0000-0000-00007F1E0000}"/>
    <cellStyle name="Style 24 2" xfId="7762" xr:uid="{00000000-0005-0000-0000-0000801E0000}"/>
    <cellStyle name="Style 24 2 2" xfId="7763" xr:uid="{00000000-0005-0000-0000-0000811E0000}"/>
    <cellStyle name="Style 24 3" xfId="7764" xr:uid="{00000000-0005-0000-0000-0000821E0000}"/>
    <cellStyle name="Style 24 3 2" xfId="7765" xr:uid="{00000000-0005-0000-0000-0000831E0000}"/>
    <cellStyle name="Style 24 4" xfId="7766" xr:uid="{00000000-0005-0000-0000-0000841E0000}"/>
    <cellStyle name="Style 24 4 2" xfId="7767" xr:uid="{00000000-0005-0000-0000-0000851E0000}"/>
    <cellStyle name="Style 25" xfId="7768" xr:uid="{00000000-0005-0000-0000-0000861E0000}"/>
    <cellStyle name="Style 25 2" xfId="7769" xr:uid="{00000000-0005-0000-0000-0000871E0000}"/>
    <cellStyle name="Style 25 2 2" xfId="7770" xr:uid="{00000000-0005-0000-0000-0000881E0000}"/>
    <cellStyle name="Style 25 2 2 2" xfId="7771" xr:uid="{00000000-0005-0000-0000-0000891E0000}"/>
    <cellStyle name="Style 25 2 3" xfId="7772" xr:uid="{00000000-0005-0000-0000-00008A1E0000}"/>
    <cellStyle name="Style 25 2 3 2" xfId="7773" xr:uid="{00000000-0005-0000-0000-00008B1E0000}"/>
    <cellStyle name="Style 25 3" xfId="7774" xr:uid="{00000000-0005-0000-0000-00008C1E0000}"/>
    <cellStyle name="Style 25 3 2" xfId="7775" xr:uid="{00000000-0005-0000-0000-00008D1E0000}"/>
    <cellStyle name="Style 25 3 2 2" xfId="7776" xr:uid="{00000000-0005-0000-0000-00008E1E0000}"/>
    <cellStyle name="Style 25 3 3" xfId="7777" xr:uid="{00000000-0005-0000-0000-00008F1E0000}"/>
    <cellStyle name="Style 25 3 3 2" xfId="7778" xr:uid="{00000000-0005-0000-0000-0000901E0000}"/>
    <cellStyle name="Style 25 3 4" xfId="7779" xr:uid="{00000000-0005-0000-0000-0000911E0000}"/>
    <cellStyle name="Style 25 4" xfId="7780" xr:uid="{00000000-0005-0000-0000-0000921E0000}"/>
    <cellStyle name="Style 25 4 2" xfId="7781" xr:uid="{00000000-0005-0000-0000-0000931E0000}"/>
    <cellStyle name="Style 25 5" xfId="7782" xr:uid="{00000000-0005-0000-0000-0000941E0000}"/>
    <cellStyle name="Style 25 5 2" xfId="7783" xr:uid="{00000000-0005-0000-0000-0000951E0000}"/>
    <cellStyle name="Style 26" xfId="7784" xr:uid="{00000000-0005-0000-0000-0000961E0000}"/>
    <cellStyle name="Style 26 2" xfId="7785" xr:uid="{00000000-0005-0000-0000-0000971E0000}"/>
    <cellStyle name="Style 26 2 2" xfId="7786" xr:uid="{00000000-0005-0000-0000-0000981E0000}"/>
    <cellStyle name="Style 26 3" xfId="7787" xr:uid="{00000000-0005-0000-0000-0000991E0000}"/>
    <cellStyle name="Style 26 3 2" xfId="7788" xr:uid="{00000000-0005-0000-0000-00009A1E0000}"/>
    <cellStyle name="Style 26 4" xfId="7789" xr:uid="{00000000-0005-0000-0000-00009B1E0000}"/>
    <cellStyle name="Style 26 4 2" xfId="7790" xr:uid="{00000000-0005-0000-0000-00009C1E0000}"/>
    <cellStyle name="Style 27" xfId="7791" xr:uid="{00000000-0005-0000-0000-00009D1E0000}"/>
    <cellStyle name="Style 27 2" xfId="7792" xr:uid="{00000000-0005-0000-0000-00009E1E0000}"/>
    <cellStyle name="Style 27 2 2" xfId="7793" xr:uid="{00000000-0005-0000-0000-00009F1E0000}"/>
    <cellStyle name="Style 27 3" xfId="7794" xr:uid="{00000000-0005-0000-0000-0000A01E0000}"/>
    <cellStyle name="Style 35" xfId="7795" xr:uid="{00000000-0005-0000-0000-0000A11E0000}"/>
    <cellStyle name="Style 35 2" xfId="7796" xr:uid="{00000000-0005-0000-0000-0000A21E0000}"/>
    <cellStyle name="Style 35 2 2" xfId="7797" xr:uid="{00000000-0005-0000-0000-0000A31E0000}"/>
    <cellStyle name="Style 35 3" xfId="7798" xr:uid="{00000000-0005-0000-0000-0000A41E0000}"/>
    <cellStyle name="Style 35 3 2" xfId="7799" xr:uid="{00000000-0005-0000-0000-0000A51E0000}"/>
    <cellStyle name="Style 35 4" xfId="7800" xr:uid="{00000000-0005-0000-0000-0000A61E0000}"/>
    <cellStyle name="Style 36" xfId="7801" xr:uid="{00000000-0005-0000-0000-0000A71E0000}"/>
    <cellStyle name="Style 36 2" xfId="7802" xr:uid="{00000000-0005-0000-0000-0000A81E0000}"/>
    <cellStyle name="Style 36 2 2" xfId="7803" xr:uid="{00000000-0005-0000-0000-0000A91E0000}"/>
    <cellStyle name="Style 36 3" xfId="7804" xr:uid="{00000000-0005-0000-0000-0000AA1E0000}"/>
    <cellStyle name="Style 37" xfId="7805" xr:uid="{00000000-0005-0000-0000-0000AB1E0000}"/>
    <cellStyle name="Style 37 2" xfId="7806" xr:uid="{00000000-0005-0000-0000-0000AC1E0000}"/>
    <cellStyle name="Style 37 2 2" xfId="7807" xr:uid="{00000000-0005-0000-0000-0000AD1E0000}"/>
    <cellStyle name="Style 37 3" xfId="7808" xr:uid="{00000000-0005-0000-0000-0000AE1E0000}"/>
    <cellStyle name="Style 38" xfId="7809" xr:uid="{00000000-0005-0000-0000-0000AF1E0000}"/>
    <cellStyle name="Style 38 2" xfId="7810" xr:uid="{00000000-0005-0000-0000-0000B01E0000}"/>
    <cellStyle name="Style 38 2 2" xfId="7811" xr:uid="{00000000-0005-0000-0000-0000B11E0000}"/>
    <cellStyle name="Style 38 3" xfId="7812" xr:uid="{00000000-0005-0000-0000-0000B21E0000}"/>
    <cellStyle name="Style 39" xfId="7813" xr:uid="{00000000-0005-0000-0000-0000B31E0000}"/>
    <cellStyle name="Style 39 2" xfId="7814" xr:uid="{00000000-0005-0000-0000-0000B41E0000}"/>
    <cellStyle name="Style 39 2 2" xfId="7815" xr:uid="{00000000-0005-0000-0000-0000B51E0000}"/>
    <cellStyle name="Style 39 3" xfId="7816" xr:uid="{00000000-0005-0000-0000-0000B61E0000}"/>
    <cellStyle name="Style 39 3 2" xfId="7817" xr:uid="{00000000-0005-0000-0000-0000B71E0000}"/>
    <cellStyle name="Style 39 4" xfId="7818" xr:uid="{00000000-0005-0000-0000-0000B81E0000}"/>
    <cellStyle name="Style 40" xfId="7819" xr:uid="{00000000-0005-0000-0000-0000B91E0000}"/>
    <cellStyle name="Style 40 2" xfId="7820" xr:uid="{00000000-0005-0000-0000-0000BA1E0000}"/>
    <cellStyle name="Style 40 2 2" xfId="7821" xr:uid="{00000000-0005-0000-0000-0000BB1E0000}"/>
    <cellStyle name="Style 40 3" xfId="7822" xr:uid="{00000000-0005-0000-0000-0000BC1E0000}"/>
    <cellStyle name="Style 41" xfId="7823" xr:uid="{00000000-0005-0000-0000-0000BD1E0000}"/>
    <cellStyle name="Style 41 2" xfId="7824" xr:uid="{00000000-0005-0000-0000-0000BE1E0000}"/>
    <cellStyle name="Style 41 2 2" xfId="7825" xr:uid="{00000000-0005-0000-0000-0000BF1E0000}"/>
    <cellStyle name="Style 41 3" xfId="7826" xr:uid="{00000000-0005-0000-0000-0000C01E0000}"/>
    <cellStyle name="Style 46" xfId="7827" xr:uid="{00000000-0005-0000-0000-0000C11E0000}"/>
    <cellStyle name="Style 46 2" xfId="7828" xr:uid="{00000000-0005-0000-0000-0000C21E0000}"/>
    <cellStyle name="Style 46 2 2" xfId="7829" xr:uid="{00000000-0005-0000-0000-0000C31E0000}"/>
    <cellStyle name="Style 46 3" xfId="7830" xr:uid="{00000000-0005-0000-0000-0000C41E0000}"/>
    <cellStyle name="Style 46 3 2" xfId="7831" xr:uid="{00000000-0005-0000-0000-0000C51E0000}"/>
    <cellStyle name="Style 46 4" xfId="7832" xr:uid="{00000000-0005-0000-0000-0000C61E0000}"/>
    <cellStyle name="Style 47" xfId="7833" xr:uid="{00000000-0005-0000-0000-0000C71E0000}"/>
    <cellStyle name="Style 47 2" xfId="7834" xr:uid="{00000000-0005-0000-0000-0000C81E0000}"/>
    <cellStyle name="Style 47 2 2" xfId="7835" xr:uid="{00000000-0005-0000-0000-0000C91E0000}"/>
    <cellStyle name="Style 47 3" xfId="7836" xr:uid="{00000000-0005-0000-0000-0000CA1E0000}"/>
    <cellStyle name="Style 48" xfId="7837" xr:uid="{00000000-0005-0000-0000-0000CB1E0000}"/>
    <cellStyle name="Style 48 2" xfId="7838" xr:uid="{00000000-0005-0000-0000-0000CC1E0000}"/>
    <cellStyle name="Style 48 2 2" xfId="7839" xr:uid="{00000000-0005-0000-0000-0000CD1E0000}"/>
    <cellStyle name="Style 48 3" xfId="7840" xr:uid="{00000000-0005-0000-0000-0000CE1E0000}"/>
    <cellStyle name="Style 49" xfId="7841" xr:uid="{00000000-0005-0000-0000-0000CF1E0000}"/>
    <cellStyle name="Style 49 2" xfId="7842" xr:uid="{00000000-0005-0000-0000-0000D01E0000}"/>
    <cellStyle name="Style 49 2 2" xfId="7843" xr:uid="{00000000-0005-0000-0000-0000D11E0000}"/>
    <cellStyle name="Style 49 3" xfId="7844" xr:uid="{00000000-0005-0000-0000-0000D21E0000}"/>
    <cellStyle name="Style 50" xfId="7845" xr:uid="{00000000-0005-0000-0000-0000D31E0000}"/>
    <cellStyle name="Style 50 2" xfId="7846" xr:uid="{00000000-0005-0000-0000-0000D41E0000}"/>
    <cellStyle name="Style 50 2 2" xfId="7847" xr:uid="{00000000-0005-0000-0000-0000D51E0000}"/>
    <cellStyle name="Style 50 3" xfId="7848" xr:uid="{00000000-0005-0000-0000-0000D61E0000}"/>
    <cellStyle name="Style 50 3 2" xfId="7849" xr:uid="{00000000-0005-0000-0000-0000D71E0000}"/>
    <cellStyle name="Style 50 4" xfId="7850" xr:uid="{00000000-0005-0000-0000-0000D81E0000}"/>
    <cellStyle name="Style 51" xfId="7851" xr:uid="{00000000-0005-0000-0000-0000D91E0000}"/>
    <cellStyle name="Style 51 2" xfId="7852" xr:uid="{00000000-0005-0000-0000-0000DA1E0000}"/>
    <cellStyle name="Style 51 2 2" xfId="7853" xr:uid="{00000000-0005-0000-0000-0000DB1E0000}"/>
    <cellStyle name="Style 51 3" xfId="7854" xr:uid="{00000000-0005-0000-0000-0000DC1E0000}"/>
    <cellStyle name="Style 52" xfId="7855" xr:uid="{00000000-0005-0000-0000-0000DD1E0000}"/>
    <cellStyle name="Style 52 2" xfId="7856" xr:uid="{00000000-0005-0000-0000-0000DE1E0000}"/>
    <cellStyle name="Style 52 2 2" xfId="7857" xr:uid="{00000000-0005-0000-0000-0000DF1E0000}"/>
    <cellStyle name="Style 52 3" xfId="7858" xr:uid="{00000000-0005-0000-0000-0000E01E0000}"/>
    <cellStyle name="Style 58" xfId="7859" xr:uid="{00000000-0005-0000-0000-0000E11E0000}"/>
    <cellStyle name="Style 58 2" xfId="7860" xr:uid="{00000000-0005-0000-0000-0000E21E0000}"/>
    <cellStyle name="Style 58 2 2" xfId="7861" xr:uid="{00000000-0005-0000-0000-0000E31E0000}"/>
    <cellStyle name="Style 58 3" xfId="7862" xr:uid="{00000000-0005-0000-0000-0000E41E0000}"/>
    <cellStyle name="Style 58 3 2" xfId="7863" xr:uid="{00000000-0005-0000-0000-0000E51E0000}"/>
    <cellStyle name="Style 58 4" xfId="7864" xr:uid="{00000000-0005-0000-0000-0000E61E0000}"/>
    <cellStyle name="Style 59" xfId="7865" xr:uid="{00000000-0005-0000-0000-0000E71E0000}"/>
    <cellStyle name="Style 59 2" xfId="7866" xr:uid="{00000000-0005-0000-0000-0000E81E0000}"/>
    <cellStyle name="Style 59 2 2" xfId="7867" xr:uid="{00000000-0005-0000-0000-0000E91E0000}"/>
    <cellStyle name="Style 59 3" xfId="7868" xr:uid="{00000000-0005-0000-0000-0000EA1E0000}"/>
    <cellStyle name="Style 60" xfId="7869" xr:uid="{00000000-0005-0000-0000-0000EB1E0000}"/>
    <cellStyle name="Style 60 2" xfId="7870" xr:uid="{00000000-0005-0000-0000-0000EC1E0000}"/>
    <cellStyle name="Style 60 2 2" xfId="7871" xr:uid="{00000000-0005-0000-0000-0000ED1E0000}"/>
    <cellStyle name="Style 60 3" xfId="7872" xr:uid="{00000000-0005-0000-0000-0000EE1E0000}"/>
    <cellStyle name="Style 61" xfId="7873" xr:uid="{00000000-0005-0000-0000-0000EF1E0000}"/>
    <cellStyle name="Style 61 2" xfId="7874" xr:uid="{00000000-0005-0000-0000-0000F01E0000}"/>
    <cellStyle name="Style 61 2 2" xfId="7875" xr:uid="{00000000-0005-0000-0000-0000F11E0000}"/>
    <cellStyle name="Style 61 3" xfId="7876" xr:uid="{00000000-0005-0000-0000-0000F21E0000}"/>
    <cellStyle name="Style 62" xfId="7877" xr:uid="{00000000-0005-0000-0000-0000F31E0000}"/>
    <cellStyle name="Style 62 2" xfId="7878" xr:uid="{00000000-0005-0000-0000-0000F41E0000}"/>
    <cellStyle name="Style 62 2 2" xfId="7879" xr:uid="{00000000-0005-0000-0000-0000F51E0000}"/>
    <cellStyle name="Style 62 3" xfId="7880" xr:uid="{00000000-0005-0000-0000-0000F61E0000}"/>
    <cellStyle name="Style 62 3 2" xfId="7881" xr:uid="{00000000-0005-0000-0000-0000F71E0000}"/>
    <cellStyle name="Style 62 4" xfId="7882" xr:uid="{00000000-0005-0000-0000-0000F81E0000}"/>
    <cellStyle name="Style 63" xfId="7883" xr:uid="{00000000-0005-0000-0000-0000F91E0000}"/>
    <cellStyle name="Style 63 2" xfId="7884" xr:uid="{00000000-0005-0000-0000-0000FA1E0000}"/>
    <cellStyle name="Style 63 2 2" xfId="7885" xr:uid="{00000000-0005-0000-0000-0000FB1E0000}"/>
    <cellStyle name="Style 63 3" xfId="7886" xr:uid="{00000000-0005-0000-0000-0000FC1E0000}"/>
    <cellStyle name="Style 64" xfId="7887" xr:uid="{00000000-0005-0000-0000-0000FD1E0000}"/>
    <cellStyle name="Style 64 2" xfId="7888" xr:uid="{00000000-0005-0000-0000-0000FE1E0000}"/>
    <cellStyle name="Style 64 2 2" xfId="7889" xr:uid="{00000000-0005-0000-0000-0000FF1E0000}"/>
    <cellStyle name="Style 64 3" xfId="7890" xr:uid="{00000000-0005-0000-0000-0000001F0000}"/>
    <cellStyle name="Style 69" xfId="7891" xr:uid="{00000000-0005-0000-0000-0000011F0000}"/>
    <cellStyle name="Style 69 2" xfId="7892" xr:uid="{00000000-0005-0000-0000-0000021F0000}"/>
    <cellStyle name="Style 69 2 2" xfId="7893" xr:uid="{00000000-0005-0000-0000-0000031F0000}"/>
    <cellStyle name="Style 69 3" xfId="7894" xr:uid="{00000000-0005-0000-0000-0000041F0000}"/>
    <cellStyle name="Style 69 3 2" xfId="7895" xr:uid="{00000000-0005-0000-0000-0000051F0000}"/>
    <cellStyle name="Style 69 4" xfId="7896" xr:uid="{00000000-0005-0000-0000-0000061F0000}"/>
    <cellStyle name="Style 70" xfId="7897" xr:uid="{00000000-0005-0000-0000-0000071F0000}"/>
    <cellStyle name="Style 70 2" xfId="7898" xr:uid="{00000000-0005-0000-0000-0000081F0000}"/>
    <cellStyle name="Style 70 2 2" xfId="7899" xr:uid="{00000000-0005-0000-0000-0000091F0000}"/>
    <cellStyle name="Style 70 3" xfId="7900" xr:uid="{00000000-0005-0000-0000-00000A1F0000}"/>
    <cellStyle name="Style 71" xfId="7901" xr:uid="{00000000-0005-0000-0000-00000B1F0000}"/>
    <cellStyle name="Style 71 2" xfId="7902" xr:uid="{00000000-0005-0000-0000-00000C1F0000}"/>
    <cellStyle name="Style 71 2 2" xfId="7903" xr:uid="{00000000-0005-0000-0000-00000D1F0000}"/>
    <cellStyle name="Style 71 3" xfId="7904" xr:uid="{00000000-0005-0000-0000-00000E1F0000}"/>
    <cellStyle name="Style 72" xfId="7905" xr:uid="{00000000-0005-0000-0000-00000F1F0000}"/>
    <cellStyle name="Style 72 2" xfId="7906" xr:uid="{00000000-0005-0000-0000-0000101F0000}"/>
    <cellStyle name="Style 72 2 2" xfId="7907" xr:uid="{00000000-0005-0000-0000-0000111F0000}"/>
    <cellStyle name="Style 72 3" xfId="7908" xr:uid="{00000000-0005-0000-0000-0000121F0000}"/>
    <cellStyle name="Style 73" xfId="7909" xr:uid="{00000000-0005-0000-0000-0000131F0000}"/>
    <cellStyle name="Style 73 2" xfId="7910" xr:uid="{00000000-0005-0000-0000-0000141F0000}"/>
    <cellStyle name="Style 73 2 2" xfId="7911" xr:uid="{00000000-0005-0000-0000-0000151F0000}"/>
    <cellStyle name="Style 73 3" xfId="7912" xr:uid="{00000000-0005-0000-0000-0000161F0000}"/>
    <cellStyle name="Style 73 3 2" xfId="7913" xr:uid="{00000000-0005-0000-0000-0000171F0000}"/>
    <cellStyle name="Style 73 4" xfId="7914" xr:uid="{00000000-0005-0000-0000-0000181F0000}"/>
    <cellStyle name="Style 74" xfId="7915" xr:uid="{00000000-0005-0000-0000-0000191F0000}"/>
    <cellStyle name="Style 74 2" xfId="7916" xr:uid="{00000000-0005-0000-0000-00001A1F0000}"/>
    <cellStyle name="Style 74 2 2" xfId="7917" xr:uid="{00000000-0005-0000-0000-00001B1F0000}"/>
    <cellStyle name="Style 74 3" xfId="7918" xr:uid="{00000000-0005-0000-0000-00001C1F0000}"/>
    <cellStyle name="Style 75" xfId="7919" xr:uid="{00000000-0005-0000-0000-00001D1F0000}"/>
    <cellStyle name="Style 75 2" xfId="7920" xr:uid="{00000000-0005-0000-0000-00001E1F0000}"/>
    <cellStyle name="Style 75 2 2" xfId="7921" xr:uid="{00000000-0005-0000-0000-00001F1F0000}"/>
    <cellStyle name="Style 75 3" xfId="7922" xr:uid="{00000000-0005-0000-0000-0000201F0000}"/>
    <cellStyle name="Style 80" xfId="7923" xr:uid="{00000000-0005-0000-0000-0000211F0000}"/>
    <cellStyle name="Style 80 2" xfId="7924" xr:uid="{00000000-0005-0000-0000-0000221F0000}"/>
    <cellStyle name="Style 80 2 2" xfId="7925" xr:uid="{00000000-0005-0000-0000-0000231F0000}"/>
    <cellStyle name="Style 80 3" xfId="7926" xr:uid="{00000000-0005-0000-0000-0000241F0000}"/>
    <cellStyle name="Style 80 3 2" xfId="7927" xr:uid="{00000000-0005-0000-0000-0000251F0000}"/>
    <cellStyle name="Style 80 4" xfId="7928" xr:uid="{00000000-0005-0000-0000-0000261F0000}"/>
    <cellStyle name="Style 81" xfId="7929" xr:uid="{00000000-0005-0000-0000-0000271F0000}"/>
    <cellStyle name="Style 81 2" xfId="7930" xr:uid="{00000000-0005-0000-0000-0000281F0000}"/>
    <cellStyle name="Style 81 2 2" xfId="7931" xr:uid="{00000000-0005-0000-0000-0000291F0000}"/>
    <cellStyle name="Style 81 3" xfId="7932" xr:uid="{00000000-0005-0000-0000-00002A1F0000}"/>
    <cellStyle name="Style 81 3 2" xfId="7933" xr:uid="{00000000-0005-0000-0000-00002B1F0000}"/>
    <cellStyle name="Style 81 4" xfId="7934" xr:uid="{00000000-0005-0000-0000-00002C1F0000}"/>
    <cellStyle name="Style 82" xfId="7935" xr:uid="{00000000-0005-0000-0000-00002D1F0000}"/>
    <cellStyle name="Style 82 2" xfId="7936" xr:uid="{00000000-0005-0000-0000-00002E1F0000}"/>
    <cellStyle name="Style 82 2 2" xfId="7937" xr:uid="{00000000-0005-0000-0000-00002F1F0000}"/>
    <cellStyle name="Style 82 3" xfId="7938" xr:uid="{00000000-0005-0000-0000-0000301F0000}"/>
    <cellStyle name="Style 83" xfId="7939" xr:uid="{00000000-0005-0000-0000-0000311F0000}"/>
    <cellStyle name="Style 83 2" xfId="7940" xr:uid="{00000000-0005-0000-0000-0000321F0000}"/>
    <cellStyle name="Style 83 2 2" xfId="7941" xr:uid="{00000000-0005-0000-0000-0000331F0000}"/>
    <cellStyle name="Style 83 3" xfId="7942" xr:uid="{00000000-0005-0000-0000-0000341F0000}"/>
    <cellStyle name="Style 84" xfId="7943" xr:uid="{00000000-0005-0000-0000-0000351F0000}"/>
    <cellStyle name="Style 84 2" xfId="7944" xr:uid="{00000000-0005-0000-0000-0000361F0000}"/>
    <cellStyle name="Style 84 2 2" xfId="7945" xr:uid="{00000000-0005-0000-0000-0000371F0000}"/>
    <cellStyle name="Style 84 3" xfId="7946" xr:uid="{00000000-0005-0000-0000-0000381F0000}"/>
    <cellStyle name="Style 85" xfId="7947" xr:uid="{00000000-0005-0000-0000-0000391F0000}"/>
    <cellStyle name="Style 85 2" xfId="7948" xr:uid="{00000000-0005-0000-0000-00003A1F0000}"/>
    <cellStyle name="Style 85 2 2" xfId="7949" xr:uid="{00000000-0005-0000-0000-00003B1F0000}"/>
    <cellStyle name="Style 85 3" xfId="7950" xr:uid="{00000000-0005-0000-0000-00003C1F0000}"/>
    <cellStyle name="Style 85 3 2" xfId="7951" xr:uid="{00000000-0005-0000-0000-00003D1F0000}"/>
    <cellStyle name="Style 85 4" xfId="7952" xr:uid="{00000000-0005-0000-0000-00003E1F0000}"/>
    <cellStyle name="Style 86" xfId="7953" xr:uid="{00000000-0005-0000-0000-00003F1F0000}"/>
    <cellStyle name="Style 86 2" xfId="7954" xr:uid="{00000000-0005-0000-0000-0000401F0000}"/>
    <cellStyle name="Style 86 2 2" xfId="7955" xr:uid="{00000000-0005-0000-0000-0000411F0000}"/>
    <cellStyle name="Style 86 3" xfId="7956" xr:uid="{00000000-0005-0000-0000-0000421F0000}"/>
    <cellStyle name="Style 87" xfId="7957" xr:uid="{00000000-0005-0000-0000-0000431F0000}"/>
    <cellStyle name="Style 87 2" xfId="7958" xr:uid="{00000000-0005-0000-0000-0000441F0000}"/>
    <cellStyle name="Style 87 2 2" xfId="7959" xr:uid="{00000000-0005-0000-0000-0000451F0000}"/>
    <cellStyle name="Style 87 3" xfId="7960" xr:uid="{00000000-0005-0000-0000-0000461F0000}"/>
    <cellStyle name="Style 93" xfId="7961" xr:uid="{00000000-0005-0000-0000-0000471F0000}"/>
    <cellStyle name="Style 93 2" xfId="7962" xr:uid="{00000000-0005-0000-0000-0000481F0000}"/>
    <cellStyle name="Style 93 2 2" xfId="7963" xr:uid="{00000000-0005-0000-0000-0000491F0000}"/>
    <cellStyle name="Style 93 3" xfId="7964" xr:uid="{00000000-0005-0000-0000-00004A1F0000}"/>
    <cellStyle name="Style 93 3 2" xfId="7965" xr:uid="{00000000-0005-0000-0000-00004B1F0000}"/>
    <cellStyle name="Style 93 4" xfId="7966" xr:uid="{00000000-0005-0000-0000-00004C1F0000}"/>
    <cellStyle name="Style 94" xfId="7967" xr:uid="{00000000-0005-0000-0000-00004D1F0000}"/>
    <cellStyle name="Style 94 2" xfId="7968" xr:uid="{00000000-0005-0000-0000-00004E1F0000}"/>
    <cellStyle name="Style 94 2 2" xfId="7969" xr:uid="{00000000-0005-0000-0000-00004F1F0000}"/>
    <cellStyle name="Style 94 3" xfId="7970" xr:uid="{00000000-0005-0000-0000-0000501F0000}"/>
    <cellStyle name="Style 95" xfId="7971" xr:uid="{00000000-0005-0000-0000-0000511F0000}"/>
    <cellStyle name="Style 95 2" xfId="7972" xr:uid="{00000000-0005-0000-0000-0000521F0000}"/>
    <cellStyle name="Style 95 2 2" xfId="7973" xr:uid="{00000000-0005-0000-0000-0000531F0000}"/>
    <cellStyle name="Style 95 3" xfId="7974" xr:uid="{00000000-0005-0000-0000-0000541F0000}"/>
    <cellStyle name="Style 96" xfId="7975" xr:uid="{00000000-0005-0000-0000-0000551F0000}"/>
    <cellStyle name="Style 96 2" xfId="7976" xr:uid="{00000000-0005-0000-0000-0000561F0000}"/>
    <cellStyle name="Style 96 2 2" xfId="7977" xr:uid="{00000000-0005-0000-0000-0000571F0000}"/>
    <cellStyle name="Style 96 3" xfId="7978" xr:uid="{00000000-0005-0000-0000-0000581F0000}"/>
    <cellStyle name="Style 97" xfId="7979" xr:uid="{00000000-0005-0000-0000-0000591F0000}"/>
    <cellStyle name="Style 97 2" xfId="7980" xr:uid="{00000000-0005-0000-0000-00005A1F0000}"/>
    <cellStyle name="Style 97 2 2" xfId="7981" xr:uid="{00000000-0005-0000-0000-00005B1F0000}"/>
    <cellStyle name="Style 97 3" xfId="7982" xr:uid="{00000000-0005-0000-0000-00005C1F0000}"/>
    <cellStyle name="Style 97 3 2" xfId="7983" xr:uid="{00000000-0005-0000-0000-00005D1F0000}"/>
    <cellStyle name="Style 97 4" xfId="7984" xr:uid="{00000000-0005-0000-0000-00005E1F0000}"/>
    <cellStyle name="Style 98" xfId="7985" xr:uid="{00000000-0005-0000-0000-00005F1F0000}"/>
    <cellStyle name="Style 98 2" xfId="7986" xr:uid="{00000000-0005-0000-0000-0000601F0000}"/>
    <cellStyle name="Style 98 2 2" xfId="7987" xr:uid="{00000000-0005-0000-0000-0000611F0000}"/>
    <cellStyle name="Style 98 3" xfId="7988" xr:uid="{00000000-0005-0000-0000-0000621F0000}"/>
    <cellStyle name="Style 99" xfId="7989" xr:uid="{00000000-0005-0000-0000-0000631F0000}"/>
    <cellStyle name="Style 99 2" xfId="7990" xr:uid="{00000000-0005-0000-0000-0000641F0000}"/>
    <cellStyle name="Style 99 2 2" xfId="7991" xr:uid="{00000000-0005-0000-0000-0000651F0000}"/>
    <cellStyle name="Style 99 3" xfId="7992" xr:uid="{00000000-0005-0000-0000-0000661F0000}"/>
    <cellStyle name="Számítás" xfId="7993" xr:uid="{00000000-0005-0000-0000-0000671F0000}"/>
    <cellStyle name="tableau | cellule | normal | decimal 1" xfId="7994" xr:uid="{00000000-0005-0000-0000-0000681F0000}"/>
    <cellStyle name="tableau | cellule | normal | decimal 1 2" xfId="7995" xr:uid="{00000000-0005-0000-0000-0000691F0000}"/>
    <cellStyle name="tableau | cellule | normal | decimal 1 2 2" xfId="7996" xr:uid="{00000000-0005-0000-0000-00006A1F0000}"/>
    <cellStyle name="tableau | cellule | normal | pourcentage | decimal 1" xfId="7997" xr:uid="{00000000-0005-0000-0000-00006B1F0000}"/>
    <cellStyle name="tableau | cellule | normal | pourcentage | decimal 1 2" xfId="7998" xr:uid="{00000000-0005-0000-0000-00006C1F0000}"/>
    <cellStyle name="tableau | cellule | normal | pourcentage | decimal 1 2 2" xfId="7999" xr:uid="{00000000-0005-0000-0000-00006D1F0000}"/>
    <cellStyle name="tableau | cellule | total | decimal 1" xfId="8000" xr:uid="{00000000-0005-0000-0000-00006E1F0000}"/>
    <cellStyle name="tableau | cellule | total | decimal 1 2" xfId="8001" xr:uid="{00000000-0005-0000-0000-00006F1F0000}"/>
    <cellStyle name="tableau | cellule | total | decimal 1 2 2" xfId="8002" xr:uid="{00000000-0005-0000-0000-0000701F0000}"/>
    <cellStyle name="tableau | coin superieur gauche" xfId="8003" xr:uid="{00000000-0005-0000-0000-0000711F0000}"/>
    <cellStyle name="tableau | coin superieur gauche 2" xfId="8004" xr:uid="{00000000-0005-0000-0000-0000721F0000}"/>
    <cellStyle name="tableau | coin superieur gauche 2 2" xfId="8005" xr:uid="{00000000-0005-0000-0000-0000731F0000}"/>
    <cellStyle name="tableau | entete-colonne | series" xfId="8006" xr:uid="{00000000-0005-0000-0000-0000741F0000}"/>
    <cellStyle name="tableau | entete-colonne | series 2" xfId="8007" xr:uid="{00000000-0005-0000-0000-0000751F0000}"/>
    <cellStyle name="tableau | entete-colonne | series 2 2" xfId="8008" xr:uid="{00000000-0005-0000-0000-0000761F0000}"/>
    <cellStyle name="tableau | entete-ligne | normal" xfId="8009" xr:uid="{00000000-0005-0000-0000-0000771F0000}"/>
    <cellStyle name="tableau | entete-ligne | normal 2" xfId="8010" xr:uid="{00000000-0005-0000-0000-0000781F0000}"/>
    <cellStyle name="tableau | entete-ligne | normal 2 2" xfId="8011" xr:uid="{00000000-0005-0000-0000-0000791F0000}"/>
    <cellStyle name="tableau | entete-ligne | total" xfId="8012" xr:uid="{00000000-0005-0000-0000-00007A1F0000}"/>
    <cellStyle name="tableau | entete-ligne | total 2" xfId="8013" xr:uid="{00000000-0005-0000-0000-00007B1F0000}"/>
    <cellStyle name="tableau | entete-ligne | total 2 2" xfId="8014" xr:uid="{00000000-0005-0000-0000-00007C1F0000}"/>
    <cellStyle name="tableau | ligne-titre | niveau1" xfId="8015" xr:uid="{00000000-0005-0000-0000-00007D1F0000}"/>
    <cellStyle name="tableau | ligne-titre | niveau1 2" xfId="8016" xr:uid="{00000000-0005-0000-0000-00007E1F0000}"/>
    <cellStyle name="tableau | ligne-titre | niveau1 2 2" xfId="8017" xr:uid="{00000000-0005-0000-0000-00007F1F0000}"/>
    <cellStyle name="tableau | ligne-titre | niveau2" xfId="8018" xr:uid="{00000000-0005-0000-0000-0000801F0000}"/>
    <cellStyle name="tableau | ligne-titre | niveau2 2" xfId="8019" xr:uid="{00000000-0005-0000-0000-0000811F0000}"/>
    <cellStyle name="tableau | ligne-titre | niveau2 2 2" xfId="8020" xr:uid="{00000000-0005-0000-0000-0000821F0000}"/>
    <cellStyle name="Title 10" xfId="8021" xr:uid="{00000000-0005-0000-0000-0000831F0000}"/>
    <cellStyle name="Title 10 2" xfId="8022" xr:uid="{00000000-0005-0000-0000-0000841F0000}"/>
    <cellStyle name="Title 11" xfId="8023" xr:uid="{00000000-0005-0000-0000-0000851F0000}"/>
    <cellStyle name="Title 11 2" xfId="8024" xr:uid="{00000000-0005-0000-0000-0000861F0000}"/>
    <cellStyle name="Title 12" xfId="8025" xr:uid="{00000000-0005-0000-0000-0000871F0000}"/>
    <cellStyle name="Title 12 2" xfId="8026" xr:uid="{00000000-0005-0000-0000-0000881F0000}"/>
    <cellStyle name="Title 13" xfId="8027" xr:uid="{00000000-0005-0000-0000-0000891F0000}"/>
    <cellStyle name="Title 13 2" xfId="8028" xr:uid="{00000000-0005-0000-0000-00008A1F0000}"/>
    <cellStyle name="Title 14" xfId="8029" xr:uid="{00000000-0005-0000-0000-00008B1F0000}"/>
    <cellStyle name="Title 14 2" xfId="8030" xr:uid="{00000000-0005-0000-0000-00008C1F0000}"/>
    <cellStyle name="Title 15" xfId="8031" xr:uid="{00000000-0005-0000-0000-00008D1F0000}"/>
    <cellStyle name="Title 15 2" xfId="8032" xr:uid="{00000000-0005-0000-0000-00008E1F0000}"/>
    <cellStyle name="Title 16" xfId="8033" xr:uid="{00000000-0005-0000-0000-00008F1F0000}"/>
    <cellStyle name="Title 16 2" xfId="8034" xr:uid="{00000000-0005-0000-0000-0000901F0000}"/>
    <cellStyle name="Title 17" xfId="8035" xr:uid="{00000000-0005-0000-0000-0000911F0000}"/>
    <cellStyle name="Title 17 2" xfId="8036" xr:uid="{00000000-0005-0000-0000-0000921F0000}"/>
    <cellStyle name="Title 18" xfId="8037" xr:uid="{00000000-0005-0000-0000-0000931F0000}"/>
    <cellStyle name="Title 18 2" xfId="8038" xr:uid="{00000000-0005-0000-0000-0000941F0000}"/>
    <cellStyle name="Title 19" xfId="8039" xr:uid="{00000000-0005-0000-0000-0000951F0000}"/>
    <cellStyle name="Title 19 2" xfId="8040" xr:uid="{00000000-0005-0000-0000-0000961F0000}"/>
    <cellStyle name="Title 2" xfId="8041" xr:uid="{00000000-0005-0000-0000-0000971F0000}"/>
    <cellStyle name="Title 2 10" xfId="8042" xr:uid="{00000000-0005-0000-0000-0000981F0000}"/>
    <cellStyle name="Title 2 10 2" xfId="8043" xr:uid="{00000000-0005-0000-0000-0000991F0000}"/>
    <cellStyle name="Title 2 10 3" xfId="8044" xr:uid="{00000000-0005-0000-0000-00009A1F0000}"/>
    <cellStyle name="Title 2 11" xfId="8045" xr:uid="{00000000-0005-0000-0000-00009B1F0000}"/>
    <cellStyle name="Title 2 11 2" xfId="8046" xr:uid="{00000000-0005-0000-0000-00009C1F0000}"/>
    <cellStyle name="Title 2 2" xfId="8047" xr:uid="{00000000-0005-0000-0000-00009D1F0000}"/>
    <cellStyle name="Title 2 2 2" xfId="8048" xr:uid="{00000000-0005-0000-0000-00009E1F0000}"/>
    <cellStyle name="Title 2 2 2 2" xfId="8049" xr:uid="{00000000-0005-0000-0000-00009F1F0000}"/>
    <cellStyle name="Title 2 2 3" xfId="8050" xr:uid="{00000000-0005-0000-0000-0000A01F0000}"/>
    <cellStyle name="Title 2 2 4" xfId="8051" xr:uid="{00000000-0005-0000-0000-0000A11F0000}"/>
    <cellStyle name="Title 2 3" xfId="8052" xr:uid="{00000000-0005-0000-0000-0000A21F0000}"/>
    <cellStyle name="Title 2 3 2" xfId="8053" xr:uid="{00000000-0005-0000-0000-0000A31F0000}"/>
    <cellStyle name="Title 2 3 3" xfId="8054" xr:uid="{00000000-0005-0000-0000-0000A41F0000}"/>
    <cellStyle name="Title 2 4" xfId="8055" xr:uid="{00000000-0005-0000-0000-0000A51F0000}"/>
    <cellStyle name="Title 2 4 2" xfId="8056" xr:uid="{00000000-0005-0000-0000-0000A61F0000}"/>
    <cellStyle name="Title 2 4 3" xfId="8057" xr:uid="{00000000-0005-0000-0000-0000A71F0000}"/>
    <cellStyle name="Title 2 5" xfId="8058" xr:uid="{00000000-0005-0000-0000-0000A81F0000}"/>
    <cellStyle name="Title 2 5 2" xfId="8059" xr:uid="{00000000-0005-0000-0000-0000A91F0000}"/>
    <cellStyle name="Title 2 5 3" xfId="8060" xr:uid="{00000000-0005-0000-0000-0000AA1F0000}"/>
    <cellStyle name="Title 2 6" xfId="8061" xr:uid="{00000000-0005-0000-0000-0000AB1F0000}"/>
    <cellStyle name="Title 2 6 2" xfId="8062" xr:uid="{00000000-0005-0000-0000-0000AC1F0000}"/>
    <cellStyle name="Title 2 6 3" xfId="8063" xr:uid="{00000000-0005-0000-0000-0000AD1F0000}"/>
    <cellStyle name="Title 2 7" xfId="8064" xr:uid="{00000000-0005-0000-0000-0000AE1F0000}"/>
    <cellStyle name="Title 2 7 2" xfId="8065" xr:uid="{00000000-0005-0000-0000-0000AF1F0000}"/>
    <cellStyle name="Title 2 7 3" xfId="8066" xr:uid="{00000000-0005-0000-0000-0000B01F0000}"/>
    <cellStyle name="Title 2 8" xfId="8067" xr:uid="{00000000-0005-0000-0000-0000B11F0000}"/>
    <cellStyle name="Title 2 8 2" xfId="8068" xr:uid="{00000000-0005-0000-0000-0000B21F0000}"/>
    <cellStyle name="Title 2 8 3" xfId="8069" xr:uid="{00000000-0005-0000-0000-0000B31F0000}"/>
    <cellStyle name="Title 2 9" xfId="8070" xr:uid="{00000000-0005-0000-0000-0000B41F0000}"/>
    <cellStyle name="Title 2 9 2" xfId="8071" xr:uid="{00000000-0005-0000-0000-0000B51F0000}"/>
    <cellStyle name="Title 2 9 3" xfId="8072" xr:uid="{00000000-0005-0000-0000-0000B61F0000}"/>
    <cellStyle name="Title 20" xfId="8073" xr:uid="{00000000-0005-0000-0000-0000B71F0000}"/>
    <cellStyle name="Title 20 2" xfId="8074" xr:uid="{00000000-0005-0000-0000-0000B81F0000}"/>
    <cellStyle name="Title 21" xfId="8075" xr:uid="{00000000-0005-0000-0000-0000B91F0000}"/>
    <cellStyle name="Title 21 2" xfId="8076" xr:uid="{00000000-0005-0000-0000-0000BA1F0000}"/>
    <cellStyle name="Title 22" xfId="8077" xr:uid="{00000000-0005-0000-0000-0000BB1F0000}"/>
    <cellStyle name="Title 22 2" xfId="8078" xr:uid="{00000000-0005-0000-0000-0000BC1F0000}"/>
    <cellStyle name="Title 23" xfId="8079" xr:uid="{00000000-0005-0000-0000-0000BD1F0000}"/>
    <cellStyle name="Title 23 2" xfId="8080" xr:uid="{00000000-0005-0000-0000-0000BE1F0000}"/>
    <cellStyle name="Title 24" xfId="8081" xr:uid="{00000000-0005-0000-0000-0000BF1F0000}"/>
    <cellStyle name="Title 24 2" xfId="8082" xr:uid="{00000000-0005-0000-0000-0000C01F0000}"/>
    <cellStyle name="Title 25" xfId="8083" xr:uid="{00000000-0005-0000-0000-0000C11F0000}"/>
    <cellStyle name="Title 25 2" xfId="8084" xr:uid="{00000000-0005-0000-0000-0000C21F0000}"/>
    <cellStyle name="Title 26" xfId="8085" xr:uid="{00000000-0005-0000-0000-0000C31F0000}"/>
    <cellStyle name="Title 26 2" xfId="8086" xr:uid="{00000000-0005-0000-0000-0000C41F0000}"/>
    <cellStyle name="Title 27" xfId="8087" xr:uid="{00000000-0005-0000-0000-0000C51F0000}"/>
    <cellStyle name="Title 27 2" xfId="8088" xr:uid="{00000000-0005-0000-0000-0000C61F0000}"/>
    <cellStyle name="Title 28" xfId="8089" xr:uid="{00000000-0005-0000-0000-0000C71F0000}"/>
    <cellStyle name="Title 28 2" xfId="8090" xr:uid="{00000000-0005-0000-0000-0000C81F0000}"/>
    <cellStyle name="Title 29" xfId="8091" xr:uid="{00000000-0005-0000-0000-0000C91F0000}"/>
    <cellStyle name="Title 29 2" xfId="8092" xr:uid="{00000000-0005-0000-0000-0000CA1F0000}"/>
    <cellStyle name="Title 3" xfId="8093" xr:uid="{00000000-0005-0000-0000-0000CB1F0000}"/>
    <cellStyle name="Title 3 2" xfId="8094" xr:uid="{00000000-0005-0000-0000-0000CC1F0000}"/>
    <cellStyle name="Title 3 2 2" xfId="8095" xr:uid="{00000000-0005-0000-0000-0000CD1F0000}"/>
    <cellStyle name="Title 3 2 3" xfId="8096" xr:uid="{00000000-0005-0000-0000-0000CE1F0000}"/>
    <cellStyle name="Title 3 3" xfId="8097" xr:uid="{00000000-0005-0000-0000-0000CF1F0000}"/>
    <cellStyle name="Title 3 3 2" xfId="8098" xr:uid="{00000000-0005-0000-0000-0000D01F0000}"/>
    <cellStyle name="Title 3 4" xfId="8099" xr:uid="{00000000-0005-0000-0000-0000D11F0000}"/>
    <cellStyle name="Title 3 4 2" xfId="8100" xr:uid="{00000000-0005-0000-0000-0000D21F0000}"/>
    <cellStyle name="Title 3 5" xfId="8101" xr:uid="{00000000-0005-0000-0000-0000D31F0000}"/>
    <cellStyle name="Title 3 5 2" xfId="8102" xr:uid="{00000000-0005-0000-0000-0000D41F0000}"/>
    <cellStyle name="Title 3 6" xfId="8103" xr:uid="{00000000-0005-0000-0000-0000D51F0000}"/>
    <cellStyle name="Title 30" xfId="8104" xr:uid="{00000000-0005-0000-0000-0000D61F0000}"/>
    <cellStyle name="Title 30 2" xfId="8105" xr:uid="{00000000-0005-0000-0000-0000D71F0000}"/>
    <cellStyle name="Title 31" xfId="8106" xr:uid="{00000000-0005-0000-0000-0000D81F0000}"/>
    <cellStyle name="Title 31 2" xfId="8107" xr:uid="{00000000-0005-0000-0000-0000D91F0000}"/>
    <cellStyle name="Title 32" xfId="8108" xr:uid="{00000000-0005-0000-0000-0000DA1F0000}"/>
    <cellStyle name="Title 32 2" xfId="8109" xr:uid="{00000000-0005-0000-0000-0000DB1F0000}"/>
    <cellStyle name="Title 33" xfId="8110" xr:uid="{00000000-0005-0000-0000-0000DC1F0000}"/>
    <cellStyle name="Title 33 2" xfId="8111" xr:uid="{00000000-0005-0000-0000-0000DD1F0000}"/>
    <cellStyle name="Title 34" xfId="8112" xr:uid="{00000000-0005-0000-0000-0000DE1F0000}"/>
    <cellStyle name="Title 34 2" xfId="8113" xr:uid="{00000000-0005-0000-0000-0000DF1F0000}"/>
    <cellStyle name="Title 35" xfId="8114" xr:uid="{00000000-0005-0000-0000-0000E01F0000}"/>
    <cellStyle name="Title 35 2" xfId="8115" xr:uid="{00000000-0005-0000-0000-0000E11F0000}"/>
    <cellStyle name="Title 36" xfId="8116" xr:uid="{00000000-0005-0000-0000-0000E21F0000}"/>
    <cellStyle name="Title 36 2" xfId="8117" xr:uid="{00000000-0005-0000-0000-0000E31F0000}"/>
    <cellStyle name="Title 37" xfId="8118" xr:uid="{00000000-0005-0000-0000-0000E41F0000}"/>
    <cellStyle name="Title 37 2" xfId="8119" xr:uid="{00000000-0005-0000-0000-0000E51F0000}"/>
    <cellStyle name="Title 38" xfId="8120" xr:uid="{00000000-0005-0000-0000-0000E61F0000}"/>
    <cellStyle name="Title 38 2" xfId="8121" xr:uid="{00000000-0005-0000-0000-0000E71F0000}"/>
    <cellStyle name="Title 39" xfId="8122" xr:uid="{00000000-0005-0000-0000-0000E81F0000}"/>
    <cellStyle name="Title 39 2" xfId="8123" xr:uid="{00000000-0005-0000-0000-0000E91F0000}"/>
    <cellStyle name="Title 4" xfId="8124" xr:uid="{00000000-0005-0000-0000-0000EA1F0000}"/>
    <cellStyle name="Title 4 2" xfId="8125" xr:uid="{00000000-0005-0000-0000-0000EB1F0000}"/>
    <cellStyle name="Title 4 2 2" xfId="8126" xr:uid="{00000000-0005-0000-0000-0000EC1F0000}"/>
    <cellStyle name="Title 40" xfId="8127" xr:uid="{00000000-0005-0000-0000-0000ED1F0000}"/>
    <cellStyle name="Title 40 2" xfId="8128" xr:uid="{00000000-0005-0000-0000-0000EE1F0000}"/>
    <cellStyle name="Title 41" xfId="8129" xr:uid="{00000000-0005-0000-0000-0000EF1F0000}"/>
    <cellStyle name="Title 41 2" xfId="8130" xr:uid="{00000000-0005-0000-0000-0000F01F0000}"/>
    <cellStyle name="Title 42" xfId="8131" xr:uid="{00000000-0005-0000-0000-0000F11F0000}"/>
    <cellStyle name="Title 42 2" xfId="8132" xr:uid="{00000000-0005-0000-0000-0000F21F0000}"/>
    <cellStyle name="Title 43" xfId="8133" xr:uid="{00000000-0005-0000-0000-0000F31F0000}"/>
    <cellStyle name="Title 43 2" xfId="8134" xr:uid="{00000000-0005-0000-0000-0000F41F0000}"/>
    <cellStyle name="Title 5" xfId="8135" xr:uid="{00000000-0005-0000-0000-0000F51F0000}"/>
    <cellStyle name="Title 5 2" xfId="8136" xr:uid="{00000000-0005-0000-0000-0000F61F0000}"/>
    <cellStyle name="Title 5 2 2" xfId="8137" xr:uid="{00000000-0005-0000-0000-0000F71F0000}"/>
    <cellStyle name="Title 6" xfId="8138" xr:uid="{00000000-0005-0000-0000-0000F81F0000}"/>
    <cellStyle name="Title 6 2" xfId="8139" xr:uid="{00000000-0005-0000-0000-0000F91F0000}"/>
    <cellStyle name="Title 6 2 2" xfId="8140" xr:uid="{00000000-0005-0000-0000-0000FA1F0000}"/>
    <cellStyle name="Title 7" xfId="8141" xr:uid="{00000000-0005-0000-0000-0000FB1F0000}"/>
    <cellStyle name="Title 7 2" xfId="8142" xr:uid="{00000000-0005-0000-0000-0000FC1F0000}"/>
    <cellStyle name="Title 8" xfId="8143" xr:uid="{00000000-0005-0000-0000-0000FD1F0000}"/>
    <cellStyle name="Title 8 2" xfId="8144" xr:uid="{00000000-0005-0000-0000-0000FE1F0000}"/>
    <cellStyle name="Title 9" xfId="8145" xr:uid="{00000000-0005-0000-0000-0000FF1F0000}"/>
    <cellStyle name="Title 9 2" xfId="8146" xr:uid="{00000000-0005-0000-0000-000000200000}"/>
    <cellStyle name="Total 10" xfId="8147" xr:uid="{00000000-0005-0000-0000-000001200000}"/>
    <cellStyle name="Total 10 2" xfId="8148" xr:uid="{00000000-0005-0000-0000-000002200000}"/>
    <cellStyle name="Total 11" xfId="8149" xr:uid="{00000000-0005-0000-0000-000003200000}"/>
    <cellStyle name="Total 11 2" xfId="8150" xr:uid="{00000000-0005-0000-0000-000004200000}"/>
    <cellStyle name="Total 12" xfId="8151" xr:uid="{00000000-0005-0000-0000-000005200000}"/>
    <cellStyle name="Total 12 2" xfId="8152" xr:uid="{00000000-0005-0000-0000-000006200000}"/>
    <cellStyle name="Total 13" xfId="8153" xr:uid="{00000000-0005-0000-0000-000007200000}"/>
    <cellStyle name="Total 13 2" xfId="8154" xr:uid="{00000000-0005-0000-0000-000008200000}"/>
    <cellStyle name="Total 14" xfId="8155" xr:uid="{00000000-0005-0000-0000-000009200000}"/>
    <cellStyle name="Total 14 2" xfId="8156" xr:uid="{00000000-0005-0000-0000-00000A200000}"/>
    <cellStyle name="Total 15" xfId="8157" xr:uid="{00000000-0005-0000-0000-00000B200000}"/>
    <cellStyle name="Total 15 2" xfId="8158" xr:uid="{00000000-0005-0000-0000-00000C200000}"/>
    <cellStyle name="Total 16" xfId="8159" xr:uid="{00000000-0005-0000-0000-00000D200000}"/>
    <cellStyle name="Total 16 2" xfId="8160" xr:uid="{00000000-0005-0000-0000-00000E200000}"/>
    <cellStyle name="Total 17" xfId="8161" xr:uid="{00000000-0005-0000-0000-00000F200000}"/>
    <cellStyle name="Total 17 2" xfId="8162" xr:uid="{00000000-0005-0000-0000-000010200000}"/>
    <cellStyle name="Total 18" xfId="8163" xr:uid="{00000000-0005-0000-0000-000011200000}"/>
    <cellStyle name="Total 18 2" xfId="8164" xr:uid="{00000000-0005-0000-0000-000012200000}"/>
    <cellStyle name="Total 19" xfId="8165" xr:uid="{00000000-0005-0000-0000-000013200000}"/>
    <cellStyle name="Total 19 2" xfId="8166" xr:uid="{00000000-0005-0000-0000-000014200000}"/>
    <cellStyle name="Total 2" xfId="8167" xr:uid="{00000000-0005-0000-0000-000015200000}"/>
    <cellStyle name="Total 2 10" xfId="8168" xr:uid="{00000000-0005-0000-0000-000016200000}"/>
    <cellStyle name="Total 2 10 2" xfId="8169" xr:uid="{00000000-0005-0000-0000-000017200000}"/>
    <cellStyle name="Total 2 10 3" xfId="8170" xr:uid="{00000000-0005-0000-0000-000018200000}"/>
    <cellStyle name="Total 2 11" xfId="8171" xr:uid="{00000000-0005-0000-0000-000019200000}"/>
    <cellStyle name="Total 2 11 2" xfId="8172" xr:uid="{00000000-0005-0000-0000-00001A200000}"/>
    <cellStyle name="Total 2 2" xfId="8173" xr:uid="{00000000-0005-0000-0000-00001B200000}"/>
    <cellStyle name="Total 2 2 2" xfId="8174" xr:uid="{00000000-0005-0000-0000-00001C200000}"/>
    <cellStyle name="Total 2 2 3" xfId="8175" xr:uid="{00000000-0005-0000-0000-00001D200000}"/>
    <cellStyle name="Total 2 3" xfId="8176" xr:uid="{00000000-0005-0000-0000-00001E200000}"/>
    <cellStyle name="Total 2 3 2" xfId="8177" xr:uid="{00000000-0005-0000-0000-00001F200000}"/>
    <cellStyle name="Total 2 3 3" xfId="8178" xr:uid="{00000000-0005-0000-0000-000020200000}"/>
    <cellStyle name="Total 2 4" xfId="8179" xr:uid="{00000000-0005-0000-0000-000021200000}"/>
    <cellStyle name="Total 2 4 2" xfId="8180" xr:uid="{00000000-0005-0000-0000-000022200000}"/>
    <cellStyle name="Total 2 4 3" xfId="8181" xr:uid="{00000000-0005-0000-0000-000023200000}"/>
    <cellStyle name="Total 2 5" xfId="8182" xr:uid="{00000000-0005-0000-0000-000024200000}"/>
    <cellStyle name="Total 2 5 2" xfId="8183" xr:uid="{00000000-0005-0000-0000-000025200000}"/>
    <cellStyle name="Total 2 5 3" xfId="8184" xr:uid="{00000000-0005-0000-0000-000026200000}"/>
    <cellStyle name="Total 2 6" xfId="8185" xr:uid="{00000000-0005-0000-0000-000027200000}"/>
    <cellStyle name="Total 2 6 2" xfId="8186" xr:uid="{00000000-0005-0000-0000-000028200000}"/>
    <cellStyle name="Total 2 6 3" xfId="8187" xr:uid="{00000000-0005-0000-0000-000029200000}"/>
    <cellStyle name="Total 2 7" xfId="8188" xr:uid="{00000000-0005-0000-0000-00002A200000}"/>
    <cellStyle name="Total 2 7 2" xfId="8189" xr:uid="{00000000-0005-0000-0000-00002B200000}"/>
    <cellStyle name="Total 2 7 3" xfId="8190" xr:uid="{00000000-0005-0000-0000-00002C200000}"/>
    <cellStyle name="Total 2 8" xfId="8191" xr:uid="{00000000-0005-0000-0000-00002D200000}"/>
    <cellStyle name="Total 2 8 2" xfId="8192" xr:uid="{00000000-0005-0000-0000-00002E200000}"/>
    <cellStyle name="Total 2 8 3" xfId="8193" xr:uid="{00000000-0005-0000-0000-00002F200000}"/>
    <cellStyle name="Total 2 9" xfId="8194" xr:uid="{00000000-0005-0000-0000-000030200000}"/>
    <cellStyle name="Total 2 9 2" xfId="8195" xr:uid="{00000000-0005-0000-0000-000031200000}"/>
    <cellStyle name="Total 2 9 3" xfId="8196" xr:uid="{00000000-0005-0000-0000-000032200000}"/>
    <cellStyle name="Total 20" xfId="8197" xr:uid="{00000000-0005-0000-0000-000033200000}"/>
    <cellStyle name="Total 20 2" xfId="8198" xr:uid="{00000000-0005-0000-0000-000034200000}"/>
    <cellStyle name="Total 21" xfId="8199" xr:uid="{00000000-0005-0000-0000-000035200000}"/>
    <cellStyle name="Total 21 2" xfId="8200" xr:uid="{00000000-0005-0000-0000-000036200000}"/>
    <cellStyle name="Total 22" xfId="8201" xr:uid="{00000000-0005-0000-0000-000037200000}"/>
    <cellStyle name="Total 22 2" xfId="8202" xr:uid="{00000000-0005-0000-0000-000038200000}"/>
    <cellStyle name="Total 23" xfId="8203" xr:uid="{00000000-0005-0000-0000-000039200000}"/>
    <cellStyle name="Total 23 2" xfId="8204" xr:uid="{00000000-0005-0000-0000-00003A200000}"/>
    <cellStyle name="Total 24" xfId="8205" xr:uid="{00000000-0005-0000-0000-00003B200000}"/>
    <cellStyle name="Total 24 2" xfId="8206" xr:uid="{00000000-0005-0000-0000-00003C200000}"/>
    <cellStyle name="Total 25" xfId="8207" xr:uid="{00000000-0005-0000-0000-00003D200000}"/>
    <cellStyle name="Total 25 2" xfId="8208" xr:uid="{00000000-0005-0000-0000-00003E200000}"/>
    <cellStyle name="Total 26" xfId="8209" xr:uid="{00000000-0005-0000-0000-00003F200000}"/>
    <cellStyle name="Total 26 2" xfId="8210" xr:uid="{00000000-0005-0000-0000-000040200000}"/>
    <cellStyle name="Total 27" xfId="8211" xr:uid="{00000000-0005-0000-0000-000041200000}"/>
    <cellStyle name="Total 27 2" xfId="8212" xr:uid="{00000000-0005-0000-0000-000042200000}"/>
    <cellStyle name="Total 28" xfId="8213" xr:uid="{00000000-0005-0000-0000-000043200000}"/>
    <cellStyle name="Total 28 2" xfId="8214" xr:uid="{00000000-0005-0000-0000-000044200000}"/>
    <cellStyle name="Total 29" xfId="8215" xr:uid="{00000000-0005-0000-0000-000045200000}"/>
    <cellStyle name="Total 29 2" xfId="8216" xr:uid="{00000000-0005-0000-0000-000046200000}"/>
    <cellStyle name="Total 3" xfId="8217" xr:uid="{00000000-0005-0000-0000-000047200000}"/>
    <cellStyle name="Total 3 2" xfId="8218" xr:uid="{00000000-0005-0000-0000-000048200000}"/>
    <cellStyle name="Total 3 2 2" xfId="8219" xr:uid="{00000000-0005-0000-0000-000049200000}"/>
    <cellStyle name="Total 3 2 3" xfId="8220" xr:uid="{00000000-0005-0000-0000-00004A200000}"/>
    <cellStyle name="Total 3 3" xfId="8221" xr:uid="{00000000-0005-0000-0000-00004B200000}"/>
    <cellStyle name="Total 3 3 2" xfId="8222" xr:uid="{00000000-0005-0000-0000-00004C200000}"/>
    <cellStyle name="Total 3 4" xfId="8223" xr:uid="{00000000-0005-0000-0000-00004D200000}"/>
    <cellStyle name="Total 3 4 2" xfId="8224" xr:uid="{00000000-0005-0000-0000-00004E200000}"/>
    <cellStyle name="Total 3 5" xfId="8225" xr:uid="{00000000-0005-0000-0000-00004F200000}"/>
    <cellStyle name="Total 3 5 2" xfId="8226" xr:uid="{00000000-0005-0000-0000-000050200000}"/>
    <cellStyle name="Total 3 6" xfId="8227" xr:uid="{00000000-0005-0000-0000-000051200000}"/>
    <cellStyle name="Total 30" xfId="8228" xr:uid="{00000000-0005-0000-0000-000052200000}"/>
    <cellStyle name="Total 30 2" xfId="8229" xr:uid="{00000000-0005-0000-0000-000053200000}"/>
    <cellStyle name="Total 31" xfId="8230" xr:uid="{00000000-0005-0000-0000-000054200000}"/>
    <cellStyle name="Total 31 2" xfId="8231" xr:uid="{00000000-0005-0000-0000-000055200000}"/>
    <cellStyle name="Total 32" xfId="8232" xr:uid="{00000000-0005-0000-0000-000056200000}"/>
    <cellStyle name="Total 32 2" xfId="8233" xr:uid="{00000000-0005-0000-0000-000057200000}"/>
    <cellStyle name="Total 33" xfId="8234" xr:uid="{00000000-0005-0000-0000-000058200000}"/>
    <cellStyle name="Total 33 2" xfId="8235" xr:uid="{00000000-0005-0000-0000-000059200000}"/>
    <cellStyle name="Total 34" xfId="8236" xr:uid="{00000000-0005-0000-0000-00005A200000}"/>
    <cellStyle name="Total 34 2" xfId="8237" xr:uid="{00000000-0005-0000-0000-00005B200000}"/>
    <cellStyle name="Total 35" xfId="8238" xr:uid="{00000000-0005-0000-0000-00005C200000}"/>
    <cellStyle name="Total 35 2" xfId="8239" xr:uid="{00000000-0005-0000-0000-00005D200000}"/>
    <cellStyle name="Total 36" xfId="8240" xr:uid="{00000000-0005-0000-0000-00005E200000}"/>
    <cellStyle name="Total 36 2" xfId="8241" xr:uid="{00000000-0005-0000-0000-00005F200000}"/>
    <cellStyle name="Total 37" xfId="8242" xr:uid="{00000000-0005-0000-0000-000060200000}"/>
    <cellStyle name="Total 37 2" xfId="8243" xr:uid="{00000000-0005-0000-0000-000061200000}"/>
    <cellStyle name="Total 38" xfId="8244" xr:uid="{00000000-0005-0000-0000-000062200000}"/>
    <cellStyle name="Total 38 2" xfId="8245" xr:uid="{00000000-0005-0000-0000-000063200000}"/>
    <cellStyle name="Total 39" xfId="8246" xr:uid="{00000000-0005-0000-0000-000064200000}"/>
    <cellStyle name="Total 39 2" xfId="8247" xr:uid="{00000000-0005-0000-0000-000065200000}"/>
    <cellStyle name="Total 4" xfId="8248" xr:uid="{00000000-0005-0000-0000-000066200000}"/>
    <cellStyle name="Total 4 2" xfId="8249" xr:uid="{00000000-0005-0000-0000-000067200000}"/>
    <cellStyle name="Total 4 2 2" xfId="8250" xr:uid="{00000000-0005-0000-0000-000068200000}"/>
    <cellStyle name="Total 40" xfId="8251" xr:uid="{00000000-0005-0000-0000-000069200000}"/>
    <cellStyle name="Total 40 2" xfId="8252" xr:uid="{00000000-0005-0000-0000-00006A200000}"/>
    <cellStyle name="Total 41" xfId="8253" xr:uid="{00000000-0005-0000-0000-00006B200000}"/>
    <cellStyle name="Total 41 2" xfId="8254" xr:uid="{00000000-0005-0000-0000-00006C200000}"/>
    <cellStyle name="Total 42" xfId="8255" xr:uid="{00000000-0005-0000-0000-00006D200000}"/>
    <cellStyle name="Total 42 2" xfId="8256" xr:uid="{00000000-0005-0000-0000-00006E200000}"/>
    <cellStyle name="Total 5" xfId="8257" xr:uid="{00000000-0005-0000-0000-00006F200000}"/>
    <cellStyle name="Total 5 2" xfId="8258" xr:uid="{00000000-0005-0000-0000-000070200000}"/>
    <cellStyle name="Total 5 2 2" xfId="8259" xr:uid="{00000000-0005-0000-0000-000071200000}"/>
    <cellStyle name="Total 6" xfId="8260" xr:uid="{00000000-0005-0000-0000-000072200000}"/>
    <cellStyle name="Total 6 2" xfId="8261" xr:uid="{00000000-0005-0000-0000-000073200000}"/>
    <cellStyle name="Total 7" xfId="8262" xr:uid="{00000000-0005-0000-0000-000074200000}"/>
    <cellStyle name="Total 7 2" xfId="8263" xr:uid="{00000000-0005-0000-0000-000075200000}"/>
    <cellStyle name="Total 8" xfId="8264" xr:uid="{00000000-0005-0000-0000-000076200000}"/>
    <cellStyle name="Total 8 2" xfId="8265" xr:uid="{00000000-0005-0000-0000-000077200000}"/>
    <cellStyle name="Total 9" xfId="8266" xr:uid="{00000000-0005-0000-0000-000078200000}"/>
    <cellStyle name="Total 9 2" xfId="8267" xr:uid="{00000000-0005-0000-0000-000079200000}"/>
    <cellStyle name="Überschrift" xfId="8268" xr:uid="{00000000-0005-0000-0000-00007A200000}"/>
    <cellStyle name="Überschrift 1" xfId="8269" xr:uid="{00000000-0005-0000-0000-00007B200000}"/>
    <cellStyle name="Überschrift 1 2" xfId="8270" xr:uid="{00000000-0005-0000-0000-00007C200000}"/>
    <cellStyle name="Überschrift 2" xfId="8271" xr:uid="{00000000-0005-0000-0000-00007D200000}"/>
    <cellStyle name="Überschrift 2 2" xfId="8272" xr:uid="{00000000-0005-0000-0000-00007E200000}"/>
    <cellStyle name="Überschrift 3" xfId="8273" xr:uid="{00000000-0005-0000-0000-00007F200000}"/>
    <cellStyle name="Überschrift 3 2" xfId="8274" xr:uid="{00000000-0005-0000-0000-000080200000}"/>
    <cellStyle name="Überschrift 4" xfId="8275" xr:uid="{00000000-0005-0000-0000-000081200000}"/>
    <cellStyle name="Überschrift 4 2" xfId="8276" xr:uid="{00000000-0005-0000-0000-000082200000}"/>
    <cellStyle name="Überschrift 5" xfId="8277" xr:uid="{00000000-0005-0000-0000-000083200000}"/>
    <cellStyle name="Valuutta_Layo9704" xfId="8278" xr:uid="{00000000-0005-0000-0000-000084200000}"/>
    <cellStyle name="Verknüpfte Zelle" xfId="8279" xr:uid="{00000000-0005-0000-0000-000085200000}"/>
    <cellStyle name="Verknüpfte Zelle 2" xfId="8280" xr:uid="{00000000-0005-0000-0000-000086200000}"/>
    <cellStyle name="Warnender Text" xfId="8281" xr:uid="{00000000-0005-0000-0000-000087200000}"/>
    <cellStyle name="Warnender Text 2" xfId="8282" xr:uid="{00000000-0005-0000-0000-000088200000}"/>
    <cellStyle name="Warning Text 10" xfId="8283" xr:uid="{00000000-0005-0000-0000-000089200000}"/>
    <cellStyle name="Warning Text 10 2" xfId="8284" xr:uid="{00000000-0005-0000-0000-00008A200000}"/>
    <cellStyle name="Warning Text 11" xfId="8285" xr:uid="{00000000-0005-0000-0000-00008B200000}"/>
    <cellStyle name="Warning Text 11 2" xfId="8286" xr:uid="{00000000-0005-0000-0000-00008C200000}"/>
    <cellStyle name="Warning Text 12" xfId="8287" xr:uid="{00000000-0005-0000-0000-00008D200000}"/>
    <cellStyle name="Warning Text 12 2" xfId="8288" xr:uid="{00000000-0005-0000-0000-00008E200000}"/>
    <cellStyle name="Warning Text 13" xfId="8289" xr:uid="{00000000-0005-0000-0000-00008F200000}"/>
    <cellStyle name="Warning Text 13 2" xfId="8290" xr:uid="{00000000-0005-0000-0000-000090200000}"/>
    <cellStyle name="Warning Text 14" xfId="8291" xr:uid="{00000000-0005-0000-0000-000091200000}"/>
    <cellStyle name="Warning Text 14 2" xfId="8292" xr:uid="{00000000-0005-0000-0000-000092200000}"/>
    <cellStyle name="Warning Text 15" xfId="8293" xr:uid="{00000000-0005-0000-0000-000093200000}"/>
    <cellStyle name="Warning Text 15 2" xfId="8294" xr:uid="{00000000-0005-0000-0000-000094200000}"/>
    <cellStyle name="Warning Text 16" xfId="8295" xr:uid="{00000000-0005-0000-0000-000095200000}"/>
    <cellStyle name="Warning Text 16 2" xfId="8296" xr:uid="{00000000-0005-0000-0000-000096200000}"/>
    <cellStyle name="Warning Text 17" xfId="8297" xr:uid="{00000000-0005-0000-0000-000097200000}"/>
    <cellStyle name="Warning Text 17 2" xfId="8298" xr:uid="{00000000-0005-0000-0000-000098200000}"/>
    <cellStyle name="Warning Text 18" xfId="8299" xr:uid="{00000000-0005-0000-0000-000099200000}"/>
    <cellStyle name="Warning Text 18 2" xfId="8300" xr:uid="{00000000-0005-0000-0000-00009A200000}"/>
    <cellStyle name="Warning Text 19" xfId="8301" xr:uid="{00000000-0005-0000-0000-00009B200000}"/>
    <cellStyle name="Warning Text 19 2" xfId="8302" xr:uid="{00000000-0005-0000-0000-00009C200000}"/>
    <cellStyle name="Warning Text 2" xfId="8303" xr:uid="{00000000-0005-0000-0000-00009D200000}"/>
    <cellStyle name="Warning Text 2 10" xfId="8304" xr:uid="{00000000-0005-0000-0000-00009E200000}"/>
    <cellStyle name="Warning Text 2 10 2" xfId="8305" xr:uid="{00000000-0005-0000-0000-00009F200000}"/>
    <cellStyle name="Warning Text 2 10 3" xfId="8306" xr:uid="{00000000-0005-0000-0000-0000A0200000}"/>
    <cellStyle name="Warning Text 2 11" xfId="8307" xr:uid="{00000000-0005-0000-0000-0000A1200000}"/>
    <cellStyle name="Warning Text 2 11 2" xfId="8308" xr:uid="{00000000-0005-0000-0000-0000A2200000}"/>
    <cellStyle name="Warning Text 2 2" xfId="8309" xr:uid="{00000000-0005-0000-0000-0000A3200000}"/>
    <cellStyle name="Warning Text 2 2 2" xfId="8310" xr:uid="{00000000-0005-0000-0000-0000A4200000}"/>
    <cellStyle name="Warning Text 2 2 3" xfId="8311" xr:uid="{00000000-0005-0000-0000-0000A5200000}"/>
    <cellStyle name="Warning Text 2 3" xfId="8312" xr:uid="{00000000-0005-0000-0000-0000A6200000}"/>
    <cellStyle name="Warning Text 2 3 2" xfId="8313" xr:uid="{00000000-0005-0000-0000-0000A7200000}"/>
    <cellStyle name="Warning Text 2 3 3" xfId="8314" xr:uid="{00000000-0005-0000-0000-0000A8200000}"/>
    <cellStyle name="Warning Text 2 4" xfId="8315" xr:uid="{00000000-0005-0000-0000-0000A9200000}"/>
    <cellStyle name="Warning Text 2 4 2" xfId="8316" xr:uid="{00000000-0005-0000-0000-0000AA200000}"/>
    <cellStyle name="Warning Text 2 4 3" xfId="8317" xr:uid="{00000000-0005-0000-0000-0000AB200000}"/>
    <cellStyle name="Warning Text 2 5" xfId="8318" xr:uid="{00000000-0005-0000-0000-0000AC200000}"/>
    <cellStyle name="Warning Text 2 5 2" xfId="8319" xr:uid="{00000000-0005-0000-0000-0000AD200000}"/>
    <cellStyle name="Warning Text 2 5 3" xfId="8320" xr:uid="{00000000-0005-0000-0000-0000AE200000}"/>
    <cellStyle name="Warning Text 2 6" xfId="8321" xr:uid="{00000000-0005-0000-0000-0000AF200000}"/>
    <cellStyle name="Warning Text 2 6 2" xfId="8322" xr:uid="{00000000-0005-0000-0000-0000B0200000}"/>
    <cellStyle name="Warning Text 2 6 3" xfId="8323" xr:uid="{00000000-0005-0000-0000-0000B1200000}"/>
    <cellStyle name="Warning Text 2 7" xfId="8324" xr:uid="{00000000-0005-0000-0000-0000B2200000}"/>
    <cellStyle name="Warning Text 2 7 2" xfId="8325" xr:uid="{00000000-0005-0000-0000-0000B3200000}"/>
    <cellStyle name="Warning Text 2 7 3" xfId="8326" xr:uid="{00000000-0005-0000-0000-0000B4200000}"/>
    <cellStyle name="Warning Text 2 8" xfId="8327" xr:uid="{00000000-0005-0000-0000-0000B5200000}"/>
    <cellStyle name="Warning Text 2 8 2" xfId="8328" xr:uid="{00000000-0005-0000-0000-0000B6200000}"/>
    <cellStyle name="Warning Text 2 8 3" xfId="8329" xr:uid="{00000000-0005-0000-0000-0000B7200000}"/>
    <cellStyle name="Warning Text 2 9" xfId="8330" xr:uid="{00000000-0005-0000-0000-0000B8200000}"/>
    <cellStyle name="Warning Text 2 9 2" xfId="8331" xr:uid="{00000000-0005-0000-0000-0000B9200000}"/>
    <cellStyle name="Warning Text 2 9 3" xfId="8332" xr:uid="{00000000-0005-0000-0000-0000BA200000}"/>
    <cellStyle name="Warning Text 20" xfId="8333" xr:uid="{00000000-0005-0000-0000-0000BB200000}"/>
    <cellStyle name="Warning Text 20 2" xfId="8334" xr:uid="{00000000-0005-0000-0000-0000BC200000}"/>
    <cellStyle name="Warning Text 21" xfId="8335" xr:uid="{00000000-0005-0000-0000-0000BD200000}"/>
    <cellStyle name="Warning Text 21 2" xfId="8336" xr:uid="{00000000-0005-0000-0000-0000BE200000}"/>
    <cellStyle name="Warning Text 22" xfId="8337" xr:uid="{00000000-0005-0000-0000-0000BF200000}"/>
    <cellStyle name="Warning Text 22 2" xfId="8338" xr:uid="{00000000-0005-0000-0000-0000C0200000}"/>
    <cellStyle name="Warning Text 23" xfId="8339" xr:uid="{00000000-0005-0000-0000-0000C1200000}"/>
    <cellStyle name="Warning Text 23 2" xfId="8340" xr:uid="{00000000-0005-0000-0000-0000C2200000}"/>
    <cellStyle name="Warning Text 24" xfId="8341" xr:uid="{00000000-0005-0000-0000-0000C3200000}"/>
    <cellStyle name="Warning Text 24 2" xfId="8342" xr:uid="{00000000-0005-0000-0000-0000C4200000}"/>
    <cellStyle name="Warning Text 25" xfId="8343" xr:uid="{00000000-0005-0000-0000-0000C5200000}"/>
    <cellStyle name="Warning Text 25 2" xfId="8344" xr:uid="{00000000-0005-0000-0000-0000C6200000}"/>
    <cellStyle name="Warning Text 26" xfId="8345" xr:uid="{00000000-0005-0000-0000-0000C7200000}"/>
    <cellStyle name="Warning Text 26 2" xfId="8346" xr:uid="{00000000-0005-0000-0000-0000C8200000}"/>
    <cellStyle name="Warning Text 27" xfId="8347" xr:uid="{00000000-0005-0000-0000-0000C9200000}"/>
    <cellStyle name="Warning Text 27 2" xfId="8348" xr:uid="{00000000-0005-0000-0000-0000CA200000}"/>
    <cellStyle name="Warning Text 28" xfId="8349" xr:uid="{00000000-0005-0000-0000-0000CB200000}"/>
    <cellStyle name="Warning Text 28 2" xfId="8350" xr:uid="{00000000-0005-0000-0000-0000CC200000}"/>
    <cellStyle name="Warning Text 29" xfId="8351" xr:uid="{00000000-0005-0000-0000-0000CD200000}"/>
    <cellStyle name="Warning Text 29 2" xfId="8352" xr:uid="{00000000-0005-0000-0000-0000CE200000}"/>
    <cellStyle name="Warning Text 3" xfId="8353" xr:uid="{00000000-0005-0000-0000-0000CF200000}"/>
    <cellStyle name="Warning Text 3 2" xfId="8354" xr:uid="{00000000-0005-0000-0000-0000D0200000}"/>
    <cellStyle name="Warning Text 3 2 2" xfId="8355" xr:uid="{00000000-0005-0000-0000-0000D1200000}"/>
    <cellStyle name="Warning Text 3 3" xfId="8356" xr:uid="{00000000-0005-0000-0000-0000D2200000}"/>
    <cellStyle name="Warning Text 3 3 2" xfId="8357" xr:uid="{00000000-0005-0000-0000-0000D3200000}"/>
    <cellStyle name="Warning Text 30" xfId="8358" xr:uid="{00000000-0005-0000-0000-0000D4200000}"/>
    <cellStyle name="Warning Text 30 2" xfId="8359" xr:uid="{00000000-0005-0000-0000-0000D5200000}"/>
    <cellStyle name="Warning Text 31" xfId="8360" xr:uid="{00000000-0005-0000-0000-0000D6200000}"/>
    <cellStyle name="Warning Text 31 2" xfId="8361" xr:uid="{00000000-0005-0000-0000-0000D7200000}"/>
    <cellStyle name="Warning Text 32" xfId="8362" xr:uid="{00000000-0005-0000-0000-0000D8200000}"/>
    <cellStyle name="Warning Text 32 2" xfId="8363" xr:uid="{00000000-0005-0000-0000-0000D9200000}"/>
    <cellStyle name="Warning Text 33" xfId="8364" xr:uid="{00000000-0005-0000-0000-0000DA200000}"/>
    <cellStyle name="Warning Text 33 2" xfId="8365" xr:uid="{00000000-0005-0000-0000-0000DB200000}"/>
    <cellStyle name="Warning Text 34" xfId="8366" xr:uid="{00000000-0005-0000-0000-0000DC200000}"/>
    <cellStyle name="Warning Text 34 2" xfId="8367" xr:uid="{00000000-0005-0000-0000-0000DD200000}"/>
    <cellStyle name="Warning Text 35" xfId="8368" xr:uid="{00000000-0005-0000-0000-0000DE200000}"/>
    <cellStyle name="Warning Text 35 2" xfId="8369" xr:uid="{00000000-0005-0000-0000-0000DF200000}"/>
    <cellStyle name="Warning Text 36" xfId="8370" xr:uid="{00000000-0005-0000-0000-0000E0200000}"/>
    <cellStyle name="Warning Text 36 2" xfId="8371" xr:uid="{00000000-0005-0000-0000-0000E1200000}"/>
    <cellStyle name="Warning Text 37" xfId="8372" xr:uid="{00000000-0005-0000-0000-0000E2200000}"/>
    <cellStyle name="Warning Text 37 2" xfId="8373" xr:uid="{00000000-0005-0000-0000-0000E3200000}"/>
    <cellStyle name="Warning Text 38" xfId="8374" xr:uid="{00000000-0005-0000-0000-0000E4200000}"/>
    <cellStyle name="Warning Text 38 2" xfId="8375" xr:uid="{00000000-0005-0000-0000-0000E5200000}"/>
    <cellStyle name="Warning Text 39" xfId="8376" xr:uid="{00000000-0005-0000-0000-0000E6200000}"/>
    <cellStyle name="Warning Text 39 2" xfId="8377" xr:uid="{00000000-0005-0000-0000-0000E7200000}"/>
    <cellStyle name="Warning Text 4" xfId="8378" xr:uid="{00000000-0005-0000-0000-0000E8200000}"/>
    <cellStyle name="Warning Text 4 2" xfId="8379" xr:uid="{00000000-0005-0000-0000-0000E9200000}"/>
    <cellStyle name="Warning Text 4 2 2" xfId="8380" xr:uid="{00000000-0005-0000-0000-0000EA200000}"/>
    <cellStyle name="Warning Text 40" xfId="8381" xr:uid="{00000000-0005-0000-0000-0000EB200000}"/>
    <cellStyle name="Warning Text 40 2" xfId="8382" xr:uid="{00000000-0005-0000-0000-0000EC200000}"/>
    <cellStyle name="Warning Text 41" xfId="8383" xr:uid="{00000000-0005-0000-0000-0000ED200000}"/>
    <cellStyle name="Warning Text 41 2" xfId="8384" xr:uid="{00000000-0005-0000-0000-0000EE200000}"/>
    <cellStyle name="Warning Text 5" xfId="8385" xr:uid="{00000000-0005-0000-0000-0000EF200000}"/>
    <cellStyle name="Warning Text 5 2" xfId="8386" xr:uid="{00000000-0005-0000-0000-0000F0200000}"/>
    <cellStyle name="Warning Text 5 2 2" xfId="8387" xr:uid="{00000000-0005-0000-0000-0000F1200000}"/>
    <cellStyle name="Warning Text 6" xfId="8388" xr:uid="{00000000-0005-0000-0000-0000F2200000}"/>
    <cellStyle name="Warning Text 6 2" xfId="8389" xr:uid="{00000000-0005-0000-0000-0000F3200000}"/>
    <cellStyle name="Warning Text 7" xfId="8390" xr:uid="{00000000-0005-0000-0000-0000F4200000}"/>
    <cellStyle name="Warning Text 7 2" xfId="8391" xr:uid="{00000000-0005-0000-0000-0000F5200000}"/>
    <cellStyle name="Warning Text 8" xfId="8392" xr:uid="{00000000-0005-0000-0000-0000F6200000}"/>
    <cellStyle name="Warning Text 8 2" xfId="8393" xr:uid="{00000000-0005-0000-0000-0000F7200000}"/>
    <cellStyle name="Warning Text 9" xfId="8394" xr:uid="{00000000-0005-0000-0000-0000F8200000}"/>
    <cellStyle name="Warning Text 9 2" xfId="8395" xr:uid="{00000000-0005-0000-0000-0000F9200000}"/>
    <cellStyle name="Zelle überprüfen" xfId="8396" xr:uid="{00000000-0005-0000-0000-0000FA200000}"/>
    <cellStyle name="Zelle überprüfen 2" xfId="8397" xr:uid="{00000000-0005-0000-0000-0000FB200000}"/>
    <cellStyle name="Гиперссылка" xfId="8398" xr:uid="{00000000-0005-0000-0000-0000FC200000}"/>
    <cellStyle name="Гиперссылка 2" xfId="8399" xr:uid="{00000000-0005-0000-0000-0000FD200000}"/>
    <cellStyle name="Обычный_2++" xfId="8400" xr:uid="{00000000-0005-0000-0000-0000FE200000}"/>
    <cellStyle name="已访问的超链接" xfId="8401" xr:uid="{00000000-0005-0000-0000-0000FF200000}"/>
    <cellStyle name="已访问的超链接 2" xfId="8402" xr:uid="{00000000-0005-0000-0000-000000210000}"/>
    <cellStyle name="已访问的超链接 2 2" xfId="8403" xr:uid="{00000000-0005-0000-0000-0000012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4944685"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100-000003000000}"/>
            </a:ext>
          </a:extLst>
        </xdr:cNvPr>
        <xdr:cNvSpPr/>
      </xdr:nvSpPr>
      <xdr:spPr>
        <a:xfrm>
          <a:off x="42082720"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100-000004000000}"/>
            </a:ext>
          </a:extLst>
        </xdr:cNvPr>
        <xdr:cNvSpPr/>
      </xdr:nvSpPr>
      <xdr:spPr>
        <a:xfrm>
          <a:off x="37568505"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20</v>
          </cell>
          <cell r="E49">
            <v>20</v>
          </cell>
          <cell r="F49">
            <v>20</v>
          </cell>
          <cell r="G49">
            <v>20</v>
          </cell>
          <cell r="H49">
            <v>20</v>
          </cell>
          <cell r="I49">
            <v>20</v>
          </cell>
          <cell r="J49">
            <v>20</v>
          </cell>
        </row>
        <row r="50">
          <cell r="D50">
            <v>20</v>
          </cell>
          <cell r="E50">
            <v>20</v>
          </cell>
          <cell r="F50">
            <v>20</v>
          </cell>
          <cell r="G50">
            <v>20</v>
          </cell>
          <cell r="H50">
            <v>20</v>
          </cell>
          <cell r="I50">
            <v>20</v>
          </cell>
          <cell r="J50">
            <v>20</v>
          </cell>
        </row>
        <row r="52">
          <cell r="D52">
            <v>20</v>
          </cell>
          <cell r="E52">
            <v>20</v>
          </cell>
          <cell r="F52">
            <v>20</v>
          </cell>
          <cell r="G52">
            <v>20</v>
          </cell>
          <cell r="H52">
            <v>20</v>
          </cell>
          <cell r="I52">
            <v>20</v>
          </cell>
          <cell r="J52">
            <v>20</v>
          </cell>
        </row>
        <row r="54">
          <cell r="D54">
            <v>22</v>
          </cell>
          <cell r="E54">
            <v>22</v>
          </cell>
          <cell r="F54">
            <v>22</v>
          </cell>
          <cell r="G54">
            <v>22</v>
          </cell>
          <cell r="H54">
            <v>22</v>
          </cell>
          <cell r="I54">
            <v>22</v>
          </cell>
          <cell r="J54">
            <v>22</v>
          </cell>
        </row>
        <row r="55">
          <cell r="D55">
            <v>22</v>
          </cell>
          <cell r="E55">
            <v>22</v>
          </cell>
          <cell r="F55">
            <v>22</v>
          </cell>
          <cell r="G55">
            <v>22</v>
          </cell>
          <cell r="H55">
            <v>22</v>
          </cell>
          <cell r="I55">
            <v>22</v>
          </cell>
          <cell r="J55">
            <v>22</v>
          </cell>
        </row>
        <row r="57">
          <cell r="D57">
            <v>22</v>
          </cell>
          <cell r="E57">
            <v>22</v>
          </cell>
          <cell r="F57">
            <v>22</v>
          </cell>
          <cell r="G57">
            <v>22</v>
          </cell>
          <cell r="H57">
            <v>22</v>
          </cell>
          <cell r="I57">
            <v>22</v>
          </cell>
          <cell r="J57">
            <v>22</v>
          </cell>
        </row>
        <row r="72">
          <cell r="D72">
            <v>3.3039999999999998</v>
          </cell>
          <cell r="E72">
            <v>3.3039999999999998</v>
          </cell>
          <cell r="F72">
            <v>3.3039999999999998</v>
          </cell>
          <cell r="G72">
            <v>3.3039999999999998</v>
          </cell>
          <cell r="H72">
            <v>3.3039999999999998</v>
          </cell>
          <cell r="I72">
            <v>3.3039999999999998</v>
          </cell>
          <cell r="J72">
            <v>3.3039999999999998</v>
          </cell>
        </row>
        <row r="73">
          <cell r="D73">
            <v>3.3039999999999998</v>
          </cell>
          <cell r="E73">
            <v>3.3039999999999998</v>
          </cell>
          <cell r="F73">
            <v>3.3039999999999998</v>
          </cell>
          <cell r="G73">
            <v>3.3039999999999998</v>
          </cell>
          <cell r="H73">
            <v>3.3039999999999998</v>
          </cell>
          <cell r="I73">
            <v>3.3039999999999998</v>
          </cell>
          <cell r="J73">
            <v>3.3039999999999998</v>
          </cell>
        </row>
        <row r="75">
          <cell r="D75">
            <v>1.9470000000000001</v>
          </cell>
          <cell r="E75">
            <v>1.9470000000000001</v>
          </cell>
          <cell r="F75">
            <v>1.9470000000000001</v>
          </cell>
          <cell r="G75">
            <v>1.9470000000000001</v>
          </cell>
          <cell r="H75">
            <v>1.9470000000000001</v>
          </cell>
          <cell r="I75">
            <v>1.9470000000000001</v>
          </cell>
          <cell r="J75">
            <v>1.9470000000000001</v>
          </cell>
        </row>
        <row r="77">
          <cell r="F77">
            <v>1.288</v>
          </cell>
          <cell r="G77">
            <v>1.288</v>
          </cell>
          <cell r="H77">
            <v>1.288</v>
          </cell>
          <cell r="I77">
            <v>1.288</v>
          </cell>
          <cell r="J77">
            <v>1.288</v>
          </cell>
        </row>
        <row r="78">
          <cell r="F78">
            <v>1.288</v>
          </cell>
          <cell r="G78">
            <v>1.288</v>
          </cell>
          <cell r="H78">
            <v>1.288</v>
          </cell>
          <cell r="I78">
            <v>1.288</v>
          </cell>
          <cell r="J78">
            <v>1.288</v>
          </cell>
        </row>
        <row r="80">
          <cell r="F80">
            <v>0.75900000000000001</v>
          </cell>
          <cell r="G80">
            <v>0.75900000000000001</v>
          </cell>
          <cell r="H80">
            <v>0.75900000000000001</v>
          </cell>
          <cell r="I80">
            <v>0.75900000000000001</v>
          </cell>
          <cell r="J80">
            <v>0.75900000000000001</v>
          </cell>
        </row>
      </sheetData>
      <sheetData sheetId="1"/>
      <sheetData sheetId="2">
        <row r="25">
          <cell r="C25">
            <v>0.133343131699898</v>
          </cell>
        </row>
        <row r="26">
          <cell r="C26">
            <v>0.133343131699898</v>
          </cell>
        </row>
        <row r="27">
          <cell r="C27">
            <v>6.3850842403632105E-2</v>
          </cell>
        </row>
        <row r="28">
          <cell r="C28">
            <v>6.3850842403632105E-2</v>
          </cell>
        </row>
        <row r="29">
          <cell r="C29">
            <v>0.145004147394624</v>
          </cell>
        </row>
        <row r="30">
          <cell r="C30">
            <v>0.145004147394624</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20.169230769230801</v>
          </cell>
          <cell r="E9">
            <v>19.351633337473601</v>
          </cell>
          <cell r="F9">
            <v>15.325553451049901</v>
          </cell>
          <cell r="G9">
            <v>14.519202170693401</v>
          </cell>
          <cell r="H9">
            <v>19.8590296577541</v>
          </cell>
          <cell r="I9">
            <v>14.6365843210053</v>
          </cell>
          <cell r="J9">
            <v>10.804340887328401</v>
          </cell>
        </row>
        <row r="10">
          <cell r="D10">
            <v>20.169230769230801</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0.37834550817440799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0.24798784745313601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0.17270772863851999</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0.17926468483604199</v>
          </cell>
        </row>
      </sheetData>
      <sheetData sheetId="27" refreshError="1"/>
      <sheetData sheetId="28" refreshError="1"/>
      <sheetData sheetId="29" refreshError="1"/>
      <sheetData sheetId="30" refreshError="1"/>
      <sheetData sheetId="31">
        <row r="24">
          <cell r="N24">
            <v>0.55730080380949876</v>
          </cell>
        </row>
        <row r="25">
          <cell r="N25">
            <v>0.56468068968068963</v>
          </cell>
        </row>
        <row r="26">
          <cell r="N26">
            <v>0.95918367346938782</v>
          </cell>
        </row>
        <row r="27">
          <cell r="N27">
            <v>0.93571428571428572</v>
          </cell>
        </row>
        <row r="28">
          <cell r="N28">
            <v>0.86804850236467956</v>
          </cell>
        </row>
        <row r="29">
          <cell r="N29">
            <v>0.63915047474406461</v>
          </cell>
        </row>
        <row r="30">
          <cell r="N30">
            <v>0.55668768191795326</v>
          </cell>
        </row>
      </sheetData>
      <sheetData sheetId="32" refreshError="1"/>
      <sheetData sheetId="33" refreshError="1"/>
      <sheetData sheetId="34">
        <row r="23">
          <cell r="N23">
            <v>0.69568463418715298</v>
          </cell>
        </row>
        <row r="54">
          <cell r="N54">
            <v>5.8565106387802532E-2</v>
          </cell>
        </row>
      </sheetData>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ow r="43">
          <cell r="N43">
            <v>4.5458517684292522E-2</v>
          </cell>
        </row>
      </sheetData>
      <sheetData sheetId="7" refreshError="1"/>
      <sheetData sheetId="8">
        <row r="199">
          <cell r="O199">
            <v>4.5458517684292522E-2</v>
          </cell>
        </row>
        <row r="200">
          <cell r="O200">
            <v>4.5458517684292522E-2</v>
          </cell>
        </row>
        <row r="201">
          <cell r="O201">
            <v>4.5458517684292522E-2</v>
          </cell>
        </row>
        <row r="202">
          <cell r="O202">
            <v>4.5458517684292522E-2</v>
          </cell>
        </row>
        <row r="203">
          <cell r="O203">
            <v>4.5458517684292522E-2</v>
          </cell>
        </row>
        <row r="204">
          <cell r="O204">
            <v>4.5458517684292522E-2</v>
          </cell>
        </row>
      </sheetData>
      <sheetData sheetId="9" refreshError="1"/>
      <sheetData sheetId="10" refreshError="1"/>
      <sheetData sheetId="11" refreshError="1"/>
      <sheetData sheetId="12" refreshError="1"/>
      <sheetData sheetId="13">
        <row r="199">
          <cell r="O199">
            <v>0.10117977406146407</v>
          </cell>
        </row>
        <row r="200">
          <cell r="O200">
            <v>0.24860663198917018</v>
          </cell>
        </row>
        <row r="201">
          <cell r="O201">
            <v>8.8560651785726044E-2</v>
          </cell>
        </row>
        <row r="202">
          <cell r="O202">
            <v>8.8560651785726044E-2</v>
          </cell>
        </row>
        <row r="203">
          <cell r="O203">
            <v>0.14392310719876714</v>
          </cell>
        </row>
        <row r="204">
          <cell r="O204">
            <v>0.28126847815747497</v>
          </cell>
        </row>
      </sheetData>
      <sheetData sheetId="14">
        <row r="199">
          <cell r="O199">
            <v>0.14303460167047716</v>
          </cell>
        </row>
        <row r="200">
          <cell r="O200">
            <v>0.18900772326984977</v>
          </cell>
        </row>
        <row r="201">
          <cell r="O201">
            <v>0.11469255641761587</v>
          </cell>
        </row>
        <row r="202">
          <cell r="O202">
            <v>0.11469255641761587</v>
          </cell>
        </row>
        <row r="203">
          <cell r="O203">
            <v>0.18900772326984977</v>
          </cell>
        </row>
        <row r="204">
          <cell r="O204">
            <v>0.21983667250248537</v>
          </cell>
        </row>
      </sheetData>
      <sheetData sheetId="15">
        <row r="79">
          <cell r="N79">
            <v>2.3111249614029179E-2</v>
          </cell>
        </row>
        <row r="80">
          <cell r="N80">
            <v>2.3111249614029179E-2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6"/>
  <sheetViews>
    <sheetView tabSelected="1" zoomScale="70" zoomScaleNormal="70" workbookViewId="0">
      <selection activeCell="G3" sqref="G3"/>
    </sheetView>
  </sheetViews>
  <sheetFormatPr defaultColWidth="9" defaultRowHeight="14.5"/>
  <cols>
    <col min="3" max="3" width="18.1796875" customWidth="1"/>
    <col min="6" max="6" width="9.26953125" style="64" customWidth="1"/>
    <col min="7" max="8" width="12" customWidth="1"/>
    <col min="9" max="9" width="15.54296875" customWidth="1"/>
    <col min="10" max="10" width="9.54296875" customWidth="1"/>
    <col min="11" max="11" width="11.453125" customWidth="1"/>
    <col min="12" max="12" width="9.26953125" customWidth="1"/>
    <col min="13" max="14" width="182.54296875" customWidth="1"/>
    <col min="15" max="15" width="15.26953125" customWidth="1"/>
    <col min="16" max="17" width="90.90625" customWidth="1"/>
    <col min="18" max="18" width="11.7265625" customWidth="1"/>
    <col min="21" max="21" width="12" customWidth="1"/>
    <col min="25" max="25" width="18" customWidth="1"/>
  </cols>
  <sheetData>
    <row r="1" spans="1:36">
      <c r="A1" t="s">
        <v>1</v>
      </c>
      <c r="E1" s="115" t="s">
        <v>0</v>
      </c>
      <c r="G1" s="23"/>
      <c r="O1" s="48" t="s">
        <v>2</v>
      </c>
      <c r="P1" s="48"/>
    </row>
    <row r="2" spans="1:36" ht="15.5">
      <c r="M2" s="40"/>
      <c r="N2" s="40"/>
      <c r="O2" s="48" t="s">
        <v>3</v>
      </c>
      <c r="P2" s="131" t="s">
        <v>4</v>
      </c>
      <c r="Q2" s="140"/>
    </row>
    <row r="3" spans="1:36">
      <c r="E3" s="11" t="s">
        <v>5</v>
      </c>
      <c r="AB3" s="145" t="s">
        <v>6</v>
      </c>
      <c r="AC3" s="145"/>
      <c r="AD3" s="39"/>
      <c r="AE3" s="39"/>
      <c r="AF3" s="39"/>
      <c r="AG3" s="39"/>
      <c r="AH3" s="39"/>
      <c r="AI3" s="39"/>
      <c r="AJ3" s="39"/>
    </row>
    <row r="4" spans="1:36">
      <c r="C4" s="12" t="s">
        <v>7</v>
      </c>
      <c r="D4" s="12" t="s">
        <v>8</v>
      </c>
      <c r="E4" s="12" t="s">
        <v>9</v>
      </c>
      <c r="F4" s="116" t="s">
        <v>10</v>
      </c>
      <c r="G4" s="14" t="s">
        <v>11</v>
      </c>
      <c r="H4" s="14" t="s">
        <v>12</v>
      </c>
      <c r="I4" s="14" t="s">
        <v>13</v>
      </c>
      <c r="J4" s="14" t="s">
        <v>14</v>
      </c>
      <c r="K4" s="14" t="s">
        <v>15</v>
      </c>
      <c r="L4" s="14" t="s">
        <v>16</v>
      </c>
      <c r="M4" s="14" t="s">
        <v>17</v>
      </c>
      <c r="N4" s="14" t="s">
        <v>18</v>
      </c>
      <c r="O4" s="14" t="s">
        <v>19</v>
      </c>
      <c r="P4" s="14" t="s">
        <v>20</v>
      </c>
      <c r="Q4" s="14" t="s">
        <v>21</v>
      </c>
      <c r="R4" s="14" t="s">
        <v>22</v>
      </c>
      <c r="S4" s="44" t="s">
        <v>23</v>
      </c>
      <c r="T4" s="44" t="s">
        <v>24</v>
      </c>
      <c r="U4" s="44" t="s">
        <v>25</v>
      </c>
      <c r="AB4" s="146" t="s">
        <v>26</v>
      </c>
      <c r="AC4" s="147" t="s">
        <v>27</v>
      </c>
      <c r="AD4" s="146" t="s">
        <v>7</v>
      </c>
      <c r="AE4" s="146" t="s">
        <v>28</v>
      </c>
      <c r="AF4" s="146" t="s">
        <v>29</v>
      </c>
      <c r="AG4" s="146" t="s">
        <v>30</v>
      </c>
      <c r="AH4" s="146" t="s">
        <v>31</v>
      </c>
      <c r="AI4" s="146" t="s">
        <v>32</v>
      </c>
      <c r="AJ4" s="146" t="s">
        <v>33</v>
      </c>
    </row>
    <row r="5" spans="1:36" ht="41.5">
      <c r="C5" s="9" t="s">
        <v>34</v>
      </c>
      <c r="D5" s="9" t="s">
        <v>35</v>
      </c>
      <c r="E5" s="9" t="s">
        <v>36</v>
      </c>
      <c r="F5" s="64">
        <v>2021</v>
      </c>
      <c r="G5" s="108">
        <f>[2]mvkmPerTJ_EFF!$C$31</f>
        <v>0.26149196815675901</v>
      </c>
      <c r="H5" s="117">
        <f>AVERAGE([2]AFA_000kmPerVeh_AFA!$E$11:$K$11)</f>
        <v>14</v>
      </c>
      <c r="I5" s="108">
        <f>AVERAGE([2]Occupancy_ACTFLO_CAP2ACT!$D$11:$J$11)</f>
        <v>1.7136975206890199</v>
      </c>
      <c r="J5" s="132">
        <f>25.2*1.35</f>
        <v>34.020000000000003</v>
      </c>
      <c r="K5" s="133">
        <f>(0.2/1.6)*(10^9/I5)*1.35/10^6</f>
        <v>98.471286771863703</v>
      </c>
      <c r="L5" s="134">
        <f>1.733*1.35</f>
        <v>2.33955</v>
      </c>
      <c r="M5" s="134">
        <f>J5*95%</f>
        <v>32.319000000000003</v>
      </c>
      <c r="N5" s="135">
        <f>K5*0.95</f>
        <v>93.547722433270494</v>
      </c>
      <c r="O5" s="134">
        <f>L5*0.95</f>
        <v>2.2225725000000001</v>
      </c>
      <c r="P5" s="134">
        <f>J5*90%</f>
        <v>30.617999999999999</v>
      </c>
      <c r="Q5" s="135">
        <f>K5*0.9</f>
        <v>88.624158094677298</v>
      </c>
      <c r="R5" s="134">
        <f t="shared" ref="R5:R20" si="0">L5*0.9</f>
        <v>2.1055950000000001</v>
      </c>
      <c r="S5">
        <v>1E-3</v>
      </c>
      <c r="T5" s="2">
        <f t="shared" ref="T5:T18" si="1">30</f>
        <v>30</v>
      </c>
      <c r="AB5" s="148" t="s">
        <v>37</v>
      </c>
      <c r="AC5" s="148" t="s">
        <v>38</v>
      </c>
      <c r="AD5" s="148" t="s">
        <v>39</v>
      </c>
      <c r="AE5" s="148" t="s">
        <v>40</v>
      </c>
      <c r="AF5" s="148" t="s">
        <v>41</v>
      </c>
      <c r="AG5" s="148" t="s">
        <v>42</v>
      </c>
      <c r="AH5" s="148" t="s">
        <v>43</v>
      </c>
      <c r="AI5" s="148" t="s">
        <v>44</v>
      </c>
      <c r="AJ5" s="148" t="s">
        <v>45</v>
      </c>
    </row>
    <row r="6" spans="1:36">
      <c r="C6" s="9" t="s">
        <v>46</v>
      </c>
      <c r="D6" s="9" t="s">
        <v>47</v>
      </c>
      <c r="E6" s="9" t="s">
        <v>36</v>
      </c>
      <c r="F6" s="64">
        <v>2021</v>
      </c>
      <c r="G6" s="108">
        <f>[2]mvkmPerTJ_EFF!$C$32</f>
        <v>0.26149196815675901</v>
      </c>
      <c r="H6" s="117">
        <f>AVERAGE([2]AFA_000kmPerVeh_AFA!$E$12:$K$12)</f>
        <v>14</v>
      </c>
      <c r="I6" s="108">
        <f>AVERAGE([2]Occupancy_ACTFLO_CAP2ACT!$D$12:$J$12)</f>
        <v>1.7136975206890199</v>
      </c>
      <c r="J6" s="132">
        <f>25.2*1.35</f>
        <v>34.020000000000003</v>
      </c>
      <c r="K6" s="133">
        <f t="shared" ref="K6:K18" si="2">(0.2/1.6)*(10^9/I6)*1.35/10^6</f>
        <v>98.471286771863703</v>
      </c>
      <c r="L6" s="134">
        <f>1.733*1.35</f>
        <v>2.33955</v>
      </c>
      <c r="M6" s="134">
        <f t="shared" ref="M6:M27" si="3">J6*95%</f>
        <v>32.319000000000003</v>
      </c>
      <c r="N6" s="135">
        <f t="shared" ref="N6:N20" si="4">K6*0.95</f>
        <v>93.547722433270494</v>
      </c>
      <c r="O6" s="134">
        <f t="shared" ref="O6:O32" si="5">L6*0.95</f>
        <v>2.2225725000000001</v>
      </c>
      <c r="P6" s="134">
        <f t="shared" ref="P6:P27" si="6">J6*90%</f>
        <v>30.617999999999999</v>
      </c>
      <c r="Q6" s="135">
        <f t="shared" ref="Q6:Q20" si="7">K6*0.9</f>
        <v>88.624158094677298</v>
      </c>
      <c r="R6" s="134">
        <f t="shared" si="0"/>
        <v>2.1055950000000001</v>
      </c>
      <c r="S6">
        <v>1E-3</v>
      </c>
      <c r="T6" s="2">
        <f t="shared" si="1"/>
        <v>30</v>
      </c>
      <c r="AB6" s="149" t="s">
        <v>48</v>
      </c>
      <c r="AC6" s="150"/>
      <c r="AD6" s="150"/>
      <c r="AE6" s="150"/>
      <c r="AF6" s="150"/>
      <c r="AG6" s="150"/>
      <c r="AH6" s="150"/>
      <c r="AI6" s="150"/>
      <c r="AJ6" s="150"/>
    </row>
    <row r="7" spans="1:36">
      <c r="C7" s="9" t="s">
        <v>49</v>
      </c>
      <c r="D7" s="9" t="s">
        <v>35</v>
      </c>
      <c r="E7" s="9" t="s">
        <v>36</v>
      </c>
      <c r="F7" s="64">
        <v>2021</v>
      </c>
      <c r="G7" s="108">
        <f>[2]mvkmPerTJ_EFF!$C$33</f>
        <v>0.25731817182310801</v>
      </c>
      <c r="H7" s="117">
        <f>AVERAGE([2]AFA_000kmPerVeh_AFA!$E$13:$K$13)</f>
        <v>16.1428571428571</v>
      </c>
      <c r="I7" s="108">
        <f>AVERAGE([2]Occupancy_ACTFLO_CAP2ACT!$D$13:$J$13)</f>
        <v>0.55986165464205995</v>
      </c>
      <c r="J7" s="132">
        <f>25.2*1.35</f>
        <v>34.020000000000003</v>
      </c>
      <c r="K7" s="133">
        <f t="shared" si="2"/>
        <v>301.41374855880798</v>
      </c>
      <c r="L7" s="134">
        <f>1.733*1.35</f>
        <v>2.33955</v>
      </c>
      <c r="M7" s="134">
        <f t="shared" si="3"/>
        <v>32.319000000000003</v>
      </c>
      <c r="N7" s="135">
        <f t="shared" si="4"/>
        <v>286.343061130867</v>
      </c>
      <c r="O7" s="134">
        <f t="shared" si="5"/>
        <v>2.2225725000000001</v>
      </c>
      <c r="P7" s="134">
        <f t="shared" si="6"/>
        <v>30.617999999999999</v>
      </c>
      <c r="Q7" s="135">
        <f t="shared" si="7"/>
        <v>271.27237370292698</v>
      </c>
      <c r="R7" s="134">
        <f t="shared" si="0"/>
        <v>2.1055950000000001</v>
      </c>
      <c r="S7">
        <v>1E-3</v>
      </c>
      <c r="T7" s="2">
        <f t="shared" si="1"/>
        <v>30</v>
      </c>
      <c r="AB7" s="38" t="s">
        <v>50</v>
      </c>
      <c r="AC7" s="39"/>
      <c r="AD7" s="9" t="s">
        <v>34</v>
      </c>
      <c r="AE7" s="38"/>
      <c r="AF7" s="39" t="s">
        <v>51</v>
      </c>
      <c r="AG7" s="39" t="s">
        <v>52</v>
      </c>
      <c r="AH7" s="39"/>
      <c r="AI7" s="39" t="s">
        <v>53</v>
      </c>
      <c r="AJ7" s="39"/>
    </row>
    <row r="8" spans="1:36">
      <c r="C8" s="9" t="s">
        <v>54</v>
      </c>
      <c r="D8" s="9" t="s">
        <v>35</v>
      </c>
      <c r="E8" s="9" t="s">
        <v>36</v>
      </c>
      <c r="F8" s="64">
        <v>2021</v>
      </c>
      <c r="G8" s="108">
        <f>[2]mvkmPerTJ_EFF!$C$34</f>
        <v>0.14089741995368099</v>
      </c>
      <c r="H8" s="117">
        <f>AVERAGE([2]AFA_000kmPerVeh_AFA!$E$14:$K$14)</f>
        <v>19.1428571428571</v>
      </c>
      <c r="I8" s="108">
        <f>AVERAGE([2]Occupancy_ACTFLO_CAP2ACT!$D$14:$J$14)</f>
        <v>1.01179998747686</v>
      </c>
      <c r="J8" s="132">
        <f>58.6*1.35</f>
        <v>79.11</v>
      </c>
      <c r="K8" s="133">
        <f t="shared" si="2"/>
        <v>166.78197478615701</v>
      </c>
      <c r="L8" s="134">
        <f>1.733*1.35</f>
        <v>2.33955</v>
      </c>
      <c r="M8" s="134">
        <f t="shared" si="3"/>
        <v>75.154499999999999</v>
      </c>
      <c r="N8" s="135">
        <f t="shared" si="4"/>
        <v>158.44287604684899</v>
      </c>
      <c r="O8" s="134">
        <f t="shared" si="5"/>
        <v>2.2225725000000001</v>
      </c>
      <c r="P8" s="134">
        <f t="shared" si="6"/>
        <v>71.198999999999998</v>
      </c>
      <c r="Q8" s="135">
        <f t="shared" si="7"/>
        <v>150.10377730754101</v>
      </c>
      <c r="R8" s="134">
        <f t="shared" si="0"/>
        <v>2.1055950000000001</v>
      </c>
      <c r="S8">
        <v>1E-3</v>
      </c>
      <c r="T8" s="2">
        <f t="shared" si="1"/>
        <v>30</v>
      </c>
      <c r="AB8" s="39"/>
      <c r="AC8" s="39"/>
      <c r="AD8" s="9" t="s">
        <v>46</v>
      </c>
      <c r="AE8" s="38"/>
      <c r="AF8" s="39" t="s">
        <v>51</v>
      </c>
      <c r="AG8" s="39" t="s">
        <v>52</v>
      </c>
      <c r="AH8" s="39"/>
      <c r="AI8" s="39" t="s">
        <v>53</v>
      </c>
      <c r="AJ8" s="39"/>
    </row>
    <row r="9" spans="1:36">
      <c r="C9" s="9" t="s">
        <v>55</v>
      </c>
      <c r="D9" s="9" t="s">
        <v>47</v>
      </c>
      <c r="E9" s="9" t="s">
        <v>36</v>
      </c>
      <c r="F9" s="64">
        <v>2021</v>
      </c>
      <c r="G9" s="108">
        <f>[2]mvkmPerTJ_EFF!$C$35</f>
        <v>2.1517197458069002</v>
      </c>
      <c r="H9" s="117">
        <f>AVERAGE([2]AFA_000kmPerVeh_AFA!$E$15:$K$15)</f>
        <v>65.428571428571402</v>
      </c>
      <c r="I9" s="108">
        <f>AVERAGE([2]Occupancy_ACTFLO_CAP2ACT!$D$15:$J$15)</f>
        <v>0.31897029261652499</v>
      </c>
      <c r="J9" s="132">
        <f>164*1.35</f>
        <v>221.4</v>
      </c>
      <c r="K9" s="133">
        <f t="shared" si="2"/>
        <v>529.04613346822305</v>
      </c>
      <c r="L9" s="134">
        <f>1.733*1.35</f>
        <v>2.33955</v>
      </c>
      <c r="M9" s="134">
        <f t="shared" si="3"/>
        <v>210.33</v>
      </c>
      <c r="N9" s="135">
        <f t="shared" si="4"/>
        <v>502.593826794812</v>
      </c>
      <c r="O9" s="134">
        <f t="shared" si="5"/>
        <v>2.2225725000000001</v>
      </c>
      <c r="P9" s="134">
        <f t="shared" si="6"/>
        <v>199.26</v>
      </c>
      <c r="Q9" s="135">
        <f t="shared" si="7"/>
        <v>476.14152012140102</v>
      </c>
      <c r="R9" s="134">
        <f t="shared" si="0"/>
        <v>2.1055950000000001</v>
      </c>
      <c r="S9">
        <v>1E-3</v>
      </c>
      <c r="T9" s="2">
        <f t="shared" si="1"/>
        <v>30</v>
      </c>
      <c r="AB9" s="39"/>
      <c r="AC9" s="39"/>
      <c r="AD9" s="9" t="s">
        <v>49</v>
      </c>
      <c r="AE9" s="38"/>
      <c r="AF9" s="39" t="s">
        <v>51</v>
      </c>
      <c r="AG9" s="39" t="s">
        <v>52</v>
      </c>
      <c r="AH9" s="39"/>
      <c r="AI9" s="39" t="s">
        <v>53</v>
      </c>
      <c r="AJ9" s="39"/>
    </row>
    <row r="10" spans="1:36">
      <c r="C10" s="9" t="s">
        <v>56</v>
      </c>
      <c r="D10" s="9" t="s">
        <v>35</v>
      </c>
      <c r="E10" s="59" t="s">
        <v>57</v>
      </c>
      <c r="F10" s="64">
        <v>2021</v>
      </c>
      <c r="G10" s="108">
        <f>[2]mvkmPerTJ_EFF!$C$36</f>
        <v>0.54521420692670197</v>
      </c>
      <c r="H10" s="117">
        <f>AVERAGE([2]AFA_000kmPerVeh_AFA!$E$16:$K$16)</f>
        <v>4.0285714285714302</v>
      </c>
      <c r="I10" s="108">
        <f>AVERAGE([2]Occupancy_ACTFLO_CAP2ACT!$D$16:$J$16)</f>
        <v>1.1913302777819501</v>
      </c>
      <c r="J10" s="16">
        <f>14.5</f>
        <v>14.5</v>
      </c>
      <c r="K10" s="133">
        <f t="shared" si="2"/>
        <v>141.648376732423</v>
      </c>
      <c r="L10" s="16">
        <f>J10/100</f>
        <v>0.14499999999999999</v>
      </c>
      <c r="M10" s="16">
        <f t="shared" si="3"/>
        <v>13.775</v>
      </c>
      <c r="N10" s="135">
        <f t="shared" si="4"/>
        <v>134.565957895802</v>
      </c>
      <c r="O10" s="16">
        <f t="shared" si="5"/>
        <v>0.13775000000000001</v>
      </c>
      <c r="P10" s="16">
        <f t="shared" si="6"/>
        <v>13.05</v>
      </c>
      <c r="Q10" s="135">
        <f t="shared" si="7"/>
        <v>127.483539059181</v>
      </c>
      <c r="R10" s="16">
        <f t="shared" si="0"/>
        <v>0.1305</v>
      </c>
      <c r="S10">
        <v>1E-3</v>
      </c>
      <c r="T10" s="2">
        <f t="shared" si="1"/>
        <v>30</v>
      </c>
      <c r="X10" t="s">
        <v>58</v>
      </c>
      <c r="AB10" s="39"/>
      <c r="AC10" s="39"/>
      <c r="AD10" s="9" t="s">
        <v>54</v>
      </c>
      <c r="AE10" s="38"/>
      <c r="AF10" s="39" t="s">
        <v>51</v>
      </c>
      <c r="AG10" s="39" t="s">
        <v>52</v>
      </c>
      <c r="AH10" s="39"/>
      <c r="AI10" s="39" t="s">
        <v>53</v>
      </c>
      <c r="AJ10" s="39"/>
    </row>
    <row r="11" spans="1:36">
      <c r="C11" s="9" t="s">
        <v>59</v>
      </c>
      <c r="D11" s="9" t="s">
        <v>47</v>
      </c>
      <c r="E11" t="s">
        <v>60</v>
      </c>
      <c r="F11" s="64">
        <v>2021</v>
      </c>
      <c r="G11" s="108">
        <f>[2]mvkmPerTJ_EFF!$C$26</f>
        <v>0.133343131699898</v>
      </c>
      <c r="H11" s="118">
        <f>AVERAGE([2]AFA_000kmPerVeh_AFA!$E$6:$K$6)</f>
        <v>20.285714285714299</v>
      </c>
      <c r="I11" s="128">
        <f>AVERAGE([2]Occupancy_ACTFLO_CAP2ACT!$D$6:$J$6)</f>
        <v>21.973761148770802</v>
      </c>
      <c r="J11" s="134">
        <f>100*1.35</f>
        <v>135</v>
      </c>
      <c r="K11" s="133">
        <f t="shared" si="2"/>
        <v>7.67961382930749</v>
      </c>
      <c r="L11" s="136">
        <f>2.2*1.35</f>
        <v>2.97</v>
      </c>
      <c r="M11" s="136">
        <f t="shared" si="3"/>
        <v>128.25</v>
      </c>
      <c r="N11" s="135">
        <f t="shared" si="4"/>
        <v>7.2956331378421204</v>
      </c>
      <c r="O11" s="136">
        <f t="shared" si="5"/>
        <v>2.8214999999999999</v>
      </c>
      <c r="P11" s="136">
        <f t="shared" si="6"/>
        <v>121.5</v>
      </c>
      <c r="Q11" s="135">
        <f t="shared" si="7"/>
        <v>6.9116524463767401</v>
      </c>
      <c r="R11" s="136">
        <f t="shared" si="0"/>
        <v>2.673</v>
      </c>
      <c r="S11">
        <v>1E-3</v>
      </c>
      <c r="T11" s="2">
        <f t="shared" si="1"/>
        <v>30</v>
      </c>
      <c r="AB11" s="39"/>
      <c r="AC11" s="39"/>
      <c r="AD11" s="9" t="s">
        <v>55</v>
      </c>
      <c r="AE11" s="38"/>
      <c r="AF11" s="39" t="s">
        <v>51</v>
      </c>
      <c r="AG11" s="39" t="s">
        <v>52</v>
      </c>
      <c r="AH11" s="39"/>
      <c r="AI11" s="39" t="s">
        <v>53</v>
      </c>
      <c r="AJ11" s="39"/>
    </row>
    <row r="12" spans="1:36">
      <c r="C12" s="9" t="s">
        <v>61</v>
      </c>
      <c r="D12" s="9" t="s">
        <v>35</v>
      </c>
      <c r="E12" t="s">
        <v>60</v>
      </c>
      <c r="F12" s="64">
        <v>2021</v>
      </c>
      <c r="G12" s="108">
        <f>[2]mvkmPerTJ_EFF!$C$25</f>
        <v>0.133343131699898</v>
      </c>
      <c r="H12" s="118">
        <f>AVERAGE([2]AFA_000kmPerVeh_AFA!$E$5:$K$5)</f>
        <v>20.285714285714299</v>
      </c>
      <c r="I12" s="128">
        <f>AVERAGE([2]Occupancy_ACTFLO_CAP2ACT!$D$5:$J$5)</f>
        <v>21.973761148770802</v>
      </c>
      <c r="J12" s="134">
        <f>J11</f>
        <v>135</v>
      </c>
      <c r="K12" s="133">
        <f t="shared" si="2"/>
        <v>7.67961382930749</v>
      </c>
      <c r="L12" s="136">
        <f>2.2*1.35</f>
        <v>2.97</v>
      </c>
      <c r="M12" s="136">
        <f t="shared" si="3"/>
        <v>128.25</v>
      </c>
      <c r="N12" s="135">
        <f t="shared" si="4"/>
        <v>7.2956331378421204</v>
      </c>
      <c r="O12" s="136">
        <f t="shared" si="5"/>
        <v>2.8214999999999999</v>
      </c>
      <c r="P12" s="136">
        <f t="shared" si="6"/>
        <v>121.5</v>
      </c>
      <c r="Q12" s="135">
        <f t="shared" si="7"/>
        <v>6.9116524463767401</v>
      </c>
      <c r="R12" s="136">
        <f t="shared" si="0"/>
        <v>2.673</v>
      </c>
      <c r="S12">
        <v>1E-3</v>
      </c>
      <c r="T12" s="2">
        <f t="shared" si="1"/>
        <v>30</v>
      </c>
      <c r="AB12" s="151"/>
      <c r="AC12" s="151"/>
      <c r="AD12" s="9" t="s">
        <v>56</v>
      </c>
      <c r="AE12" s="152"/>
      <c r="AF12" s="151" t="s">
        <v>62</v>
      </c>
      <c r="AG12" s="151" t="s">
        <v>52</v>
      </c>
      <c r="AH12" s="151"/>
      <c r="AI12" s="151" t="s">
        <v>53</v>
      </c>
      <c r="AJ12" s="151"/>
    </row>
    <row r="13" spans="1:36">
      <c r="C13" s="9" t="s">
        <v>63</v>
      </c>
      <c r="D13" s="9" t="s">
        <v>47</v>
      </c>
      <c r="E13" t="s">
        <v>60</v>
      </c>
      <c r="F13" s="64">
        <v>2021</v>
      </c>
      <c r="G13" s="108">
        <f>[2]mvkmPerTJ_EFF!$C$28</f>
        <v>6.3850842403632105E-2</v>
      </c>
      <c r="H13" s="118">
        <f>AVERAGE([2]AFA_000kmPerVeh_AFA!$E$8:$K$8)</f>
        <v>39.857142857142897</v>
      </c>
      <c r="I13" s="128">
        <f>AVERAGE([2]Occupancy_ACTFLO_CAP2ACT!$D$8:$J$8)</f>
        <v>11.9384348573679</v>
      </c>
      <c r="J13" s="134">
        <f>500*1.35</f>
        <v>675</v>
      </c>
      <c r="K13" s="133">
        <f t="shared" si="2"/>
        <v>14.135018703549299</v>
      </c>
      <c r="L13" s="136">
        <f>L11</f>
        <v>2.97</v>
      </c>
      <c r="M13" s="136">
        <f t="shared" si="3"/>
        <v>641.25</v>
      </c>
      <c r="N13" s="135">
        <f t="shared" si="4"/>
        <v>13.4282677683718</v>
      </c>
      <c r="O13" s="136">
        <f t="shared" si="5"/>
        <v>2.8214999999999999</v>
      </c>
      <c r="P13" s="136">
        <f t="shared" si="6"/>
        <v>607.5</v>
      </c>
      <c r="Q13" s="135">
        <f t="shared" si="7"/>
        <v>12.7215168331944</v>
      </c>
      <c r="R13" s="136">
        <f t="shared" si="0"/>
        <v>2.673</v>
      </c>
      <c r="S13">
        <v>1E-3</v>
      </c>
      <c r="T13" s="2">
        <f t="shared" si="1"/>
        <v>30</v>
      </c>
      <c r="AB13" s="39"/>
      <c r="AC13" s="39"/>
      <c r="AD13" s="9" t="s">
        <v>59</v>
      </c>
      <c r="AE13" s="38"/>
      <c r="AF13" s="39" t="s">
        <v>62</v>
      </c>
      <c r="AG13" s="39" t="s">
        <v>52</v>
      </c>
      <c r="AH13" s="39"/>
      <c r="AI13" s="39" t="s">
        <v>53</v>
      </c>
      <c r="AJ13" s="39"/>
    </row>
    <row r="14" spans="1:36">
      <c r="C14" s="9" t="s">
        <v>64</v>
      </c>
      <c r="D14" s="9" t="s">
        <v>35</v>
      </c>
      <c r="E14" t="s">
        <v>60</v>
      </c>
      <c r="F14" s="64">
        <v>2021</v>
      </c>
      <c r="G14" s="108">
        <f>[2]mvkmPerTJ_EFF!$C$27</f>
        <v>6.3850842403632105E-2</v>
      </c>
      <c r="H14" s="118">
        <f>AVERAGE([2]AFA_000kmPerVeh_AFA!$E$7:$K$7)</f>
        <v>39.857142857142897</v>
      </c>
      <c r="I14" s="128">
        <f>AVERAGE([2]Occupancy_ACTFLO_CAP2ACT!$D$7:$J$7)</f>
        <v>11.9384348573679</v>
      </c>
      <c r="J14" s="134">
        <f>500*1.35</f>
        <v>675</v>
      </c>
      <c r="K14" s="133">
        <f t="shared" si="2"/>
        <v>14.135018703549299</v>
      </c>
      <c r="L14" s="136">
        <f>L12</f>
        <v>2.97</v>
      </c>
      <c r="M14" s="136">
        <f t="shared" si="3"/>
        <v>641.25</v>
      </c>
      <c r="N14" s="135">
        <f t="shared" si="4"/>
        <v>13.4282677683718</v>
      </c>
      <c r="O14" s="136">
        <f t="shared" si="5"/>
        <v>2.8214999999999999</v>
      </c>
      <c r="P14" s="136">
        <f t="shared" si="6"/>
        <v>607.5</v>
      </c>
      <c r="Q14" s="135">
        <f t="shared" si="7"/>
        <v>12.7215168331944</v>
      </c>
      <c r="R14" s="136">
        <f t="shared" si="0"/>
        <v>2.673</v>
      </c>
      <c r="S14">
        <v>1E-3</v>
      </c>
      <c r="T14" s="2">
        <f t="shared" si="1"/>
        <v>30</v>
      </c>
      <c r="AB14" s="39"/>
      <c r="AC14" s="39"/>
      <c r="AD14" s="9" t="s">
        <v>61</v>
      </c>
      <c r="AE14" s="38"/>
      <c r="AF14" s="39" t="s">
        <v>62</v>
      </c>
      <c r="AG14" s="39" t="s">
        <v>52</v>
      </c>
      <c r="AH14" s="39"/>
      <c r="AI14" s="39" t="s">
        <v>53</v>
      </c>
      <c r="AJ14" s="39"/>
    </row>
    <row r="15" spans="1:36">
      <c r="C15" s="9" t="s">
        <v>65</v>
      </c>
      <c r="D15" s="9" t="s">
        <v>47</v>
      </c>
      <c r="E15" t="s">
        <v>60</v>
      </c>
      <c r="F15" s="64">
        <v>2021</v>
      </c>
      <c r="G15" s="108">
        <f>[2]mvkmPerTJ_EFF!$C$30</f>
        <v>0.145004147394624</v>
      </c>
      <c r="H15" s="118">
        <f>AVERAGE([2]AFA_000kmPerVeh_AFA!$E$10:$K$10)</f>
        <v>33.714285714285701</v>
      </c>
      <c r="I15" s="128">
        <f>AVERAGE([2]Occupancy_ACTFLO_CAP2ACT!$D$10:$J$10)</f>
        <v>16.3807963706479</v>
      </c>
      <c r="J15" s="134">
        <f>500*1.35</f>
        <v>675</v>
      </c>
      <c r="K15" s="133">
        <f t="shared" si="2"/>
        <v>10.301696949385001</v>
      </c>
      <c r="L15" s="136">
        <f>1.4*1.35</f>
        <v>1.89</v>
      </c>
      <c r="M15" s="136">
        <f t="shared" si="3"/>
        <v>641.25</v>
      </c>
      <c r="N15" s="135">
        <f t="shared" si="4"/>
        <v>9.7866121019157095</v>
      </c>
      <c r="O15" s="136">
        <f t="shared" si="5"/>
        <v>1.7955000000000001</v>
      </c>
      <c r="P15" s="136">
        <f t="shared" si="6"/>
        <v>607.5</v>
      </c>
      <c r="Q15" s="135">
        <f t="shared" si="7"/>
        <v>9.2715272544464593</v>
      </c>
      <c r="R15" s="136">
        <f t="shared" si="0"/>
        <v>1.7010000000000001</v>
      </c>
      <c r="S15">
        <v>1E-3</v>
      </c>
      <c r="T15" s="2">
        <f t="shared" si="1"/>
        <v>30</v>
      </c>
      <c r="AB15" s="39"/>
      <c r="AC15" s="39"/>
      <c r="AD15" s="9" t="s">
        <v>63</v>
      </c>
      <c r="AE15" s="38"/>
      <c r="AF15" s="39" t="s">
        <v>62</v>
      </c>
      <c r="AG15" s="39" t="s">
        <v>52</v>
      </c>
      <c r="AH15" s="39"/>
      <c r="AI15" s="39" t="s">
        <v>53</v>
      </c>
      <c r="AJ15" s="39"/>
    </row>
    <row r="16" spans="1:36">
      <c r="C16" s="9" t="s">
        <v>66</v>
      </c>
      <c r="D16" s="9" t="s">
        <v>35</v>
      </c>
      <c r="E16" t="s">
        <v>60</v>
      </c>
      <c r="F16" s="64">
        <v>2021</v>
      </c>
      <c r="G16" s="108">
        <f>[2]mvkmPerTJ_EFF!$C$29</f>
        <v>0.145004147394624</v>
      </c>
      <c r="H16" s="118">
        <f>AVERAGE([2]AFA_000kmPerVeh_AFA!$E$9:$K$9)</f>
        <v>33.714285714285701</v>
      </c>
      <c r="I16" s="128">
        <f>AVERAGE([2]Occupancy_ACTFLO_CAP2ACT!$D$9:$J$9)</f>
        <v>16.3807963706479</v>
      </c>
      <c r="J16" s="134">
        <f>500*1.35</f>
        <v>675</v>
      </c>
      <c r="K16" s="133">
        <f t="shared" si="2"/>
        <v>10.301696949385001</v>
      </c>
      <c r="L16" s="136">
        <f>1.4*1.35</f>
        <v>1.89</v>
      </c>
      <c r="M16" s="136">
        <f t="shared" si="3"/>
        <v>641.25</v>
      </c>
      <c r="N16" s="135">
        <f t="shared" si="4"/>
        <v>9.7866121019157095</v>
      </c>
      <c r="O16" s="136">
        <f t="shared" si="5"/>
        <v>1.7955000000000001</v>
      </c>
      <c r="P16" s="136">
        <f t="shared" si="6"/>
        <v>607.5</v>
      </c>
      <c r="Q16" s="135">
        <f t="shared" si="7"/>
        <v>9.2715272544464593</v>
      </c>
      <c r="R16" s="136">
        <f t="shared" si="0"/>
        <v>1.7010000000000001</v>
      </c>
      <c r="S16">
        <v>1E-3</v>
      </c>
      <c r="T16" s="2">
        <f t="shared" si="1"/>
        <v>30</v>
      </c>
      <c r="AB16" s="39"/>
      <c r="AC16" s="39"/>
      <c r="AD16" s="9" t="s">
        <v>64</v>
      </c>
      <c r="AE16" s="38"/>
      <c r="AF16" s="39" t="s">
        <v>62</v>
      </c>
      <c r="AG16" s="39" t="s">
        <v>52</v>
      </c>
      <c r="AH16" s="39"/>
      <c r="AI16" s="39" t="s">
        <v>53</v>
      </c>
      <c r="AJ16" s="39"/>
    </row>
    <row r="17" spans="3:36">
      <c r="C17" s="119" t="s">
        <v>67</v>
      </c>
      <c r="D17" s="119" t="s">
        <v>35</v>
      </c>
      <c r="E17" s="119" t="s">
        <v>68</v>
      </c>
      <c r="F17" s="105">
        <v>2021</v>
      </c>
      <c r="G17" s="120">
        <f>[2]mvkmPerTJ_EFF!$C$37</f>
        <v>0.36116907686775102</v>
      </c>
      <c r="H17" s="121">
        <f>AVERAGE([2]AFA_000kmPerVeh_AFA!$E$17:$K$17)</f>
        <v>13.005857142857099</v>
      </c>
      <c r="I17" s="124">
        <f>AVERAGE([2]Occupancy_ACTFLO_CAP2ACT!$D$17:$J$17)</f>
        <v>1.58589639888736</v>
      </c>
      <c r="J17" s="134">
        <f>22.8*1.35</f>
        <v>30.78</v>
      </c>
      <c r="K17" s="133">
        <f t="shared" si="2"/>
        <v>106.40669851977199</v>
      </c>
      <c r="L17" s="137">
        <f>1.533*1.35</f>
        <v>2.06955</v>
      </c>
      <c r="M17" s="137">
        <f t="shared" si="3"/>
        <v>29.241</v>
      </c>
      <c r="N17" s="135">
        <f t="shared" si="4"/>
        <v>101.086363593784</v>
      </c>
      <c r="O17" s="136">
        <f t="shared" si="5"/>
        <v>1.9660724999999999</v>
      </c>
      <c r="P17" s="136">
        <f t="shared" si="6"/>
        <v>27.702000000000002</v>
      </c>
      <c r="Q17" s="135">
        <f t="shared" si="7"/>
        <v>95.766028667795098</v>
      </c>
      <c r="R17" s="136">
        <f t="shared" si="0"/>
        <v>1.862595</v>
      </c>
      <c r="S17" s="141">
        <v>1E-3</v>
      </c>
      <c r="T17" s="142">
        <f t="shared" si="1"/>
        <v>30</v>
      </c>
      <c r="AB17" s="39"/>
      <c r="AC17" s="39"/>
      <c r="AD17" s="9" t="s">
        <v>65</v>
      </c>
      <c r="AE17" s="38"/>
      <c r="AF17" s="39" t="s">
        <v>62</v>
      </c>
      <c r="AG17" s="39" t="s">
        <v>52</v>
      </c>
      <c r="AH17" s="39"/>
      <c r="AI17" s="39" t="s">
        <v>53</v>
      </c>
      <c r="AJ17" s="39"/>
    </row>
    <row r="18" spans="3:36">
      <c r="C18" s="119" t="s">
        <v>69</v>
      </c>
      <c r="D18" s="119" t="s">
        <v>47</v>
      </c>
      <c r="E18" s="119" t="s">
        <v>68</v>
      </c>
      <c r="F18" s="105">
        <v>2021</v>
      </c>
      <c r="G18" s="120">
        <f>[2]mvkmPerTJ_EFF!$C$38</f>
        <v>0.36135614783700698</v>
      </c>
      <c r="H18" s="121">
        <f>AVERAGE([2]AFA_000kmPerVeh_AFA!$E$18:$K$18)</f>
        <v>13.005857142857099</v>
      </c>
      <c r="I18" s="124">
        <f>AVERAGE([2]Occupancy_ACTFLO_CAP2ACT!$D$18:$J$18)</f>
        <v>1.58589639888736</v>
      </c>
      <c r="J18" s="134">
        <f>22.8*1.35</f>
        <v>30.78</v>
      </c>
      <c r="K18" s="133">
        <f t="shared" si="2"/>
        <v>106.40669851977199</v>
      </c>
      <c r="L18" s="134">
        <f>1.533*1.35</f>
        <v>2.06955</v>
      </c>
      <c r="M18" s="134">
        <f t="shared" si="3"/>
        <v>29.241</v>
      </c>
      <c r="N18" s="135">
        <f t="shared" si="4"/>
        <v>101.086363593784</v>
      </c>
      <c r="O18" s="136">
        <f t="shared" si="5"/>
        <v>1.9660724999999999</v>
      </c>
      <c r="P18" s="136">
        <f t="shared" si="6"/>
        <v>27.702000000000002</v>
      </c>
      <c r="Q18" s="135">
        <f t="shared" si="7"/>
        <v>95.766028667795098</v>
      </c>
      <c r="R18" s="136">
        <f t="shared" si="0"/>
        <v>1.862595</v>
      </c>
      <c r="S18" s="141">
        <v>1E-3</v>
      </c>
      <c r="T18" s="142">
        <f t="shared" si="1"/>
        <v>30</v>
      </c>
      <c r="AB18" s="39"/>
      <c r="AC18" s="39"/>
      <c r="AD18" s="9" t="s">
        <v>66</v>
      </c>
      <c r="AE18" s="38"/>
      <c r="AF18" s="39" t="s">
        <v>62</v>
      </c>
      <c r="AG18" s="39" t="s">
        <v>52</v>
      </c>
      <c r="AH18" s="39"/>
      <c r="AI18" s="39" t="s">
        <v>53</v>
      </c>
      <c r="AJ18" s="39"/>
    </row>
    <row r="19" spans="3:36">
      <c r="C19" s="122" t="s">
        <v>70</v>
      </c>
      <c r="D19" s="119" t="s">
        <v>71</v>
      </c>
      <c r="E19" s="119" t="s">
        <v>68</v>
      </c>
      <c r="F19" s="105">
        <v>2021</v>
      </c>
      <c r="G19" s="123">
        <f>AVERAGE([2]Electric_vehecle!$D$72:$J$72)</f>
        <v>3.3039999999999998</v>
      </c>
      <c r="H19" s="124">
        <f>AVERAGE([2]Electric_vehecle!$D$49:$J$49)</f>
        <v>20</v>
      </c>
      <c r="I19" s="124">
        <f>AVERAGE([2]Occupancy_ACTFLO_CAP2ACT!$D$19:$J$19)</f>
        <v>1.58589639888736</v>
      </c>
      <c r="J19" s="134">
        <f>31.5*1.35</f>
        <v>42.524999999999999</v>
      </c>
      <c r="K19" s="133">
        <f>(0.1/1.6)*(10^9/I19)*1.35/10^6</f>
        <v>53.203349259886203</v>
      </c>
      <c r="L19" s="134">
        <f>L17</f>
        <v>2.06955</v>
      </c>
      <c r="M19" s="134">
        <f t="shared" si="3"/>
        <v>40.39875</v>
      </c>
      <c r="N19" s="135">
        <f t="shared" si="4"/>
        <v>50.543181796891901</v>
      </c>
      <c r="O19" s="136">
        <f t="shared" si="5"/>
        <v>1.9660724999999999</v>
      </c>
      <c r="P19" s="136">
        <f t="shared" si="6"/>
        <v>38.272500000000001</v>
      </c>
      <c r="Q19" s="135">
        <f t="shared" si="7"/>
        <v>47.883014333897599</v>
      </c>
      <c r="R19" s="136">
        <f t="shared" si="0"/>
        <v>1.862595</v>
      </c>
      <c r="S19" s="136">
        <v>1E-3</v>
      </c>
      <c r="T19" s="138">
        <v>8</v>
      </c>
      <c r="U19" s="143">
        <v>1</v>
      </c>
      <c r="W19" s="64" t="s">
        <v>72</v>
      </c>
      <c r="AD19" s="9" t="s">
        <v>67</v>
      </c>
      <c r="AF19" s="39" t="s">
        <v>62</v>
      </c>
      <c r="AG19" s="39" t="s">
        <v>52</v>
      </c>
      <c r="AI19" s="39" t="s">
        <v>53</v>
      </c>
    </row>
    <row r="20" spans="3:36">
      <c r="C20" s="122" t="s">
        <v>73</v>
      </c>
      <c r="D20" s="119" t="s">
        <v>71</v>
      </c>
      <c r="E20" s="119" t="s">
        <v>68</v>
      </c>
      <c r="F20" s="105">
        <v>2021</v>
      </c>
      <c r="G20" s="123">
        <f>AVERAGE([2]Electric_vehecle!$D$73:$J$73)</f>
        <v>3.3039999999999998</v>
      </c>
      <c r="H20" s="124">
        <f>AVERAGE([2]Electric_vehecle!$D$50:$J$50)</f>
        <v>20</v>
      </c>
      <c r="I20" s="124">
        <f>AVERAGE([2]Occupancy_ACTFLO_CAP2ACT!$D$20:$J$20)</f>
        <v>1.58589639888736</v>
      </c>
      <c r="J20" s="134">
        <f>25.3*1.35</f>
        <v>34.155000000000001</v>
      </c>
      <c r="K20" s="133">
        <f t="shared" ref="K20:K25" si="8">(0.15/1.6)*(10^9/I20)*1.35/10^6</f>
        <v>79.8050238898293</v>
      </c>
      <c r="L20" s="134">
        <f>L19</f>
        <v>2.06955</v>
      </c>
      <c r="M20" s="134">
        <f t="shared" si="3"/>
        <v>32.447249999999997</v>
      </c>
      <c r="N20" s="135">
        <f t="shared" si="4"/>
        <v>75.814772695337794</v>
      </c>
      <c r="O20" s="136">
        <f t="shared" si="5"/>
        <v>1.9660724999999999</v>
      </c>
      <c r="P20" s="136">
        <f t="shared" si="6"/>
        <v>30.7395</v>
      </c>
      <c r="Q20" s="135">
        <f t="shared" si="7"/>
        <v>71.824521500846302</v>
      </c>
      <c r="R20" s="136">
        <f t="shared" si="0"/>
        <v>1.862595</v>
      </c>
      <c r="S20" s="134">
        <v>1E-3</v>
      </c>
      <c r="T20" s="138">
        <v>8</v>
      </c>
      <c r="U20" s="144">
        <v>0.9</v>
      </c>
      <c r="AD20" s="9" t="s">
        <v>69</v>
      </c>
      <c r="AF20" s="39" t="s">
        <v>62</v>
      </c>
      <c r="AG20" s="39" t="s">
        <v>52</v>
      </c>
      <c r="AI20" s="39" t="s">
        <v>53</v>
      </c>
    </row>
    <row r="21" spans="3:36">
      <c r="C21" s="122"/>
      <c r="D21" s="119" t="s">
        <v>35</v>
      </c>
      <c r="E21" s="119"/>
      <c r="F21" s="105"/>
      <c r="G21" s="125"/>
      <c r="H21" s="124"/>
      <c r="I21" s="95"/>
      <c r="J21" s="110"/>
      <c r="K21" s="110"/>
      <c r="L21" s="138"/>
      <c r="M21" s="138"/>
      <c r="N21" s="138"/>
      <c r="O21" s="136"/>
      <c r="P21" s="136"/>
      <c r="Q21" s="136"/>
      <c r="R21" s="136"/>
      <c r="S21" s="110"/>
      <c r="T21" s="142"/>
      <c r="U21" s="144">
        <v>0.1</v>
      </c>
      <c r="AD21" s="126" t="s">
        <v>70</v>
      </c>
      <c r="AF21" s="39" t="s">
        <v>62</v>
      </c>
      <c r="AG21" s="39" t="s">
        <v>52</v>
      </c>
      <c r="AI21" s="39" t="s">
        <v>53</v>
      </c>
    </row>
    <row r="22" spans="3:36">
      <c r="C22" s="122" t="s">
        <v>74</v>
      </c>
      <c r="D22" s="119" t="s">
        <v>71</v>
      </c>
      <c r="E22" s="119" t="s">
        <v>68</v>
      </c>
      <c r="F22" s="105">
        <v>2021</v>
      </c>
      <c r="G22" s="123">
        <f>AVERAGE([2]Electric_vehecle!$D$75:$J$75)</f>
        <v>1.9470000000000001</v>
      </c>
      <c r="H22" s="124">
        <f>AVERAGE([2]Electric_vehecle!$D$52:$J$52)</f>
        <v>20</v>
      </c>
      <c r="I22" s="124">
        <f>AVERAGE([2]Occupancy_ACTFLO_CAP2ACT!$D$21:$J$21)</f>
        <v>1.58589639888736</v>
      </c>
      <c r="J22" s="134">
        <f>J20</f>
        <v>34.155000000000001</v>
      </c>
      <c r="K22" s="133">
        <f t="shared" si="8"/>
        <v>79.8050238898293</v>
      </c>
      <c r="L22" s="134">
        <f>L20</f>
        <v>2.06955</v>
      </c>
      <c r="M22" s="134">
        <f t="shared" si="3"/>
        <v>32.447249999999997</v>
      </c>
      <c r="N22" s="135">
        <f t="shared" ref="N22:N27" si="9">K22*0.95</f>
        <v>75.814772695337794</v>
      </c>
      <c r="O22" s="136">
        <f t="shared" si="5"/>
        <v>1.9660724999999999</v>
      </c>
      <c r="P22" s="136">
        <f t="shared" si="6"/>
        <v>30.7395</v>
      </c>
      <c r="Q22" s="135">
        <f t="shared" ref="Q22:Q27" si="10">K22*0.9</f>
        <v>71.824521500846302</v>
      </c>
      <c r="R22" s="136">
        <f>R20</f>
        <v>1.862595</v>
      </c>
      <c r="S22" s="134">
        <v>1E-3</v>
      </c>
      <c r="T22" s="138">
        <v>8</v>
      </c>
      <c r="U22" s="143">
        <v>0.5</v>
      </c>
      <c r="AD22" s="126" t="s">
        <v>73</v>
      </c>
      <c r="AF22" s="39" t="s">
        <v>62</v>
      </c>
      <c r="AG22" s="39" t="s">
        <v>52</v>
      </c>
      <c r="AI22" s="39" t="s">
        <v>53</v>
      </c>
    </row>
    <row r="23" spans="3:36">
      <c r="C23" s="126"/>
      <c r="D23" s="9" t="s">
        <v>35</v>
      </c>
      <c r="E23" s="9"/>
      <c r="G23" s="127"/>
      <c r="H23" s="128"/>
      <c r="I23" s="51"/>
      <c r="L23" s="16"/>
      <c r="M23" s="16"/>
      <c r="N23" s="16"/>
      <c r="O23" s="16"/>
      <c r="P23" s="16"/>
      <c r="Q23" s="16"/>
      <c r="R23" s="16"/>
      <c r="T23" s="2"/>
      <c r="U23" s="144">
        <v>0.5</v>
      </c>
      <c r="AD23" s="126" t="s">
        <v>74</v>
      </c>
      <c r="AF23" s="39" t="s">
        <v>62</v>
      </c>
      <c r="AG23" s="39" t="s">
        <v>52</v>
      </c>
      <c r="AI23" s="39" t="s">
        <v>53</v>
      </c>
    </row>
    <row r="24" spans="3:36">
      <c r="C24" s="126" t="s">
        <v>75</v>
      </c>
      <c r="D24" s="9" t="s">
        <v>71</v>
      </c>
      <c r="E24" s="9" t="s">
        <v>36</v>
      </c>
      <c r="F24" s="64">
        <v>2021</v>
      </c>
      <c r="G24" s="129">
        <f>AVERAGE([2]Electric_vehecle!$F$78:$L$78)</f>
        <v>1.288</v>
      </c>
      <c r="H24" s="128">
        <f>AVERAGE([2]Electric_vehecle!$D$54:$J$54)</f>
        <v>22</v>
      </c>
      <c r="I24" s="108">
        <f>AVERAGE([2]Occupancy_ACTFLO_CAP2ACT!$D$22:$J$22)</f>
        <v>1.7136975206890199</v>
      </c>
      <c r="J24" s="136">
        <f>44.3*1.35</f>
        <v>59.805</v>
      </c>
      <c r="K24" s="133">
        <f>(0.1/1.6)*(10^9/I24)*1.35/10^6</f>
        <v>49.235643385931802</v>
      </c>
      <c r="L24" s="136">
        <f>L5</f>
        <v>2.33955</v>
      </c>
      <c r="M24" s="136">
        <f t="shared" si="3"/>
        <v>56.814749999999997</v>
      </c>
      <c r="N24" s="135">
        <f t="shared" si="9"/>
        <v>46.773861216635197</v>
      </c>
      <c r="O24" s="136">
        <f t="shared" si="5"/>
        <v>2.2225725000000001</v>
      </c>
      <c r="P24" s="136">
        <f t="shared" si="6"/>
        <v>53.8245</v>
      </c>
      <c r="Q24" s="135">
        <f t="shared" si="10"/>
        <v>44.312079047338699</v>
      </c>
      <c r="R24" s="136">
        <f>R5</f>
        <v>2.1055950000000001</v>
      </c>
      <c r="S24" s="136">
        <v>1E-3</v>
      </c>
      <c r="T24" s="138">
        <v>8</v>
      </c>
      <c r="U24" s="144">
        <v>1</v>
      </c>
      <c r="AD24" s="126" t="s">
        <v>75</v>
      </c>
      <c r="AF24" s="39" t="s">
        <v>51</v>
      </c>
      <c r="AG24" s="39" t="s">
        <v>52</v>
      </c>
      <c r="AI24" s="39" t="s">
        <v>53</v>
      </c>
    </row>
    <row r="25" spans="3:36">
      <c r="C25" s="126" t="s">
        <v>76</v>
      </c>
      <c r="D25" s="9" t="s">
        <v>71</v>
      </c>
      <c r="E25" s="9" t="s">
        <v>36</v>
      </c>
      <c r="F25" s="64">
        <v>2021</v>
      </c>
      <c r="G25" s="129">
        <f>AVERAGE([2]Electric_vehecle!$F$77:$K$77)</f>
        <v>1.288</v>
      </c>
      <c r="H25" s="128">
        <f>AVERAGE([2]Electric_vehecle!$D$55:$J$55)</f>
        <v>22</v>
      </c>
      <c r="I25" s="108">
        <f>AVERAGE([2]Occupancy_ACTFLO_CAP2ACT!$D$23:$J$23)</f>
        <v>1.7136975206890199</v>
      </c>
      <c r="J25" s="136">
        <f>30.5*1.35</f>
        <v>41.174999999999997</v>
      </c>
      <c r="K25" s="133">
        <f t="shared" si="8"/>
        <v>73.853465078897699</v>
      </c>
      <c r="L25" s="136">
        <f>L6</f>
        <v>2.33955</v>
      </c>
      <c r="M25" s="136">
        <f t="shared" si="3"/>
        <v>39.116250000000001</v>
      </c>
      <c r="N25" s="135">
        <f t="shared" si="9"/>
        <v>70.160791824952895</v>
      </c>
      <c r="O25" s="136">
        <f t="shared" si="5"/>
        <v>2.2225725000000001</v>
      </c>
      <c r="P25" s="136">
        <f t="shared" si="6"/>
        <v>37.057499999999997</v>
      </c>
      <c r="Q25" s="135">
        <f t="shared" si="10"/>
        <v>66.468118571008006</v>
      </c>
      <c r="R25" s="136">
        <f>R6</f>
        <v>2.1055950000000001</v>
      </c>
      <c r="S25" s="136">
        <v>1E-3</v>
      </c>
      <c r="T25" s="138">
        <v>8</v>
      </c>
      <c r="U25" s="144">
        <v>0.9</v>
      </c>
      <c r="AD25" s="126" t="s">
        <v>76</v>
      </c>
      <c r="AF25" s="39" t="s">
        <v>51</v>
      </c>
      <c r="AG25" s="39" t="s">
        <v>52</v>
      </c>
      <c r="AI25" s="39" t="s">
        <v>53</v>
      </c>
    </row>
    <row r="26" spans="3:36">
      <c r="C26" s="126"/>
      <c r="D26" s="9" t="s">
        <v>35</v>
      </c>
      <c r="E26" s="9"/>
      <c r="G26" s="129"/>
      <c r="H26" s="128"/>
      <c r="I26" s="109"/>
      <c r="J26" s="136"/>
      <c r="K26" s="136"/>
      <c r="L26" s="136"/>
      <c r="M26" s="136"/>
      <c r="N26" s="136"/>
      <c r="O26" s="136"/>
      <c r="P26" s="136"/>
      <c r="Q26" s="136"/>
      <c r="R26" s="136"/>
      <c r="S26" s="136"/>
      <c r="T26" s="138"/>
      <c r="U26" s="144">
        <v>0.1</v>
      </c>
      <c r="AD26" s="126" t="s">
        <v>77</v>
      </c>
      <c r="AF26" s="39" t="s">
        <v>51</v>
      </c>
      <c r="AG26" s="39" t="s">
        <v>52</v>
      </c>
      <c r="AI26" s="39" t="s">
        <v>53</v>
      </c>
    </row>
    <row r="27" spans="3:36">
      <c r="C27" s="126" t="s">
        <v>77</v>
      </c>
      <c r="D27" s="9" t="s">
        <v>71</v>
      </c>
      <c r="E27" s="9" t="s">
        <v>36</v>
      </c>
      <c r="F27" s="64">
        <v>2021</v>
      </c>
      <c r="G27" s="129">
        <f>AVERAGE([2]Electric_vehecle!$F$80:$L$80)</f>
        <v>0.75900000000000001</v>
      </c>
      <c r="H27" s="128">
        <f>AVERAGE([2]Electric_vehecle!$D$57:$J$57)</f>
        <v>22</v>
      </c>
      <c r="I27" s="108">
        <f>AVERAGE([2]Occupancy_ACTFLO_CAP2ACT!$D$24:$J$24)</f>
        <v>1.7136975206890199</v>
      </c>
      <c r="J27" s="136">
        <f>J25</f>
        <v>41.174999999999997</v>
      </c>
      <c r="K27" s="133">
        <f>(0.15/1.6)*(10^9/I27)*1.35/10^6</f>
        <v>73.853465078897699</v>
      </c>
      <c r="L27" s="136">
        <f>L7</f>
        <v>2.33955</v>
      </c>
      <c r="M27" s="136">
        <f t="shared" si="3"/>
        <v>39.116250000000001</v>
      </c>
      <c r="N27" s="135">
        <f t="shared" si="9"/>
        <v>70.160791824952895</v>
      </c>
      <c r="O27" s="136">
        <f t="shared" si="5"/>
        <v>2.2225725000000001</v>
      </c>
      <c r="P27" s="136">
        <f t="shared" si="6"/>
        <v>37.057499999999997</v>
      </c>
      <c r="Q27" s="135">
        <f t="shared" si="10"/>
        <v>66.468118571008006</v>
      </c>
      <c r="R27" s="136">
        <f>R7</f>
        <v>2.1055950000000001</v>
      </c>
      <c r="S27" s="136">
        <v>1E-3</v>
      </c>
      <c r="T27" s="138">
        <v>8</v>
      </c>
      <c r="U27" s="144">
        <v>0.5</v>
      </c>
      <c r="AD27" s="9" t="s">
        <v>78</v>
      </c>
      <c r="AE27" s="153"/>
      <c r="AF27" s="153" t="s">
        <v>79</v>
      </c>
      <c r="AG27" s="153" t="s">
        <v>80</v>
      </c>
    </row>
    <row r="28" spans="3:36">
      <c r="D28" s="9" t="s">
        <v>35</v>
      </c>
      <c r="G28" s="51"/>
      <c r="H28" s="51"/>
      <c r="I28" s="51"/>
      <c r="M28" s="16"/>
      <c r="N28" s="16"/>
      <c r="O28" s="16"/>
      <c r="T28" s="2"/>
      <c r="U28" s="144">
        <v>0.5</v>
      </c>
      <c r="Y28" s="154"/>
      <c r="AD28" s="9" t="s">
        <v>81</v>
      </c>
      <c r="AE28" s="153"/>
      <c r="AF28" s="153" t="s">
        <v>79</v>
      </c>
      <c r="AG28" s="153" t="s">
        <v>80</v>
      </c>
    </row>
    <row r="29" spans="3:36">
      <c r="C29" s="9" t="s">
        <v>78</v>
      </c>
      <c r="D29" t="s">
        <v>71</v>
      </c>
      <c r="E29" t="s">
        <v>60</v>
      </c>
      <c r="F29">
        <v>2021</v>
      </c>
      <c r="G29" s="109">
        <f>TRA!G11*5.6</f>
        <v>0.74672153751942905</v>
      </c>
      <c r="H29" s="130">
        <f>AVERAGE([2]AFA_000kmPerVeh_AFA!$E$5:$K$10)</f>
        <v>31.285714285714299</v>
      </c>
      <c r="I29" s="109">
        <f>TRA!I11</f>
        <v>21.973761148770802</v>
      </c>
      <c r="J29" s="139">
        <f>250*1.35</f>
        <v>337.5</v>
      </c>
      <c r="K29" s="133">
        <f t="shared" ref="K29:K32" si="11">(0.1/1.6)*(10^9/I29)*1.35/10^6</f>
        <v>3.8398069146537401</v>
      </c>
      <c r="L29" s="136">
        <f>L11</f>
        <v>2.97</v>
      </c>
      <c r="M29" s="136">
        <f t="shared" ref="M29:M32" si="12">J29*95%</f>
        <v>320.625</v>
      </c>
      <c r="N29" s="135">
        <f>K29*0.95</f>
        <v>3.6478165689210602</v>
      </c>
      <c r="O29" s="136">
        <f t="shared" si="5"/>
        <v>2.8214999999999999</v>
      </c>
      <c r="P29" s="136">
        <f>J29*90%</f>
        <v>303.75</v>
      </c>
      <c r="Q29" s="135">
        <f t="shared" ref="Q29:R32" si="13">K29*0.9</f>
        <v>3.4558262231883701</v>
      </c>
      <c r="R29" s="136">
        <f t="shared" si="13"/>
        <v>2.673</v>
      </c>
      <c r="S29" s="136">
        <v>1E-3</v>
      </c>
      <c r="T29" s="2">
        <v>8</v>
      </c>
      <c r="AD29" s="9" t="s">
        <v>82</v>
      </c>
      <c r="AF29" s="153" t="s">
        <v>79</v>
      </c>
      <c r="AG29" s="153" t="s">
        <v>80</v>
      </c>
    </row>
    <row r="30" spans="3:36">
      <c r="C30" s="9" t="s">
        <v>81</v>
      </c>
      <c r="D30" t="s">
        <v>71</v>
      </c>
      <c r="E30" t="s">
        <v>60</v>
      </c>
      <c r="F30">
        <v>2021</v>
      </c>
      <c r="G30" s="108">
        <f>G13*5.6</f>
        <v>0.35756471746034002</v>
      </c>
      <c r="H30" s="130">
        <f>AVERAGE([2]AFA_000kmPerVeh_AFA!$E$5:$K$10)</f>
        <v>31.285714285714299</v>
      </c>
      <c r="I30" s="109">
        <f>I13</f>
        <v>11.9384348573679</v>
      </c>
      <c r="J30" s="139">
        <f>668*1.35</f>
        <v>901.8</v>
      </c>
      <c r="K30" s="133">
        <f t="shared" si="11"/>
        <v>7.0675093517746497</v>
      </c>
      <c r="L30" s="136">
        <f>L13</f>
        <v>2.97</v>
      </c>
      <c r="M30" s="136">
        <f t="shared" si="12"/>
        <v>856.71</v>
      </c>
      <c r="N30" s="135">
        <f>K30*0.95</f>
        <v>6.7141338841859204</v>
      </c>
      <c r="O30" s="136">
        <f t="shared" si="5"/>
        <v>2.8214999999999999</v>
      </c>
      <c r="P30" s="136">
        <f>J30*90%</f>
        <v>811.62</v>
      </c>
      <c r="Q30" s="135">
        <f t="shared" si="13"/>
        <v>6.3607584165971902</v>
      </c>
      <c r="R30" s="136">
        <f t="shared" si="13"/>
        <v>2.673</v>
      </c>
      <c r="S30" s="136">
        <v>1E-3</v>
      </c>
      <c r="T30" s="2">
        <v>8</v>
      </c>
      <c r="AD30" s="9" t="s">
        <v>83</v>
      </c>
      <c r="AF30" s="153" t="s">
        <v>79</v>
      </c>
      <c r="AG30" s="153" t="s">
        <v>80</v>
      </c>
    </row>
    <row r="31" spans="3:36">
      <c r="C31" s="9" t="s">
        <v>82</v>
      </c>
      <c r="D31" t="s">
        <v>71</v>
      </c>
      <c r="E31" t="s">
        <v>60</v>
      </c>
      <c r="F31">
        <v>2021</v>
      </c>
      <c r="G31" s="108">
        <f>G15*5.6</f>
        <v>0.81202322540989602</v>
      </c>
      <c r="H31" s="130">
        <f>AVERAGE([2]AFA_000kmPerVeh_AFA!$E$5:$K$10)</f>
        <v>31.285714285714299</v>
      </c>
      <c r="I31" s="109">
        <f>I15</f>
        <v>16.3807963706479</v>
      </c>
      <c r="J31" s="139">
        <f>676*1.35</f>
        <v>912.6</v>
      </c>
      <c r="K31" s="133">
        <f t="shared" si="11"/>
        <v>5.1508484746924799</v>
      </c>
      <c r="L31" s="136">
        <f>L15</f>
        <v>1.89</v>
      </c>
      <c r="M31" s="136">
        <f t="shared" si="12"/>
        <v>866.97</v>
      </c>
      <c r="N31" s="135">
        <f>K31*0.95</f>
        <v>4.8933060509578601</v>
      </c>
      <c r="O31" s="136">
        <f t="shared" si="5"/>
        <v>1.7955000000000001</v>
      </c>
      <c r="P31" s="136">
        <f>J31*90%</f>
        <v>821.34</v>
      </c>
      <c r="Q31" s="135">
        <f t="shared" si="13"/>
        <v>4.6357636272232297</v>
      </c>
      <c r="R31" s="136">
        <f t="shared" si="13"/>
        <v>1.7010000000000001</v>
      </c>
      <c r="S31" s="136">
        <v>1E-3</v>
      </c>
      <c r="T31" s="2">
        <v>8</v>
      </c>
    </row>
    <row r="32" spans="3:36">
      <c r="C32" s="9" t="s">
        <v>83</v>
      </c>
      <c r="D32" t="s">
        <v>71</v>
      </c>
      <c r="E32" s="59" t="s">
        <v>57</v>
      </c>
      <c r="F32">
        <v>2021</v>
      </c>
      <c r="G32" s="109">
        <f>TRA!G10*5.6</f>
        <v>3.05319955878953</v>
      </c>
      <c r="H32" s="130">
        <f>TRA!H10</f>
        <v>4.0285714285714302</v>
      </c>
      <c r="I32" s="108">
        <f>TRA!I10</f>
        <v>1.1913302777819501</v>
      </c>
      <c r="J32" s="16">
        <f>14.5</f>
        <v>14.5</v>
      </c>
      <c r="K32" s="133">
        <f t="shared" si="11"/>
        <v>70.8241883662117</v>
      </c>
      <c r="L32" s="16">
        <f>J32/100</f>
        <v>0.14499999999999999</v>
      </c>
      <c r="M32" s="16">
        <f t="shared" si="12"/>
        <v>13.775</v>
      </c>
      <c r="N32" s="135">
        <f>K32*0.95</f>
        <v>67.2829789479011</v>
      </c>
      <c r="O32" s="16">
        <f t="shared" si="5"/>
        <v>0.13775000000000001</v>
      </c>
      <c r="P32" s="16">
        <f>J32*0.9</f>
        <v>13.05</v>
      </c>
      <c r="Q32" s="135">
        <f t="shared" si="13"/>
        <v>63.741769529590499</v>
      </c>
      <c r="R32">
        <f t="shared" si="13"/>
        <v>0.1305</v>
      </c>
      <c r="S32">
        <v>1E-3</v>
      </c>
      <c r="T32" s="2">
        <v>8</v>
      </c>
    </row>
    <row r="33" spans="6:17">
      <c r="F33"/>
      <c r="I33" s="115"/>
      <c r="O33" s="16"/>
    </row>
    <row r="35" spans="6:17">
      <c r="J35" s="51"/>
      <c r="K35" s="51"/>
      <c r="L35" s="51"/>
      <c r="M35" s="51"/>
      <c r="N35" s="51"/>
      <c r="O35" s="51"/>
      <c r="P35" s="51"/>
      <c r="Q35" s="51"/>
    </row>
    <row r="36" spans="6:17">
      <c r="J36" s="51"/>
      <c r="K36" s="51"/>
      <c r="L36" s="51"/>
      <c r="M36" s="51"/>
      <c r="N36" s="51"/>
      <c r="O36" s="51"/>
      <c r="P36" s="51"/>
      <c r="Q36" s="51"/>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Y137"/>
  <sheetViews>
    <sheetView zoomScale="45" zoomScaleNormal="70" workbookViewId="0">
      <pane ySplit="5" topLeftCell="A6" activePane="bottomLeft" state="frozen"/>
      <selection pane="bottomLeft" activeCell="I131" sqref="I131"/>
    </sheetView>
  </sheetViews>
  <sheetFormatPr defaultColWidth="9" defaultRowHeight="14.5"/>
  <cols>
    <col min="2" max="2" width="255.6328125" bestFit="1" customWidth="1"/>
    <col min="3" max="3" width="35.1796875" customWidth="1"/>
    <col min="6" max="6" width="19" customWidth="1"/>
    <col min="7" max="7" width="9" style="51"/>
    <col min="8" max="9" width="9" style="52"/>
    <col min="10" max="10" width="28.453125" style="52" customWidth="1"/>
    <col min="11" max="14" width="12.81640625"/>
    <col min="15" max="15" width="15.26953125" customWidth="1"/>
    <col min="16" max="16" width="12.1796875" customWidth="1"/>
    <col min="17" max="17" width="47.6328125" style="5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88" t="s">
        <v>595</v>
      </c>
      <c r="AN1" s="82" t="s">
        <v>84</v>
      </c>
      <c r="AO1" s="85" t="s">
        <v>85</v>
      </c>
      <c r="AP1" s="83"/>
    </row>
    <row r="2" spans="2:51" ht="36" customHeight="1">
      <c r="B2" t="s">
        <v>86</v>
      </c>
      <c r="J2" s="52" t="s">
        <v>87</v>
      </c>
      <c r="K2" s="62"/>
      <c r="Q2" s="71" t="s">
        <v>88</v>
      </c>
      <c r="AN2" s="83" t="s">
        <v>89</v>
      </c>
      <c r="AO2" s="83" t="s">
        <v>90</v>
      </c>
      <c r="AP2" s="83" t="s">
        <v>91</v>
      </c>
    </row>
    <row r="3" spans="2:51" ht="47" customHeight="1">
      <c r="B3" s="179" t="s">
        <v>593</v>
      </c>
      <c r="AN3" s="84">
        <v>9.6000000000000002E-2</v>
      </c>
      <c r="AO3" s="84">
        <f>(7.1+15.9+9.6)/100</f>
        <v>0.32600000000000001</v>
      </c>
      <c r="AP3" s="83">
        <f>1-AN3-AO3</f>
        <v>0.57799999999999996</v>
      </c>
    </row>
    <row r="4" spans="2:51">
      <c r="F4" s="11" t="s">
        <v>5</v>
      </c>
      <c r="V4" s="19" t="s">
        <v>6</v>
      </c>
      <c r="W4" s="19"/>
      <c r="X4" s="72"/>
      <c r="Y4" s="72"/>
      <c r="Z4" s="72"/>
      <c r="AA4" s="72"/>
      <c r="AB4" s="72"/>
      <c r="AC4" s="72"/>
      <c r="AN4">
        <f t="shared" ref="AN4:AP8" si="0">AN3</f>
        <v>9.6000000000000002E-2</v>
      </c>
      <c r="AO4">
        <f t="shared" si="0"/>
        <v>0.32600000000000001</v>
      </c>
      <c r="AP4">
        <f t="shared" si="0"/>
        <v>0.57799999999999996</v>
      </c>
    </row>
    <row r="5" spans="2:51" ht="26">
      <c r="C5" s="12" t="s">
        <v>7</v>
      </c>
      <c r="D5" s="12" t="s">
        <v>8</v>
      </c>
      <c r="E5" s="41" t="s">
        <v>92</v>
      </c>
      <c r="F5" s="12" t="s">
        <v>9</v>
      </c>
      <c r="G5" s="54" t="s">
        <v>10</v>
      </c>
      <c r="H5" s="55" t="s">
        <v>11</v>
      </c>
      <c r="I5" s="55" t="s">
        <v>93</v>
      </c>
      <c r="J5" s="55" t="s">
        <v>12</v>
      </c>
      <c r="K5" s="14" t="s">
        <v>14</v>
      </c>
      <c r="L5" s="14" t="s">
        <v>16</v>
      </c>
      <c r="M5" s="14" t="s">
        <v>17</v>
      </c>
      <c r="N5" s="14" t="s">
        <v>19</v>
      </c>
      <c r="O5" s="14" t="s">
        <v>20</v>
      </c>
      <c r="P5" s="14" t="s">
        <v>22</v>
      </c>
      <c r="Q5" s="73" t="s">
        <v>24</v>
      </c>
      <c r="R5" s="26" t="s">
        <v>23</v>
      </c>
      <c r="S5" s="44" t="s">
        <v>94</v>
      </c>
      <c r="V5" s="74" t="s">
        <v>26</v>
      </c>
      <c r="W5" s="74" t="s">
        <v>7</v>
      </c>
      <c r="X5" s="74" t="s">
        <v>28</v>
      </c>
      <c r="Y5" s="74" t="s">
        <v>29</v>
      </c>
      <c r="Z5" s="74" t="s">
        <v>30</v>
      </c>
      <c r="AA5" s="74" t="s">
        <v>31</v>
      </c>
      <c r="AB5" s="74" t="s">
        <v>32</v>
      </c>
      <c r="AC5" s="74" t="s">
        <v>33</v>
      </c>
      <c r="AN5">
        <f t="shared" si="0"/>
        <v>9.6000000000000002E-2</v>
      </c>
      <c r="AO5">
        <f t="shared" si="0"/>
        <v>0.32600000000000001</v>
      </c>
      <c r="AP5">
        <f t="shared" si="0"/>
        <v>0.57799999999999996</v>
      </c>
    </row>
    <row r="6" spans="2:51">
      <c r="C6" t="s">
        <v>95</v>
      </c>
      <c r="D6" t="s">
        <v>96</v>
      </c>
      <c r="F6" t="s">
        <v>97</v>
      </c>
      <c r="G6" s="51">
        <v>2021</v>
      </c>
      <c r="H6" s="56">
        <v>0.6</v>
      </c>
      <c r="I6" s="56"/>
      <c r="J6" s="52">
        <v>0.19112294614153599</v>
      </c>
      <c r="K6" s="180">
        <f>6520/(105/3.412)*1</f>
        <v>211.86895238095238</v>
      </c>
      <c r="L6" s="180">
        <f>80/(105/3.412)*1</f>
        <v>2.5996190476190475</v>
      </c>
      <c r="M6" s="181">
        <f>K6</f>
        <v>211.86895238095238</v>
      </c>
      <c r="N6" s="181">
        <f>L6</f>
        <v>2.5996190476190475</v>
      </c>
      <c r="O6" s="181">
        <f>M6</f>
        <v>211.86895238095238</v>
      </c>
      <c r="P6" s="181">
        <f>L6</f>
        <v>2.5996190476190475</v>
      </c>
      <c r="Q6" s="182">
        <f>(20+33)/2</f>
        <v>26.5</v>
      </c>
      <c r="R6" s="76">
        <v>31.54</v>
      </c>
      <c r="S6">
        <v>1</v>
      </c>
      <c r="V6" s="77" t="s">
        <v>50</v>
      </c>
      <c r="W6" t="s">
        <v>95</v>
      </c>
      <c r="X6" s="77"/>
      <c r="Y6" s="77" t="s">
        <v>98</v>
      </c>
      <c r="Z6" s="77" t="s">
        <v>99</v>
      </c>
      <c r="AA6" s="77"/>
      <c r="AB6" s="77"/>
      <c r="AC6" s="77" t="s">
        <v>100</v>
      </c>
      <c r="AN6">
        <f t="shared" si="0"/>
        <v>9.6000000000000002E-2</v>
      </c>
      <c r="AO6">
        <f t="shared" si="0"/>
        <v>0.32600000000000001</v>
      </c>
      <c r="AP6">
        <f t="shared" si="0"/>
        <v>0.57799999999999996</v>
      </c>
    </row>
    <row r="7" spans="2:51">
      <c r="C7" t="s">
        <v>101</v>
      </c>
      <c r="D7" t="s">
        <v>96</v>
      </c>
      <c r="F7" t="s">
        <v>97</v>
      </c>
      <c r="G7" s="51">
        <v>2021</v>
      </c>
      <c r="H7" s="56">
        <v>0.78</v>
      </c>
      <c r="I7" s="56"/>
      <c r="J7" s="52">
        <v>0.19112294614153599</v>
      </c>
      <c r="K7" s="181">
        <f>K6</f>
        <v>211.86895238095238</v>
      </c>
      <c r="L7" s="181">
        <f t="shared" ref="L7:P7" si="1">L6</f>
        <v>2.5996190476190475</v>
      </c>
      <c r="M7" s="181">
        <f t="shared" ref="M7:M23" si="2">K7</f>
        <v>211.86895238095238</v>
      </c>
      <c r="N7" s="181">
        <f t="shared" si="1"/>
        <v>2.5996190476190475</v>
      </c>
      <c r="O7" s="181">
        <f t="shared" ref="O7:O23" si="3">M7</f>
        <v>211.86895238095238</v>
      </c>
      <c r="P7" s="181">
        <f t="shared" si="1"/>
        <v>2.5996190476190475</v>
      </c>
      <c r="Q7" s="182">
        <f>Q6</f>
        <v>26.5</v>
      </c>
      <c r="R7" s="76">
        <v>31.54</v>
      </c>
      <c r="S7">
        <v>1</v>
      </c>
      <c r="V7" s="77"/>
      <c r="W7" t="s">
        <v>101</v>
      </c>
      <c r="X7" s="77"/>
      <c r="Y7" s="77" t="s">
        <v>98</v>
      </c>
      <c r="Z7" s="77" t="s">
        <v>99</v>
      </c>
      <c r="AA7" s="77"/>
      <c r="AB7" s="77"/>
      <c r="AC7" s="77" t="s">
        <v>100</v>
      </c>
      <c r="AN7">
        <f t="shared" si="0"/>
        <v>9.6000000000000002E-2</v>
      </c>
      <c r="AO7">
        <f t="shared" si="0"/>
        <v>0.32600000000000001</v>
      </c>
      <c r="AP7">
        <f t="shared" si="0"/>
        <v>0.57799999999999996</v>
      </c>
    </row>
    <row r="8" spans="2:51">
      <c r="C8" t="s">
        <v>102</v>
      </c>
      <c r="D8" t="s">
        <v>96</v>
      </c>
      <c r="F8" t="s">
        <v>97</v>
      </c>
      <c r="G8" s="51">
        <v>2021</v>
      </c>
      <c r="H8" s="56">
        <v>0.85</v>
      </c>
      <c r="I8" s="56"/>
      <c r="J8" s="52">
        <v>0.19112294614153599</v>
      </c>
      <c r="K8" s="181">
        <f>K7</f>
        <v>211.86895238095238</v>
      </c>
      <c r="L8" s="181">
        <f>L7</f>
        <v>2.5996190476190475</v>
      </c>
      <c r="M8" s="181">
        <f t="shared" si="2"/>
        <v>211.86895238095238</v>
      </c>
      <c r="N8" s="181">
        <f>N7</f>
        <v>2.5996190476190475</v>
      </c>
      <c r="O8" s="181">
        <f t="shared" si="3"/>
        <v>211.86895238095238</v>
      </c>
      <c r="P8" s="181">
        <f t="shared" ref="P8:P11" si="4">P7</f>
        <v>2.5996190476190475</v>
      </c>
      <c r="Q8" s="182">
        <f>Q7</f>
        <v>26.5</v>
      </c>
      <c r="R8" s="76">
        <v>31.54</v>
      </c>
      <c r="S8">
        <v>1</v>
      </c>
      <c r="V8" s="77"/>
      <c r="W8" t="s">
        <v>102</v>
      </c>
      <c r="X8" s="77"/>
      <c r="Y8" s="77" t="s">
        <v>98</v>
      </c>
      <c r="Z8" s="77" t="s">
        <v>99</v>
      </c>
      <c r="AA8" s="77"/>
      <c r="AB8" s="77"/>
      <c r="AC8" s="77" t="s">
        <v>100</v>
      </c>
      <c r="AN8">
        <f t="shared" si="0"/>
        <v>9.6000000000000002E-2</v>
      </c>
      <c r="AO8">
        <f t="shared" si="0"/>
        <v>0.32600000000000001</v>
      </c>
      <c r="AP8">
        <f t="shared" si="0"/>
        <v>0.57799999999999996</v>
      </c>
    </row>
    <row r="9" spans="2:51">
      <c r="C9" t="s">
        <v>103</v>
      </c>
      <c r="D9" t="s">
        <v>104</v>
      </c>
      <c r="F9" t="s">
        <v>97</v>
      </c>
      <c r="G9" s="51">
        <v>2021</v>
      </c>
      <c r="H9" s="56">
        <v>0.62</v>
      </c>
      <c r="I9" s="56"/>
      <c r="J9" s="52">
        <v>0.27644125731911101</v>
      </c>
      <c r="K9" s="63">
        <f>AY16</f>
        <v>573.73784999999998</v>
      </c>
      <c r="L9" s="63">
        <f>60/10</f>
        <v>6</v>
      </c>
      <c r="M9" s="64">
        <f t="shared" si="2"/>
        <v>573.73784999999998</v>
      </c>
      <c r="N9" s="63">
        <f>L9</f>
        <v>6</v>
      </c>
      <c r="O9" s="64">
        <f t="shared" si="3"/>
        <v>573.73784999999998</v>
      </c>
      <c r="P9" s="63">
        <f>N9</f>
        <v>6</v>
      </c>
      <c r="Q9" s="75">
        <v>22</v>
      </c>
      <c r="R9" s="76">
        <v>31.54</v>
      </c>
      <c r="S9">
        <v>1</v>
      </c>
      <c r="V9" s="77"/>
      <c r="W9" t="s">
        <v>103</v>
      </c>
      <c r="X9" s="77"/>
      <c r="Y9" s="77" t="s">
        <v>98</v>
      </c>
      <c r="Z9" s="77" t="s">
        <v>99</v>
      </c>
      <c r="AA9" s="77"/>
      <c r="AB9" s="77"/>
      <c r="AC9" s="77" t="s">
        <v>100</v>
      </c>
    </row>
    <row r="10" spans="2:51">
      <c r="C10" t="s">
        <v>105</v>
      </c>
      <c r="D10" t="s">
        <v>104</v>
      </c>
      <c r="F10" t="s">
        <v>97</v>
      </c>
      <c r="G10" s="51">
        <v>2021</v>
      </c>
      <c r="H10" s="56">
        <v>0.8</v>
      </c>
      <c r="I10" s="56"/>
      <c r="J10" s="52">
        <v>0.27644125731911101</v>
      </c>
      <c r="K10" s="64">
        <f t="shared" ref="K10:N10" si="5">K9</f>
        <v>573.73784999999998</v>
      </c>
      <c r="L10" s="63">
        <f t="shared" si="5"/>
        <v>6</v>
      </c>
      <c r="M10" s="64">
        <f t="shared" si="2"/>
        <v>573.73784999999998</v>
      </c>
      <c r="N10" s="63">
        <f t="shared" si="5"/>
        <v>6</v>
      </c>
      <c r="O10" s="64">
        <f t="shared" si="3"/>
        <v>573.73784999999998</v>
      </c>
      <c r="P10" s="63">
        <f t="shared" si="4"/>
        <v>6</v>
      </c>
      <c r="Q10" s="75">
        <v>22</v>
      </c>
      <c r="R10" s="76">
        <v>31.54</v>
      </c>
      <c r="S10">
        <v>1</v>
      </c>
      <c r="V10" s="77"/>
      <c r="W10" t="s">
        <v>105</v>
      </c>
      <c r="X10" s="77"/>
      <c r="Y10" s="77" t="s">
        <v>98</v>
      </c>
      <c r="Z10" s="77" t="s">
        <v>99</v>
      </c>
      <c r="AA10" s="77"/>
      <c r="AB10" s="77"/>
      <c r="AC10" s="77" t="s">
        <v>100</v>
      </c>
    </row>
    <row r="11" spans="2:51">
      <c r="C11" t="s">
        <v>106</v>
      </c>
      <c r="D11" t="s">
        <v>104</v>
      </c>
      <c r="F11" t="s">
        <v>97</v>
      </c>
      <c r="G11" s="51">
        <v>2021</v>
      </c>
      <c r="H11" s="56">
        <v>0.9</v>
      </c>
      <c r="I11" s="56"/>
      <c r="J11" s="52">
        <v>0.27644125731911101</v>
      </c>
      <c r="K11" s="64">
        <f t="shared" ref="K11:N11" si="6">K10</f>
        <v>573.73784999999998</v>
      </c>
      <c r="L11" s="63">
        <f t="shared" si="6"/>
        <v>6</v>
      </c>
      <c r="M11" s="64">
        <f t="shared" si="2"/>
        <v>573.73784999999998</v>
      </c>
      <c r="N11" s="63">
        <f t="shared" si="6"/>
        <v>6</v>
      </c>
      <c r="O11" s="64">
        <f t="shared" si="3"/>
        <v>573.73784999999998</v>
      </c>
      <c r="P11" s="63">
        <f t="shared" si="4"/>
        <v>6</v>
      </c>
      <c r="Q11" s="75">
        <v>22</v>
      </c>
      <c r="R11" s="76">
        <v>31.54</v>
      </c>
      <c r="S11">
        <v>1</v>
      </c>
      <c r="V11" s="77"/>
      <c r="W11" t="s">
        <v>106</v>
      </c>
      <c r="X11" s="77"/>
      <c r="Y11" s="77" t="s">
        <v>98</v>
      </c>
      <c r="Z11" s="77" t="s">
        <v>99</v>
      </c>
      <c r="AA11" s="77"/>
      <c r="AB11" s="77"/>
      <c r="AC11" s="77" t="s">
        <v>100</v>
      </c>
    </row>
    <row r="12" spans="2:51">
      <c r="C12" t="s">
        <v>107</v>
      </c>
      <c r="D12" t="s">
        <v>108</v>
      </c>
      <c r="F12" t="s">
        <v>97</v>
      </c>
      <c r="G12" s="51">
        <v>2021</v>
      </c>
      <c r="H12" s="56">
        <v>1</v>
      </c>
      <c r="I12" s="56"/>
      <c r="J12" s="52">
        <v>0.24731398856456499</v>
      </c>
      <c r="K12" s="63">
        <f>AY17</f>
        <v>655.70309999999995</v>
      </c>
      <c r="L12" s="65">
        <v>5</v>
      </c>
      <c r="M12" s="65">
        <f t="shared" si="2"/>
        <v>655.70309999999995</v>
      </c>
      <c r="N12" s="65">
        <f t="shared" ref="N12:N13" si="7">L12</f>
        <v>5</v>
      </c>
      <c r="O12" s="65">
        <f t="shared" si="3"/>
        <v>655.70309999999995</v>
      </c>
      <c r="P12" s="65">
        <f t="shared" ref="P12:P13" si="8">N12</f>
        <v>5</v>
      </c>
      <c r="Q12" s="182">
        <f>(15+30)/2</f>
        <v>22.5</v>
      </c>
      <c r="R12" s="76">
        <v>31.54</v>
      </c>
      <c r="S12">
        <v>1</v>
      </c>
      <c r="V12" s="77"/>
      <c r="W12" t="s">
        <v>107</v>
      </c>
      <c r="X12" s="77"/>
      <c r="Y12" s="77" t="s">
        <v>98</v>
      </c>
      <c r="Z12" s="77" t="s">
        <v>99</v>
      </c>
      <c r="AA12" s="77"/>
      <c r="AB12" s="77"/>
      <c r="AC12" s="77" t="s">
        <v>100</v>
      </c>
    </row>
    <row r="13" spans="2:51">
      <c r="C13" t="s">
        <v>109</v>
      </c>
      <c r="D13" s="57" t="s">
        <v>108</v>
      </c>
      <c r="E13" s="57"/>
      <c r="F13" t="s">
        <v>97</v>
      </c>
      <c r="G13" s="51">
        <v>2021</v>
      </c>
      <c r="H13" s="56">
        <v>1</v>
      </c>
      <c r="I13" s="56"/>
      <c r="J13" s="52">
        <v>0.27389812576849198</v>
      </c>
      <c r="K13" s="66">
        <f>AY19</f>
        <v>1727.7529500000001</v>
      </c>
      <c r="L13" s="67">
        <f>150/10*1</f>
        <v>15</v>
      </c>
      <c r="M13" s="65">
        <f t="shared" si="2"/>
        <v>1727.7529500000001</v>
      </c>
      <c r="N13" s="65">
        <f t="shared" si="7"/>
        <v>15</v>
      </c>
      <c r="O13" s="65">
        <f t="shared" si="3"/>
        <v>1727.7529500000001</v>
      </c>
      <c r="P13" s="65">
        <f t="shared" si="8"/>
        <v>15</v>
      </c>
      <c r="Q13" s="182">
        <v>15.3</v>
      </c>
      <c r="R13" s="79">
        <v>31.54</v>
      </c>
      <c r="S13" s="48"/>
      <c r="V13" s="77"/>
      <c r="W13" t="s">
        <v>109</v>
      </c>
      <c r="X13" s="77"/>
      <c r="Y13" s="77" t="s">
        <v>98</v>
      </c>
      <c r="Z13" s="77" t="s">
        <v>99</v>
      </c>
      <c r="AA13" s="77"/>
      <c r="AB13" s="77"/>
      <c r="AC13" s="77" t="s">
        <v>100</v>
      </c>
    </row>
    <row r="14" spans="2:51">
      <c r="D14" s="57"/>
      <c r="E14" s="58" t="str">
        <f>[3]COMM!$E$19</f>
        <v>RSDAHT</v>
      </c>
      <c r="H14" s="56"/>
      <c r="I14" s="56">
        <f>1/3</f>
        <v>0.33333333333333298</v>
      </c>
      <c r="K14" s="64"/>
      <c r="L14" s="64"/>
      <c r="M14" s="64"/>
      <c r="N14" s="64"/>
      <c r="O14" s="64"/>
      <c r="P14" s="64"/>
      <c r="Q14" s="75"/>
      <c r="R14" s="76">
        <v>31.54</v>
      </c>
      <c r="V14" s="77"/>
      <c r="W14" t="s">
        <v>48</v>
      </c>
      <c r="X14" s="77"/>
      <c r="Y14" s="77"/>
      <c r="Z14" s="77"/>
      <c r="AA14" s="77"/>
      <c r="AB14" s="77"/>
      <c r="AC14" s="77"/>
      <c r="AN14" s="85" t="s">
        <v>110</v>
      </c>
      <c r="AO14" s="85" t="s">
        <v>111</v>
      </c>
    </row>
    <row r="15" spans="2:51" ht="29">
      <c r="C15" t="s">
        <v>112</v>
      </c>
      <c r="D15" t="s">
        <v>113</v>
      </c>
      <c r="F15" t="s">
        <v>97</v>
      </c>
      <c r="G15" s="51">
        <v>2021</v>
      </c>
      <c r="H15" s="56">
        <v>0.5</v>
      </c>
      <c r="I15" s="56"/>
      <c r="J15" s="52">
        <v>0.32209180925705999</v>
      </c>
      <c r="K15" s="64">
        <f>K16</f>
        <v>308.44479999999999</v>
      </c>
      <c r="L15" s="69">
        <f t="shared" ref="L15:Q15" si="9">L16</f>
        <v>21.154399999999999</v>
      </c>
      <c r="M15" s="69">
        <f t="shared" si="9"/>
        <v>308.44479999999999</v>
      </c>
      <c r="N15" s="69">
        <f t="shared" si="9"/>
        <v>21.154399999999999</v>
      </c>
      <c r="O15" s="69">
        <f t="shared" si="9"/>
        <v>308.44479999999999</v>
      </c>
      <c r="P15" s="69">
        <f t="shared" si="9"/>
        <v>21.154399999999999</v>
      </c>
      <c r="Q15" s="160">
        <f t="shared" si="9"/>
        <v>19</v>
      </c>
      <c r="R15" s="76">
        <v>31.54</v>
      </c>
      <c r="S15">
        <v>1</v>
      </c>
      <c r="V15" s="77"/>
      <c r="W15" t="s">
        <v>112</v>
      </c>
      <c r="X15" s="77"/>
      <c r="Y15" s="77" t="s">
        <v>98</v>
      </c>
      <c r="Z15" s="77" t="s">
        <v>99</v>
      </c>
      <c r="AA15" s="77"/>
      <c r="AB15" s="77"/>
      <c r="AC15" s="77" t="s">
        <v>100</v>
      </c>
      <c r="AN15" s="86" t="s">
        <v>114</v>
      </c>
      <c r="AO15" s="86" t="s">
        <v>115</v>
      </c>
      <c r="AP15" s="86" t="s">
        <v>116</v>
      </c>
      <c r="AQ15" s="86" t="s">
        <v>117</v>
      </c>
      <c r="AR15" s="86" t="s">
        <v>118</v>
      </c>
      <c r="AS15" s="86" t="s">
        <v>119</v>
      </c>
      <c r="AT15" s="86" t="s">
        <v>120</v>
      </c>
      <c r="AX15" s="64" t="s">
        <v>121</v>
      </c>
      <c r="AY15" s="63" t="s">
        <v>122</v>
      </c>
    </row>
    <row r="16" spans="2:51">
      <c r="C16" t="s">
        <v>123</v>
      </c>
      <c r="D16" t="s">
        <v>124</v>
      </c>
      <c r="F16" t="s">
        <v>97</v>
      </c>
      <c r="G16" s="51">
        <v>2021</v>
      </c>
      <c r="H16" s="56">
        <v>0.5</v>
      </c>
      <c r="I16" s="56"/>
      <c r="J16" s="52">
        <v>0.492984723712866</v>
      </c>
      <c r="K16" s="180">
        <f>4520/(50/3.412)*1</f>
        <v>308.44479999999999</v>
      </c>
      <c r="L16" s="180">
        <f>310/(50/3.412)*1</f>
        <v>21.154399999999999</v>
      </c>
      <c r="M16" s="180">
        <f>K16</f>
        <v>308.44479999999999</v>
      </c>
      <c r="N16" s="180">
        <f>L16</f>
        <v>21.154399999999999</v>
      </c>
      <c r="O16" s="180">
        <f>M16</f>
        <v>308.44479999999999</v>
      </c>
      <c r="P16" s="180">
        <f>N16</f>
        <v>21.154399999999999</v>
      </c>
      <c r="Q16" s="185">
        <v>19</v>
      </c>
      <c r="R16" s="76">
        <v>31.54</v>
      </c>
      <c r="S16">
        <v>1</v>
      </c>
      <c r="V16" s="77"/>
      <c r="W16" t="s">
        <v>123</v>
      </c>
      <c r="X16" s="77"/>
      <c r="Y16" s="77" t="s">
        <v>98</v>
      </c>
      <c r="Z16" s="77" t="s">
        <v>99</v>
      </c>
      <c r="AA16" s="77"/>
      <c r="AB16" s="77"/>
      <c r="AC16" s="77" t="s">
        <v>100</v>
      </c>
      <c r="AG16" s="87">
        <v>0.6</v>
      </c>
      <c r="AN16" s="88" t="s">
        <v>125</v>
      </c>
      <c r="AO16" s="92">
        <v>4500</v>
      </c>
      <c r="AP16" s="92">
        <v>6030</v>
      </c>
      <c r="AQ16" s="92">
        <v>4080</v>
      </c>
      <c r="AR16" s="92">
        <v>4850</v>
      </c>
      <c r="AS16" s="92">
        <v>3750</v>
      </c>
      <c r="AT16" s="92">
        <v>4170</v>
      </c>
      <c r="AX16">
        <f>AVERAGE(AO16:AP16)*AN3+AVERAGE(AQ16:AR16)*AO3+AVERAGE(AS16:AT16)*AP3</f>
        <v>4249.91</v>
      </c>
      <c r="AY16" s="93">
        <f>AX16/10*1.35</f>
        <v>573.73784999999998</v>
      </c>
    </row>
    <row r="17" spans="3:51">
      <c r="C17" s="59" t="s">
        <v>126</v>
      </c>
      <c r="D17" s="59" t="s">
        <v>108</v>
      </c>
      <c r="E17" s="59"/>
      <c r="F17" t="s">
        <v>97</v>
      </c>
      <c r="G17" s="51">
        <v>2021</v>
      </c>
      <c r="H17" s="60">
        <v>0.75</v>
      </c>
      <c r="I17" s="68"/>
      <c r="J17" s="52">
        <v>0.37014935613871502</v>
      </c>
      <c r="K17" s="64">
        <f>AVERAGE(K16,K12)</f>
        <v>482.07394999999997</v>
      </c>
      <c r="L17" s="64">
        <f>AVERAGE(L16,L12)</f>
        <v>13.077199999999999</v>
      </c>
      <c r="M17" s="64">
        <f t="shared" si="2"/>
        <v>482.07394999999997</v>
      </c>
      <c r="N17" s="64">
        <f>L17</f>
        <v>13.077199999999999</v>
      </c>
      <c r="O17" s="64">
        <f t="shared" si="3"/>
        <v>482.07394999999997</v>
      </c>
      <c r="P17" s="64">
        <f>N17</f>
        <v>13.077199999999999</v>
      </c>
      <c r="Q17" s="182">
        <f>AVERAGE(Q16,Q12)</f>
        <v>20.75</v>
      </c>
      <c r="R17" s="76">
        <v>31.54</v>
      </c>
      <c r="S17" s="80">
        <v>1</v>
      </c>
      <c r="V17" s="77"/>
      <c r="W17" s="59" t="s">
        <v>126</v>
      </c>
      <c r="X17" s="77"/>
      <c r="Y17" s="77" t="s">
        <v>98</v>
      </c>
      <c r="Z17" s="77" t="s">
        <v>99</v>
      </c>
      <c r="AA17" s="77"/>
      <c r="AB17" s="77"/>
      <c r="AC17" s="77" t="s">
        <v>100</v>
      </c>
      <c r="AG17" s="87">
        <v>0.78</v>
      </c>
      <c r="AN17" s="88" t="s">
        <v>127</v>
      </c>
      <c r="AO17" s="92">
        <v>4990</v>
      </c>
      <c r="AP17" s="92">
        <v>4990</v>
      </c>
      <c r="AQ17" s="92">
        <v>4990</v>
      </c>
      <c r="AR17" s="92">
        <v>4990</v>
      </c>
      <c r="AS17" s="92">
        <v>4760</v>
      </c>
      <c r="AT17" s="92">
        <v>4760</v>
      </c>
      <c r="AX17">
        <f>AVERAGE(AO17:AP17)*AN4+AVERAGE(AQ17:AR17)*AO4+AVERAGE(AS17:AT17)*AP4</f>
        <v>4857.0600000000004</v>
      </c>
      <c r="AY17" s="93">
        <f>AX17/10*1.35</f>
        <v>655.70309999999995</v>
      </c>
    </row>
    <row r="18" spans="3:51" ht="43.5">
      <c r="D18" s="59" t="s">
        <v>124</v>
      </c>
      <c r="E18" s="59"/>
      <c r="H18" s="60"/>
      <c r="I18" s="68"/>
      <c r="K18" s="64"/>
      <c r="L18" s="2"/>
      <c r="M18" s="64"/>
      <c r="N18" s="2"/>
      <c r="O18" s="64"/>
      <c r="P18" s="2"/>
      <c r="Q18" s="75"/>
      <c r="R18" s="76"/>
      <c r="S18" s="80"/>
      <c r="V18" s="77"/>
      <c r="W18" t="s">
        <v>48</v>
      </c>
      <c r="X18" s="77"/>
      <c r="Y18" s="77"/>
      <c r="Z18" s="77"/>
      <c r="AA18" s="77"/>
      <c r="AB18" s="77"/>
      <c r="AC18" s="77"/>
      <c r="AG18" s="87">
        <v>0.85</v>
      </c>
      <c r="AN18" s="89" t="s">
        <v>128</v>
      </c>
      <c r="AO18" s="92">
        <v>7570</v>
      </c>
      <c r="AP18" s="92">
        <v>8180</v>
      </c>
      <c r="AQ18" s="92">
        <v>6200</v>
      </c>
      <c r="AR18" s="92">
        <v>6200</v>
      </c>
      <c r="AS18" s="92">
        <v>5760</v>
      </c>
      <c r="AT18" s="92">
        <v>5760</v>
      </c>
      <c r="AX18">
        <f>AVERAGE(AO18:AP18)*AN5+AVERAGE(AQ18:AR18)*AO5+AVERAGE(AS18:AT18)*AP5</f>
        <v>6106.48</v>
      </c>
      <c r="AY18" s="93">
        <f>AX18/10*1.35</f>
        <v>824.37480000000005</v>
      </c>
    </row>
    <row r="19" spans="3:51" ht="43.5">
      <c r="C19" s="59" t="s">
        <v>129</v>
      </c>
      <c r="D19" s="59" t="s">
        <v>96</v>
      </c>
      <c r="E19" s="59"/>
      <c r="F19" t="s">
        <v>97</v>
      </c>
      <c r="G19" s="51">
        <v>2021</v>
      </c>
      <c r="H19" s="60">
        <v>0.67500000000000004</v>
      </c>
      <c r="I19" s="68"/>
      <c r="J19" s="52">
        <v>0.266588390534368</v>
      </c>
      <c r="K19" s="64">
        <f>AVERAGE(K6,K16)</f>
        <v>260.15687619047617</v>
      </c>
      <c r="L19" s="64">
        <f>AVERAGE(L6,L16)</f>
        <v>11.877009523809523</v>
      </c>
      <c r="M19" s="64">
        <f t="shared" si="2"/>
        <v>260.15687619047617</v>
      </c>
      <c r="N19" s="64">
        <f>L19</f>
        <v>11.877009523809523</v>
      </c>
      <c r="O19" s="64">
        <f t="shared" si="3"/>
        <v>260.15687619047617</v>
      </c>
      <c r="P19" s="64">
        <f>N19</f>
        <v>11.877009523809523</v>
      </c>
      <c r="Q19" s="182">
        <f>AVERAGE(Q6,Q16)</f>
        <v>22.75</v>
      </c>
      <c r="R19" s="76">
        <v>31.54</v>
      </c>
      <c r="S19" s="80">
        <v>1</v>
      </c>
      <c r="V19" s="77"/>
      <c r="W19" s="59" t="s">
        <v>129</v>
      </c>
      <c r="X19" s="77"/>
      <c r="Y19" s="77" t="s">
        <v>98</v>
      </c>
      <c r="Z19" s="77" t="s">
        <v>99</v>
      </c>
      <c r="AA19" s="77"/>
      <c r="AB19" s="77"/>
      <c r="AC19" s="77" t="s">
        <v>100</v>
      </c>
      <c r="AG19" s="87">
        <v>0.62</v>
      </c>
      <c r="AN19" s="88" t="s">
        <v>130</v>
      </c>
      <c r="AO19" s="92">
        <v>14840</v>
      </c>
      <c r="AP19" s="92">
        <v>19880</v>
      </c>
      <c r="AQ19" s="92">
        <v>12870</v>
      </c>
      <c r="AR19" s="92">
        <v>13260</v>
      </c>
      <c r="AS19" s="92">
        <v>11890</v>
      </c>
      <c r="AT19" s="92">
        <v>11890</v>
      </c>
      <c r="AX19">
        <f>AVERAGE(AO19:AP19)*AN6+AVERAGE(AQ19:AR19)*AO6+AVERAGE(AS19:AT19)*AP6</f>
        <v>12798.17</v>
      </c>
      <c r="AY19" s="93">
        <f>AX19/10*1.35</f>
        <v>1727.7529500000001</v>
      </c>
    </row>
    <row r="20" spans="3:51" ht="29">
      <c r="D20" s="59" t="s">
        <v>124</v>
      </c>
      <c r="E20" s="59"/>
      <c r="H20" s="60"/>
      <c r="I20" s="68"/>
      <c r="K20" s="64"/>
      <c r="L20" s="2"/>
      <c r="M20" s="64"/>
      <c r="N20" s="2"/>
      <c r="O20" s="64"/>
      <c r="P20" s="2"/>
      <c r="Q20" s="75"/>
      <c r="R20" s="76"/>
      <c r="S20" s="80"/>
      <c r="V20" s="77"/>
      <c r="W20" t="s">
        <v>48</v>
      </c>
      <c r="X20" s="77"/>
      <c r="Y20" s="77"/>
      <c r="Z20" s="77"/>
      <c r="AA20" s="77"/>
      <c r="AB20" s="77"/>
      <c r="AC20" s="77"/>
      <c r="AG20" s="87">
        <v>0.8</v>
      </c>
      <c r="AN20" s="89" t="s">
        <v>131</v>
      </c>
      <c r="AO20" s="53">
        <v>880</v>
      </c>
      <c r="AP20" s="92">
        <v>1810</v>
      </c>
      <c r="AQ20" s="53">
        <v>620</v>
      </c>
      <c r="AR20" s="92">
        <v>1090</v>
      </c>
      <c r="AS20" s="53">
        <v>420</v>
      </c>
      <c r="AT20" s="53">
        <v>680</v>
      </c>
      <c r="AX20">
        <f>AVERAGE(AO20:AP20)*AN7+AVERAGE(AQ20:AR20)*AO7+AVERAGE(AS20:AT20)*AP7</f>
        <v>725.75</v>
      </c>
      <c r="AY20" s="93">
        <f>AX20/10*1.35</f>
        <v>97.976249999999993</v>
      </c>
    </row>
    <row r="21" spans="3:51">
      <c r="C21" s="59" t="s">
        <v>132</v>
      </c>
      <c r="D21" s="59" t="s">
        <v>108</v>
      </c>
      <c r="E21" s="59"/>
      <c r="F21" t="s">
        <v>97</v>
      </c>
      <c r="G21" s="51">
        <v>2021</v>
      </c>
      <c r="H21" s="60">
        <v>0.9</v>
      </c>
      <c r="I21" s="68"/>
      <c r="J21" s="52">
        <v>0.26915944013047399</v>
      </c>
      <c r="K21" s="64">
        <f>AVERAGE(K12,K11)</f>
        <v>614.72047499999996</v>
      </c>
      <c r="L21" s="64">
        <f>AVERAGE(L12,L11)</f>
        <v>5.5</v>
      </c>
      <c r="M21" s="64">
        <f t="shared" si="2"/>
        <v>614.72047499999996</v>
      </c>
      <c r="N21" s="64">
        <f>L21</f>
        <v>5.5</v>
      </c>
      <c r="O21" s="64">
        <f t="shared" si="3"/>
        <v>614.72047499999996</v>
      </c>
      <c r="P21" s="64">
        <f>N21</f>
        <v>5.5</v>
      </c>
      <c r="Q21" s="75">
        <f>AVERAGE(Q9,Q12)</f>
        <v>22.25</v>
      </c>
      <c r="R21" s="76">
        <v>31.54</v>
      </c>
      <c r="S21" s="80">
        <v>1</v>
      </c>
      <c r="V21" s="77"/>
      <c r="W21" s="59" t="s">
        <v>132</v>
      </c>
      <c r="X21" s="77"/>
      <c r="Y21" s="77" t="s">
        <v>98</v>
      </c>
      <c r="Z21" s="77" t="s">
        <v>99</v>
      </c>
      <c r="AA21" s="77"/>
      <c r="AB21" s="77"/>
      <c r="AC21" s="77" t="s">
        <v>100</v>
      </c>
      <c r="AG21" s="87">
        <v>0.9</v>
      </c>
      <c r="AN21" s="89" t="s">
        <v>133</v>
      </c>
      <c r="AO21" s="92">
        <v>3400</v>
      </c>
      <c r="AP21" s="92">
        <v>3400</v>
      </c>
      <c r="AQ21" s="53" t="s">
        <v>134</v>
      </c>
      <c r="AR21" s="53" t="s">
        <v>134</v>
      </c>
      <c r="AS21" s="53" t="s">
        <v>134</v>
      </c>
      <c r="AT21" s="53" t="s">
        <v>134</v>
      </c>
    </row>
    <row r="22" spans="3:51">
      <c r="D22" s="59" t="s">
        <v>104</v>
      </c>
      <c r="E22" s="59"/>
      <c r="H22" s="60"/>
      <c r="I22" s="68"/>
      <c r="K22" s="64"/>
      <c r="L22" s="2"/>
      <c r="M22" s="64"/>
      <c r="N22" s="2"/>
      <c r="O22" s="64"/>
      <c r="P22" s="2"/>
      <c r="Q22" s="75"/>
      <c r="R22" s="76"/>
      <c r="S22" s="80"/>
      <c r="V22" s="77"/>
      <c r="W22" t="s">
        <v>48</v>
      </c>
      <c r="X22" s="77"/>
      <c r="Y22" s="77"/>
      <c r="Z22" s="77"/>
      <c r="AA22" s="77"/>
      <c r="AB22" s="77"/>
      <c r="AC22" s="77"/>
      <c r="AG22" s="87">
        <v>1</v>
      </c>
    </row>
    <row r="23" spans="3:51">
      <c r="C23" s="59" t="s">
        <v>135</v>
      </c>
      <c r="D23" s="59" t="s">
        <v>108</v>
      </c>
      <c r="E23" s="59"/>
      <c r="F23" t="s">
        <v>97</v>
      </c>
      <c r="G23" s="51">
        <v>2021</v>
      </c>
      <c r="H23" s="60">
        <v>0.89</v>
      </c>
      <c r="I23" s="68"/>
      <c r="J23" s="52">
        <v>0.20517070674729301</v>
      </c>
      <c r="K23" s="64">
        <f>AVERAGE(K6,K12)</f>
        <v>433.78602619047615</v>
      </c>
      <c r="L23" s="64">
        <f>AVERAGE(L6,L12)</f>
        <v>3.7998095238095235</v>
      </c>
      <c r="M23" s="64">
        <f t="shared" si="2"/>
        <v>433.78602619047615</v>
      </c>
      <c r="N23" s="64">
        <f>L23</f>
        <v>3.7998095238095235</v>
      </c>
      <c r="O23" s="64">
        <f t="shared" si="3"/>
        <v>433.78602619047615</v>
      </c>
      <c r="P23" s="64">
        <f>N23</f>
        <v>3.7998095238095235</v>
      </c>
      <c r="Q23" s="182">
        <f>AVERAGE(Q6,Q12)</f>
        <v>24.5</v>
      </c>
      <c r="R23" s="76">
        <v>31.54</v>
      </c>
      <c r="S23" s="80">
        <v>1</v>
      </c>
      <c r="V23" s="77"/>
      <c r="W23" s="59" t="s">
        <v>135</v>
      </c>
      <c r="X23" s="77"/>
      <c r="Y23" s="77" t="s">
        <v>98</v>
      </c>
      <c r="Z23" s="77" t="s">
        <v>99</v>
      </c>
      <c r="AA23" s="77"/>
      <c r="AB23" s="77"/>
      <c r="AC23" s="77" t="s">
        <v>100</v>
      </c>
      <c r="AG23" s="87">
        <v>1.9</v>
      </c>
    </row>
    <row r="24" spans="3:51">
      <c r="D24" s="59" t="s">
        <v>96</v>
      </c>
      <c r="E24" s="59"/>
      <c r="K24" s="69"/>
      <c r="M24" s="69"/>
      <c r="O24" s="64"/>
      <c r="P24" s="2"/>
      <c r="Q24" s="52"/>
      <c r="S24" s="81"/>
      <c r="V24" s="77"/>
      <c r="W24" t="s">
        <v>48</v>
      </c>
      <c r="X24" s="77"/>
      <c r="Y24" s="77"/>
      <c r="Z24" s="77"/>
      <c r="AA24" s="77"/>
      <c r="AB24" s="77"/>
      <c r="AC24" s="77"/>
      <c r="AG24" s="87">
        <v>0.5</v>
      </c>
    </row>
    <row r="25" spans="3:51">
      <c r="C25" t="s">
        <v>136</v>
      </c>
      <c r="D25" t="s">
        <v>96</v>
      </c>
      <c r="F25" t="s">
        <v>137</v>
      </c>
      <c r="G25" s="51">
        <v>2021</v>
      </c>
      <c r="H25" s="56">
        <v>0.6</v>
      </c>
      <c r="I25" s="56"/>
      <c r="J25" s="52">
        <v>0.107589579145215</v>
      </c>
      <c r="K25" s="70">
        <f t="shared" ref="K25:P25" si="10">K6</f>
        <v>211.86895238095238</v>
      </c>
      <c r="L25" s="70">
        <f t="shared" si="10"/>
        <v>2.5996190476190475</v>
      </c>
      <c r="M25" s="70">
        <f t="shared" si="10"/>
        <v>211.86895238095238</v>
      </c>
      <c r="N25" s="70">
        <f t="shared" si="10"/>
        <v>2.5996190476190475</v>
      </c>
      <c r="O25" s="70">
        <f t="shared" si="10"/>
        <v>211.86895238095238</v>
      </c>
      <c r="P25" s="70">
        <f t="shared" si="10"/>
        <v>2.5996190476190475</v>
      </c>
      <c r="Q25" s="182">
        <f>Q6</f>
        <v>26.5</v>
      </c>
      <c r="R25">
        <v>31.54</v>
      </c>
      <c r="S25">
        <v>1</v>
      </c>
      <c r="V25" s="77"/>
      <c r="W25" t="s">
        <v>136</v>
      </c>
      <c r="X25" s="77"/>
      <c r="Y25" s="77" t="s">
        <v>98</v>
      </c>
      <c r="Z25" s="77" t="s">
        <v>99</v>
      </c>
      <c r="AA25" s="77"/>
      <c r="AB25" s="77"/>
      <c r="AC25" s="77" t="s">
        <v>100</v>
      </c>
      <c r="AG25" s="87">
        <v>0.5</v>
      </c>
    </row>
    <row r="26" spans="3:51">
      <c r="C26" t="s">
        <v>138</v>
      </c>
      <c r="D26" t="s">
        <v>96</v>
      </c>
      <c r="F26" t="s">
        <v>137</v>
      </c>
      <c r="G26" s="51">
        <v>2021</v>
      </c>
      <c r="H26" s="56">
        <v>0.78</v>
      </c>
      <c r="I26" s="56"/>
      <c r="J26" s="52">
        <v>0.107589579145215</v>
      </c>
      <c r="K26" s="70">
        <f t="shared" ref="K26:K32" si="11">K7</f>
        <v>211.86895238095238</v>
      </c>
      <c r="L26" s="70">
        <f t="shared" ref="L26:L32" si="12">L7</f>
        <v>2.5996190476190475</v>
      </c>
      <c r="M26" s="70">
        <f t="shared" ref="M26:M32" si="13">M7</f>
        <v>211.86895238095238</v>
      </c>
      <c r="N26" s="70">
        <f t="shared" ref="N26:N32" si="14">N7</f>
        <v>2.5996190476190475</v>
      </c>
      <c r="O26" s="70">
        <f t="shared" ref="O26:O32" si="15">O7</f>
        <v>211.86895238095238</v>
      </c>
      <c r="P26" s="70">
        <f t="shared" ref="P26:Q32" si="16">P7</f>
        <v>2.5996190476190475</v>
      </c>
      <c r="Q26" s="182">
        <f t="shared" si="16"/>
        <v>26.5</v>
      </c>
      <c r="R26">
        <v>31.54</v>
      </c>
      <c r="S26">
        <v>1</v>
      </c>
      <c r="V26" s="77"/>
      <c r="W26" t="s">
        <v>138</v>
      </c>
      <c r="X26" s="77"/>
      <c r="Y26" s="77" t="s">
        <v>98</v>
      </c>
      <c r="Z26" s="77" t="s">
        <v>99</v>
      </c>
      <c r="AA26" s="77"/>
      <c r="AB26" s="77"/>
      <c r="AC26" s="77" t="s">
        <v>100</v>
      </c>
      <c r="AG26" s="90">
        <v>0.75</v>
      </c>
    </row>
    <row r="27" spans="3:51">
      <c r="C27" t="s">
        <v>139</v>
      </c>
      <c r="D27" t="s">
        <v>96</v>
      </c>
      <c r="F27" t="s">
        <v>137</v>
      </c>
      <c r="G27" s="51">
        <v>2021</v>
      </c>
      <c r="H27" s="56">
        <v>0.85</v>
      </c>
      <c r="I27" s="56"/>
      <c r="J27" s="52">
        <v>0.107589579145215</v>
      </c>
      <c r="K27" s="70">
        <f t="shared" si="11"/>
        <v>211.86895238095238</v>
      </c>
      <c r="L27" s="70">
        <f t="shared" si="12"/>
        <v>2.5996190476190475</v>
      </c>
      <c r="M27" s="70">
        <f t="shared" si="13"/>
        <v>211.86895238095238</v>
      </c>
      <c r="N27" s="70">
        <f t="shared" si="14"/>
        <v>2.5996190476190475</v>
      </c>
      <c r="O27" s="70">
        <f t="shared" si="15"/>
        <v>211.86895238095238</v>
      </c>
      <c r="P27" s="70">
        <f t="shared" si="16"/>
        <v>2.5996190476190475</v>
      </c>
      <c r="Q27" s="182">
        <f t="shared" si="16"/>
        <v>26.5</v>
      </c>
      <c r="R27">
        <v>31.54</v>
      </c>
      <c r="S27">
        <v>1</v>
      </c>
      <c r="V27" s="77"/>
      <c r="W27" t="s">
        <v>139</v>
      </c>
      <c r="X27" s="77"/>
      <c r="Y27" s="77" t="s">
        <v>98</v>
      </c>
      <c r="Z27" s="77" t="s">
        <v>99</v>
      </c>
      <c r="AA27" s="77"/>
      <c r="AB27" s="77"/>
      <c r="AC27" s="77" t="s">
        <v>100</v>
      </c>
      <c r="AG27" s="90"/>
    </row>
    <row r="28" spans="3:51">
      <c r="C28" t="s">
        <v>140</v>
      </c>
      <c r="D28" t="s">
        <v>104</v>
      </c>
      <c r="F28" t="s">
        <v>137</v>
      </c>
      <c r="G28" s="51">
        <v>2021</v>
      </c>
      <c r="H28" s="56">
        <v>0.62</v>
      </c>
      <c r="I28" s="56"/>
      <c r="J28" s="52">
        <v>0.14800955955630901</v>
      </c>
      <c r="K28" s="70">
        <f t="shared" si="11"/>
        <v>573.73784999999998</v>
      </c>
      <c r="L28" s="70">
        <f t="shared" si="12"/>
        <v>6</v>
      </c>
      <c r="M28" s="70">
        <f t="shared" si="13"/>
        <v>573.73784999999998</v>
      </c>
      <c r="N28" s="70">
        <f t="shared" si="14"/>
        <v>6</v>
      </c>
      <c r="O28" s="70">
        <f t="shared" si="15"/>
        <v>573.73784999999998</v>
      </c>
      <c r="P28" s="70">
        <f t="shared" si="16"/>
        <v>6</v>
      </c>
      <c r="Q28" s="182">
        <f t="shared" si="16"/>
        <v>22</v>
      </c>
      <c r="R28">
        <v>31.54</v>
      </c>
      <c r="S28">
        <v>1</v>
      </c>
      <c r="V28" s="77"/>
      <c r="W28" t="s">
        <v>140</v>
      </c>
      <c r="X28" s="77"/>
      <c r="Y28" s="77" t="s">
        <v>98</v>
      </c>
      <c r="Z28" s="77" t="s">
        <v>99</v>
      </c>
      <c r="AA28" s="77"/>
      <c r="AB28" s="77"/>
      <c r="AC28" s="77" t="s">
        <v>100</v>
      </c>
      <c r="AG28" s="90">
        <v>0.67500000000000004</v>
      </c>
    </row>
    <row r="29" spans="3:51">
      <c r="C29" t="s">
        <v>141</v>
      </c>
      <c r="D29" t="s">
        <v>104</v>
      </c>
      <c r="F29" t="s">
        <v>137</v>
      </c>
      <c r="G29" s="51">
        <v>2021</v>
      </c>
      <c r="H29" s="56">
        <v>0.8</v>
      </c>
      <c r="I29" s="56"/>
      <c r="J29" s="52">
        <v>0.14800955955630901</v>
      </c>
      <c r="K29" s="70">
        <f t="shared" si="11"/>
        <v>573.73784999999998</v>
      </c>
      <c r="L29" s="70">
        <f t="shared" si="12"/>
        <v>6</v>
      </c>
      <c r="M29" s="70">
        <f t="shared" si="13"/>
        <v>573.73784999999998</v>
      </c>
      <c r="N29" s="70">
        <f t="shared" si="14"/>
        <v>6</v>
      </c>
      <c r="O29" s="70">
        <f t="shared" si="15"/>
        <v>573.73784999999998</v>
      </c>
      <c r="P29" s="70">
        <f t="shared" si="16"/>
        <v>6</v>
      </c>
      <c r="Q29" s="182">
        <f t="shared" si="16"/>
        <v>22</v>
      </c>
      <c r="R29">
        <v>31.54</v>
      </c>
      <c r="S29">
        <v>1</v>
      </c>
      <c r="V29" s="77"/>
      <c r="W29" t="s">
        <v>141</v>
      </c>
      <c r="X29" s="77"/>
      <c r="Y29" s="77" t="s">
        <v>98</v>
      </c>
      <c r="Z29" s="77" t="s">
        <v>99</v>
      </c>
      <c r="AA29" s="77"/>
      <c r="AB29" s="77"/>
      <c r="AC29" s="77" t="s">
        <v>100</v>
      </c>
      <c r="AG29" s="90"/>
    </row>
    <row r="30" spans="3:51">
      <c r="C30" t="s">
        <v>142</v>
      </c>
      <c r="D30" t="s">
        <v>104</v>
      </c>
      <c r="F30" t="s">
        <v>137</v>
      </c>
      <c r="G30" s="51">
        <v>2021</v>
      </c>
      <c r="H30" s="56">
        <v>0.9</v>
      </c>
      <c r="I30" s="56"/>
      <c r="J30" s="52">
        <v>0.14800955955630901</v>
      </c>
      <c r="K30" s="70">
        <f t="shared" si="11"/>
        <v>573.73784999999998</v>
      </c>
      <c r="L30" s="70">
        <f t="shared" si="12"/>
        <v>6</v>
      </c>
      <c r="M30" s="70">
        <f t="shared" si="13"/>
        <v>573.73784999999998</v>
      </c>
      <c r="N30" s="70">
        <f t="shared" si="14"/>
        <v>6</v>
      </c>
      <c r="O30" s="70">
        <f t="shared" si="15"/>
        <v>573.73784999999998</v>
      </c>
      <c r="P30" s="70">
        <f t="shared" si="16"/>
        <v>6</v>
      </c>
      <c r="Q30" s="182">
        <f t="shared" si="16"/>
        <v>22</v>
      </c>
      <c r="R30">
        <v>31.54</v>
      </c>
      <c r="S30">
        <v>1</v>
      </c>
      <c r="V30" s="77"/>
      <c r="W30" t="s">
        <v>142</v>
      </c>
      <c r="X30" s="77"/>
      <c r="Y30" s="77" t="s">
        <v>98</v>
      </c>
      <c r="Z30" s="77" t="s">
        <v>99</v>
      </c>
      <c r="AA30" s="77"/>
      <c r="AB30" s="77"/>
      <c r="AC30" s="77" t="s">
        <v>100</v>
      </c>
      <c r="AG30" s="90">
        <v>0.9</v>
      </c>
    </row>
    <row r="31" spans="3:51">
      <c r="C31" t="s">
        <v>143</v>
      </c>
      <c r="D31" t="s">
        <v>108</v>
      </c>
      <c r="F31" t="s">
        <v>137</v>
      </c>
      <c r="G31" s="51">
        <v>2021</v>
      </c>
      <c r="H31" s="56">
        <v>1</v>
      </c>
      <c r="I31" s="56"/>
      <c r="J31" s="52">
        <v>0.115846759587079</v>
      </c>
      <c r="K31" s="70">
        <f t="shared" si="11"/>
        <v>655.70309999999995</v>
      </c>
      <c r="L31" s="70">
        <f t="shared" si="12"/>
        <v>5</v>
      </c>
      <c r="M31" s="70">
        <f t="shared" si="13"/>
        <v>655.70309999999995</v>
      </c>
      <c r="N31" s="70">
        <f t="shared" si="14"/>
        <v>5</v>
      </c>
      <c r="O31" s="70">
        <f t="shared" si="15"/>
        <v>655.70309999999995</v>
      </c>
      <c r="P31" s="70">
        <f t="shared" si="16"/>
        <v>5</v>
      </c>
      <c r="Q31" s="182">
        <f t="shared" si="16"/>
        <v>22.5</v>
      </c>
      <c r="R31">
        <v>31.54</v>
      </c>
      <c r="S31">
        <v>1</v>
      </c>
      <c r="V31" s="77"/>
      <c r="W31" t="s">
        <v>143</v>
      </c>
      <c r="X31" s="77"/>
      <c r="Y31" s="77" t="s">
        <v>98</v>
      </c>
      <c r="Z31" s="77" t="s">
        <v>99</v>
      </c>
      <c r="AA31" s="77"/>
      <c r="AB31" s="77"/>
      <c r="AC31" s="77" t="s">
        <v>100</v>
      </c>
      <c r="AG31" s="90"/>
    </row>
    <row r="32" spans="3:51">
      <c r="C32" t="s">
        <v>144</v>
      </c>
      <c r="D32" s="57" t="s">
        <v>108</v>
      </c>
      <c r="E32" s="57"/>
      <c r="F32" s="48" t="s">
        <v>137</v>
      </c>
      <c r="G32" s="51">
        <v>2021</v>
      </c>
      <c r="H32" s="56">
        <v>1</v>
      </c>
      <c r="I32" s="56"/>
      <c r="J32" s="52">
        <v>0.122920519055356</v>
      </c>
      <c r="K32" s="70">
        <f t="shared" si="11"/>
        <v>1727.7529500000001</v>
      </c>
      <c r="L32" s="70">
        <f t="shared" si="12"/>
        <v>15</v>
      </c>
      <c r="M32" s="70">
        <f t="shared" si="13"/>
        <v>1727.7529500000001</v>
      </c>
      <c r="N32" s="70">
        <f t="shared" si="14"/>
        <v>15</v>
      </c>
      <c r="O32" s="70">
        <f t="shared" si="15"/>
        <v>1727.7529500000001</v>
      </c>
      <c r="P32" s="70">
        <f t="shared" si="16"/>
        <v>15</v>
      </c>
      <c r="Q32" s="182">
        <f t="shared" si="16"/>
        <v>15.3</v>
      </c>
      <c r="R32" s="48">
        <v>31.54</v>
      </c>
      <c r="S32" s="48"/>
      <c r="V32" s="77"/>
      <c r="W32" t="s">
        <v>144</v>
      </c>
      <c r="X32" s="77"/>
      <c r="Y32" s="77" t="s">
        <v>98</v>
      </c>
      <c r="Z32" s="77" t="s">
        <v>99</v>
      </c>
      <c r="AA32" s="77"/>
      <c r="AB32" s="77"/>
      <c r="AC32" s="77" t="s">
        <v>100</v>
      </c>
      <c r="AG32" s="90">
        <v>0.89</v>
      </c>
    </row>
    <row r="33" spans="3:33">
      <c r="D33" s="57"/>
      <c r="E33" s="58" t="str">
        <f>[3]COMM!$E$19</f>
        <v>RSDAHT</v>
      </c>
      <c r="H33" s="56"/>
      <c r="I33" s="56">
        <f>I14</f>
        <v>0.33333333333333298</v>
      </c>
      <c r="K33" s="64"/>
      <c r="L33" s="2"/>
      <c r="M33" s="64"/>
      <c r="N33" s="2"/>
      <c r="O33" s="64"/>
      <c r="P33" s="2"/>
      <c r="Q33" s="182"/>
      <c r="R33">
        <v>31.54</v>
      </c>
      <c r="V33" s="77"/>
      <c r="W33" t="s">
        <v>48</v>
      </c>
      <c r="X33" s="77"/>
      <c r="Y33" s="77"/>
      <c r="Z33" s="77"/>
      <c r="AA33" s="77"/>
      <c r="AB33" s="77"/>
      <c r="AC33" s="77"/>
      <c r="AG33" s="91"/>
    </row>
    <row r="34" spans="3:33">
      <c r="C34" t="s">
        <v>145</v>
      </c>
      <c r="D34" t="s">
        <v>113</v>
      </c>
      <c r="F34" t="s">
        <v>137</v>
      </c>
      <c r="G34" s="51">
        <v>2021</v>
      </c>
      <c r="H34" s="56">
        <v>0.5</v>
      </c>
      <c r="I34" s="56"/>
      <c r="J34" s="52">
        <v>0.160815666952592</v>
      </c>
      <c r="K34" s="70">
        <f t="shared" ref="K34:K38" si="17">K15</f>
        <v>308.44479999999999</v>
      </c>
      <c r="L34" s="70">
        <f t="shared" ref="L34:L38" si="18">L15</f>
        <v>21.154399999999999</v>
      </c>
      <c r="M34" s="70">
        <f t="shared" ref="M34:M38" si="19">M15</f>
        <v>308.44479999999999</v>
      </c>
      <c r="N34" s="70">
        <f t="shared" ref="N34:N38" si="20">N15</f>
        <v>21.154399999999999</v>
      </c>
      <c r="O34" s="70">
        <f t="shared" ref="O34:O38" si="21">O15</f>
        <v>308.44479999999999</v>
      </c>
      <c r="P34" s="70">
        <f t="shared" ref="P34:P38" si="22">P15</f>
        <v>21.154399999999999</v>
      </c>
      <c r="Q34" s="182">
        <f t="shared" ref="Q34:Q42" si="23">Q15</f>
        <v>19</v>
      </c>
      <c r="R34">
        <v>31.54</v>
      </c>
      <c r="S34">
        <v>1</v>
      </c>
      <c r="V34" s="77"/>
      <c r="W34" t="s">
        <v>145</v>
      </c>
      <c r="X34" s="77"/>
      <c r="Y34" s="77" t="s">
        <v>98</v>
      </c>
      <c r="Z34" s="77" t="s">
        <v>99</v>
      </c>
      <c r="AA34" s="77"/>
      <c r="AB34" s="77"/>
      <c r="AC34" s="77" t="s">
        <v>100</v>
      </c>
    </row>
    <row r="35" spans="3:33">
      <c r="C35" t="s">
        <v>146</v>
      </c>
      <c r="D35" t="s">
        <v>124</v>
      </c>
      <c r="F35" t="s">
        <v>137</v>
      </c>
      <c r="G35" s="51">
        <v>2021</v>
      </c>
      <c r="H35" s="56">
        <v>0.5</v>
      </c>
      <c r="I35" s="56"/>
      <c r="J35" s="52">
        <v>6.2824828853958001E-2</v>
      </c>
      <c r="K35" s="70">
        <f t="shared" si="17"/>
        <v>308.44479999999999</v>
      </c>
      <c r="L35" s="70">
        <f t="shared" si="18"/>
        <v>21.154399999999999</v>
      </c>
      <c r="M35" s="70">
        <f t="shared" si="19"/>
        <v>308.44479999999999</v>
      </c>
      <c r="N35" s="70">
        <f t="shared" si="20"/>
        <v>21.154399999999999</v>
      </c>
      <c r="O35" s="70">
        <f t="shared" si="21"/>
        <v>308.44479999999999</v>
      </c>
      <c r="P35" s="70">
        <f t="shared" si="22"/>
        <v>21.154399999999999</v>
      </c>
      <c r="Q35" s="182">
        <f t="shared" si="23"/>
        <v>19</v>
      </c>
      <c r="R35">
        <v>31.54</v>
      </c>
      <c r="S35">
        <v>1</v>
      </c>
      <c r="V35" s="77"/>
      <c r="W35" t="s">
        <v>146</v>
      </c>
      <c r="X35" s="77"/>
      <c r="Y35" s="77" t="s">
        <v>98</v>
      </c>
      <c r="Z35" s="77" t="s">
        <v>99</v>
      </c>
      <c r="AA35" s="77"/>
      <c r="AB35" s="77"/>
      <c r="AC35" s="77" t="s">
        <v>100</v>
      </c>
      <c r="AG35" s="87">
        <v>0.6</v>
      </c>
    </row>
    <row r="36" spans="3:33">
      <c r="C36" s="59" t="s">
        <v>147</v>
      </c>
      <c r="D36" s="59" t="s">
        <v>108</v>
      </c>
      <c r="E36" s="59"/>
      <c r="F36" t="s">
        <v>137</v>
      </c>
      <c r="G36" s="51">
        <v>2021</v>
      </c>
      <c r="H36" s="56">
        <v>0.75</v>
      </c>
      <c r="I36" s="56"/>
      <c r="J36" s="52">
        <v>8.9335794220518405E-2</v>
      </c>
      <c r="K36" s="70">
        <f t="shared" si="17"/>
        <v>482.07394999999997</v>
      </c>
      <c r="L36" s="70">
        <f t="shared" si="18"/>
        <v>13.077199999999999</v>
      </c>
      <c r="M36" s="70">
        <f t="shared" si="19"/>
        <v>482.07394999999997</v>
      </c>
      <c r="N36" s="70">
        <f t="shared" si="20"/>
        <v>13.077199999999999</v>
      </c>
      <c r="O36" s="70">
        <f t="shared" si="21"/>
        <v>482.07394999999997</v>
      </c>
      <c r="P36" s="70">
        <f t="shared" si="22"/>
        <v>13.077199999999999</v>
      </c>
      <c r="Q36" s="182">
        <f t="shared" si="23"/>
        <v>20.75</v>
      </c>
      <c r="R36">
        <v>31.54</v>
      </c>
      <c r="S36">
        <v>0.60975609756097604</v>
      </c>
      <c r="V36" s="77"/>
      <c r="W36" s="59" t="s">
        <v>147</v>
      </c>
      <c r="X36" s="77"/>
      <c r="Y36" s="77" t="s">
        <v>98</v>
      </c>
      <c r="Z36" s="77" t="s">
        <v>99</v>
      </c>
      <c r="AA36" s="77"/>
      <c r="AB36" s="77"/>
      <c r="AC36" s="77" t="s">
        <v>100</v>
      </c>
      <c r="AG36" s="87">
        <v>0.78</v>
      </c>
    </row>
    <row r="37" spans="3:33">
      <c r="D37" s="59" t="s">
        <v>124</v>
      </c>
      <c r="E37" s="59"/>
      <c r="H37" s="56"/>
      <c r="I37" s="56"/>
      <c r="K37" s="64"/>
      <c r="M37" s="64"/>
      <c r="O37" s="64"/>
      <c r="P37" s="2"/>
      <c r="Q37" s="182"/>
      <c r="V37" s="77"/>
      <c r="W37" t="s">
        <v>48</v>
      </c>
      <c r="X37" s="77"/>
      <c r="Y37" s="77"/>
      <c r="Z37" s="77"/>
      <c r="AA37" s="77"/>
      <c r="AB37" s="77"/>
      <c r="AC37" s="77"/>
      <c r="AG37" s="87">
        <v>0.85</v>
      </c>
    </row>
    <row r="38" spans="3:33">
      <c r="C38" s="59" t="s">
        <v>148</v>
      </c>
      <c r="D38" s="59" t="s">
        <v>96</v>
      </c>
      <c r="E38" s="59"/>
      <c r="F38" t="s">
        <v>137</v>
      </c>
      <c r="G38" s="51">
        <v>2021</v>
      </c>
      <c r="H38" s="56">
        <v>0.67500000000000004</v>
      </c>
      <c r="I38" s="56"/>
      <c r="J38" s="52">
        <v>9.6398391572400793E-2</v>
      </c>
      <c r="K38" s="70">
        <f t="shared" si="17"/>
        <v>260.15687619047617</v>
      </c>
      <c r="L38" s="70">
        <f t="shared" si="18"/>
        <v>11.877009523809523</v>
      </c>
      <c r="M38" s="70">
        <f t="shared" si="19"/>
        <v>260.15687619047617</v>
      </c>
      <c r="N38" s="70">
        <f t="shared" si="20"/>
        <v>11.877009523809523</v>
      </c>
      <c r="O38" s="70">
        <f t="shared" si="21"/>
        <v>260.15687619047617</v>
      </c>
      <c r="P38" s="70">
        <f t="shared" si="22"/>
        <v>11.877009523809523</v>
      </c>
      <c r="Q38" s="182">
        <f t="shared" si="23"/>
        <v>22.75</v>
      </c>
      <c r="R38">
        <v>31.54</v>
      </c>
      <c r="S38">
        <v>0.238095238095238</v>
      </c>
      <c r="V38" s="77"/>
      <c r="W38" s="59" t="s">
        <v>148</v>
      </c>
      <c r="X38" s="77"/>
      <c r="Y38" s="77" t="s">
        <v>98</v>
      </c>
      <c r="Z38" s="77" t="s">
        <v>99</v>
      </c>
      <c r="AA38" s="77"/>
      <c r="AB38" s="77"/>
      <c r="AC38" s="77" t="s">
        <v>100</v>
      </c>
      <c r="AG38" s="87">
        <v>0.62</v>
      </c>
    </row>
    <row r="39" spans="3:33">
      <c r="D39" s="59" t="s">
        <v>124</v>
      </c>
      <c r="E39" s="59"/>
      <c r="H39" s="56"/>
      <c r="I39" s="56"/>
      <c r="K39" s="64"/>
      <c r="L39" s="2"/>
      <c r="M39" s="64"/>
      <c r="N39" s="2"/>
      <c r="O39" s="64"/>
      <c r="P39" s="2"/>
      <c r="Q39" s="182"/>
      <c r="V39" s="77"/>
      <c r="W39" t="s">
        <v>48</v>
      </c>
      <c r="X39" s="77"/>
      <c r="Y39" s="77"/>
      <c r="Z39" s="77"/>
      <c r="AA39" s="77"/>
      <c r="AB39" s="77"/>
      <c r="AC39" s="77"/>
      <c r="AG39" s="87">
        <v>0.8</v>
      </c>
    </row>
    <row r="40" spans="3:33">
      <c r="C40" s="59" t="s">
        <v>149</v>
      </c>
      <c r="D40" s="59" t="s">
        <v>108</v>
      </c>
      <c r="E40" s="59"/>
      <c r="F40" t="s">
        <v>137</v>
      </c>
      <c r="G40" s="51">
        <v>2021</v>
      </c>
      <c r="H40" s="56">
        <v>0.9</v>
      </c>
      <c r="I40" s="56"/>
      <c r="J40" s="52">
        <v>0.13996885956400101</v>
      </c>
      <c r="K40" s="70">
        <f t="shared" ref="K40:P40" si="24">K21</f>
        <v>614.72047499999996</v>
      </c>
      <c r="L40" s="70">
        <f t="shared" si="24"/>
        <v>5.5</v>
      </c>
      <c r="M40" s="70">
        <f t="shared" si="24"/>
        <v>614.72047499999996</v>
      </c>
      <c r="N40" s="70">
        <f t="shared" si="24"/>
        <v>5.5</v>
      </c>
      <c r="O40" s="70">
        <f t="shared" si="24"/>
        <v>614.72047499999996</v>
      </c>
      <c r="P40" s="70">
        <f t="shared" si="24"/>
        <v>5.5</v>
      </c>
      <c r="Q40" s="182">
        <f t="shared" si="23"/>
        <v>22.25</v>
      </c>
      <c r="R40">
        <v>31.54</v>
      </c>
      <c r="S40">
        <v>0.32051282051282098</v>
      </c>
      <c r="V40" s="77"/>
      <c r="W40" s="59" t="s">
        <v>149</v>
      </c>
      <c r="X40" s="77"/>
      <c r="Y40" s="77" t="s">
        <v>98</v>
      </c>
      <c r="Z40" s="77" t="s">
        <v>99</v>
      </c>
      <c r="AA40" s="77"/>
      <c r="AB40" s="77"/>
      <c r="AC40" s="77" t="s">
        <v>100</v>
      </c>
      <c r="AG40" s="87">
        <v>0.9</v>
      </c>
    </row>
    <row r="41" spans="3:33">
      <c r="D41" s="59" t="s">
        <v>104</v>
      </c>
      <c r="E41" s="59"/>
      <c r="H41" s="56"/>
      <c r="I41" s="56"/>
      <c r="K41" s="64"/>
      <c r="L41" s="2"/>
      <c r="M41" s="64"/>
      <c r="N41" s="2"/>
      <c r="O41" s="64"/>
      <c r="P41" s="2"/>
      <c r="Q41" s="182"/>
      <c r="V41" s="77"/>
      <c r="W41" t="s">
        <v>48</v>
      </c>
      <c r="X41" s="77"/>
      <c r="Y41" s="77"/>
      <c r="Z41" s="77"/>
      <c r="AA41" s="77"/>
      <c r="AB41" s="77"/>
      <c r="AC41" s="77"/>
      <c r="AG41" s="87">
        <v>1</v>
      </c>
    </row>
    <row r="42" spans="3:33">
      <c r="C42" s="59" t="s">
        <v>150</v>
      </c>
      <c r="D42" s="59" t="s">
        <v>108</v>
      </c>
      <c r="E42" s="59"/>
      <c r="F42" t="s">
        <v>137</v>
      </c>
      <c r="G42" s="51">
        <v>2021</v>
      </c>
      <c r="H42" s="56">
        <v>0.89</v>
      </c>
      <c r="I42" s="56"/>
      <c r="J42" s="52">
        <v>0.109653874255681</v>
      </c>
      <c r="K42" s="70">
        <f t="shared" ref="K42:P42" si="25">K23</f>
        <v>433.78602619047615</v>
      </c>
      <c r="L42" s="70">
        <f t="shared" si="25"/>
        <v>3.7998095238095235</v>
      </c>
      <c r="M42" s="70">
        <f t="shared" si="25"/>
        <v>433.78602619047615</v>
      </c>
      <c r="N42" s="70">
        <f t="shared" si="25"/>
        <v>3.7998095238095235</v>
      </c>
      <c r="O42" s="70">
        <f t="shared" si="25"/>
        <v>433.78602619047615</v>
      </c>
      <c r="P42" s="70">
        <f t="shared" si="25"/>
        <v>3.7998095238095235</v>
      </c>
      <c r="Q42" s="182">
        <f t="shared" si="23"/>
        <v>24.5</v>
      </c>
      <c r="R42">
        <v>31.54</v>
      </c>
      <c r="S42">
        <v>0.83333333333333304</v>
      </c>
      <c r="V42" s="77"/>
      <c r="W42" s="59" t="s">
        <v>150</v>
      </c>
      <c r="X42" s="77"/>
      <c r="Y42" s="77" t="s">
        <v>98</v>
      </c>
      <c r="Z42" s="77" t="s">
        <v>99</v>
      </c>
      <c r="AA42" s="77"/>
      <c r="AB42" s="77"/>
      <c r="AC42" s="77" t="s">
        <v>100</v>
      </c>
      <c r="AG42" s="87">
        <v>1.9</v>
      </c>
    </row>
    <row r="43" spans="3:33">
      <c r="D43" s="59" t="s">
        <v>96</v>
      </c>
      <c r="E43" s="59"/>
      <c r="K43" s="69"/>
      <c r="M43" s="69"/>
      <c r="O43" s="64"/>
      <c r="P43" s="2"/>
      <c r="Q43" s="52"/>
      <c r="V43" s="77"/>
      <c r="W43" t="s">
        <v>48</v>
      </c>
      <c r="X43" s="77"/>
      <c r="Y43" s="77"/>
      <c r="Z43" s="77"/>
      <c r="AA43" s="77"/>
      <c r="AB43" s="77"/>
      <c r="AC43" s="77"/>
      <c r="AG43" s="87">
        <v>0.5</v>
      </c>
    </row>
    <row r="44" spans="3:33">
      <c r="C44" t="s">
        <v>151</v>
      </c>
      <c r="D44" t="s">
        <v>96</v>
      </c>
      <c r="F44" t="s">
        <v>152</v>
      </c>
      <c r="G44" s="51">
        <v>2021</v>
      </c>
      <c r="H44" s="52">
        <v>0.6</v>
      </c>
      <c r="J44" s="52">
        <v>0.114692556417616</v>
      </c>
      <c r="K44" s="70">
        <f t="shared" ref="K44:P44" si="26">K25</f>
        <v>211.86895238095238</v>
      </c>
      <c r="L44" s="70">
        <f t="shared" si="26"/>
        <v>2.5996190476190475</v>
      </c>
      <c r="M44" s="70">
        <f t="shared" si="26"/>
        <v>211.86895238095238</v>
      </c>
      <c r="N44" s="70">
        <f t="shared" si="26"/>
        <v>2.5996190476190475</v>
      </c>
      <c r="O44" s="70">
        <f t="shared" si="26"/>
        <v>211.86895238095238</v>
      </c>
      <c r="P44" s="70">
        <f t="shared" si="26"/>
        <v>2.5996190476190475</v>
      </c>
      <c r="Q44" s="182">
        <f>Q25</f>
        <v>26.5</v>
      </c>
      <c r="R44">
        <v>31.54</v>
      </c>
      <c r="S44">
        <v>1</v>
      </c>
      <c r="V44" s="77"/>
      <c r="W44" t="s">
        <v>151</v>
      </c>
      <c r="X44" s="77"/>
      <c r="Y44" s="77" t="s">
        <v>98</v>
      </c>
      <c r="Z44" s="77" t="s">
        <v>99</v>
      </c>
      <c r="AA44" s="77"/>
      <c r="AB44" s="77"/>
      <c r="AC44" s="77" t="s">
        <v>100</v>
      </c>
      <c r="AG44" s="87">
        <v>0.5</v>
      </c>
    </row>
    <row r="45" spans="3:33">
      <c r="C45" t="s">
        <v>153</v>
      </c>
      <c r="D45" t="s">
        <v>96</v>
      </c>
      <c r="F45" t="s">
        <v>152</v>
      </c>
      <c r="G45" s="51">
        <v>2021</v>
      </c>
      <c r="H45" s="52">
        <v>0.78</v>
      </c>
      <c r="J45" s="52">
        <v>0.114692556417616</v>
      </c>
      <c r="K45" s="70">
        <f t="shared" ref="K45:Q45" si="27">K26</f>
        <v>211.86895238095238</v>
      </c>
      <c r="L45" s="70">
        <f t="shared" si="27"/>
        <v>2.5996190476190475</v>
      </c>
      <c r="M45" s="70">
        <f t="shared" si="27"/>
        <v>211.86895238095238</v>
      </c>
      <c r="N45" s="70">
        <f t="shared" si="27"/>
        <v>2.5996190476190475</v>
      </c>
      <c r="O45" s="70">
        <f t="shared" si="27"/>
        <v>211.86895238095238</v>
      </c>
      <c r="P45" s="70">
        <f t="shared" si="27"/>
        <v>2.5996190476190475</v>
      </c>
      <c r="Q45" s="182">
        <f t="shared" si="27"/>
        <v>26.5</v>
      </c>
      <c r="R45">
        <v>31.54</v>
      </c>
      <c r="S45">
        <v>1</v>
      </c>
      <c r="V45" s="77"/>
      <c r="W45" t="s">
        <v>153</v>
      </c>
      <c r="X45" s="77"/>
      <c r="Y45" s="77" t="s">
        <v>98</v>
      </c>
      <c r="Z45" s="77" t="s">
        <v>99</v>
      </c>
      <c r="AA45" s="77"/>
      <c r="AB45" s="77"/>
      <c r="AC45" s="77" t="s">
        <v>100</v>
      </c>
      <c r="AG45" s="87">
        <v>0.75</v>
      </c>
    </row>
    <row r="46" spans="3:33">
      <c r="C46" t="s">
        <v>154</v>
      </c>
      <c r="D46" t="s">
        <v>96</v>
      </c>
      <c r="F46" t="s">
        <v>152</v>
      </c>
      <c r="G46" s="51">
        <v>2021</v>
      </c>
      <c r="H46" s="52">
        <v>0.85</v>
      </c>
      <c r="J46" s="52">
        <v>0.114692556417616</v>
      </c>
      <c r="K46" s="70">
        <f t="shared" ref="K46:Q46" si="28">K27</f>
        <v>211.86895238095238</v>
      </c>
      <c r="L46" s="70">
        <f t="shared" si="28"/>
        <v>2.5996190476190475</v>
      </c>
      <c r="M46" s="70">
        <f t="shared" si="28"/>
        <v>211.86895238095238</v>
      </c>
      <c r="N46" s="70">
        <f t="shared" si="28"/>
        <v>2.5996190476190475</v>
      </c>
      <c r="O46" s="70">
        <f t="shared" si="28"/>
        <v>211.86895238095238</v>
      </c>
      <c r="P46" s="70">
        <f t="shared" si="28"/>
        <v>2.5996190476190475</v>
      </c>
      <c r="Q46" s="182">
        <f t="shared" si="28"/>
        <v>26.5</v>
      </c>
      <c r="R46">
        <v>31.54</v>
      </c>
      <c r="S46">
        <v>1</v>
      </c>
      <c r="V46" s="77"/>
      <c r="W46" t="s">
        <v>154</v>
      </c>
      <c r="X46" s="77"/>
      <c r="Y46" s="77" t="s">
        <v>98</v>
      </c>
      <c r="Z46" s="77" t="s">
        <v>99</v>
      </c>
      <c r="AA46" s="77"/>
      <c r="AB46" s="77"/>
      <c r="AC46" s="77" t="s">
        <v>100</v>
      </c>
      <c r="AG46" s="87"/>
    </row>
    <row r="47" spans="3:33">
      <c r="C47" t="s">
        <v>155</v>
      </c>
      <c r="D47" t="s">
        <v>104</v>
      </c>
      <c r="F47" t="s">
        <v>152</v>
      </c>
      <c r="G47" s="51">
        <v>2021</v>
      </c>
      <c r="H47" s="52">
        <v>0.62</v>
      </c>
      <c r="J47" s="52">
        <v>0.18900772326984999</v>
      </c>
      <c r="K47" s="70">
        <f t="shared" ref="K47:Q47" si="29">K28</f>
        <v>573.73784999999998</v>
      </c>
      <c r="L47" s="70">
        <f t="shared" si="29"/>
        <v>6</v>
      </c>
      <c r="M47" s="70">
        <f t="shared" si="29"/>
        <v>573.73784999999998</v>
      </c>
      <c r="N47" s="70">
        <f t="shared" si="29"/>
        <v>6</v>
      </c>
      <c r="O47" s="70">
        <f t="shared" si="29"/>
        <v>573.73784999999998</v>
      </c>
      <c r="P47" s="70">
        <f t="shared" si="29"/>
        <v>6</v>
      </c>
      <c r="Q47" s="182">
        <f t="shared" si="29"/>
        <v>22</v>
      </c>
      <c r="R47">
        <v>31.54</v>
      </c>
      <c r="S47">
        <v>1</v>
      </c>
      <c r="V47" s="77"/>
      <c r="W47" t="s">
        <v>155</v>
      </c>
      <c r="X47" s="77"/>
      <c r="Y47" s="77" t="s">
        <v>98</v>
      </c>
      <c r="Z47" s="77" t="s">
        <v>99</v>
      </c>
      <c r="AA47" s="77"/>
      <c r="AB47" s="77"/>
      <c r="AC47" s="77" t="s">
        <v>100</v>
      </c>
      <c r="AG47" s="87">
        <v>0.67500000000000004</v>
      </c>
    </row>
    <row r="48" spans="3:33">
      <c r="C48" t="s">
        <v>156</v>
      </c>
      <c r="D48" t="s">
        <v>104</v>
      </c>
      <c r="F48" t="s">
        <v>152</v>
      </c>
      <c r="G48" s="51">
        <v>2021</v>
      </c>
      <c r="H48" s="52">
        <v>0.8</v>
      </c>
      <c r="J48" s="52">
        <v>0.18900772326984999</v>
      </c>
      <c r="K48" s="70">
        <f t="shared" ref="K48:Q48" si="30">K29</f>
        <v>573.73784999999998</v>
      </c>
      <c r="L48" s="70">
        <f t="shared" si="30"/>
        <v>6</v>
      </c>
      <c r="M48" s="70">
        <f t="shared" si="30"/>
        <v>573.73784999999998</v>
      </c>
      <c r="N48" s="70">
        <f t="shared" si="30"/>
        <v>6</v>
      </c>
      <c r="O48" s="70">
        <f t="shared" si="30"/>
        <v>573.73784999999998</v>
      </c>
      <c r="P48" s="70">
        <f t="shared" si="30"/>
        <v>6</v>
      </c>
      <c r="Q48" s="182">
        <f t="shared" si="30"/>
        <v>22</v>
      </c>
      <c r="R48">
        <v>31.54</v>
      </c>
      <c r="S48">
        <v>1</v>
      </c>
      <c r="V48" s="77"/>
      <c r="W48" t="s">
        <v>156</v>
      </c>
      <c r="X48" s="77"/>
      <c r="Y48" s="77" t="s">
        <v>98</v>
      </c>
      <c r="Z48" s="77" t="s">
        <v>99</v>
      </c>
      <c r="AA48" s="77"/>
      <c r="AB48" s="77"/>
      <c r="AC48" s="77" t="s">
        <v>100</v>
      </c>
      <c r="AG48" s="87"/>
    </row>
    <row r="49" spans="3:33">
      <c r="C49" t="s">
        <v>157</v>
      </c>
      <c r="D49" t="s">
        <v>104</v>
      </c>
      <c r="F49" t="s">
        <v>152</v>
      </c>
      <c r="G49" s="51">
        <v>2021</v>
      </c>
      <c r="H49" s="52">
        <v>0.9</v>
      </c>
      <c r="J49" s="52">
        <v>0.18900772326984999</v>
      </c>
      <c r="K49" s="70">
        <f t="shared" ref="K49:Q49" si="31">K30</f>
        <v>573.73784999999998</v>
      </c>
      <c r="L49" s="70">
        <f t="shared" si="31"/>
        <v>6</v>
      </c>
      <c r="M49" s="70">
        <f t="shared" si="31"/>
        <v>573.73784999999998</v>
      </c>
      <c r="N49" s="70">
        <f t="shared" si="31"/>
        <v>6</v>
      </c>
      <c r="O49" s="70">
        <f t="shared" si="31"/>
        <v>573.73784999999998</v>
      </c>
      <c r="P49" s="70">
        <f t="shared" si="31"/>
        <v>6</v>
      </c>
      <c r="Q49" s="182">
        <f t="shared" si="31"/>
        <v>22</v>
      </c>
      <c r="R49">
        <v>31.54</v>
      </c>
      <c r="S49">
        <v>1</v>
      </c>
      <c r="V49" s="77"/>
      <c r="W49" t="s">
        <v>157</v>
      </c>
      <c r="X49" s="77"/>
      <c r="Y49" s="77" t="s">
        <v>98</v>
      </c>
      <c r="Z49" s="77" t="s">
        <v>99</v>
      </c>
      <c r="AA49" s="77"/>
      <c r="AB49" s="77"/>
      <c r="AC49" s="77" t="s">
        <v>100</v>
      </c>
      <c r="AG49" s="87">
        <v>0.9</v>
      </c>
    </row>
    <row r="50" spans="3:33">
      <c r="C50" t="s">
        <v>158</v>
      </c>
      <c r="D50" t="s">
        <v>108</v>
      </c>
      <c r="F50" t="s">
        <v>152</v>
      </c>
      <c r="G50" s="51">
        <v>2021</v>
      </c>
      <c r="H50" s="52">
        <v>1</v>
      </c>
      <c r="J50" s="52">
        <v>0.14303460167047699</v>
      </c>
      <c r="K50" s="70">
        <f t="shared" ref="K50:Q50" si="32">K31</f>
        <v>655.70309999999995</v>
      </c>
      <c r="L50" s="70">
        <f t="shared" si="32"/>
        <v>5</v>
      </c>
      <c r="M50" s="70">
        <f t="shared" si="32"/>
        <v>655.70309999999995</v>
      </c>
      <c r="N50" s="70">
        <f t="shared" si="32"/>
        <v>5</v>
      </c>
      <c r="O50" s="70">
        <f t="shared" si="32"/>
        <v>655.70309999999995</v>
      </c>
      <c r="P50" s="70">
        <f t="shared" si="32"/>
        <v>5</v>
      </c>
      <c r="Q50" s="182">
        <f t="shared" si="32"/>
        <v>22.5</v>
      </c>
      <c r="R50">
        <v>31.54</v>
      </c>
      <c r="S50">
        <v>1</v>
      </c>
      <c r="V50" s="77"/>
      <c r="W50" t="s">
        <v>158</v>
      </c>
      <c r="X50" s="77"/>
      <c r="Y50" s="77" t="s">
        <v>98</v>
      </c>
      <c r="Z50" s="77" t="s">
        <v>99</v>
      </c>
      <c r="AA50" s="77"/>
      <c r="AB50" s="77"/>
      <c r="AC50" s="77" t="s">
        <v>100</v>
      </c>
      <c r="AG50" s="87"/>
    </row>
    <row r="51" spans="3:33">
      <c r="C51" t="s">
        <v>159</v>
      </c>
      <c r="D51" s="61" t="s">
        <v>108</v>
      </c>
      <c r="E51" s="61"/>
      <c r="F51" s="48" t="s">
        <v>152</v>
      </c>
      <c r="G51" s="51">
        <v>2021</v>
      </c>
      <c r="H51" s="52">
        <v>1</v>
      </c>
      <c r="J51" s="52">
        <v>0.15728179567470099</v>
      </c>
      <c r="K51" s="70">
        <f t="shared" ref="K51:Q51" si="33">K32</f>
        <v>1727.7529500000001</v>
      </c>
      <c r="L51" s="70">
        <f t="shared" si="33"/>
        <v>15</v>
      </c>
      <c r="M51" s="70">
        <f t="shared" si="33"/>
        <v>1727.7529500000001</v>
      </c>
      <c r="N51" s="70">
        <f t="shared" si="33"/>
        <v>15</v>
      </c>
      <c r="O51" s="70">
        <f t="shared" si="33"/>
        <v>1727.7529500000001</v>
      </c>
      <c r="P51" s="70">
        <f t="shared" si="33"/>
        <v>15</v>
      </c>
      <c r="Q51" s="182">
        <f t="shared" si="33"/>
        <v>15.3</v>
      </c>
      <c r="R51" s="48">
        <v>31.54</v>
      </c>
      <c r="S51" s="48"/>
      <c r="V51" s="77"/>
      <c r="W51" t="s">
        <v>159</v>
      </c>
      <c r="X51" s="77"/>
      <c r="Y51" s="77" t="s">
        <v>98</v>
      </c>
      <c r="Z51" s="77" t="s">
        <v>99</v>
      </c>
      <c r="AA51" s="77"/>
      <c r="AB51" s="77"/>
      <c r="AC51" s="77" t="s">
        <v>100</v>
      </c>
      <c r="AG51" s="87">
        <v>0.89</v>
      </c>
    </row>
    <row r="52" spans="3:33">
      <c r="D52" s="57"/>
      <c r="E52" s="58" t="str">
        <f>[3]COMM!$E$19</f>
        <v>RSDAHT</v>
      </c>
      <c r="I52" s="52">
        <f>I33</f>
        <v>0.33333333333333298</v>
      </c>
      <c r="K52" s="64"/>
      <c r="L52" s="2"/>
      <c r="M52" s="64"/>
      <c r="N52" s="2"/>
      <c r="O52" s="64"/>
      <c r="P52" s="2"/>
      <c r="Q52" s="182"/>
      <c r="R52">
        <v>31.54</v>
      </c>
      <c r="V52" s="77"/>
      <c r="W52" t="s">
        <v>48</v>
      </c>
      <c r="X52" s="77"/>
      <c r="Y52" s="77"/>
      <c r="Z52" s="77"/>
      <c r="AA52" s="77"/>
      <c r="AB52" s="77"/>
      <c r="AC52" s="77"/>
      <c r="AG52" s="87"/>
    </row>
    <row r="53" spans="3:33">
      <c r="C53" t="s">
        <v>160</v>
      </c>
      <c r="D53" t="s">
        <v>113</v>
      </c>
      <c r="F53" t="s">
        <v>152</v>
      </c>
      <c r="G53" s="51">
        <v>2021</v>
      </c>
      <c r="H53" s="52">
        <v>0.5</v>
      </c>
      <c r="J53" s="52">
        <v>0.21983667250248501</v>
      </c>
      <c r="K53" s="70">
        <f t="shared" ref="K53:Q61" si="34">K34</f>
        <v>308.44479999999999</v>
      </c>
      <c r="L53" s="70">
        <f t="shared" si="34"/>
        <v>21.154399999999999</v>
      </c>
      <c r="M53" s="70">
        <f t="shared" si="34"/>
        <v>308.44479999999999</v>
      </c>
      <c r="N53" s="70">
        <f t="shared" si="34"/>
        <v>21.154399999999999</v>
      </c>
      <c r="O53" s="70">
        <f t="shared" si="34"/>
        <v>308.44479999999999</v>
      </c>
      <c r="P53" s="70">
        <f t="shared" si="34"/>
        <v>21.154399999999999</v>
      </c>
      <c r="Q53" s="182">
        <f t="shared" si="34"/>
        <v>19</v>
      </c>
      <c r="R53">
        <v>31.54</v>
      </c>
      <c r="S53">
        <v>1</v>
      </c>
      <c r="V53" s="77"/>
      <c r="W53" t="s">
        <v>160</v>
      </c>
      <c r="X53" s="77"/>
      <c r="Y53" s="77" t="s">
        <v>98</v>
      </c>
      <c r="Z53" s="77" t="s">
        <v>99</v>
      </c>
      <c r="AA53" s="77"/>
      <c r="AB53" s="77"/>
      <c r="AC53" s="77" t="s">
        <v>100</v>
      </c>
    </row>
    <row r="54" spans="3:33">
      <c r="C54" t="s">
        <v>161</v>
      </c>
      <c r="D54" t="s">
        <v>124</v>
      </c>
      <c r="F54" t="s">
        <v>152</v>
      </c>
      <c r="G54" s="51">
        <v>2021</v>
      </c>
      <c r="H54" s="52">
        <v>0.5</v>
      </c>
      <c r="J54" s="52">
        <v>0.14156404783695201</v>
      </c>
      <c r="K54" s="70">
        <f t="shared" ref="K54:P54" si="35">K35</f>
        <v>308.44479999999999</v>
      </c>
      <c r="L54" s="70">
        <f t="shared" si="35"/>
        <v>21.154399999999999</v>
      </c>
      <c r="M54" s="70">
        <f t="shared" si="35"/>
        <v>308.44479999999999</v>
      </c>
      <c r="N54" s="70">
        <f t="shared" si="35"/>
        <v>21.154399999999999</v>
      </c>
      <c r="O54" s="70">
        <f t="shared" si="35"/>
        <v>308.44479999999999</v>
      </c>
      <c r="P54" s="70">
        <f t="shared" si="35"/>
        <v>21.154399999999999</v>
      </c>
      <c r="Q54" s="182">
        <f t="shared" si="34"/>
        <v>19</v>
      </c>
      <c r="R54">
        <v>31.54</v>
      </c>
      <c r="S54">
        <v>1</v>
      </c>
      <c r="V54" s="77"/>
      <c r="W54" t="s">
        <v>161</v>
      </c>
      <c r="X54" s="77"/>
      <c r="Y54" s="77" t="s">
        <v>98</v>
      </c>
      <c r="Z54" s="77" t="s">
        <v>99</v>
      </c>
      <c r="AA54" s="77"/>
      <c r="AB54" s="77"/>
      <c r="AC54" s="77" t="s">
        <v>100</v>
      </c>
      <c r="AG54">
        <v>0.6</v>
      </c>
    </row>
    <row r="55" spans="3:33">
      <c r="C55" s="59" t="s">
        <v>162</v>
      </c>
      <c r="D55" s="59" t="s">
        <v>108</v>
      </c>
      <c r="E55" s="59"/>
      <c r="F55" t="s">
        <v>152</v>
      </c>
      <c r="G55" s="51">
        <v>2021</v>
      </c>
      <c r="H55" s="52">
        <v>0.75</v>
      </c>
      <c r="J55" s="52">
        <v>0.14229932475371501</v>
      </c>
      <c r="K55" s="70">
        <f t="shared" ref="K55:P55" si="36">K36</f>
        <v>482.07394999999997</v>
      </c>
      <c r="L55" s="70">
        <f t="shared" si="36"/>
        <v>13.077199999999999</v>
      </c>
      <c r="M55" s="70">
        <f t="shared" si="36"/>
        <v>482.07394999999997</v>
      </c>
      <c r="N55" s="70">
        <f t="shared" si="36"/>
        <v>13.077199999999999</v>
      </c>
      <c r="O55" s="70">
        <f t="shared" si="36"/>
        <v>482.07394999999997</v>
      </c>
      <c r="P55" s="70">
        <f t="shared" si="36"/>
        <v>13.077199999999999</v>
      </c>
      <c r="Q55" s="182">
        <f t="shared" si="34"/>
        <v>20.75</v>
      </c>
      <c r="R55">
        <v>31.54</v>
      </c>
      <c r="S55">
        <v>0.60975609756097604</v>
      </c>
      <c r="V55" s="77"/>
      <c r="W55" s="59" t="s">
        <v>162</v>
      </c>
      <c r="X55" s="77"/>
      <c r="Y55" s="77" t="s">
        <v>98</v>
      </c>
      <c r="Z55" s="77" t="s">
        <v>99</v>
      </c>
      <c r="AA55" s="77"/>
      <c r="AB55" s="77"/>
      <c r="AC55" s="77" t="s">
        <v>100</v>
      </c>
      <c r="AG55">
        <v>0.78</v>
      </c>
    </row>
    <row r="56" spans="3:33">
      <c r="D56" s="59" t="s">
        <v>124</v>
      </c>
      <c r="E56" s="59"/>
      <c r="K56" s="64"/>
      <c r="M56" s="64"/>
      <c r="O56" s="64"/>
      <c r="P56" s="2"/>
      <c r="Q56" s="182"/>
      <c r="V56" s="77"/>
      <c r="W56" t="s">
        <v>48</v>
      </c>
      <c r="X56" s="77"/>
      <c r="Y56" s="77"/>
      <c r="Z56" s="77"/>
      <c r="AA56" s="77"/>
      <c r="AB56" s="77"/>
      <c r="AC56" s="77"/>
      <c r="AG56">
        <v>0.85</v>
      </c>
    </row>
    <row r="57" spans="3:33">
      <c r="C57" s="59" t="s">
        <v>163</v>
      </c>
      <c r="D57" s="59" t="s">
        <v>96</v>
      </c>
      <c r="E57" s="59"/>
      <c r="F57" t="s">
        <v>152</v>
      </c>
      <c r="G57" s="51">
        <v>2021</v>
      </c>
      <c r="H57" s="52">
        <v>0.67500000000000004</v>
      </c>
      <c r="J57" s="52">
        <v>0.12141042927244999</v>
      </c>
      <c r="K57" s="70">
        <f t="shared" ref="K57:P57" si="37">K38</f>
        <v>260.15687619047617</v>
      </c>
      <c r="L57" s="70">
        <f t="shared" si="37"/>
        <v>11.877009523809523</v>
      </c>
      <c r="M57" s="70">
        <f t="shared" si="37"/>
        <v>260.15687619047617</v>
      </c>
      <c r="N57" s="70">
        <f t="shared" si="37"/>
        <v>11.877009523809523</v>
      </c>
      <c r="O57" s="70">
        <f t="shared" si="37"/>
        <v>260.15687619047617</v>
      </c>
      <c r="P57" s="70">
        <f t="shared" si="37"/>
        <v>11.877009523809523</v>
      </c>
      <c r="Q57" s="182">
        <f t="shared" si="34"/>
        <v>22.75</v>
      </c>
      <c r="R57">
        <v>31.54</v>
      </c>
      <c r="S57">
        <v>0.238095238095238</v>
      </c>
      <c r="V57" s="77"/>
      <c r="W57" s="59" t="s">
        <v>163</v>
      </c>
      <c r="X57" s="77"/>
      <c r="Y57" s="77" t="s">
        <v>98</v>
      </c>
      <c r="Z57" s="77" t="s">
        <v>99</v>
      </c>
      <c r="AA57" s="77"/>
      <c r="AB57" s="77"/>
      <c r="AC57" s="77" t="s">
        <v>100</v>
      </c>
      <c r="AG57">
        <v>0.62</v>
      </c>
    </row>
    <row r="58" spans="3:33">
      <c r="D58" s="59" t="s">
        <v>124</v>
      </c>
      <c r="E58" s="59"/>
      <c r="K58" s="64"/>
      <c r="L58" s="2"/>
      <c r="M58" s="64"/>
      <c r="N58" s="2"/>
      <c r="O58" s="64"/>
      <c r="P58" s="2"/>
      <c r="Q58" s="182"/>
      <c r="V58" s="77"/>
      <c r="W58" t="s">
        <v>48</v>
      </c>
      <c r="X58" s="77"/>
      <c r="Y58" s="77"/>
      <c r="Z58" s="77"/>
      <c r="AA58" s="77"/>
      <c r="AB58" s="77"/>
      <c r="AC58" s="77"/>
      <c r="AG58">
        <v>0.8</v>
      </c>
    </row>
    <row r="59" spans="3:33">
      <c r="C59" s="59" t="s">
        <v>164</v>
      </c>
      <c r="D59" s="59" t="s">
        <v>108</v>
      </c>
      <c r="E59" s="59"/>
      <c r="F59" t="s">
        <v>152</v>
      </c>
      <c r="G59" s="51">
        <v>2021</v>
      </c>
      <c r="H59" s="52">
        <v>0.9</v>
      </c>
      <c r="J59" s="52">
        <v>0.17751444287000701</v>
      </c>
      <c r="K59" s="70">
        <f t="shared" ref="K59:P59" si="38">K40</f>
        <v>614.72047499999996</v>
      </c>
      <c r="L59" s="70">
        <f t="shared" si="38"/>
        <v>5.5</v>
      </c>
      <c r="M59" s="70">
        <f t="shared" si="38"/>
        <v>614.72047499999996</v>
      </c>
      <c r="N59" s="70">
        <f t="shared" si="38"/>
        <v>5.5</v>
      </c>
      <c r="O59" s="70">
        <f t="shared" si="38"/>
        <v>614.72047499999996</v>
      </c>
      <c r="P59" s="70">
        <f t="shared" si="38"/>
        <v>5.5</v>
      </c>
      <c r="Q59" s="182">
        <f t="shared" si="34"/>
        <v>22.25</v>
      </c>
      <c r="R59">
        <v>31.54</v>
      </c>
      <c r="S59">
        <v>0.32051282051282098</v>
      </c>
      <c r="V59" s="77"/>
      <c r="W59" s="59" t="s">
        <v>164</v>
      </c>
      <c r="X59" s="77"/>
      <c r="Y59" s="77" t="s">
        <v>98</v>
      </c>
      <c r="Z59" s="77" t="s">
        <v>99</v>
      </c>
      <c r="AA59" s="77"/>
      <c r="AB59" s="77"/>
      <c r="AC59" s="77" t="s">
        <v>100</v>
      </c>
      <c r="AG59">
        <v>0.9</v>
      </c>
    </row>
    <row r="60" spans="3:33">
      <c r="D60" s="59" t="s">
        <v>104</v>
      </c>
      <c r="E60" s="59"/>
      <c r="K60" s="64"/>
      <c r="L60" s="2"/>
      <c r="M60" s="64"/>
      <c r="N60" s="2"/>
      <c r="O60" s="64"/>
      <c r="P60" s="2"/>
      <c r="Q60" s="182"/>
      <c r="V60" s="77"/>
      <c r="W60" t="s">
        <v>48</v>
      </c>
      <c r="X60" s="77"/>
      <c r="Y60" s="77"/>
      <c r="Z60" s="77"/>
      <c r="AA60" s="77"/>
      <c r="AB60" s="77"/>
      <c r="AC60" s="77"/>
      <c r="AG60">
        <v>1</v>
      </c>
    </row>
    <row r="61" spans="3:33">
      <c r="C61" s="59" t="s">
        <v>165</v>
      </c>
      <c r="D61" s="59" t="s">
        <v>108</v>
      </c>
      <c r="E61" s="59"/>
      <c r="F61" t="s">
        <v>152</v>
      </c>
      <c r="G61" s="51">
        <v>2021</v>
      </c>
      <c r="H61" s="52">
        <v>0.89</v>
      </c>
      <c r="J61" s="52">
        <v>0.121778067730831</v>
      </c>
      <c r="K61" s="70">
        <f t="shared" ref="K61:P61" si="39">K42</f>
        <v>433.78602619047615</v>
      </c>
      <c r="L61" s="70">
        <f t="shared" si="39"/>
        <v>3.7998095238095235</v>
      </c>
      <c r="M61" s="70">
        <f t="shared" si="39"/>
        <v>433.78602619047615</v>
      </c>
      <c r="N61" s="70">
        <f t="shared" si="39"/>
        <v>3.7998095238095235</v>
      </c>
      <c r="O61" s="70">
        <f t="shared" si="39"/>
        <v>433.78602619047615</v>
      </c>
      <c r="P61" s="70">
        <f t="shared" si="39"/>
        <v>3.7998095238095235</v>
      </c>
      <c r="Q61" s="182">
        <f t="shared" si="34"/>
        <v>24.5</v>
      </c>
      <c r="R61">
        <v>31.54</v>
      </c>
      <c r="S61">
        <v>0.83333333333333304</v>
      </c>
      <c r="V61" s="77"/>
      <c r="W61" s="59" t="s">
        <v>165</v>
      </c>
      <c r="X61" s="77"/>
      <c r="Y61" s="77" t="s">
        <v>98</v>
      </c>
      <c r="Z61" s="77" t="s">
        <v>99</v>
      </c>
      <c r="AA61" s="77"/>
      <c r="AB61" s="77"/>
      <c r="AC61" s="77" t="s">
        <v>100</v>
      </c>
      <c r="AG61">
        <v>1.9</v>
      </c>
    </row>
    <row r="62" spans="3:33">
      <c r="D62" s="59" t="s">
        <v>96</v>
      </c>
      <c r="E62" s="59"/>
      <c r="K62" s="64"/>
      <c r="L62" s="2"/>
      <c r="M62" s="64"/>
      <c r="N62" s="2"/>
      <c r="O62" s="64"/>
      <c r="P62" s="2"/>
      <c r="V62" s="77"/>
      <c r="W62" t="s">
        <v>48</v>
      </c>
      <c r="X62" s="77"/>
      <c r="Y62" s="77"/>
      <c r="Z62" s="77"/>
      <c r="AA62" s="77"/>
      <c r="AB62" s="77"/>
      <c r="AC62" s="77"/>
      <c r="AG62">
        <v>0.5</v>
      </c>
    </row>
    <row r="63" spans="3:33">
      <c r="C63" t="s">
        <v>166</v>
      </c>
      <c r="D63" t="s">
        <v>96</v>
      </c>
      <c r="F63" t="s">
        <v>167</v>
      </c>
      <c r="G63" s="51">
        <v>2021</v>
      </c>
      <c r="H63" s="52">
        <v>0.6</v>
      </c>
      <c r="J63" s="52">
        <v>0.286893901186416</v>
      </c>
      <c r="K63" s="70">
        <f t="shared" ref="K63:P63" si="40">K44</f>
        <v>211.86895238095238</v>
      </c>
      <c r="L63" s="70">
        <f t="shared" si="40"/>
        <v>2.5996190476190475</v>
      </c>
      <c r="M63" s="70">
        <f t="shared" si="40"/>
        <v>211.86895238095238</v>
      </c>
      <c r="N63" s="70">
        <f t="shared" si="40"/>
        <v>2.5996190476190475</v>
      </c>
      <c r="O63" s="70">
        <f t="shared" si="40"/>
        <v>211.86895238095238</v>
      </c>
      <c r="P63" s="70">
        <f t="shared" si="40"/>
        <v>2.5996190476190475</v>
      </c>
      <c r="Q63" s="182">
        <f>Q44</f>
        <v>26.5</v>
      </c>
      <c r="R63">
        <v>31.54</v>
      </c>
      <c r="S63">
        <v>1</v>
      </c>
      <c r="V63" s="77"/>
      <c r="W63" t="s">
        <v>166</v>
      </c>
      <c r="X63" s="77"/>
      <c r="Y63" s="77" t="s">
        <v>98</v>
      </c>
      <c r="Z63" s="77" t="s">
        <v>99</v>
      </c>
      <c r="AA63" s="77"/>
      <c r="AB63" s="77"/>
      <c r="AC63" s="77" t="s">
        <v>100</v>
      </c>
      <c r="AG63">
        <v>0.5</v>
      </c>
    </row>
    <row r="64" spans="3:33">
      <c r="C64" t="s">
        <v>168</v>
      </c>
      <c r="D64" t="s">
        <v>96</v>
      </c>
      <c r="F64" t="s">
        <v>167</v>
      </c>
      <c r="G64" s="51">
        <v>2021</v>
      </c>
      <c r="H64" s="52">
        <v>0.78</v>
      </c>
      <c r="J64" s="52">
        <v>0.286893901186416</v>
      </c>
      <c r="K64" s="70">
        <f t="shared" ref="K64:Q64" si="41">K45</f>
        <v>211.86895238095238</v>
      </c>
      <c r="L64" s="70">
        <f t="shared" si="41"/>
        <v>2.5996190476190475</v>
      </c>
      <c r="M64" s="70">
        <f t="shared" si="41"/>
        <v>211.86895238095238</v>
      </c>
      <c r="N64" s="70">
        <f t="shared" si="41"/>
        <v>2.5996190476190475</v>
      </c>
      <c r="O64" s="70">
        <f t="shared" si="41"/>
        <v>211.86895238095238</v>
      </c>
      <c r="P64" s="70">
        <f t="shared" si="41"/>
        <v>2.5996190476190475</v>
      </c>
      <c r="Q64" s="182">
        <f t="shared" si="41"/>
        <v>26.5</v>
      </c>
      <c r="R64">
        <v>31.54</v>
      </c>
      <c r="S64">
        <v>1</v>
      </c>
      <c r="V64" s="77"/>
      <c r="W64" t="s">
        <v>168</v>
      </c>
      <c r="X64" s="77"/>
      <c r="Y64" s="77" t="s">
        <v>98</v>
      </c>
      <c r="Z64" s="77" t="s">
        <v>99</v>
      </c>
      <c r="AA64" s="77"/>
      <c r="AB64" s="77"/>
      <c r="AC64" s="77" t="s">
        <v>100</v>
      </c>
      <c r="AG64">
        <v>0.75</v>
      </c>
    </row>
    <row r="65" spans="3:33">
      <c r="C65" t="s">
        <v>169</v>
      </c>
      <c r="D65" t="s">
        <v>96</v>
      </c>
      <c r="F65" t="s">
        <v>167</v>
      </c>
      <c r="G65" s="51">
        <v>2021</v>
      </c>
      <c r="H65" s="52">
        <v>0.85</v>
      </c>
      <c r="J65" s="52">
        <v>0.286893901186416</v>
      </c>
      <c r="K65" s="70">
        <f t="shared" ref="K65:Q65" si="42">K46</f>
        <v>211.86895238095238</v>
      </c>
      <c r="L65" s="70">
        <f t="shared" si="42"/>
        <v>2.5996190476190475</v>
      </c>
      <c r="M65" s="70">
        <f t="shared" si="42"/>
        <v>211.86895238095238</v>
      </c>
      <c r="N65" s="70">
        <f t="shared" si="42"/>
        <v>2.5996190476190475</v>
      </c>
      <c r="O65" s="70">
        <f t="shared" si="42"/>
        <v>211.86895238095238</v>
      </c>
      <c r="P65" s="70">
        <f t="shared" si="42"/>
        <v>2.5996190476190475</v>
      </c>
      <c r="Q65" s="182">
        <f t="shared" si="42"/>
        <v>26.5</v>
      </c>
      <c r="R65">
        <v>31.54</v>
      </c>
      <c r="S65">
        <v>1</v>
      </c>
      <c r="V65" s="77"/>
      <c r="W65" t="s">
        <v>169</v>
      </c>
      <c r="X65" s="77"/>
      <c r="Y65" s="77" t="s">
        <v>98</v>
      </c>
      <c r="Z65" s="77" t="s">
        <v>99</v>
      </c>
      <c r="AA65" s="77"/>
      <c r="AB65" s="77"/>
      <c r="AC65" s="77" t="s">
        <v>100</v>
      </c>
    </row>
    <row r="66" spans="3:33">
      <c r="C66" t="s">
        <v>170</v>
      </c>
      <c r="D66" t="s">
        <v>104</v>
      </c>
      <c r="F66" t="s">
        <v>167</v>
      </c>
      <c r="G66" s="51">
        <v>2021</v>
      </c>
      <c r="H66" s="52">
        <v>0.62</v>
      </c>
      <c r="J66" s="52">
        <v>0.54266563522157496</v>
      </c>
      <c r="K66" s="70">
        <f t="shared" ref="K66:Q66" si="43">K47</f>
        <v>573.73784999999998</v>
      </c>
      <c r="L66" s="70">
        <f t="shared" si="43"/>
        <v>6</v>
      </c>
      <c r="M66" s="70">
        <f t="shared" si="43"/>
        <v>573.73784999999998</v>
      </c>
      <c r="N66" s="70">
        <f t="shared" si="43"/>
        <v>6</v>
      </c>
      <c r="O66" s="70">
        <f t="shared" si="43"/>
        <v>573.73784999999998</v>
      </c>
      <c r="P66" s="70">
        <f t="shared" si="43"/>
        <v>6</v>
      </c>
      <c r="Q66" s="182">
        <f t="shared" si="43"/>
        <v>22</v>
      </c>
      <c r="R66">
        <v>31.54</v>
      </c>
      <c r="S66">
        <v>1</v>
      </c>
      <c r="V66" s="77"/>
      <c r="W66" t="s">
        <v>170</v>
      </c>
      <c r="X66" s="77"/>
      <c r="Y66" s="77" t="s">
        <v>98</v>
      </c>
      <c r="Z66" s="77" t="s">
        <v>99</v>
      </c>
      <c r="AA66" s="77"/>
      <c r="AB66" s="77"/>
      <c r="AC66" s="77" t="s">
        <v>100</v>
      </c>
      <c r="AG66">
        <v>0.67500000000000004</v>
      </c>
    </row>
    <row r="67" spans="3:33">
      <c r="C67" t="s">
        <v>171</v>
      </c>
      <c r="D67" t="s">
        <v>104</v>
      </c>
      <c r="F67" t="s">
        <v>167</v>
      </c>
      <c r="G67" s="51">
        <v>2021</v>
      </c>
      <c r="H67" s="52">
        <v>0.8</v>
      </c>
      <c r="J67" s="52">
        <v>0.54266563522157496</v>
      </c>
      <c r="K67" s="70">
        <f t="shared" ref="K67:Q67" si="44">K48</f>
        <v>573.73784999999998</v>
      </c>
      <c r="L67" s="70">
        <f t="shared" si="44"/>
        <v>6</v>
      </c>
      <c r="M67" s="70">
        <f t="shared" si="44"/>
        <v>573.73784999999998</v>
      </c>
      <c r="N67" s="70">
        <f t="shared" si="44"/>
        <v>6</v>
      </c>
      <c r="O67" s="70">
        <f t="shared" si="44"/>
        <v>573.73784999999998</v>
      </c>
      <c r="P67" s="70">
        <f t="shared" si="44"/>
        <v>6</v>
      </c>
      <c r="Q67" s="182">
        <f t="shared" si="44"/>
        <v>22</v>
      </c>
      <c r="R67">
        <v>31.54</v>
      </c>
      <c r="S67">
        <v>1</v>
      </c>
      <c r="V67" s="77"/>
      <c r="W67" t="s">
        <v>171</v>
      </c>
      <c r="X67" s="77"/>
      <c r="Y67" s="77" t="s">
        <v>98</v>
      </c>
      <c r="Z67" s="77" t="s">
        <v>99</v>
      </c>
      <c r="AA67" s="77"/>
      <c r="AB67" s="77"/>
      <c r="AC67" s="77" t="s">
        <v>100</v>
      </c>
    </row>
    <row r="68" spans="3:33">
      <c r="C68" t="s">
        <v>172</v>
      </c>
      <c r="D68" t="s">
        <v>104</v>
      </c>
      <c r="F68" t="s">
        <v>167</v>
      </c>
      <c r="G68" s="51">
        <v>2021</v>
      </c>
      <c r="H68" s="52">
        <v>0.9</v>
      </c>
      <c r="J68" s="52">
        <v>0.54266563522157496</v>
      </c>
      <c r="K68" s="70">
        <f t="shared" ref="K68:Q68" si="45">K49</f>
        <v>573.73784999999998</v>
      </c>
      <c r="L68" s="70">
        <f t="shared" si="45"/>
        <v>6</v>
      </c>
      <c r="M68" s="70">
        <f t="shared" si="45"/>
        <v>573.73784999999998</v>
      </c>
      <c r="N68" s="70">
        <f t="shared" si="45"/>
        <v>6</v>
      </c>
      <c r="O68" s="70">
        <f t="shared" si="45"/>
        <v>573.73784999999998</v>
      </c>
      <c r="P68" s="70">
        <f t="shared" si="45"/>
        <v>6</v>
      </c>
      <c r="Q68" s="182">
        <f t="shared" si="45"/>
        <v>22</v>
      </c>
      <c r="R68">
        <v>31.54</v>
      </c>
      <c r="S68">
        <v>1</v>
      </c>
      <c r="V68" s="77"/>
      <c r="W68" t="s">
        <v>172</v>
      </c>
      <c r="X68" s="77"/>
      <c r="Y68" s="77" t="s">
        <v>98</v>
      </c>
      <c r="Z68" s="77" t="s">
        <v>99</v>
      </c>
      <c r="AA68" s="77"/>
      <c r="AB68" s="77"/>
      <c r="AC68" s="77" t="s">
        <v>100</v>
      </c>
      <c r="AG68">
        <v>0.9</v>
      </c>
    </row>
    <row r="69" spans="3:33">
      <c r="C69" t="s">
        <v>173</v>
      </c>
      <c r="D69" t="s">
        <v>108</v>
      </c>
      <c r="F69" t="s">
        <v>167</v>
      </c>
      <c r="G69" s="51">
        <v>2021</v>
      </c>
      <c r="H69" s="52">
        <v>1</v>
      </c>
      <c r="J69" s="52">
        <v>0.43759909717395301</v>
      </c>
      <c r="K69" s="70">
        <f t="shared" ref="K69:Q69" si="46">K50</f>
        <v>655.70309999999995</v>
      </c>
      <c r="L69" s="70">
        <f t="shared" si="46"/>
        <v>5</v>
      </c>
      <c r="M69" s="70">
        <f t="shared" si="46"/>
        <v>655.70309999999995</v>
      </c>
      <c r="N69" s="70">
        <f t="shared" si="46"/>
        <v>5</v>
      </c>
      <c r="O69" s="70">
        <f t="shared" si="46"/>
        <v>655.70309999999995</v>
      </c>
      <c r="P69" s="70">
        <f t="shared" si="46"/>
        <v>5</v>
      </c>
      <c r="Q69" s="182">
        <f t="shared" si="46"/>
        <v>22.5</v>
      </c>
      <c r="R69">
        <v>31.54</v>
      </c>
      <c r="S69">
        <v>1</v>
      </c>
      <c r="V69" s="77"/>
      <c r="W69" t="s">
        <v>173</v>
      </c>
      <c r="X69" s="77"/>
      <c r="Y69" s="77" t="s">
        <v>98</v>
      </c>
      <c r="Z69" s="77" t="s">
        <v>99</v>
      </c>
      <c r="AA69" s="77"/>
      <c r="AB69" s="77"/>
      <c r="AC69" s="77" t="s">
        <v>100</v>
      </c>
    </row>
    <row r="70" spans="3:33" s="48" customFormat="1">
      <c r="C70" s="48" t="s">
        <v>174</v>
      </c>
      <c r="D70" s="61" t="s">
        <v>108</v>
      </c>
      <c r="E70" s="61"/>
      <c r="F70" s="48" t="s">
        <v>167</v>
      </c>
      <c r="G70" s="51">
        <v>2021</v>
      </c>
      <c r="H70" s="52">
        <f>H69</f>
        <v>1</v>
      </c>
      <c r="I70" s="52"/>
      <c r="J70" s="52">
        <v>0.37847602301901301</v>
      </c>
      <c r="K70" s="70">
        <f t="shared" ref="K70:Q70" si="47">K51</f>
        <v>1727.7529500000001</v>
      </c>
      <c r="L70" s="70">
        <f t="shared" si="47"/>
        <v>15</v>
      </c>
      <c r="M70" s="70">
        <f t="shared" si="47"/>
        <v>1727.7529500000001</v>
      </c>
      <c r="N70" s="70">
        <f t="shared" si="47"/>
        <v>15</v>
      </c>
      <c r="O70" s="70">
        <f t="shared" si="47"/>
        <v>1727.7529500000001</v>
      </c>
      <c r="P70" s="70">
        <f t="shared" si="47"/>
        <v>15</v>
      </c>
      <c r="Q70" s="182">
        <f t="shared" si="47"/>
        <v>15.3</v>
      </c>
      <c r="R70" s="48">
        <v>31.54</v>
      </c>
      <c r="V70" s="107"/>
      <c r="W70" s="48" t="s">
        <v>174</v>
      </c>
      <c r="X70" s="107"/>
      <c r="Y70" s="107" t="s">
        <v>98</v>
      </c>
      <c r="Z70" s="107" t="s">
        <v>99</v>
      </c>
      <c r="AA70" s="107"/>
      <c r="AB70" s="107"/>
      <c r="AC70" s="107" t="s">
        <v>100</v>
      </c>
      <c r="AG70" s="48">
        <v>0.89</v>
      </c>
    </row>
    <row r="71" spans="3:33">
      <c r="D71" s="57"/>
      <c r="E71" s="58" t="str">
        <f>[3]COMM!$E$19</f>
        <v>RSDAHT</v>
      </c>
      <c r="I71" s="52">
        <f>I52</f>
        <v>0.33333333333333298</v>
      </c>
      <c r="K71" s="64"/>
      <c r="L71" s="2"/>
      <c r="M71" s="64"/>
      <c r="N71" s="2"/>
      <c r="O71" s="64"/>
      <c r="P71" s="2"/>
      <c r="Q71" s="182"/>
      <c r="R71">
        <v>31.54</v>
      </c>
      <c r="V71" s="77"/>
      <c r="W71" t="s">
        <v>48</v>
      </c>
      <c r="X71" s="77"/>
      <c r="Y71" s="77"/>
      <c r="Z71" s="77"/>
      <c r="AA71" s="77"/>
      <c r="AB71" s="77"/>
      <c r="AC71" s="77"/>
    </row>
    <row r="72" spans="3:33">
      <c r="C72" t="s">
        <v>175</v>
      </c>
      <c r="D72" t="s">
        <v>113</v>
      </c>
      <c r="F72" t="s">
        <v>167</v>
      </c>
      <c r="G72" s="51">
        <v>2021</v>
      </c>
      <c r="H72" s="52">
        <v>0.5</v>
      </c>
      <c r="J72" s="52">
        <v>0.465396592185366</v>
      </c>
      <c r="K72" s="70">
        <f t="shared" ref="K72:Q80" si="48">K53</f>
        <v>308.44479999999999</v>
      </c>
      <c r="L72" s="70">
        <f t="shared" si="48"/>
        <v>21.154399999999999</v>
      </c>
      <c r="M72" s="70">
        <f t="shared" si="48"/>
        <v>308.44479999999999</v>
      </c>
      <c r="N72" s="70">
        <f t="shared" si="48"/>
        <v>21.154399999999999</v>
      </c>
      <c r="O72" s="70">
        <f t="shared" si="48"/>
        <v>308.44479999999999</v>
      </c>
      <c r="P72" s="70">
        <f t="shared" si="48"/>
        <v>21.154399999999999</v>
      </c>
      <c r="Q72" s="182">
        <f t="shared" si="48"/>
        <v>19</v>
      </c>
      <c r="R72">
        <v>31.54</v>
      </c>
      <c r="S72">
        <v>1</v>
      </c>
      <c r="V72" s="77"/>
      <c r="W72" t="s">
        <v>175</v>
      </c>
      <c r="X72" s="77"/>
      <c r="Y72" s="77" t="s">
        <v>98</v>
      </c>
      <c r="Z72" s="77" t="s">
        <v>99</v>
      </c>
      <c r="AA72" s="77"/>
      <c r="AB72" s="77"/>
      <c r="AC72" s="77" t="s">
        <v>100</v>
      </c>
    </row>
    <row r="73" spans="3:33">
      <c r="C73" t="s">
        <v>176</v>
      </c>
      <c r="D73" t="s">
        <v>124</v>
      </c>
      <c r="F73" t="s">
        <v>167</v>
      </c>
      <c r="G73" s="51">
        <v>2021</v>
      </c>
      <c r="H73" s="52">
        <v>0.5</v>
      </c>
      <c r="J73" s="52">
        <v>1.4609908587819499E-2</v>
      </c>
      <c r="K73" s="70">
        <f t="shared" ref="K73:P73" si="49">K54</f>
        <v>308.44479999999999</v>
      </c>
      <c r="L73" s="70">
        <f t="shared" si="49"/>
        <v>21.154399999999999</v>
      </c>
      <c r="M73" s="70">
        <f t="shared" si="49"/>
        <v>308.44479999999999</v>
      </c>
      <c r="N73" s="70">
        <f t="shared" si="49"/>
        <v>21.154399999999999</v>
      </c>
      <c r="O73" s="70">
        <f t="shared" si="49"/>
        <v>308.44479999999999</v>
      </c>
      <c r="P73" s="70">
        <f t="shared" si="49"/>
        <v>21.154399999999999</v>
      </c>
      <c r="Q73" s="182">
        <f t="shared" si="48"/>
        <v>19</v>
      </c>
      <c r="R73">
        <v>31.54</v>
      </c>
      <c r="S73">
        <v>1</v>
      </c>
      <c r="V73" s="77"/>
      <c r="W73" t="s">
        <v>176</v>
      </c>
      <c r="X73" s="77"/>
      <c r="Y73" s="77" t="s">
        <v>98</v>
      </c>
      <c r="Z73" s="77" t="s">
        <v>99</v>
      </c>
      <c r="AA73" s="77"/>
      <c r="AB73" s="77"/>
      <c r="AC73" s="77" t="s">
        <v>100</v>
      </c>
      <c r="AG73">
        <v>0.6</v>
      </c>
    </row>
    <row r="74" spans="3:33">
      <c r="C74" s="59" t="s">
        <v>177</v>
      </c>
      <c r="D74" s="59" t="s">
        <v>108</v>
      </c>
      <c r="E74" s="59"/>
      <c r="F74" t="s">
        <v>167</v>
      </c>
      <c r="G74" s="51">
        <v>2021</v>
      </c>
      <c r="H74" s="52">
        <v>0.75</v>
      </c>
      <c r="J74" s="52">
        <v>0.22610450288088599</v>
      </c>
      <c r="K74" s="70">
        <f t="shared" ref="K74:P74" si="50">K55</f>
        <v>482.07394999999997</v>
      </c>
      <c r="L74" s="70">
        <f t="shared" si="50"/>
        <v>13.077199999999999</v>
      </c>
      <c r="M74" s="70">
        <f t="shared" si="50"/>
        <v>482.07394999999997</v>
      </c>
      <c r="N74" s="70">
        <f t="shared" si="50"/>
        <v>13.077199999999999</v>
      </c>
      <c r="O74" s="70">
        <f t="shared" si="50"/>
        <v>482.07394999999997</v>
      </c>
      <c r="P74" s="70">
        <f t="shared" si="50"/>
        <v>13.077199999999999</v>
      </c>
      <c r="Q74" s="182">
        <f t="shared" si="48"/>
        <v>20.75</v>
      </c>
      <c r="R74">
        <v>31.54</v>
      </c>
      <c r="S74">
        <v>0.60975609756097604</v>
      </c>
      <c r="V74" s="77"/>
      <c r="W74" s="59" t="s">
        <v>177</v>
      </c>
      <c r="X74" s="77"/>
      <c r="Y74" s="77" t="s">
        <v>98</v>
      </c>
      <c r="Z74" s="77" t="s">
        <v>99</v>
      </c>
      <c r="AA74" s="77"/>
      <c r="AB74" s="77"/>
      <c r="AC74" s="77" t="s">
        <v>100</v>
      </c>
      <c r="AG74">
        <v>0.78</v>
      </c>
    </row>
    <row r="75" spans="3:33">
      <c r="D75" s="59" t="s">
        <v>124</v>
      </c>
      <c r="E75" s="59"/>
      <c r="K75" s="64"/>
      <c r="M75" s="64"/>
      <c r="O75" s="64"/>
      <c r="P75" s="2"/>
      <c r="Q75" s="182"/>
      <c r="V75" s="77"/>
      <c r="W75" t="s">
        <v>48</v>
      </c>
      <c r="X75" s="77"/>
      <c r="Y75" s="77"/>
      <c r="Z75" s="77"/>
      <c r="AA75" s="77"/>
      <c r="AB75" s="77"/>
      <c r="AC75" s="77"/>
      <c r="AG75">
        <v>0.85</v>
      </c>
    </row>
    <row r="76" spans="3:33">
      <c r="C76" s="59" t="s">
        <v>178</v>
      </c>
      <c r="D76" s="59" t="s">
        <v>96</v>
      </c>
      <c r="E76" s="59"/>
      <c r="F76" t="s">
        <v>167</v>
      </c>
      <c r="G76" s="51">
        <v>2021</v>
      </c>
      <c r="H76" s="52">
        <v>0.67500000000000004</v>
      </c>
      <c r="J76" s="52">
        <v>0.21882290303676699</v>
      </c>
      <c r="K76" s="70">
        <f t="shared" ref="K76:P76" si="51">K57</f>
        <v>260.15687619047617</v>
      </c>
      <c r="L76" s="70">
        <f t="shared" si="51"/>
        <v>11.877009523809523</v>
      </c>
      <c r="M76" s="70">
        <f t="shared" si="51"/>
        <v>260.15687619047617</v>
      </c>
      <c r="N76" s="70">
        <f t="shared" si="51"/>
        <v>11.877009523809523</v>
      </c>
      <c r="O76" s="70">
        <f t="shared" si="51"/>
        <v>260.15687619047617</v>
      </c>
      <c r="P76" s="70">
        <f t="shared" si="51"/>
        <v>11.877009523809523</v>
      </c>
      <c r="Q76" s="182">
        <f t="shared" si="48"/>
        <v>22.75</v>
      </c>
      <c r="R76">
        <v>31.54</v>
      </c>
      <c r="S76">
        <v>0.238095238095238</v>
      </c>
      <c r="V76" s="77"/>
      <c r="W76" s="59" t="s">
        <v>178</v>
      </c>
      <c r="X76" s="77"/>
      <c r="Y76" s="77" t="s">
        <v>98</v>
      </c>
      <c r="Z76" s="77" t="s">
        <v>99</v>
      </c>
      <c r="AA76" s="77"/>
      <c r="AB76" s="77"/>
      <c r="AC76" s="77" t="s">
        <v>100</v>
      </c>
      <c r="AG76">
        <v>0.62</v>
      </c>
    </row>
    <row r="77" spans="3:33">
      <c r="D77" s="59" t="s">
        <v>124</v>
      </c>
      <c r="E77" s="59"/>
      <c r="K77" s="64"/>
      <c r="L77" s="2"/>
      <c r="M77" s="64"/>
      <c r="N77" s="2"/>
      <c r="O77" s="64"/>
      <c r="P77" s="2"/>
      <c r="Q77" s="182"/>
      <c r="V77" s="77"/>
      <c r="W77" t="s">
        <v>48</v>
      </c>
      <c r="X77" s="77"/>
      <c r="Y77" s="77"/>
      <c r="Z77" s="77"/>
      <c r="AA77" s="77"/>
      <c r="AB77" s="77"/>
      <c r="AC77" s="77"/>
      <c r="AG77">
        <v>0.8</v>
      </c>
    </row>
    <row r="78" spans="3:33">
      <c r="C78" s="59" t="s">
        <v>179</v>
      </c>
      <c r="D78" s="59" t="s">
        <v>108</v>
      </c>
      <c r="E78" s="59"/>
      <c r="F78" t="s">
        <v>167</v>
      </c>
      <c r="G78" s="51">
        <v>2021</v>
      </c>
      <c r="H78" s="52">
        <v>0.9</v>
      </c>
      <c r="J78" s="52">
        <v>0.51639900070967004</v>
      </c>
      <c r="K78" s="70">
        <f t="shared" ref="K78:P78" si="52">K59</f>
        <v>614.72047499999996</v>
      </c>
      <c r="L78" s="70">
        <f t="shared" si="52"/>
        <v>5.5</v>
      </c>
      <c r="M78" s="70">
        <f t="shared" si="52"/>
        <v>614.72047499999996</v>
      </c>
      <c r="N78" s="70">
        <f t="shared" si="52"/>
        <v>5.5</v>
      </c>
      <c r="O78" s="70">
        <f t="shared" si="52"/>
        <v>614.72047499999996</v>
      </c>
      <c r="P78" s="70">
        <f t="shared" si="52"/>
        <v>5.5</v>
      </c>
      <c r="Q78" s="182">
        <f t="shared" si="48"/>
        <v>22.25</v>
      </c>
      <c r="R78">
        <v>31.54</v>
      </c>
      <c r="S78">
        <v>0.32051282051282098</v>
      </c>
      <c r="V78" s="77"/>
      <c r="W78" s="59" t="s">
        <v>179</v>
      </c>
      <c r="X78" s="77"/>
      <c r="Y78" s="77" t="s">
        <v>98</v>
      </c>
      <c r="Z78" s="77" t="s">
        <v>99</v>
      </c>
      <c r="AA78" s="77"/>
      <c r="AB78" s="77"/>
      <c r="AC78" s="77" t="s">
        <v>100</v>
      </c>
      <c r="AG78">
        <v>0.9</v>
      </c>
    </row>
    <row r="79" spans="3:33">
      <c r="D79" s="59" t="s">
        <v>104</v>
      </c>
      <c r="E79" s="59"/>
      <c r="K79" s="64"/>
      <c r="L79" s="2"/>
      <c r="M79" s="64"/>
      <c r="N79" s="2"/>
      <c r="O79" s="64"/>
      <c r="P79" s="2"/>
      <c r="Q79" s="182"/>
      <c r="V79" s="77"/>
      <c r="W79" t="s">
        <v>48</v>
      </c>
      <c r="X79" s="77"/>
      <c r="Y79" s="77"/>
      <c r="Z79" s="77"/>
      <c r="AA79" s="77"/>
      <c r="AB79" s="77"/>
      <c r="AC79" s="77"/>
      <c r="AG79">
        <v>1</v>
      </c>
    </row>
    <row r="80" spans="3:33">
      <c r="C80" s="59" t="s">
        <v>180</v>
      </c>
      <c r="D80" s="59" t="s">
        <v>108</v>
      </c>
      <c r="E80" s="59"/>
      <c r="F80" t="s">
        <v>167</v>
      </c>
      <c r="G80" s="51">
        <v>2021</v>
      </c>
      <c r="H80" s="52">
        <v>0.89</v>
      </c>
      <c r="J80" s="52">
        <v>0.32457020018330102</v>
      </c>
      <c r="K80" s="70">
        <f t="shared" ref="K80:P80" si="53">K61</f>
        <v>433.78602619047615</v>
      </c>
      <c r="L80" s="70">
        <f t="shared" si="53"/>
        <v>3.7998095238095235</v>
      </c>
      <c r="M80" s="70">
        <f t="shared" si="53"/>
        <v>433.78602619047615</v>
      </c>
      <c r="N80" s="70">
        <f t="shared" si="53"/>
        <v>3.7998095238095235</v>
      </c>
      <c r="O80" s="70">
        <f t="shared" si="53"/>
        <v>433.78602619047615</v>
      </c>
      <c r="P80" s="70">
        <f t="shared" si="53"/>
        <v>3.7998095238095235</v>
      </c>
      <c r="Q80" s="182">
        <f t="shared" si="48"/>
        <v>24.5</v>
      </c>
      <c r="R80">
        <v>31.54</v>
      </c>
      <c r="S80">
        <v>0.83333333333333304</v>
      </c>
      <c r="V80" s="77"/>
      <c r="W80" s="59" t="s">
        <v>180</v>
      </c>
      <c r="X80" s="77"/>
      <c r="Y80" s="77" t="s">
        <v>98</v>
      </c>
      <c r="Z80" s="77" t="s">
        <v>99</v>
      </c>
      <c r="AA80" s="77"/>
      <c r="AB80" s="77"/>
      <c r="AC80" s="77" t="s">
        <v>100</v>
      </c>
      <c r="AG80">
        <v>1.9</v>
      </c>
    </row>
    <row r="81" spans="3:33">
      <c r="D81" s="59" t="s">
        <v>96</v>
      </c>
      <c r="E81" s="59"/>
      <c r="K81" s="69"/>
      <c r="M81" s="69"/>
      <c r="O81" s="64"/>
      <c r="P81" s="2"/>
      <c r="V81" s="77"/>
      <c r="W81" t="s">
        <v>48</v>
      </c>
      <c r="X81" s="77"/>
      <c r="Y81" s="77"/>
      <c r="Z81" s="77"/>
      <c r="AA81" s="77"/>
      <c r="AB81" s="77"/>
      <c r="AC81" s="77"/>
      <c r="AG81">
        <v>0.5</v>
      </c>
    </row>
    <row r="82" spans="3:33">
      <c r="C82" s="59" t="s">
        <v>181</v>
      </c>
      <c r="D82" s="59" t="s">
        <v>108</v>
      </c>
      <c r="E82" s="59"/>
      <c r="F82" s="59" t="s">
        <v>182</v>
      </c>
      <c r="G82" s="51">
        <v>2021</v>
      </c>
      <c r="H82" s="191">
        <f>11.5/3.412</f>
        <v>3.3704572098475967</v>
      </c>
      <c r="I82" s="56"/>
      <c r="J82" s="52">
        <v>2.3111249614029199E-2</v>
      </c>
      <c r="K82" s="64">
        <f>AY17</f>
        <v>655.70309999999995</v>
      </c>
      <c r="L82" s="64">
        <f>AVERAGE(20,150)/10</f>
        <v>8.5</v>
      </c>
      <c r="M82" s="64">
        <f>K82</f>
        <v>655.70309999999995</v>
      </c>
      <c r="N82" s="64">
        <f>L82</f>
        <v>8.5</v>
      </c>
      <c r="O82" s="64">
        <f t="shared" ref="O82" si="54">K82</f>
        <v>655.70309999999995</v>
      </c>
      <c r="P82" s="64">
        <f>L82</f>
        <v>8.5</v>
      </c>
      <c r="Q82" s="183">
        <f>(11+25)/2</f>
        <v>18</v>
      </c>
      <c r="R82">
        <v>31.54</v>
      </c>
      <c r="S82">
        <v>1</v>
      </c>
      <c r="V82" s="77"/>
      <c r="W82" s="59" t="s">
        <v>181</v>
      </c>
      <c r="X82" s="77"/>
      <c r="Y82" s="77" t="s">
        <v>98</v>
      </c>
      <c r="Z82" s="77" t="s">
        <v>99</v>
      </c>
      <c r="AA82" s="77"/>
      <c r="AB82" s="77"/>
      <c r="AC82" s="77" t="s">
        <v>100</v>
      </c>
      <c r="AG82">
        <v>0.5</v>
      </c>
    </row>
    <row r="83" spans="3:33">
      <c r="C83" s="59" t="s">
        <v>48</v>
      </c>
      <c r="D83" s="59"/>
      <c r="E83" s="59"/>
      <c r="F83" s="59"/>
      <c r="H83" s="191"/>
      <c r="I83" s="56"/>
      <c r="K83" s="64"/>
      <c r="L83" s="64"/>
      <c r="M83" s="64"/>
      <c r="N83" s="64"/>
      <c r="O83" s="64"/>
      <c r="P83" s="64"/>
      <c r="Q83" s="184"/>
      <c r="V83" s="77"/>
      <c r="W83" s="59" t="s">
        <v>48</v>
      </c>
      <c r="X83" s="77"/>
      <c r="Y83" s="77"/>
      <c r="Z83" s="77"/>
      <c r="AA83" s="77"/>
      <c r="AB83" s="77"/>
      <c r="AC83" s="77"/>
      <c r="AG83">
        <v>0.75</v>
      </c>
    </row>
    <row r="84" spans="3:33">
      <c r="C84" s="59" t="s">
        <v>183</v>
      </c>
      <c r="D84" s="59" t="s">
        <v>108</v>
      </c>
      <c r="E84" s="59"/>
      <c r="F84" s="59" t="s">
        <v>184</v>
      </c>
      <c r="G84" s="51">
        <v>2021</v>
      </c>
      <c r="H84" s="191">
        <f>H82</f>
        <v>3.3704572098475967</v>
      </c>
      <c r="I84" s="56"/>
      <c r="J84" s="52">
        <v>2.3111249614029199E-2</v>
      </c>
      <c r="K84" s="64">
        <f t="shared" ref="K84:O84" si="55">K82</f>
        <v>655.70309999999995</v>
      </c>
      <c r="L84" s="64">
        <f t="shared" si="55"/>
        <v>8.5</v>
      </c>
      <c r="M84" s="64">
        <f t="shared" ref="M84:M88" si="56">K84</f>
        <v>655.70309999999995</v>
      </c>
      <c r="N84" s="64">
        <f t="shared" si="55"/>
        <v>8.5</v>
      </c>
      <c r="O84" s="64">
        <f t="shared" si="55"/>
        <v>655.70309999999995</v>
      </c>
      <c r="P84" s="64">
        <f>L84</f>
        <v>8.5</v>
      </c>
      <c r="Q84" s="183">
        <f>(11+25)/2</f>
        <v>18</v>
      </c>
      <c r="R84">
        <v>31.54</v>
      </c>
      <c r="S84">
        <v>1</v>
      </c>
      <c r="V84" s="77"/>
      <c r="W84" s="59" t="s">
        <v>183</v>
      </c>
      <c r="X84" s="77"/>
      <c r="Y84" s="77" t="s">
        <v>98</v>
      </c>
      <c r="Z84" s="77" t="s">
        <v>99</v>
      </c>
      <c r="AA84" s="77"/>
      <c r="AB84" s="77"/>
      <c r="AC84" s="77" t="s">
        <v>100</v>
      </c>
    </row>
    <row r="85" spans="3:33">
      <c r="C85" s="59" t="s">
        <v>48</v>
      </c>
      <c r="D85" s="59"/>
      <c r="E85" s="59"/>
      <c r="F85" s="59"/>
      <c r="H85" s="191"/>
      <c r="I85" s="56"/>
      <c r="K85" s="64"/>
      <c r="L85" s="64"/>
      <c r="M85" s="64"/>
      <c r="N85" s="64"/>
      <c r="O85" s="64"/>
      <c r="P85" s="64"/>
      <c r="Q85" s="184"/>
      <c r="V85" s="77"/>
      <c r="W85" s="59" t="s">
        <v>48</v>
      </c>
      <c r="X85" s="77"/>
      <c r="Y85" s="77"/>
      <c r="Z85" s="77"/>
      <c r="AA85" s="77"/>
      <c r="AB85" s="77"/>
      <c r="AC85" s="77"/>
      <c r="AG85">
        <v>0.67500000000000004</v>
      </c>
    </row>
    <row r="86" spans="3:33">
      <c r="C86" s="59" t="s">
        <v>185</v>
      </c>
      <c r="D86" s="59" t="s">
        <v>108</v>
      </c>
      <c r="E86" s="59"/>
      <c r="F86" s="59" t="s">
        <v>186</v>
      </c>
      <c r="G86" s="51">
        <v>2021</v>
      </c>
      <c r="H86" s="191">
        <f>13.7/3.412</f>
        <v>4.0152403282532241</v>
      </c>
      <c r="I86" s="56"/>
      <c r="J86" s="52">
        <v>2.3111249614029199E-2</v>
      </c>
      <c r="K86" s="64">
        <f t="shared" ref="K86:O86" si="57">K84</f>
        <v>655.70309999999995</v>
      </c>
      <c r="L86" s="64">
        <f t="shared" si="57"/>
        <v>8.5</v>
      </c>
      <c r="M86" s="64">
        <f t="shared" si="56"/>
        <v>655.70309999999995</v>
      </c>
      <c r="N86" s="64">
        <f t="shared" si="57"/>
        <v>8.5</v>
      </c>
      <c r="O86" s="64">
        <f t="shared" si="57"/>
        <v>655.70309999999995</v>
      </c>
      <c r="P86" s="64">
        <f>L86</f>
        <v>8.5</v>
      </c>
      <c r="Q86" s="183">
        <f>(11+25)/2</f>
        <v>18</v>
      </c>
      <c r="R86">
        <v>31.54</v>
      </c>
      <c r="S86">
        <v>1</v>
      </c>
      <c r="V86" s="77"/>
      <c r="W86" s="59" t="s">
        <v>185</v>
      </c>
      <c r="X86" s="77"/>
      <c r="Y86" s="77" t="s">
        <v>98</v>
      </c>
      <c r="Z86" s="77" t="s">
        <v>99</v>
      </c>
      <c r="AA86" s="77"/>
      <c r="AB86" s="77"/>
      <c r="AC86" s="77" t="s">
        <v>100</v>
      </c>
    </row>
    <row r="87" spans="3:33">
      <c r="C87" s="59" t="s">
        <v>48</v>
      </c>
      <c r="D87" s="59"/>
      <c r="E87" s="59"/>
      <c r="F87" s="59"/>
      <c r="H87" s="191"/>
      <c r="I87" s="56"/>
      <c r="K87" s="69"/>
      <c r="L87" s="69"/>
      <c r="M87" s="64"/>
      <c r="N87" s="69"/>
      <c r="O87" s="64"/>
      <c r="P87" s="64"/>
      <c r="Q87" s="184"/>
      <c r="V87" s="77"/>
      <c r="W87" s="59" t="s">
        <v>48</v>
      </c>
      <c r="X87" s="77"/>
      <c r="Y87" s="77"/>
      <c r="Z87" s="77"/>
      <c r="AA87" s="77"/>
      <c r="AB87" s="77"/>
      <c r="AC87" s="77"/>
      <c r="AG87">
        <v>0.9</v>
      </c>
    </row>
    <row r="88" spans="3:33">
      <c r="C88" s="59" t="s">
        <v>187</v>
      </c>
      <c r="D88" s="59" t="s">
        <v>108</v>
      </c>
      <c r="E88" s="59"/>
      <c r="F88" s="59" t="s">
        <v>188</v>
      </c>
      <c r="G88" s="51">
        <v>2021</v>
      </c>
      <c r="H88" s="191">
        <f>H86</f>
        <v>4.0152403282532241</v>
      </c>
      <c r="I88" s="56"/>
      <c r="J88" s="52">
        <v>2.3111249614029199E-2</v>
      </c>
      <c r="K88" s="64">
        <f>K86</f>
        <v>655.70309999999995</v>
      </c>
      <c r="L88" s="64">
        <f>L86</f>
        <v>8.5</v>
      </c>
      <c r="M88" s="64">
        <f t="shared" si="56"/>
        <v>655.70309999999995</v>
      </c>
      <c r="N88" s="64">
        <f>N86</f>
        <v>8.5</v>
      </c>
      <c r="O88" s="64">
        <f t="shared" ref="O88" si="58">K88</f>
        <v>655.70309999999995</v>
      </c>
      <c r="P88" s="64">
        <f>L88</f>
        <v>8.5</v>
      </c>
      <c r="Q88" s="183">
        <f>(11+25)/2</f>
        <v>18</v>
      </c>
      <c r="R88">
        <v>31.54</v>
      </c>
      <c r="S88">
        <v>1</v>
      </c>
      <c r="V88" s="77"/>
      <c r="W88" s="59" t="s">
        <v>187</v>
      </c>
      <c r="X88" s="77"/>
      <c r="Y88" s="77" t="s">
        <v>98</v>
      </c>
      <c r="Z88" s="77" t="s">
        <v>99</v>
      </c>
      <c r="AA88" s="77"/>
      <c r="AB88" s="77"/>
      <c r="AC88" s="77" t="s">
        <v>100</v>
      </c>
    </row>
    <row r="89" spans="3:33">
      <c r="C89" s="59" t="s">
        <v>48</v>
      </c>
      <c r="D89" s="59"/>
      <c r="E89" s="59"/>
      <c r="F89" s="59"/>
      <c r="H89" s="56"/>
      <c r="I89" s="56"/>
      <c r="K89" s="2"/>
      <c r="L89" s="64"/>
      <c r="M89" s="64"/>
      <c r="N89" s="64"/>
      <c r="O89" s="64"/>
      <c r="P89" s="64"/>
      <c r="V89" s="77"/>
      <c r="W89" s="59" t="s">
        <v>48</v>
      </c>
      <c r="X89" s="77"/>
      <c r="Y89" s="77"/>
      <c r="Z89" s="77"/>
      <c r="AA89" s="77"/>
      <c r="AB89" s="77"/>
      <c r="AC89" s="77"/>
      <c r="AG89">
        <v>0.89</v>
      </c>
    </row>
    <row r="90" spans="3:33">
      <c r="C90" s="94" t="s">
        <v>189</v>
      </c>
      <c r="D90" s="94" t="s">
        <v>108</v>
      </c>
      <c r="E90" s="94"/>
      <c r="F90" s="94" t="s">
        <v>190</v>
      </c>
      <c r="G90" s="95">
        <v>2021</v>
      </c>
      <c r="H90" s="96">
        <f>'[4]TechWatHea-SingleDetached-RES'!$N$23</f>
        <v>0.96332670696629996</v>
      </c>
      <c r="I90" s="96"/>
      <c r="J90" s="96">
        <v>0.17176777668968199</v>
      </c>
      <c r="K90" s="180">
        <f>(710+1290)/2*1/11</f>
        <v>90.909090909090907</v>
      </c>
      <c r="L90" s="180">
        <f>20/11</f>
        <v>1.8181818181818181</v>
      </c>
      <c r="M90" s="180">
        <f t="shared" ref="M90:P93" si="59">K90</f>
        <v>90.909090909090907</v>
      </c>
      <c r="N90" s="180">
        <f t="shared" si="59"/>
        <v>1.8181818181818181</v>
      </c>
      <c r="O90" s="180">
        <f t="shared" si="59"/>
        <v>90.909090909090907</v>
      </c>
      <c r="P90" s="180">
        <f t="shared" si="59"/>
        <v>1.8181818181818181</v>
      </c>
      <c r="Q90" s="185">
        <v>13</v>
      </c>
      <c r="R90" s="110">
        <v>31.54</v>
      </c>
      <c r="S90" s="110">
        <v>1</v>
      </c>
      <c r="V90" s="77"/>
      <c r="W90" s="59" t="s">
        <v>189</v>
      </c>
      <c r="X90" s="77"/>
      <c r="Y90" s="77" t="s">
        <v>98</v>
      </c>
      <c r="Z90" s="77" t="s">
        <v>99</v>
      </c>
      <c r="AA90" s="77"/>
      <c r="AB90" s="77"/>
      <c r="AC90" s="77" t="s">
        <v>100</v>
      </c>
    </row>
    <row r="91" spans="3:33">
      <c r="C91" s="94" t="s">
        <v>191</v>
      </c>
      <c r="D91" s="94" t="s">
        <v>104</v>
      </c>
      <c r="E91" s="94"/>
      <c r="F91" s="94" t="s">
        <v>190</v>
      </c>
      <c r="G91" s="95">
        <v>2021</v>
      </c>
      <c r="H91" s="96">
        <f>'[4]TechWatHea-SingleDetached-RES'!$N$24</f>
        <v>0.96332670696629996</v>
      </c>
      <c r="I91" s="96"/>
      <c r="J91" s="96">
        <v>0.436692238879344</v>
      </c>
      <c r="K91" s="180">
        <f>(2880+1650)/2*1/12</f>
        <v>188.75</v>
      </c>
      <c r="L91" s="180">
        <f>20/12</f>
        <v>1.6666666666666667</v>
      </c>
      <c r="M91" s="180">
        <f t="shared" si="59"/>
        <v>188.75</v>
      </c>
      <c r="N91" s="180">
        <f t="shared" si="59"/>
        <v>1.6666666666666667</v>
      </c>
      <c r="O91" s="180">
        <f t="shared" si="59"/>
        <v>188.75</v>
      </c>
      <c r="P91" s="180">
        <f t="shared" si="59"/>
        <v>1.6666666666666667</v>
      </c>
      <c r="Q91" s="185">
        <v>19</v>
      </c>
      <c r="R91" s="110">
        <v>31.54</v>
      </c>
      <c r="S91" s="110">
        <v>1</v>
      </c>
      <c r="V91" s="77"/>
      <c r="W91" s="59" t="s">
        <v>191</v>
      </c>
      <c r="X91" s="77"/>
      <c r="Y91" s="77" t="s">
        <v>98</v>
      </c>
      <c r="Z91" s="77" t="s">
        <v>99</v>
      </c>
      <c r="AA91" s="77"/>
      <c r="AB91" s="77"/>
      <c r="AC91" s="77" t="s">
        <v>100</v>
      </c>
      <c r="AG91" s="87">
        <v>0.124</v>
      </c>
    </row>
    <row r="92" spans="3:33">
      <c r="C92" s="94" t="s">
        <v>192</v>
      </c>
      <c r="D92" s="94" t="s">
        <v>96</v>
      </c>
      <c r="E92" s="94"/>
      <c r="F92" s="94" t="s">
        <v>190</v>
      </c>
      <c r="G92" s="95">
        <v>2021</v>
      </c>
      <c r="H92" s="96">
        <f>'[4]TechWatHea-SingleDetached-RES'!$N$25</f>
        <v>0.96332670696629996</v>
      </c>
      <c r="I92" s="96"/>
      <c r="J92" s="96">
        <v>0.14656454653801501</v>
      </c>
      <c r="K92" s="180">
        <f>(2650+3350)/2*1/10</f>
        <v>300</v>
      </c>
      <c r="L92" s="180">
        <f>210/10*1</f>
        <v>21</v>
      </c>
      <c r="M92" s="180">
        <f t="shared" si="59"/>
        <v>300</v>
      </c>
      <c r="N92" s="180">
        <f t="shared" si="59"/>
        <v>21</v>
      </c>
      <c r="O92" s="180">
        <f t="shared" si="59"/>
        <v>300</v>
      </c>
      <c r="P92" s="180">
        <f t="shared" si="59"/>
        <v>21</v>
      </c>
      <c r="Q92" s="185">
        <v>13</v>
      </c>
      <c r="R92" s="110">
        <v>31.54</v>
      </c>
      <c r="S92" s="110">
        <v>1</v>
      </c>
      <c r="V92" s="77"/>
      <c r="W92" s="59" t="s">
        <v>192</v>
      </c>
      <c r="X92" s="77"/>
      <c r="Y92" s="77" t="s">
        <v>98</v>
      </c>
      <c r="Z92" s="77" t="s">
        <v>99</v>
      </c>
      <c r="AA92" s="77"/>
      <c r="AB92" s="77"/>
      <c r="AC92" s="77" t="s">
        <v>100</v>
      </c>
      <c r="AG92" s="87"/>
    </row>
    <row r="93" spans="3:33">
      <c r="C93" s="94" t="s">
        <v>193</v>
      </c>
      <c r="D93" s="94" t="s">
        <v>194</v>
      </c>
      <c r="E93" s="94"/>
      <c r="F93" s="94" t="s">
        <v>190</v>
      </c>
      <c r="G93" s="95">
        <v>2021</v>
      </c>
      <c r="H93" s="96">
        <f>'[4]TechWatHea-SingleDetached-RES'!$N$26</f>
        <v>0.96332670696629996</v>
      </c>
      <c r="I93" s="96"/>
      <c r="J93" s="96">
        <v>0.31528792347867302</v>
      </c>
      <c r="K93" s="180">
        <f>5940/(100/3.412)*1</f>
        <v>202.6728</v>
      </c>
      <c r="L93" s="180">
        <f>160/(100/3.412)*1</f>
        <v>5.4592000000000001</v>
      </c>
      <c r="M93" s="180">
        <f t="shared" si="59"/>
        <v>202.6728</v>
      </c>
      <c r="N93" s="180">
        <f t="shared" si="59"/>
        <v>5.4592000000000001</v>
      </c>
      <c r="O93" s="180">
        <f t="shared" si="59"/>
        <v>202.6728</v>
      </c>
      <c r="P93" s="180">
        <f t="shared" si="59"/>
        <v>5.4592000000000001</v>
      </c>
      <c r="Q93" s="185">
        <v>25</v>
      </c>
      <c r="R93" s="110">
        <v>31.54</v>
      </c>
      <c r="S93" s="110">
        <v>1</v>
      </c>
      <c r="V93" s="77"/>
      <c r="W93" s="59" t="s">
        <v>193</v>
      </c>
      <c r="X93" s="77"/>
      <c r="Y93" s="77" t="s">
        <v>98</v>
      </c>
      <c r="Z93" s="77" t="s">
        <v>99</v>
      </c>
      <c r="AA93" s="77"/>
      <c r="AB93" s="77"/>
      <c r="AC93" s="77" t="s">
        <v>100</v>
      </c>
      <c r="AG93" s="87">
        <v>0.124</v>
      </c>
    </row>
    <row r="94" spans="3:33">
      <c r="C94" s="94" t="s">
        <v>195</v>
      </c>
      <c r="D94" s="94" t="s">
        <v>113</v>
      </c>
      <c r="E94" s="94"/>
      <c r="F94" s="94" t="s">
        <v>190</v>
      </c>
      <c r="G94" s="95">
        <v>2021</v>
      </c>
      <c r="H94" s="96">
        <f>'[4]TechWatHea-SingleDetached-RES'!$N$27</f>
        <v>0.96332670696629996</v>
      </c>
      <c r="I94" s="96"/>
      <c r="J94" s="96">
        <v>0.82141505528632597</v>
      </c>
      <c r="K94" s="180">
        <f>K95</f>
        <v>308.44479999999999</v>
      </c>
      <c r="L94" s="180">
        <f t="shared" ref="L94:P94" si="60">L95</f>
        <v>21.154399999999999</v>
      </c>
      <c r="M94" s="180">
        <f t="shared" si="60"/>
        <v>308.44479999999999</v>
      </c>
      <c r="N94" s="180">
        <f t="shared" si="60"/>
        <v>21.154399999999999</v>
      </c>
      <c r="O94" s="180">
        <f t="shared" si="60"/>
        <v>308.44479999999999</v>
      </c>
      <c r="P94" s="180">
        <f t="shared" si="60"/>
        <v>21.154399999999999</v>
      </c>
      <c r="Q94" s="186">
        <f>Q95</f>
        <v>19</v>
      </c>
      <c r="R94" s="110">
        <v>31.54</v>
      </c>
      <c r="S94" s="110">
        <v>1</v>
      </c>
      <c r="V94" s="77"/>
      <c r="W94" s="59" t="s">
        <v>195</v>
      </c>
      <c r="X94" s="77"/>
      <c r="Y94" s="77" t="s">
        <v>98</v>
      </c>
      <c r="Z94" s="77" t="s">
        <v>99</v>
      </c>
      <c r="AA94" s="77"/>
      <c r="AB94" s="77"/>
      <c r="AC94" s="77" t="s">
        <v>100</v>
      </c>
      <c r="AG94" s="87"/>
    </row>
    <row r="95" spans="3:33">
      <c r="C95" s="94" t="s">
        <v>196</v>
      </c>
      <c r="D95" s="94" t="s">
        <v>124</v>
      </c>
      <c r="E95" s="94"/>
      <c r="F95" s="94" t="s">
        <v>190</v>
      </c>
      <c r="G95" s="95">
        <v>2021</v>
      </c>
      <c r="H95" s="96">
        <f>'[4]TechWatHea-SingleDetached-RES'!$N$28</f>
        <v>0.96332670696629996</v>
      </c>
      <c r="I95" s="96"/>
      <c r="J95" s="96">
        <f>'[4]TechWatHea-SingleDetached-RES'!$N$59</f>
        <v>0.37834550817440799</v>
      </c>
      <c r="K95" s="180">
        <f>4520/(50/3.412)*1</f>
        <v>308.44479999999999</v>
      </c>
      <c r="L95" s="180">
        <f>310/(50/3.412)*1</f>
        <v>21.154399999999999</v>
      </c>
      <c r="M95" s="180">
        <f>K95</f>
        <v>308.44479999999999</v>
      </c>
      <c r="N95" s="180">
        <f>L95</f>
        <v>21.154399999999999</v>
      </c>
      <c r="O95" s="180">
        <f>M95</f>
        <v>308.44479999999999</v>
      </c>
      <c r="P95" s="180">
        <f>N95</f>
        <v>21.154399999999999</v>
      </c>
      <c r="Q95" s="185">
        <v>19</v>
      </c>
      <c r="R95" s="110">
        <v>31.54</v>
      </c>
      <c r="S95" s="110">
        <v>1</v>
      </c>
      <c r="V95" s="77"/>
      <c r="W95" s="59" t="s">
        <v>196</v>
      </c>
      <c r="X95" s="77"/>
      <c r="Y95" s="77" t="s">
        <v>98</v>
      </c>
      <c r="Z95" s="77" t="s">
        <v>99</v>
      </c>
      <c r="AA95" s="77"/>
      <c r="AB95" s="77"/>
      <c r="AC95" s="77" t="s">
        <v>100</v>
      </c>
      <c r="AG95" s="87">
        <v>0.124</v>
      </c>
    </row>
    <row r="96" spans="3:33">
      <c r="C96" s="59" t="s">
        <v>197</v>
      </c>
      <c r="D96" s="59" t="s">
        <v>108</v>
      </c>
      <c r="E96" s="59"/>
      <c r="F96" s="59" t="s">
        <v>198</v>
      </c>
      <c r="G96" s="95">
        <v>2021</v>
      </c>
      <c r="H96" s="96">
        <f>'[4]TechWatHea-SingleAttached'!$N$23</f>
        <v>0.96332670696629996</v>
      </c>
      <c r="I96" s="96"/>
      <c r="J96" s="96">
        <v>0.13811725064671401</v>
      </c>
      <c r="K96" s="105">
        <f t="shared" ref="K96:P96" si="61">K90</f>
        <v>90.909090909090907</v>
      </c>
      <c r="L96" s="105">
        <f t="shared" si="61"/>
        <v>1.8181818181818181</v>
      </c>
      <c r="M96" s="105">
        <f t="shared" si="61"/>
        <v>90.909090909090907</v>
      </c>
      <c r="N96" s="105">
        <f t="shared" si="61"/>
        <v>1.8181818181818181</v>
      </c>
      <c r="O96" s="105">
        <f t="shared" si="61"/>
        <v>90.909090909090907</v>
      </c>
      <c r="P96" s="105">
        <f t="shared" si="61"/>
        <v>1.8181818181818181</v>
      </c>
      <c r="Q96" s="185">
        <f>Q90</f>
        <v>13</v>
      </c>
      <c r="R96" s="110">
        <v>31.54</v>
      </c>
      <c r="S96" s="110">
        <v>1</v>
      </c>
      <c r="V96" s="77"/>
      <c r="W96" s="59" t="s">
        <v>197</v>
      </c>
      <c r="X96" s="77"/>
      <c r="Y96" s="77" t="s">
        <v>98</v>
      </c>
      <c r="Z96" s="77" t="s">
        <v>99</v>
      </c>
      <c r="AA96" s="77"/>
      <c r="AB96" s="77"/>
      <c r="AC96" s="77" t="s">
        <v>100</v>
      </c>
      <c r="AG96" s="87"/>
    </row>
    <row r="97" spans="3:33">
      <c r="C97" s="59" t="s">
        <v>199</v>
      </c>
      <c r="D97" s="59" t="s">
        <v>104</v>
      </c>
      <c r="E97" s="59"/>
      <c r="F97" s="59" t="s">
        <v>198</v>
      </c>
      <c r="G97" s="95">
        <v>2021</v>
      </c>
      <c r="H97" s="96">
        <f>'[4]TechWatHea-SingleAttached'!$N$24</f>
        <v>0.96332670696629996</v>
      </c>
      <c r="I97" s="96"/>
      <c r="J97" s="96">
        <v>0.354678591350925</v>
      </c>
      <c r="K97" s="105">
        <f t="shared" ref="K97:K113" si="62">K91</f>
        <v>188.75</v>
      </c>
      <c r="L97" s="105">
        <f t="shared" ref="L97:L113" si="63">L91</f>
        <v>1.6666666666666667</v>
      </c>
      <c r="M97" s="105">
        <f t="shared" ref="M97:M113" si="64">M91</f>
        <v>188.75</v>
      </c>
      <c r="N97" s="105">
        <f t="shared" ref="N97:N113" si="65">N91</f>
        <v>1.6666666666666667</v>
      </c>
      <c r="O97" s="105">
        <f t="shared" ref="O97:O113" si="66">O91</f>
        <v>188.75</v>
      </c>
      <c r="P97" s="105">
        <f t="shared" ref="P97:Q113" si="67">P91</f>
        <v>1.6666666666666667</v>
      </c>
      <c r="Q97" s="185">
        <f t="shared" si="67"/>
        <v>19</v>
      </c>
      <c r="R97" s="110">
        <v>31.54</v>
      </c>
      <c r="S97" s="110">
        <v>1</v>
      </c>
      <c r="V97" s="77"/>
      <c r="W97" s="59" t="s">
        <v>199</v>
      </c>
      <c r="X97" s="77"/>
      <c r="Y97" s="77" t="s">
        <v>98</v>
      </c>
      <c r="Z97" s="77" t="s">
        <v>99</v>
      </c>
      <c r="AA97" s="77"/>
      <c r="AB97" s="77"/>
      <c r="AC97" s="77" t="s">
        <v>100</v>
      </c>
      <c r="AG97" s="87">
        <v>0.124</v>
      </c>
    </row>
    <row r="98" spans="3:33">
      <c r="C98" s="59" t="s">
        <v>200</v>
      </c>
      <c r="D98" s="59" t="s">
        <v>96</v>
      </c>
      <c r="E98" s="59"/>
      <c r="F98" s="59" t="s">
        <v>198</v>
      </c>
      <c r="G98" s="95">
        <v>2021</v>
      </c>
      <c r="H98" s="96">
        <f>'[4]TechWatHea-SingleAttached'!$N$25</f>
        <v>0.96332670696629996</v>
      </c>
      <c r="I98" s="96"/>
      <c r="J98" s="96">
        <v>0.132783850326185</v>
      </c>
      <c r="K98" s="105">
        <f t="shared" si="62"/>
        <v>300</v>
      </c>
      <c r="L98" s="105">
        <f t="shared" si="63"/>
        <v>21</v>
      </c>
      <c r="M98" s="105">
        <f t="shared" si="64"/>
        <v>300</v>
      </c>
      <c r="N98" s="105">
        <f t="shared" si="65"/>
        <v>21</v>
      </c>
      <c r="O98" s="105">
        <f t="shared" si="66"/>
        <v>300</v>
      </c>
      <c r="P98" s="105">
        <f t="shared" si="67"/>
        <v>21</v>
      </c>
      <c r="Q98" s="185">
        <f t="shared" si="67"/>
        <v>13</v>
      </c>
      <c r="R98" s="110">
        <v>31.54</v>
      </c>
      <c r="S98" s="110">
        <v>1</v>
      </c>
      <c r="V98" s="77"/>
      <c r="W98" s="59" t="s">
        <v>200</v>
      </c>
      <c r="X98" s="77"/>
      <c r="Y98" s="77" t="s">
        <v>98</v>
      </c>
      <c r="Z98" s="77" t="s">
        <v>99</v>
      </c>
      <c r="AA98" s="77"/>
      <c r="AB98" s="77"/>
      <c r="AC98" s="77" t="s">
        <v>100</v>
      </c>
      <c r="AG98" s="87"/>
    </row>
    <row r="99" spans="3:33">
      <c r="C99" s="59" t="s">
        <v>201</v>
      </c>
      <c r="D99" s="59" t="s">
        <v>194</v>
      </c>
      <c r="E99" s="59"/>
      <c r="F99" s="59" t="s">
        <v>198</v>
      </c>
      <c r="G99" s="95">
        <v>2021</v>
      </c>
      <c r="H99" s="96">
        <f>'[4]TechWatHea-SingleAttached'!$N$26</f>
        <v>0.96332670696629996</v>
      </c>
      <c r="I99" s="96"/>
      <c r="J99" s="96">
        <v>0.20953247345103601</v>
      </c>
      <c r="K99" s="105">
        <f t="shared" si="62"/>
        <v>202.6728</v>
      </c>
      <c r="L99" s="105">
        <f t="shared" si="63"/>
        <v>5.4592000000000001</v>
      </c>
      <c r="M99" s="105">
        <f t="shared" si="64"/>
        <v>202.6728</v>
      </c>
      <c r="N99" s="105">
        <f t="shared" si="65"/>
        <v>5.4592000000000001</v>
      </c>
      <c r="O99" s="105">
        <f t="shared" si="66"/>
        <v>202.6728</v>
      </c>
      <c r="P99" s="105">
        <f t="shared" si="67"/>
        <v>5.4592000000000001</v>
      </c>
      <c r="Q99" s="185">
        <f t="shared" si="67"/>
        <v>25</v>
      </c>
      <c r="R99" s="110">
        <v>31.54</v>
      </c>
      <c r="S99" s="110">
        <v>1</v>
      </c>
      <c r="V99" s="77"/>
      <c r="W99" s="59" t="s">
        <v>201</v>
      </c>
      <c r="X99" s="77"/>
      <c r="Y99" s="77" t="s">
        <v>98</v>
      </c>
      <c r="Z99" s="77" t="s">
        <v>99</v>
      </c>
      <c r="AA99" s="77"/>
      <c r="AB99" s="77"/>
      <c r="AC99" s="77" t="s">
        <v>100</v>
      </c>
      <c r="AG99">
        <v>0.65</v>
      </c>
    </row>
    <row r="100" spans="3:33">
      <c r="C100" s="59" t="s">
        <v>202</v>
      </c>
      <c r="D100" s="59" t="s">
        <v>113</v>
      </c>
      <c r="E100" s="59"/>
      <c r="F100" s="59" t="s">
        <v>198</v>
      </c>
      <c r="G100" s="95">
        <v>2021</v>
      </c>
      <c r="H100" s="96">
        <f>'[4]TechWatHea-SingleAttached'!$N$27</f>
        <v>0.96332670696629996</v>
      </c>
      <c r="I100" s="96"/>
      <c r="J100" s="96">
        <v>0.40482707149082198</v>
      </c>
      <c r="K100" s="105">
        <f t="shared" si="62"/>
        <v>308.44479999999999</v>
      </c>
      <c r="L100" s="105">
        <f t="shared" si="63"/>
        <v>21.154399999999999</v>
      </c>
      <c r="M100" s="105">
        <f t="shared" si="64"/>
        <v>308.44479999999999</v>
      </c>
      <c r="N100" s="105">
        <f t="shared" si="65"/>
        <v>21.154399999999999</v>
      </c>
      <c r="O100" s="105">
        <f t="shared" si="66"/>
        <v>308.44479999999999</v>
      </c>
      <c r="P100" s="105">
        <f t="shared" si="67"/>
        <v>21.154399999999999</v>
      </c>
      <c r="Q100" s="185">
        <f t="shared" si="67"/>
        <v>19</v>
      </c>
      <c r="R100" s="110">
        <v>31.54</v>
      </c>
      <c r="S100" s="110">
        <v>1</v>
      </c>
      <c r="V100" s="77"/>
      <c r="W100" s="59" t="s">
        <v>202</v>
      </c>
      <c r="X100" s="77"/>
      <c r="Y100" s="77" t="s">
        <v>98</v>
      </c>
      <c r="Z100" s="77" t="s">
        <v>99</v>
      </c>
      <c r="AA100" s="77"/>
      <c r="AB100" s="77"/>
      <c r="AC100" s="77" t="s">
        <v>100</v>
      </c>
      <c r="AG100">
        <v>0.65</v>
      </c>
    </row>
    <row r="101" spans="3:33">
      <c r="C101" s="59" t="s">
        <v>203</v>
      </c>
      <c r="D101" s="59" t="s">
        <v>124</v>
      </c>
      <c r="E101" s="59"/>
      <c r="F101" s="59" t="s">
        <v>198</v>
      </c>
      <c r="G101" s="95">
        <v>2021</v>
      </c>
      <c r="H101" s="96">
        <f>'[4]TechWatHea-SingleAttached'!$N$28</f>
        <v>0.96332670696629996</v>
      </c>
      <c r="I101" s="96"/>
      <c r="J101" s="96">
        <f>'[4]TechWatHea-SingleAttached'!$N$59</f>
        <v>0.24798784745313601</v>
      </c>
      <c r="K101" s="105">
        <f t="shared" si="62"/>
        <v>308.44479999999999</v>
      </c>
      <c r="L101" s="105">
        <f t="shared" si="63"/>
        <v>21.154399999999999</v>
      </c>
      <c r="M101" s="105">
        <f t="shared" si="64"/>
        <v>308.44479999999999</v>
      </c>
      <c r="N101" s="105">
        <f t="shared" si="65"/>
        <v>21.154399999999999</v>
      </c>
      <c r="O101" s="105">
        <f t="shared" si="66"/>
        <v>308.44479999999999</v>
      </c>
      <c r="P101" s="105">
        <f t="shared" si="67"/>
        <v>21.154399999999999</v>
      </c>
      <c r="Q101" s="185">
        <f t="shared" si="67"/>
        <v>19</v>
      </c>
      <c r="R101" s="110">
        <v>31.54</v>
      </c>
      <c r="S101" s="110">
        <v>1</v>
      </c>
      <c r="V101" s="77"/>
      <c r="W101" s="59" t="s">
        <v>203</v>
      </c>
      <c r="X101" s="77"/>
      <c r="Y101" s="77" t="s">
        <v>98</v>
      </c>
      <c r="Z101" s="77" t="s">
        <v>99</v>
      </c>
      <c r="AA101" s="77"/>
      <c r="AB101" s="77"/>
      <c r="AC101" s="77" t="s">
        <v>100</v>
      </c>
      <c r="AG101">
        <v>0.65</v>
      </c>
    </row>
    <row r="102" spans="3:33">
      <c r="C102" s="59" t="s">
        <v>204</v>
      </c>
      <c r="D102" s="59" t="s">
        <v>108</v>
      </c>
      <c r="E102" s="59"/>
      <c r="F102" s="59" t="s">
        <v>205</v>
      </c>
      <c r="G102" s="95">
        <v>2021</v>
      </c>
      <c r="H102" s="97">
        <f>'[4]TechWatHea-Appartment'!$N$23</f>
        <v>0.96332670696629996</v>
      </c>
      <c r="I102" s="97"/>
      <c r="J102" s="96">
        <v>0.101179774061464</v>
      </c>
      <c r="K102" s="105">
        <f t="shared" si="62"/>
        <v>90.909090909090907</v>
      </c>
      <c r="L102" s="105">
        <f t="shared" si="63"/>
        <v>1.8181818181818181</v>
      </c>
      <c r="M102" s="105">
        <f t="shared" si="64"/>
        <v>90.909090909090907</v>
      </c>
      <c r="N102" s="105">
        <f t="shared" si="65"/>
        <v>1.8181818181818181</v>
      </c>
      <c r="O102" s="105">
        <f t="shared" si="66"/>
        <v>90.909090909090907</v>
      </c>
      <c r="P102" s="105">
        <f t="shared" si="67"/>
        <v>1.8181818181818181</v>
      </c>
      <c r="Q102" s="185">
        <f t="shared" si="67"/>
        <v>13</v>
      </c>
      <c r="R102" s="110">
        <v>31.54</v>
      </c>
      <c r="S102" s="110">
        <v>1</v>
      </c>
      <c r="V102" s="77"/>
      <c r="W102" s="59" t="s">
        <v>204</v>
      </c>
      <c r="X102" s="77"/>
      <c r="Y102" s="77" t="s">
        <v>98</v>
      </c>
      <c r="Z102" s="77" t="s">
        <v>99</v>
      </c>
      <c r="AA102" s="77"/>
      <c r="AB102" s="77"/>
      <c r="AC102" s="77" t="s">
        <v>100</v>
      </c>
      <c r="AG102">
        <v>0.65</v>
      </c>
    </row>
    <row r="103" spans="3:33">
      <c r="C103" s="59" t="s">
        <v>206</v>
      </c>
      <c r="D103" s="59" t="s">
        <v>104</v>
      </c>
      <c r="E103" s="59"/>
      <c r="F103" s="59" t="s">
        <v>205</v>
      </c>
      <c r="G103" s="95">
        <v>2021</v>
      </c>
      <c r="H103" s="97">
        <f>'[4]TechWatHea-Appartment'!$N$24</f>
        <v>0.96332670696629996</v>
      </c>
      <c r="I103" s="97"/>
      <c r="J103" s="96">
        <v>0.24860663198916999</v>
      </c>
      <c r="K103" s="105">
        <f t="shared" si="62"/>
        <v>188.75</v>
      </c>
      <c r="L103" s="105">
        <f t="shared" si="63"/>
        <v>1.6666666666666667</v>
      </c>
      <c r="M103" s="105">
        <f t="shared" si="64"/>
        <v>188.75</v>
      </c>
      <c r="N103" s="105">
        <f t="shared" si="65"/>
        <v>1.6666666666666667</v>
      </c>
      <c r="O103" s="105">
        <f t="shared" si="66"/>
        <v>188.75</v>
      </c>
      <c r="P103" s="105">
        <f t="shared" si="67"/>
        <v>1.6666666666666667</v>
      </c>
      <c r="Q103" s="185">
        <f t="shared" ref="Q103" si="68">Q97</f>
        <v>19</v>
      </c>
      <c r="R103" s="110">
        <v>31.54</v>
      </c>
      <c r="S103" s="110">
        <v>1</v>
      </c>
      <c r="V103" s="77"/>
      <c r="W103" s="59" t="s">
        <v>206</v>
      </c>
      <c r="X103" s="77"/>
      <c r="Y103" s="77" t="s">
        <v>98</v>
      </c>
      <c r="Z103" s="77" t="s">
        <v>99</v>
      </c>
      <c r="AA103" s="77"/>
      <c r="AB103" s="77"/>
      <c r="AC103" s="77" t="s">
        <v>100</v>
      </c>
      <c r="AG103">
        <v>0.65</v>
      </c>
    </row>
    <row r="104" spans="3:33">
      <c r="C104" s="59" t="s">
        <v>207</v>
      </c>
      <c r="D104" s="59" t="s">
        <v>96</v>
      </c>
      <c r="E104" s="59"/>
      <c r="F104" s="59" t="s">
        <v>205</v>
      </c>
      <c r="G104" s="95">
        <v>2021</v>
      </c>
      <c r="H104" s="97">
        <f>'[4]TechWatHea-Appartment'!$N$25</f>
        <v>0.96332670696629996</v>
      </c>
      <c r="I104" s="97"/>
      <c r="J104" s="96">
        <v>8.8560651785726099E-2</v>
      </c>
      <c r="K104" s="105">
        <f t="shared" si="62"/>
        <v>300</v>
      </c>
      <c r="L104" s="105">
        <f t="shared" si="63"/>
        <v>21</v>
      </c>
      <c r="M104" s="105">
        <f t="shared" si="64"/>
        <v>300</v>
      </c>
      <c r="N104" s="105">
        <f t="shared" si="65"/>
        <v>21</v>
      </c>
      <c r="O104" s="105">
        <f t="shared" si="66"/>
        <v>300</v>
      </c>
      <c r="P104" s="105">
        <f t="shared" si="67"/>
        <v>21</v>
      </c>
      <c r="Q104" s="185">
        <f t="shared" ref="Q104" si="69">Q98</f>
        <v>13</v>
      </c>
      <c r="R104" s="110">
        <v>31.54</v>
      </c>
      <c r="S104" s="110">
        <v>1</v>
      </c>
      <c r="V104" s="77"/>
      <c r="W104" s="59" t="s">
        <v>207</v>
      </c>
      <c r="X104" s="77"/>
      <c r="Y104" s="77" t="s">
        <v>98</v>
      </c>
      <c r="Z104" s="77" t="s">
        <v>99</v>
      </c>
      <c r="AA104" s="77"/>
      <c r="AB104" s="77"/>
      <c r="AC104" s="77" t="s">
        <v>100</v>
      </c>
      <c r="AG104">
        <v>0.65</v>
      </c>
    </row>
    <row r="105" spans="3:33">
      <c r="C105" s="59" t="s">
        <v>208</v>
      </c>
      <c r="D105" s="59" t="s">
        <v>194</v>
      </c>
      <c r="E105" s="59"/>
      <c r="F105" s="59" t="s">
        <v>205</v>
      </c>
      <c r="G105" s="95">
        <v>2021</v>
      </c>
      <c r="H105" s="97">
        <f>'[4]TechWatHea-Appartment'!$N$26</f>
        <v>0.96332670696629996</v>
      </c>
      <c r="I105" s="97"/>
      <c r="J105" s="96">
        <v>0.143923107198767</v>
      </c>
      <c r="K105" s="105">
        <f t="shared" si="62"/>
        <v>202.6728</v>
      </c>
      <c r="L105" s="105">
        <f t="shared" si="63"/>
        <v>5.4592000000000001</v>
      </c>
      <c r="M105" s="105">
        <f t="shared" si="64"/>
        <v>202.6728</v>
      </c>
      <c r="N105" s="105">
        <f t="shared" si="65"/>
        <v>5.4592000000000001</v>
      </c>
      <c r="O105" s="105">
        <f t="shared" si="66"/>
        <v>202.6728</v>
      </c>
      <c r="P105" s="105">
        <f t="shared" si="67"/>
        <v>5.4592000000000001</v>
      </c>
      <c r="Q105" s="185">
        <f t="shared" ref="Q105" si="70">Q99</f>
        <v>25</v>
      </c>
      <c r="R105" s="110">
        <v>31.54</v>
      </c>
      <c r="S105" s="110">
        <v>1</v>
      </c>
      <c r="V105" s="111"/>
      <c r="W105" s="59" t="s">
        <v>208</v>
      </c>
      <c r="X105" s="112"/>
      <c r="Y105" s="111" t="s">
        <v>98</v>
      </c>
      <c r="Z105" s="111" t="s">
        <v>99</v>
      </c>
      <c r="AA105" s="111"/>
      <c r="AB105" s="111"/>
      <c r="AC105" s="111" t="s">
        <v>100</v>
      </c>
      <c r="AG105">
        <v>0.65</v>
      </c>
    </row>
    <row r="106" spans="3:33">
      <c r="C106" s="59" t="s">
        <v>209</v>
      </c>
      <c r="D106" s="59" t="s">
        <v>113</v>
      </c>
      <c r="E106" s="59"/>
      <c r="F106" s="59" t="s">
        <v>205</v>
      </c>
      <c r="G106" s="95">
        <v>2021</v>
      </c>
      <c r="H106" s="97">
        <f>'[4]TechWatHea-Appartment'!$N$27</f>
        <v>0.96332670696629996</v>
      </c>
      <c r="I106" s="97"/>
      <c r="J106" s="96">
        <v>0.28126847815747502</v>
      </c>
      <c r="K106" s="105">
        <f t="shared" si="62"/>
        <v>308.44479999999999</v>
      </c>
      <c r="L106" s="105">
        <f t="shared" si="63"/>
        <v>21.154399999999999</v>
      </c>
      <c r="M106" s="105">
        <f t="shared" si="64"/>
        <v>308.44479999999999</v>
      </c>
      <c r="N106" s="105">
        <f t="shared" si="65"/>
        <v>21.154399999999999</v>
      </c>
      <c r="O106" s="105">
        <f t="shared" si="66"/>
        <v>308.44479999999999</v>
      </c>
      <c r="P106" s="105">
        <f t="shared" si="67"/>
        <v>21.154399999999999</v>
      </c>
      <c r="Q106" s="185">
        <f t="shared" ref="Q106" si="71">Q100</f>
        <v>19</v>
      </c>
      <c r="R106" s="110">
        <v>31.54</v>
      </c>
      <c r="S106" s="110">
        <v>1</v>
      </c>
      <c r="W106" s="59" t="s">
        <v>209</v>
      </c>
      <c r="Y106" s="111" t="s">
        <v>98</v>
      </c>
      <c r="Z106" s="111" t="s">
        <v>99</v>
      </c>
      <c r="AA106" s="111"/>
      <c r="AB106" s="111"/>
      <c r="AC106" s="111" t="s">
        <v>100</v>
      </c>
      <c r="AG106">
        <v>0.65</v>
      </c>
    </row>
    <row r="107" spans="3:33">
      <c r="C107" s="59" t="s">
        <v>210</v>
      </c>
      <c r="D107" s="59" t="s">
        <v>124</v>
      </c>
      <c r="E107" s="59"/>
      <c r="F107" s="59" t="s">
        <v>205</v>
      </c>
      <c r="G107" s="95">
        <v>2021</v>
      </c>
      <c r="H107" s="97">
        <f>'[4]TechWatHea-Appartment'!$N$28</f>
        <v>0.96332670696629996</v>
      </c>
      <c r="I107" s="97"/>
      <c r="J107" s="96">
        <f>'[4]TechWatHea-Appartment'!$N$59</f>
        <v>0.17270772863851999</v>
      </c>
      <c r="K107" s="105">
        <f t="shared" si="62"/>
        <v>308.44479999999999</v>
      </c>
      <c r="L107" s="105">
        <f t="shared" si="63"/>
        <v>21.154399999999999</v>
      </c>
      <c r="M107" s="105">
        <f t="shared" si="64"/>
        <v>308.44479999999999</v>
      </c>
      <c r="N107" s="105">
        <f t="shared" si="65"/>
        <v>21.154399999999999</v>
      </c>
      <c r="O107" s="105">
        <f t="shared" si="66"/>
        <v>308.44479999999999</v>
      </c>
      <c r="P107" s="105">
        <f t="shared" si="67"/>
        <v>21.154399999999999</v>
      </c>
      <c r="Q107" s="185">
        <f t="shared" ref="Q107:Q108" si="72">Q101</f>
        <v>19</v>
      </c>
      <c r="R107" s="110">
        <v>31.54</v>
      </c>
      <c r="S107" s="110">
        <v>1</v>
      </c>
      <c r="W107" s="59" t="s">
        <v>210</v>
      </c>
      <c r="Y107" s="111" t="s">
        <v>98</v>
      </c>
      <c r="Z107" s="111" t="s">
        <v>99</v>
      </c>
      <c r="AA107" s="111"/>
      <c r="AB107" s="111"/>
      <c r="AC107" s="111" t="s">
        <v>100</v>
      </c>
      <c r="AG107">
        <v>0.65</v>
      </c>
    </row>
    <row r="108" spans="3:33">
      <c r="C108" s="59" t="s">
        <v>211</v>
      </c>
      <c r="D108" s="59" t="s">
        <v>108</v>
      </c>
      <c r="E108" s="59"/>
      <c r="F108" s="59" t="s">
        <v>212</v>
      </c>
      <c r="G108" s="51">
        <v>2021</v>
      </c>
      <c r="H108" s="98">
        <f>'[4]TechWatHea-MobileHome'!$N$23</f>
        <v>0.96332670696629996</v>
      </c>
      <c r="I108" s="98"/>
      <c r="J108" s="52">
        <v>9.6459342035770099E-2</v>
      </c>
      <c r="K108" s="105">
        <f t="shared" si="62"/>
        <v>90.909090909090907</v>
      </c>
      <c r="L108" s="105">
        <f t="shared" si="63"/>
        <v>1.8181818181818181</v>
      </c>
      <c r="M108" s="105">
        <f t="shared" si="64"/>
        <v>90.909090909090907</v>
      </c>
      <c r="N108" s="105">
        <f t="shared" si="65"/>
        <v>1.8181818181818181</v>
      </c>
      <c r="O108" s="105">
        <f t="shared" si="66"/>
        <v>90.909090909090907</v>
      </c>
      <c r="P108" s="105">
        <f t="shared" si="67"/>
        <v>1.8181818181818181</v>
      </c>
      <c r="Q108" s="185">
        <f t="shared" si="72"/>
        <v>13</v>
      </c>
      <c r="R108">
        <v>31.54</v>
      </c>
      <c r="S108">
        <v>1</v>
      </c>
      <c r="W108" s="59" t="s">
        <v>211</v>
      </c>
      <c r="Y108" s="111" t="s">
        <v>98</v>
      </c>
      <c r="Z108" s="111" t="s">
        <v>99</v>
      </c>
      <c r="AA108" s="111"/>
      <c r="AB108" s="111"/>
      <c r="AC108" s="111" t="s">
        <v>100</v>
      </c>
      <c r="AG108">
        <v>0.65</v>
      </c>
    </row>
    <row r="109" spans="3:33">
      <c r="C109" s="59" t="s">
        <v>213</v>
      </c>
      <c r="D109" s="59" t="s">
        <v>104</v>
      </c>
      <c r="E109" s="59"/>
      <c r="F109" s="59" t="s">
        <v>212</v>
      </c>
      <c r="G109" s="51">
        <v>2021</v>
      </c>
      <c r="H109" s="98">
        <f>'[4]TechWatHea-MobileHome'!$N$24</f>
        <v>0.96332670696629996</v>
      </c>
      <c r="I109" s="98"/>
      <c r="J109" s="52">
        <v>0.23828463596827601</v>
      </c>
      <c r="K109" s="105">
        <f t="shared" si="62"/>
        <v>188.75</v>
      </c>
      <c r="L109" s="105">
        <f t="shared" si="63"/>
        <v>1.6666666666666667</v>
      </c>
      <c r="M109" s="105">
        <f t="shared" si="64"/>
        <v>188.75</v>
      </c>
      <c r="N109" s="105">
        <f t="shared" si="65"/>
        <v>1.6666666666666667</v>
      </c>
      <c r="O109" s="105">
        <f t="shared" si="66"/>
        <v>188.75</v>
      </c>
      <c r="P109" s="105">
        <f t="shared" si="67"/>
        <v>1.6666666666666667</v>
      </c>
      <c r="Q109" s="185">
        <f t="shared" ref="Q109" si="73">Q103</f>
        <v>19</v>
      </c>
      <c r="R109">
        <v>31.54</v>
      </c>
      <c r="S109">
        <v>1</v>
      </c>
      <c r="W109" s="59" t="s">
        <v>213</v>
      </c>
      <c r="Y109" s="111" t="s">
        <v>98</v>
      </c>
      <c r="Z109" s="111" t="s">
        <v>99</v>
      </c>
      <c r="AA109" s="111"/>
      <c r="AB109" s="111"/>
      <c r="AC109" s="111" t="s">
        <v>100</v>
      </c>
      <c r="AG109">
        <v>0.65</v>
      </c>
    </row>
    <row r="110" spans="3:33">
      <c r="C110" s="59" t="s">
        <v>214</v>
      </c>
      <c r="D110" s="59" t="s">
        <v>96</v>
      </c>
      <c r="E110" s="59"/>
      <c r="F110" s="59" t="s">
        <v>212</v>
      </c>
      <c r="G110" s="51">
        <v>2021</v>
      </c>
      <c r="H110" s="98">
        <f>'[4]TechWatHea-MobileHome'!$N$25</f>
        <v>0.96332670696629996</v>
      </c>
      <c r="I110" s="98"/>
      <c r="J110" s="52">
        <v>9.7086151849994404E-2</v>
      </c>
      <c r="K110" s="105">
        <f t="shared" si="62"/>
        <v>300</v>
      </c>
      <c r="L110" s="105">
        <f t="shared" si="63"/>
        <v>21</v>
      </c>
      <c r="M110" s="105">
        <f t="shared" si="64"/>
        <v>300</v>
      </c>
      <c r="N110" s="105">
        <f t="shared" si="65"/>
        <v>21</v>
      </c>
      <c r="O110" s="105">
        <f t="shared" si="66"/>
        <v>300</v>
      </c>
      <c r="P110" s="105">
        <f t="shared" si="67"/>
        <v>21</v>
      </c>
      <c r="Q110" s="185">
        <f t="shared" ref="Q110" si="74">Q104</f>
        <v>13</v>
      </c>
      <c r="R110">
        <v>31.54</v>
      </c>
      <c r="S110">
        <v>1</v>
      </c>
      <c r="W110" s="59" t="s">
        <v>214</v>
      </c>
      <c r="Y110" s="111" t="s">
        <v>98</v>
      </c>
      <c r="Z110" s="111" t="s">
        <v>99</v>
      </c>
      <c r="AA110" s="111"/>
      <c r="AB110" s="111"/>
      <c r="AC110" s="111" t="s">
        <v>100</v>
      </c>
      <c r="AG110">
        <v>0.65</v>
      </c>
    </row>
    <row r="111" spans="3:33">
      <c r="C111" s="59" t="s">
        <v>215</v>
      </c>
      <c r="D111" s="59" t="s">
        <v>194</v>
      </c>
      <c r="E111" s="59"/>
      <c r="F111" s="59" t="s">
        <v>212</v>
      </c>
      <c r="G111" s="51">
        <v>2021</v>
      </c>
      <c r="H111" s="98">
        <f>'[4]TechWatHea-MobileHome'!$N$26</f>
        <v>0.96332670696629996</v>
      </c>
      <c r="I111" s="98"/>
      <c r="J111" s="52">
        <v>0.15635293704824901</v>
      </c>
      <c r="K111" s="105">
        <f t="shared" si="62"/>
        <v>202.6728</v>
      </c>
      <c r="L111" s="105">
        <f t="shared" si="63"/>
        <v>5.4592000000000001</v>
      </c>
      <c r="M111" s="105">
        <f t="shared" si="64"/>
        <v>202.6728</v>
      </c>
      <c r="N111" s="105">
        <f t="shared" si="65"/>
        <v>5.4592000000000001</v>
      </c>
      <c r="O111" s="105">
        <f t="shared" si="66"/>
        <v>202.6728</v>
      </c>
      <c r="P111" s="105">
        <f t="shared" si="67"/>
        <v>5.4592000000000001</v>
      </c>
      <c r="Q111" s="185">
        <f t="shared" ref="Q111" si="75">Q105</f>
        <v>25</v>
      </c>
      <c r="R111">
        <v>31.54</v>
      </c>
      <c r="S111">
        <v>1</v>
      </c>
      <c r="W111" s="59" t="s">
        <v>215</v>
      </c>
      <c r="Y111" s="111" t="s">
        <v>98</v>
      </c>
      <c r="Z111" s="111" t="s">
        <v>99</v>
      </c>
      <c r="AA111" s="111"/>
      <c r="AB111" s="111"/>
      <c r="AC111" s="111" t="s">
        <v>100</v>
      </c>
      <c r="AG111">
        <v>0.65</v>
      </c>
    </row>
    <row r="112" spans="3:33">
      <c r="C112" s="59" t="s">
        <v>216</v>
      </c>
      <c r="D112" s="59" t="s">
        <v>113</v>
      </c>
      <c r="E112" s="59"/>
      <c r="F112" s="59" t="s">
        <v>212</v>
      </c>
      <c r="G112" s="51">
        <v>2021</v>
      </c>
      <c r="H112" s="98">
        <f>'[4]TechWatHea-MobileHome'!$N$27</f>
        <v>0.96332670696629996</v>
      </c>
      <c r="I112" s="98"/>
      <c r="J112" s="52">
        <v>0.308140357277919</v>
      </c>
      <c r="K112" s="105">
        <f t="shared" si="62"/>
        <v>308.44479999999999</v>
      </c>
      <c r="L112" s="105">
        <f t="shared" si="63"/>
        <v>21.154399999999999</v>
      </c>
      <c r="M112" s="105">
        <f t="shared" si="64"/>
        <v>308.44479999999999</v>
      </c>
      <c r="N112" s="105">
        <f t="shared" si="65"/>
        <v>21.154399999999999</v>
      </c>
      <c r="O112" s="105">
        <f t="shared" si="66"/>
        <v>308.44479999999999</v>
      </c>
      <c r="P112" s="105">
        <f t="shared" si="67"/>
        <v>21.154399999999999</v>
      </c>
      <c r="Q112" s="185">
        <f t="shared" ref="Q112" si="76">Q106</f>
        <v>19</v>
      </c>
      <c r="R112">
        <v>31.54</v>
      </c>
      <c r="S112">
        <v>1</v>
      </c>
      <c r="W112" s="59" t="s">
        <v>216</v>
      </c>
      <c r="Y112" s="111" t="s">
        <v>98</v>
      </c>
      <c r="Z112" s="111" t="s">
        <v>99</v>
      </c>
      <c r="AA112" s="111"/>
      <c r="AB112" s="111"/>
      <c r="AC112" s="111" t="s">
        <v>100</v>
      </c>
      <c r="AG112">
        <v>0.65</v>
      </c>
    </row>
    <row r="113" spans="3:33">
      <c r="C113" s="59" t="s">
        <v>217</v>
      </c>
      <c r="D113" s="59" t="s">
        <v>124</v>
      </c>
      <c r="E113" s="59"/>
      <c r="F113" s="59" t="s">
        <v>212</v>
      </c>
      <c r="G113" s="51">
        <v>2021</v>
      </c>
      <c r="H113" s="98">
        <f>'[4]TechWatHea-MobileHome'!$N$28</f>
        <v>0.96332670696629996</v>
      </c>
      <c r="I113" s="98"/>
      <c r="J113" s="52">
        <f>'[4]TechWatHea-MobileHome'!$N$59</f>
        <v>0.17926468483604199</v>
      </c>
      <c r="K113" s="105">
        <f t="shared" si="62"/>
        <v>308.44479999999999</v>
      </c>
      <c r="L113" s="105">
        <f t="shared" si="63"/>
        <v>21.154399999999999</v>
      </c>
      <c r="M113" s="105">
        <f t="shared" si="64"/>
        <v>308.44479999999999</v>
      </c>
      <c r="N113" s="105">
        <f t="shared" si="65"/>
        <v>21.154399999999999</v>
      </c>
      <c r="O113" s="105">
        <f t="shared" si="66"/>
        <v>308.44479999999999</v>
      </c>
      <c r="P113" s="105">
        <f t="shared" si="67"/>
        <v>21.154399999999999</v>
      </c>
      <c r="Q113" s="185">
        <f t="shared" ref="Q113" si="77">Q107</f>
        <v>19</v>
      </c>
      <c r="R113">
        <v>31.54</v>
      </c>
      <c r="S113">
        <v>1</v>
      </c>
      <c r="W113" s="59" t="s">
        <v>217</v>
      </c>
      <c r="Y113" s="111" t="s">
        <v>98</v>
      </c>
      <c r="Z113" s="111" t="s">
        <v>99</v>
      </c>
      <c r="AA113" s="111"/>
      <c r="AB113" s="111"/>
      <c r="AC113" s="111" t="s">
        <v>100</v>
      </c>
      <c r="AG113">
        <v>0.65</v>
      </c>
    </row>
    <row r="114" spans="3:33">
      <c r="C114" s="59" t="s">
        <v>218</v>
      </c>
      <c r="D114" s="59" t="s">
        <v>108</v>
      </c>
      <c r="E114" s="59"/>
      <c r="F114" s="59" t="s">
        <v>219</v>
      </c>
      <c r="G114" s="51">
        <v>2021</v>
      </c>
      <c r="H114" s="99">
        <f>'[4]Tech-Appliance'!$N$24</f>
        <v>0.55730080380949876</v>
      </c>
      <c r="I114" s="99"/>
      <c r="J114" s="52">
        <v>4.5458517684292502E-2</v>
      </c>
      <c r="K114" s="184">
        <f>1130/0.079*J114*1</f>
        <v>650.2294301677282</v>
      </c>
      <c r="L114" s="184">
        <f>20/0.079*J114</f>
        <v>11.508485489694303</v>
      </c>
      <c r="M114" s="184">
        <f>K114</f>
        <v>650.2294301677282</v>
      </c>
      <c r="N114" s="184">
        <f>L114</f>
        <v>11.508485489694303</v>
      </c>
      <c r="O114" s="184">
        <f t="shared" ref="O114:O121" si="78">K114</f>
        <v>650.2294301677282</v>
      </c>
      <c r="P114" s="184">
        <f t="shared" ref="P114:P121" si="79">L114</f>
        <v>11.508485489694303</v>
      </c>
      <c r="Q114" s="184">
        <v>15</v>
      </c>
      <c r="R114">
        <v>31.54</v>
      </c>
      <c r="S114">
        <v>1</v>
      </c>
      <c r="W114" s="59" t="s">
        <v>218</v>
      </c>
      <c r="Y114" s="111" t="s">
        <v>98</v>
      </c>
      <c r="Z114" s="111" t="s">
        <v>99</v>
      </c>
      <c r="AA114" s="111"/>
      <c r="AB114" s="111"/>
      <c r="AC114" s="111" t="s">
        <v>100</v>
      </c>
      <c r="AG114">
        <v>0.65</v>
      </c>
    </row>
    <row r="115" spans="3:33">
      <c r="C115" s="59" t="s">
        <v>220</v>
      </c>
      <c r="D115" s="59" t="s">
        <v>108</v>
      </c>
      <c r="E115" s="59"/>
      <c r="F115" s="59" t="s">
        <v>221</v>
      </c>
      <c r="G115" s="51">
        <v>2021</v>
      </c>
      <c r="H115" s="99">
        <f>'[4]Tech-Appliance'!$N$25</f>
        <v>0.56468068968068963</v>
      </c>
      <c r="I115" s="99"/>
      <c r="J115" s="52">
        <v>4.5458517684292502E-2</v>
      </c>
      <c r="K115" s="184">
        <f>880/0.05*J115</f>
        <v>800.06991124354806</v>
      </c>
      <c r="L115" s="184">
        <f>10/0.05*J115</f>
        <v>9.0917035368584997</v>
      </c>
      <c r="M115" s="184">
        <f>K115</f>
        <v>800.06991124354806</v>
      </c>
      <c r="N115" s="184">
        <f t="shared" ref="N115:P115" si="80">L115</f>
        <v>9.0917035368584997</v>
      </c>
      <c r="O115" s="184">
        <f t="shared" si="80"/>
        <v>800.06991124354806</v>
      </c>
      <c r="P115" s="184">
        <f t="shared" si="80"/>
        <v>9.0917035368584997</v>
      </c>
      <c r="Q115" s="184">
        <v>21</v>
      </c>
      <c r="R115">
        <v>31.54</v>
      </c>
      <c r="S115">
        <v>1</v>
      </c>
      <c r="W115" s="59" t="s">
        <v>220</v>
      </c>
      <c r="Y115" s="111" t="s">
        <v>98</v>
      </c>
      <c r="Z115" s="111" t="s">
        <v>99</v>
      </c>
      <c r="AA115" s="111"/>
      <c r="AB115" s="111"/>
      <c r="AC115" s="111" t="s">
        <v>100</v>
      </c>
      <c r="AG115">
        <v>0.65</v>
      </c>
    </row>
    <row r="116" spans="3:33">
      <c r="C116" s="59" t="s">
        <v>222</v>
      </c>
      <c r="D116" s="59" t="s">
        <v>108</v>
      </c>
      <c r="E116" s="59"/>
      <c r="F116" s="59" t="s">
        <v>223</v>
      </c>
      <c r="G116" s="51">
        <v>2021</v>
      </c>
      <c r="H116" s="99">
        <f>'[4]Tech-Appliance'!$N$26</f>
        <v>0.95918367346938782</v>
      </c>
      <c r="I116" s="99"/>
      <c r="J116" s="52">
        <v>4.5458517684292502E-2</v>
      </c>
      <c r="K116" s="184">
        <f>570/0.03*J116</f>
        <v>863.71183600155757</v>
      </c>
      <c r="L116" s="184">
        <f t="shared" ref="L116:N116" si="81">L115</f>
        <v>9.0917035368584997</v>
      </c>
      <c r="M116" s="184">
        <f t="shared" si="81"/>
        <v>800.06991124354806</v>
      </c>
      <c r="N116" s="184">
        <f t="shared" si="81"/>
        <v>9.0917035368584997</v>
      </c>
      <c r="O116" s="184">
        <f t="shared" si="78"/>
        <v>863.71183600155757</v>
      </c>
      <c r="P116" s="184">
        <f t="shared" si="79"/>
        <v>9.0917035368584997</v>
      </c>
      <c r="Q116" s="184">
        <v>15</v>
      </c>
      <c r="R116">
        <v>31.54</v>
      </c>
      <c r="S116">
        <v>1</v>
      </c>
      <c r="W116" s="59" t="s">
        <v>222</v>
      </c>
      <c r="Y116" s="111" t="s">
        <v>98</v>
      </c>
      <c r="Z116" s="111" t="s">
        <v>99</v>
      </c>
      <c r="AA116" s="111"/>
      <c r="AB116" s="111"/>
      <c r="AC116" s="111" t="s">
        <v>100</v>
      </c>
      <c r="AG116">
        <v>0.65</v>
      </c>
    </row>
    <row r="117" spans="3:33">
      <c r="C117" s="59" t="s">
        <v>224</v>
      </c>
      <c r="D117" s="59" t="s">
        <v>108</v>
      </c>
      <c r="E117" s="59"/>
      <c r="F117" s="59" t="s">
        <v>225</v>
      </c>
      <c r="G117" s="51">
        <v>2021</v>
      </c>
      <c r="H117" s="99">
        <f>'[4]Tech-Appliance'!$N$27</f>
        <v>0.93571428571428572</v>
      </c>
      <c r="I117" s="99"/>
      <c r="J117" s="52">
        <v>4.5458517684292502E-2</v>
      </c>
      <c r="K117" s="159">
        <f>1175/0.4</f>
        <v>2937.5</v>
      </c>
      <c r="L117" s="159">
        <f>15/0.4</f>
        <v>37.5</v>
      </c>
      <c r="M117" s="159">
        <f>K117</f>
        <v>2937.5</v>
      </c>
      <c r="N117" s="159">
        <f>L117</f>
        <v>37.5</v>
      </c>
      <c r="O117" s="159">
        <f t="shared" si="78"/>
        <v>2937.5</v>
      </c>
      <c r="P117" s="159">
        <f t="shared" si="79"/>
        <v>37.5</v>
      </c>
      <c r="Q117" s="184">
        <v>12</v>
      </c>
      <c r="R117">
        <v>31.54</v>
      </c>
      <c r="S117">
        <v>1</v>
      </c>
      <c r="W117" s="59" t="s">
        <v>224</v>
      </c>
      <c r="Y117" s="111" t="s">
        <v>98</v>
      </c>
      <c r="Z117" s="111" t="s">
        <v>99</v>
      </c>
      <c r="AA117" s="111"/>
      <c r="AB117" s="111"/>
      <c r="AC117" s="111" t="s">
        <v>100</v>
      </c>
      <c r="AG117">
        <v>0.65</v>
      </c>
    </row>
    <row r="118" spans="3:33">
      <c r="C118" s="59" t="s">
        <v>226</v>
      </c>
      <c r="D118" s="59" t="s">
        <v>108</v>
      </c>
      <c r="E118" s="59"/>
      <c r="F118" s="59" t="s">
        <v>227</v>
      </c>
      <c r="G118" s="51">
        <v>2021</v>
      </c>
      <c r="H118" s="99">
        <f>'[4]Tech-Appliance'!$N$28</f>
        <v>0.86804850236467956</v>
      </c>
      <c r="I118" s="99"/>
      <c r="J118" s="52">
        <v>4.5458517684292502E-2</v>
      </c>
      <c r="K118" s="159">
        <f>710/3.2</f>
        <v>221.875</v>
      </c>
      <c r="L118" s="159">
        <f>L117</f>
        <v>37.5</v>
      </c>
      <c r="M118" s="159">
        <f>K118</f>
        <v>221.875</v>
      </c>
      <c r="N118" s="159">
        <f>L118</f>
        <v>37.5</v>
      </c>
      <c r="O118" s="159">
        <f>M118</f>
        <v>221.875</v>
      </c>
      <c r="P118" s="159">
        <f t="shared" si="79"/>
        <v>37.5</v>
      </c>
      <c r="Q118" s="184">
        <v>13</v>
      </c>
      <c r="R118">
        <v>31.54</v>
      </c>
      <c r="S118">
        <v>1</v>
      </c>
      <c r="W118" s="59" t="s">
        <v>226</v>
      </c>
      <c r="Y118" s="111" t="s">
        <v>98</v>
      </c>
      <c r="Z118" s="111" t="s">
        <v>99</v>
      </c>
      <c r="AA118" s="111"/>
      <c r="AB118" s="111"/>
      <c r="AC118" s="111" t="s">
        <v>100</v>
      </c>
      <c r="AG118">
        <v>0.65</v>
      </c>
    </row>
    <row r="119" spans="3:33">
      <c r="C119" s="59" t="s">
        <v>228</v>
      </c>
      <c r="D119" s="59" t="s">
        <v>108</v>
      </c>
      <c r="E119" s="59"/>
      <c r="F119" s="59" t="s">
        <v>229</v>
      </c>
      <c r="G119" s="51">
        <v>2021</v>
      </c>
      <c r="H119" s="99">
        <f>'[4]Tech-Appliance'!$N$29</f>
        <v>0.63915047474406461</v>
      </c>
      <c r="I119" s="99"/>
      <c r="J119" s="52">
        <v>4.5458517684292502E-2</v>
      </c>
      <c r="K119" s="67">
        <f>770/(2.5+2.7)</f>
        <v>148.07692307692307</v>
      </c>
      <c r="L119" s="67">
        <f>L118</f>
        <v>37.5</v>
      </c>
      <c r="M119" s="67">
        <f>K119</f>
        <v>148.07692307692307</v>
      </c>
      <c r="N119" s="67">
        <f t="shared" ref="N119" si="82">N118</f>
        <v>37.5</v>
      </c>
      <c r="O119" s="67">
        <f t="shared" si="78"/>
        <v>148.07692307692307</v>
      </c>
      <c r="P119" s="67">
        <f t="shared" si="79"/>
        <v>37.5</v>
      </c>
      <c r="Q119" s="184">
        <v>17</v>
      </c>
      <c r="R119">
        <v>31.54</v>
      </c>
      <c r="S119">
        <v>1</v>
      </c>
      <c r="W119" s="59" t="s">
        <v>228</v>
      </c>
      <c r="Y119" s="111" t="s">
        <v>98</v>
      </c>
      <c r="Z119" s="111" t="s">
        <v>99</v>
      </c>
      <c r="AA119" s="111"/>
      <c r="AB119" s="111"/>
      <c r="AC119" s="111" t="s">
        <v>100</v>
      </c>
      <c r="AG119">
        <v>0.65</v>
      </c>
    </row>
    <row r="120" spans="3:33">
      <c r="C120" s="59" t="s">
        <v>230</v>
      </c>
      <c r="D120" s="59" t="s">
        <v>108</v>
      </c>
      <c r="E120" s="59"/>
      <c r="F120" s="59" t="s">
        <v>231</v>
      </c>
      <c r="G120" s="51">
        <v>2021</v>
      </c>
      <c r="H120" s="99">
        <f>'[4]Tech-Appliance'!$N$30</f>
        <v>0.55668768191795326</v>
      </c>
      <c r="I120" s="99"/>
      <c r="J120" s="52">
        <v>4.5458517684292502E-2</v>
      </c>
      <c r="K120" s="67">
        <f t="shared" ref="K120:Q120" si="83">AVERAGE(K114:K119)</f>
        <v>936.91051674829271</v>
      </c>
      <c r="L120" s="67">
        <f t="shared" si="83"/>
        <v>23.698648760568549</v>
      </c>
      <c r="M120" s="67">
        <f t="shared" si="83"/>
        <v>926.30352928862442</v>
      </c>
      <c r="N120" s="67">
        <f t="shared" si="83"/>
        <v>23.698648760568549</v>
      </c>
      <c r="O120" s="67">
        <f t="shared" si="83"/>
        <v>936.91051674829271</v>
      </c>
      <c r="P120" s="67">
        <f t="shared" si="83"/>
        <v>23.698648760568549</v>
      </c>
      <c r="Q120" s="184">
        <f t="shared" si="83"/>
        <v>15.5</v>
      </c>
      <c r="R120">
        <v>31.54</v>
      </c>
      <c r="S120">
        <v>1</v>
      </c>
      <c r="W120" s="59" t="s">
        <v>230</v>
      </c>
      <c r="Y120" s="111" t="s">
        <v>98</v>
      </c>
      <c r="Z120" s="111" t="s">
        <v>99</v>
      </c>
      <c r="AA120" s="111"/>
      <c r="AB120" s="111"/>
      <c r="AC120" s="111" t="s">
        <v>100</v>
      </c>
      <c r="AG120">
        <v>0.65</v>
      </c>
    </row>
    <row r="121" spans="3:33">
      <c r="C121" s="59" t="s">
        <v>232</v>
      </c>
      <c r="D121" s="59" t="s">
        <v>108</v>
      </c>
      <c r="E121" s="59"/>
      <c r="F121" s="59" t="s">
        <v>233</v>
      </c>
      <c r="G121" s="51">
        <v>2021</v>
      </c>
      <c r="H121" s="189">
        <f>[4]TechLighting!$N$23</f>
        <v>0.69568463418715298</v>
      </c>
      <c r="I121" s="99"/>
      <c r="J121" s="189">
        <f>[4]TechLighting!$N$54</f>
        <v>5.8565106387802532E-2</v>
      </c>
      <c r="K121" s="67">
        <f>K120</f>
        <v>936.91051674829271</v>
      </c>
      <c r="L121" s="67">
        <f t="shared" ref="L121:N121" si="84">L120</f>
        <v>23.698648760568549</v>
      </c>
      <c r="M121" s="67">
        <f t="shared" si="84"/>
        <v>926.30352928862442</v>
      </c>
      <c r="N121" s="67">
        <f t="shared" si="84"/>
        <v>23.698648760568549</v>
      </c>
      <c r="O121" s="67">
        <f t="shared" si="78"/>
        <v>936.91051674829271</v>
      </c>
      <c r="P121" s="67">
        <f t="shared" si="79"/>
        <v>23.698648760568549</v>
      </c>
      <c r="Q121" s="184">
        <f>Q120</f>
        <v>15.5</v>
      </c>
      <c r="R121">
        <v>31.54</v>
      </c>
      <c r="S121">
        <v>1</v>
      </c>
      <c r="W121" s="59" t="s">
        <v>232</v>
      </c>
      <c r="Y121" s="111" t="s">
        <v>98</v>
      </c>
      <c r="Z121" s="111" t="s">
        <v>99</v>
      </c>
      <c r="AA121" s="111"/>
      <c r="AB121" s="111"/>
      <c r="AC121" s="111" t="s">
        <v>100</v>
      </c>
      <c r="AG121">
        <v>0.65</v>
      </c>
    </row>
    <row r="122" spans="3:33" s="50" customFormat="1">
      <c r="C122" s="67" t="s">
        <v>234</v>
      </c>
      <c r="D122" s="100" t="s">
        <v>108</v>
      </c>
      <c r="E122" s="100"/>
      <c r="F122" s="100" t="s">
        <v>182</v>
      </c>
      <c r="G122" s="101">
        <v>2021</v>
      </c>
      <c r="H122" s="102">
        <v>1</v>
      </c>
      <c r="I122" s="102"/>
      <c r="J122" s="106">
        <f>J82</f>
        <v>2.3111249614029199E-2</v>
      </c>
      <c r="K122" s="67">
        <f>AY19</f>
        <v>1727.7529500000001</v>
      </c>
      <c r="L122" s="67">
        <f t="shared" ref="L122:P122" si="85">150/10*1</f>
        <v>15</v>
      </c>
      <c r="M122" s="67">
        <f t="shared" ref="M122:M126" si="86">K122</f>
        <v>1727.7529500000001</v>
      </c>
      <c r="N122" s="67">
        <f t="shared" si="85"/>
        <v>15</v>
      </c>
      <c r="O122" s="67">
        <f t="shared" ref="O122:O126" si="87">M122</f>
        <v>1727.7529500000001</v>
      </c>
      <c r="P122" s="67">
        <f t="shared" si="85"/>
        <v>15</v>
      </c>
      <c r="Q122" s="182">
        <f>15</f>
        <v>15</v>
      </c>
      <c r="R122" s="113">
        <v>31.54</v>
      </c>
      <c r="S122" s="101"/>
      <c r="W122" s="67" t="s">
        <v>234</v>
      </c>
      <c r="Y122" s="114" t="s">
        <v>98</v>
      </c>
      <c r="Z122" s="114" t="s">
        <v>99</v>
      </c>
      <c r="AA122" s="114"/>
      <c r="AB122" s="114"/>
      <c r="AC122" s="114" t="s">
        <v>100</v>
      </c>
      <c r="AG122" s="50">
        <v>0.65</v>
      </c>
    </row>
    <row r="123" spans="3:33" s="50" customFormat="1">
      <c r="C123" s="101"/>
      <c r="D123" s="103"/>
      <c r="E123" s="104" t="str">
        <f>[3]COMM!$E$19</f>
        <v>RSDAHT</v>
      </c>
      <c r="F123" s="101"/>
      <c r="G123" s="101"/>
      <c r="H123" s="102"/>
      <c r="I123" s="102">
        <f>1/3</f>
        <v>0.33333333333333298</v>
      </c>
      <c r="J123" s="67"/>
      <c r="K123" s="67"/>
      <c r="L123" s="106"/>
      <c r="M123" s="67"/>
      <c r="N123" s="106"/>
      <c r="O123" s="67"/>
      <c r="P123" s="106"/>
      <c r="Q123" s="182"/>
      <c r="R123" s="113">
        <v>31.54</v>
      </c>
      <c r="S123" s="101"/>
      <c r="W123" s="101" t="s">
        <v>48</v>
      </c>
      <c r="AG123" s="50">
        <v>0.8</v>
      </c>
    </row>
    <row r="124" spans="3:33" s="50" customFormat="1">
      <c r="C124" s="67" t="s">
        <v>235</v>
      </c>
      <c r="D124" s="100" t="s">
        <v>108</v>
      </c>
      <c r="E124" s="100"/>
      <c r="F124" s="100" t="s">
        <v>184</v>
      </c>
      <c r="G124" s="101">
        <v>2021</v>
      </c>
      <c r="H124" s="102">
        <v>1</v>
      </c>
      <c r="I124" s="102"/>
      <c r="J124" s="106">
        <f>J84</f>
        <v>2.3111249614029199E-2</v>
      </c>
      <c r="K124" s="67">
        <f>K122</f>
        <v>1727.7529500000001</v>
      </c>
      <c r="L124" s="67">
        <f t="shared" ref="L124:P124" si="88">150/10*1</f>
        <v>15</v>
      </c>
      <c r="M124" s="67">
        <f t="shared" si="86"/>
        <v>1727.7529500000001</v>
      </c>
      <c r="N124" s="67">
        <f t="shared" si="88"/>
        <v>15</v>
      </c>
      <c r="O124" s="67">
        <f t="shared" si="87"/>
        <v>1727.7529500000001</v>
      </c>
      <c r="P124" s="67">
        <f t="shared" si="88"/>
        <v>15</v>
      </c>
      <c r="Q124" s="182">
        <v>15</v>
      </c>
      <c r="R124" s="113">
        <v>31.54</v>
      </c>
      <c r="S124" s="101"/>
      <c r="W124" s="67" t="s">
        <v>235</v>
      </c>
      <c r="Y124" s="114" t="s">
        <v>98</v>
      </c>
      <c r="Z124" s="114" t="s">
        <v>99</v>
      </c>
      <c r="AA124" s="114"/>
      <c r="AB124" s="114"/>
      <c r="AC124" s="114" t="s">
        <v>100</v>
      </c>
      <c r="AG124" s="50">
        <v>0.8</v>
      </c>
    </row>
    <row r="125" spans="3:33" s="50" customFormat="1">
      <c r="C125" s="101"/>
      <c r="D125" s="103"/>
      <c r="E125" s="104" t="str">
        <f>[3]COMM!$E$19</f>
        <v>RSDAHT</v>
      </c>
      <c r="F125" s="101"/>
      <c r="G125" s="101"/>
      <c r="H125" s="102"/>
      <c r="I125" s="102">
        <f>1/3</f>
        <v>0.33333333333333298</v>
      </c>
      <c r="J125" s="67"/>
      <c r="K125" s="67"/>
      <c r="L125" s="106"/>
      <c r="M125" s="67"/>
      <c r="N125" s="106"/>
      <c r="O125" s="67"/>
      <c r="P125" s="106"/>
      <c r="Q125" s="182"/>
      <c r="R125" s="113">
        <v>31.54</v>
      </c>
      <c r="S125" s="101"/>
      <c r="W125" s="101" t="s">
        <v>48</v>
      </c>
      <c r="AG125" s="50">
        <v>0.8</v>
      </c>
    </row>
    <row r="126" spans="3:33" s="50" customFormat="1">
      <c r="C126" s="67" t="s">
        <v>236</v>
      </c>
      <c r="D126" s="100" t="s">
        <v>108</v>
      </c>
      <c r="E126" s="100"/>
      <c r="F126" s="100" t="s">
        <v>186</v>
      </c>
      <c r="G126" s="101">
        <v>2021</v>
      </c>
      <c r="H126" s="102">
        <v>1</v>
      </c>
      <c r="I126" s="102"/>
      <c r="J126" s="106">
        <f>J86</f>
        <v>2.3111249614029199E-2</v>
      </c>
      <c r="K126" s="67">
        <f t="shared" ref="K126:K128" si="89">K124</f>
        <v>1727.7529500000001</v>
      </c>
      <c r="L126" s="67">
        <f t="shared" ref="L126:P126" si="90">150/10*1</f>
        <v>15</v>
      </c>
      <c r="M126" s="67">
        <f t="shared" si="86"/>
        <v>1727.7529500000001</v>
      </c>
      <c r="N126" s="67">
        <f t="shared" si="90"/>
        <v>15</v>
      </c>
      <c r="O126" s="67">
        <f t="shared" si="87"/>
        <v>1727.7529500000001</v>
      </c>
      <c r="P126" s="67">
        <f t="shared" si="90"/>
        <v>15</v>
      </c>
      <c r="Q126" s="182">
        <v>15</v>
      </c>
      <c r="R126" s="113">
        <v>31.54</v>
      </c>
      <c r="S126" s="101"/>
      <c r="W126" s="67" t="s">
        <v>236</v>
      </c>
      <c r="Y126" s="114" t="s">
        <v>98</v>
      </c>
      <c r="Z126" s="114" t="s">
        <v>99</v>
      </c>
      <c r="AA126" s="114"/>
      <c r="AB126" s="114"/>
      <c r="AC126" s="114" t="s">
        <v>100</v>
      </c>
      <c r="AG126" s="50">
        <v>0.8</v>
      </c>
    </row>
    <row r="127" spans="3:33" s="50" customFormat="1">
      <c r="C127" s="101"/>
      <c r="D127" s="103"/>
      <c r="E127" s="104" t="str">
        <f>[3]COMM!$E$19</f>
        <v>RSDAHT</v>
      </c>
      <c r="F127" s="101"/>
      <c r="G127" s="101"/>
      <c r="H127" s="102"/>
      <c r="I127" s="102">
        <f>1/3</f>
        <v>0.33333333333333298</v>
      </c>
      <c r="J127" s="67"/>
      <c r="K127" s="67"/>
      <c r="L127" s="106"/>
      <c r="M127" s="67"/>
      <c r="N127" s="106"/>
      <c r="O127" s="67"/>
      <c r="P127" s="106"/>
      <c r="Q127" s="182"/>
      <c r="R127" s="113">
        <v>31.54</v>
      </c>
      <c r="S127" s="101"/>
      <c r="W127" s="101" t="s">
        <v>48</v>
      </c>
      <c r="AG127" s="50">
        <v>0.8</v>
      </c>
    </row>
    <row r="128" spans="3:33" s="50" customFormat="1">
      <c r="C128" s="67" t="s">
        <v>237</v>
      </c>
      <c r="D128" s="100" t="s">
        <v>108</v>
      </c>
      <c r="E128" s="100"/>
      <c r="F128" s="100" t="s">
        <v>188</v>
      </c>
      <c r="G128" s="101">
        <v>2021</v>
      </c>
      <c r="H128" s="102">
        <v>1</v>
      </c>
      <c r="I128" s="102"/>
      <c r="J128" s="106">
        <f>J88</f>
        <v>2.3111249614029199E-2</v>
      </c>
      <c r="K128" s="67">
        <f t="shared" si="89"/>
        <v>1727.7529500000001</v>
      </c>
      <c r="L128" s="67">
        <f t="shared" ref="L128:P128" si="91">150/10*1</f>
        <v>15</v>
      </c>
      <c r="M128" s="67">
        <f t="shared" ref="M128:M132" si="92">K128</f>
        <v>1727.7529500000001</v>
      </c>
      <c r="N128" s="67">
        <f t="shared" si="91"/>
        <v>15</v>
      </c>
      <c r="O128" s="67">
        <f t="shared" ref="O128:O132" si="93">M128</f>
        <v>1727.7529500000001</v>
      </c>
      <c r="P128" s="67">
        <f t="shared" si="91"/>
        <v>15</v>
      </c>
      <c r="Q128" s="182">
        <v>15</v>
      </c>
      <c r="R128" s="113">
        <v>31.54</v>
      </c>
      <c r="S128" s="101"/>
      <c r="W128" s="67" t="s">
        <v>237</v>
      </c>
      <c r="Y128" s="114" t="s">
        <v>98</v>
      </c>
      <c r="Z128" s="114" t="s">
        <v>99</v>
      </c>
      <c r="AA128" s="114"/>
      <c r="AB128" s="114"/>
      <c r="AC128" s="114" t="s">
        <v>100</v>
      </c>
      <c r="AG128" s="50">
        <v>0.8</v>
      </c>
    </row>
    <row r="129" spans="3:33" s="50" customFormat="1">
      <c r="C129" s="101"/>
      <c r="D129" s="103"/>
      <c r="E129" s="104" t="str">
        <f>[3]COMM!$E$19</f>
        <v>RSDAHT</v>
      </c>
      <c r="F129" s="101"/>
      <c r="G129" s="101"/>
      <c r="H129" s="102"/>
      <c r="I129" s="102">
        <f>1/3</f>
        <v>0.33333333333333298</v>
      </c>
      <c r="J129" s="67"/>
      <c r="K129" s="67"/>
      <c r="L129" s="106"/>
      <c r="M129" s="106"/>
      <c r="N129" s="106"/>
      <c r="O129" s="106"/>
      <c r="P129" s="106"/>
      <c r="Q129" s="78"/>
      <c r="R129" s="113">
        <v>31.54</v>
      </c>
      <c r="S129" s="101"/>
      <c r="W129" s="101" t="s">
        <v>48</v>
      </c>
      <c r="AG129" s="50">
        <v>0.8</v>
      </c>
    </row>
    <row r="130" spans="3:33" s="50" customFormat="1">
      <c r="C130" s="67" t="s">
        <v>238</v>
      </c>
      <c r="D130" s="100" t="s">
        <v>108</v>
      </c>
      <c r="E130" s="100"/>
      <c r="F130" s="100" t="s">
        <v>190</v>
      </c>
      <c r="G130" s="101">
        <v>2021</v>
      </c>
      <c r="H130" s="102">
        <v>1</v>
      </c>
      <c r="I130" s="102"/>
      <c r="J130" s="106">
        <f>AVERAGE(J90:J95)</f>
        <v>0.37834550817440799</v>
      </c>
      <c r="K130" s="187">
        <f>(1880+3000)/2*1/11</f>
        <v>221.81818181818181</v>
      </c>
      <c r="L130" s="187">
        <f>20/11</f>
        <v>1.8181818181818181</v>
      </c>
      <c r="M130" s="187">
        <f t="shared" si="92"/>
        <v>221.81818181818181</v>
      </c>
      <c r="N130" s="187">
        <f>L130</f>
        <v>1.8181818181818181</v>
      </c>
      <c r="O130" s="187">
        <f t="shared" si="93"/>
        <v>221.81818181818181</v>
      </c>
      <c r="P130" s="187">
        <f>N130</f>
        <v>1.8181818181818181</v>
      </c>
      <c r="Q130" s="182">
        <v>13</v>
      </c>
      <c r="R130" s="113">
        <v>31.54</v>
      </c>
      <c r="S130" s="101"/>
      <c r="W130" s="67" t="s">
        <v>238</v>
      </c>
      <c r="Y130" s="114" t="s">
        <v>98</v>
      </c>
      <c r="Z130" s="114" t="s">
        <v>99</v>
      </c>
      <c r="AA130" s="114"/>
      <c r="AB130" s="114"/>
      <c r="AC130" s="114" t="s">
        <v>100</v>
      </c>
      <c r="AG130" s="50">
        <v>0.8</v>
      </c>
    </row>
    <row r="131" spans="3:33" s="50" customFormat="1">
      <c r="C131" s="101"/>
      <c r="D131" s="103"/>
      <c r="E131" s="104" t="str">
        <f>[3]COMM!$E$19</f>
        <v>RSDAHT</v>
      </c>
      <c r="F131" s="101"/>
      <c r="G131" s="101"/>
      <c r="H131" s="102"/>
      <c r="I131" s="102">
        <f>1/3</f>
        <v>0.33333333333333298</v>
      </c>
      <c r="J131" s="67"/>
      <c r="K131" s="187"/>
      <c r="L131" s="187"/>
      <c r="M131" s="187"/>
      <c r="N131" s="187"/>
      <c r="O131" s="187"/>
      <c r="P131" s="187"/>
      <c r="Q131" s="78"/>
      <c r="R131" s="113">
        <v>31.54</v>
      </c>
      <c r="S131" s="101"/>
      <c r="W131" s="101" t="s">
        <v>48</v>
      </c>
    </row>
    <row r="132" spans="3:33" s="50" customFormat="1">
      <c r="C132" s="67" t="s">
        <v>239</v>
      </c>
      <c r="D132" s="100" t="s">
        <v>108</v>
      </c>
      <c r="E132" s="100"/>
      <c r="F132" s="100" t="s">
        <v>198</v>
      </c>
      <c r="G132" s="101">
        <v>2021</v>
      </c>
      <c r="H132" s="102">
        <v>1</v>
      </c>
      <c r="I132" s="102"/>
      <c r="J132" s="106">
        <f>AVERAGE(J96:J101)</f>
        <v>0.24798784745313632</v>
      </c>
      <c r="K132" s="187">
        <f t="shared" ref="K132:K136" si="94">K130</f>
        <v>221.81818181818181</v>
      </c>
      <c r="L132" s="187">
        <f>L130</f>
        <v>1.8181818181818181</v>
      </c>
      <c r="M132" s="187">
        <f t="shared" si="92"/>
        <v>221.81818181818181</v>
      </c>
      <c r="N132" s="187">
        <f>L132</f>
        <v>1.8181818181818181</v>
      </c>
      <c r="O132" s="187">
        <f t="shared" si="93"/>
        <v>221.81818181818181</v>
      </c>
      <c r="P132" s="187">
        <f>N132</f>
        <v>1.8181818181818181</v>
      </c>
      <c r="Q132" s="182">
        <v>13</v>
      </c>
      <c r="R132" s="113">
        <v>31.54</v>
      </c>
      <c r="S132" s="101"/>
      <c r="W132" s="67" t="s">
        <v>239</v>
      </c>
      <c r="Y132" s="114" t="s">
        <v>98</v>
      </c>
      <c r="Z132" s="114" t="s">
        <v>99</v>
      </c>
      <c r="AA132" s="114"/>
      <c r="AB132" s="114"/>
      <c r="AC132" s="114" t="s">
        <v>100</v>
      </c>
    </row>
    <row r="133" spans="3:33" s="50" customFormat="1">
      <c r="C133" s="101"/>
      <c r="D133" s="103"/>
      <c r="E133" s="104" t="str">
        <f>[3]COMM!$E$19</f>
        <v>RSDAHT</v>
      </c>
      <c r="F133" s="101"/>
      <c r="G133" s="101"/>
      <c r="H133" s="102"/>
      <c r="I133" s="102">
        <f>1/3</f>
        <v>0.33333333333333298</v>
      </c>
      <c r="J133" s="67"/>
      <c r="K133" s="187"/>
      <c r="L133" s="187"/>
      <c r="M133" s="187"/>
      <c r="N133" s="187"/>
      <c r="O133" s="187"/>
      <c r="P133" s="187"/>
      <c r="Q133" s="78"/>
      <c r="R133" s="113">
        <v>31.54</v>
      </c>
      <c r="S133" s="101"/>
      <c r="W133" s="101" t="s">
        <v>48</v>
      </c>
    </row>
    <row r="134" spans="3:33" s="50" customFormat="1">
      <c r="C134" s="67" t="s">
        <v>240</v>
      </c>
      <c r="D134" s="100" t="s">
        <v>108</v>
      </c>
      <c r="E134" s="100"/>
      <c r="F134" s="100" t="s">
        <v>205</v>
      </c>
      <c r="G134" s="101">
        <v>2021</v>
      </c>
      <c r="H134" s="102">
        <v>1</v>
      </c>
      <c r="I134" s="102"/>
      <c r="J134" s="106">
        <f>AVERAGE(J102:J107)</f>
        <v>0.17270772863852035</v>
      </c>
      <c r="K134" s="187">
        <f t="shared" si="94"/>
        <v>221.81818181818181</v>
      </c>
      <c r="L134" s="187">
        <f t="shared" ref="L134:P134" si="95">L132</f>
        <v>1.8181818181818181</v>
      </c>
      <c r="M134" s="187">
        <f>K134</f>
        <v>221.81818181818181</v>
      </c>
      <c r="N134" s="187">
        <f t="shared" si="95"/>
        <v>1.8181818181818181</v>
      </c>
      <c r="O134" s="187">
        <f>M134</f>
        <v>221.81818181818181</v>
      </c>
      <c r="P134" s="187">
        <f t="shared" si="95"/>
        <v>1.8181818181818181</v>
      </c>
      <c r="Q134" s="182">
        <v>13</v>
      </c>
      <c r="R134" s="113">
        <v>31.54</v>
      </c>
      <c r="S134" s="101"/>
      <c r="W134" s="67" t="s">
        <v>240</v>
      </c>
      <c r="Y134" s="114" t="s">
        <v>98</v>
      </c>
      <c r="Z134" s="114" t="s">
        <v>99</v>
      </c>
      <c r="AA134" s="114"/>
      <c r="AB134" s="114"/>
      <c r="AC134" s="114" t="s">
        <v>100</v>
      </c>
    </row>
    <row r="135" spans="3:33" s="50" customFormat="1">
      <c r="C135" s="101"/>
      <c r="D135" s="103"/>
      <c r="E135" s="104" t="str">
        <f>[3]COMM!$E$19</f>
        <v>RSDAHT</v>
      </c>
      <c r="F135" s="101"/>
      <c r="G135" s="101"/>
      <c r="H135" s="102"/>
      <c r="I135" s="102">
        <f>1/3</f>
        <v>0.33333333333333298</v>
      </c>
      <c r="J135" s="67"/>
      <c r="K135" s="187"/>
      <c r="L135" s="187"/>
      <c r="M135" s="187"/>
      <c r="N135" s="187"/>
      <c r="O135" s="187"/>
      <c r="P135" s="187"/>
      <c r="Q135" s="78"/>
      <c r="R135" s="113">
        <v>31.54</v>
      </c>
      <c r="S135" s="101"/>
      <c r="W135" s="101" t="s">
        <v>48</v>
      </c>
    </row>
    <row r="136" spans="3:33" s="50" customFormat="1">
      <c r="C136" s="67" t="s">
        <v>241</v>
      </c>
      <c r="D136" s="100" t="s">
        <v>108</v>
      </c>
      <c r="E136" s="100"/>
      <c r="F136" s="100" t="s">
        <v>212</v>
      </c>
      <c r="G136" s="101">
        <v>2021</v>
      </c>
      <c r="H136" s="102">
        <v>1</v>
      </c>
      <c r="I136" s="102"/>
      <c r="J136" s="106">
        <f>AVERAGE(J108:J113)</f>
        <v>0.17926468483604174</v>
      </c>
      <c r="K136" s="187">
        <f t="shared" si="94"/>
        <v>221.81818181818181</v>
      </c>
      <c r="L136" s="187">
        <f t="shared" ref="L136:P136" si="96">L134</f>
        <v>1.8181818181818181</v>
      </c>
      <c r="M136" s="187">
        <f>K136</f>
        <v>221.81818181818181</v>
      </c>
      <c r="N136" s="187">
        <f t="shared" si="96"/>
        <v>1.8181818181818181</v>
      </c>
      <c r="O136" s="187">
        <f>M136</f>
        <v>221.81818181818181</v>
      </c>
      <c r="P136" s="187">
        <f t="shared" si="96"/>
        <v>1.8181818181818181</v>
      </c>
      <c r="Q136" s="182">
        <v>13</v>
      </c>
      <c r="R136" s="113">
        <v>31.54</v>
      </c>
      <c r="S136" s="101"/>
      <c r="W136" s="67" t="s">
        <v>241</v>
      </c>
      <c r="Y136" s="114" t="s">
        <v>98</v>
      </c>
      <c r="Z136" s="114" t="s">
        <v>99</v>
      </c>
      <c r="AA136" s="114"/>
      <c r="AB136" s="114"/>
      <c r="AC136" s="114" t="s">
        <v>100</v>
      </c>
    </row>
    <row r="137" spans="3:33" s="50" customFormat="1">
      <c r="C137" s="101"/>
      <c r="D137" s="103"/>
      <c r="E137" s="104" t="str">
        <f>[3]COMM!$E$19</f>
        <v>RSDAHT</v>
      </c>
      <c r="F137" s="101"/>
      <c r="G137" s="101"/>
      <c r="H137" s="102"/>
      <c r="I137" s="102">
        <f>1/3</f>
        <v>0.33333333333333298</v>
      </c>
      <c r="J137" s="67"/>
      <c r="K137" s="106"/>
      <c r="L137" s="106"/>
      <c r="M137" s="106"/>
      <c r="N137" s="106"/>
      <c r="O137" s="106"/>
      <c r="P137" s="106"/>
      <c r="Q137" s="78"/>
      <c r="R137" s="113">
        <v>31.54</v>
      </c>
      <c r="S137" s="101"/>
    </row>
  </sheetData>
  <hyperlinks>
    <hyperlink ref="AO1" r:id="rId1" tooltip="https://oee.nrcan.gc.ca/corporate/statistics/neud/dpa/showTable.cfm?type=CP&amp;sector=res&amp;juris=ca&amp;year=2021&amp;rn=21&amp;page=0" xr:uid="{00000000-0004-0000-0100-000000000000}"/>
    <hyperlink ref="AO14" r:id="rId2" tooltip="https://climateinstitute.ca/wp-content/uploads/2023/09/Heat-Pumps-Pay-Off-Unlocking-lower-cost-heating-and-cooling-in-Canada-Canadian-Climate-Institute.pdf" xr:uid="{00000000-0004-0000-0100-000001000000}"/>
  </hyperlinks>
  <pageMargins left="0.7" right="0.7" top="0.75" bottom="0.75" header="0.3" footer="0.3"/>
  <pageSetup orientation="portrait"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39"/>
  <sheetViews>
    <sheetView zoomScale="74" zoomScaleNormal="85" workbookViewId="0">
      <selection activeCell="I286" sqref="I286"/>
    </sheetView>
  </sheetViews>
  <sheetFormatPr defaultColWidth="9" defaultRowHeight="14.5"/>
  <cols>
    <col min="2" max="2" width="23.81640625" customWidth="1"/>
    <col min="5" max="5" width="17.36328125" customWidth="1"/>
    <col min="7" max="9" width="9" style="23"/>
    <col min="10" max="11" width="9" style="40"/>
    <col min="12" max="12" width="14" style="40" customWidth="1"/>
    <col min="13" max="13" width="11.6328125" style="40" customWidth="1"/>
    <col min="16" max="16" width="10.453125" customWidth="1"/>
    <col min="18" max="18" width="9" style="155"/>
    <col min="19" max="19" width="9" style="2"/>
    <col min="21" max="21" width="24.81640625" customWidth="1"/>
    <col min="22" max="22" width="9.26953125" customWidth="1"/>
  </cols>
  <sheetData>
    <row r="1" spans="2:27">
      <c r="B1" s="165" t="s">
        <v>591</v>
      </c>
      <c r="G1" s="106"/>
      <c r="H1" s="106"/>
      <c r="I1" s="106"/>
    </row>
    <row r="2" spans="2:27">
      <c r="B2" s="190" t="s">
        <v>594</v>
      </c>
      <c r="G2" s="106"/>
      <c r="H2" s="106"/>
      <c r="I2" s="106"/>
    </row>
    <row r="3" spans="2:27">
      <c r="B3" s="165" t="s">
        <v>592</v>
      </c>
      <c r="G3" s="106"/>
      <c r="H3" s="106"/>
      <c r="I3" s="106"/>
      <c r="J3" s="106"/>
      <c r="K3" s="106"/>
      <c r="L3" s="106"/>
      <c r="M3" s="106"/>
    </row>
    <row r="4" spans="2:27">
      <c r="E4" s="11" t="s">
        <v>5</v>
      </c>
      <c r="G4" s="106"/>
      <c r="H4" s="106"/>
      <c r="I4" s="106"/>
      <c r="J4" s="106"/>
      <c r="K4" s="106"/>
      <c r="L4" s="106"/>
      <c r="M4" s="106"/>
      <c r="T4" s="19" t="s">
        <v>6</v>
      </c>
      <c r="U4" s="19"/>
      <c r="V4" s="46"/>
      <c r="W4" s="46"/>
      <c r="X4" s="46"/>
      <c r="Y4" s="46"/>
      <c r="Z4" s="46"/>
      <c r="AA4" s="46"/>
    </row>
    <row r="5" spans="2:27" ht="26">
      <c r="B5" s="12" t="s">
        <v>7</v>
      </c>
      <c r="C5" s="12" t="s">
        <v>8</v>
      </c>
      <c r="D5" s="41" t="s">
        <v>92</v>
      </c>
      <c r="E5" s="12" t="s">
        <v>9</v>
      </c>
      <c r="F5" s="13" t="s">
        <v>10</v>
      </c>
      <c r="G5" s="175" t="s">
        <v>11</v>
      </c>
      <c r="H5" s="175" t="s">
        <v>93</v>
      </c>
      <c r="I5" s="175" t="s">
        <v>12</v>
      </c>
      <c r="J5" s="175" t="s">
        <v>14</v>
      </c>
      <c r="K5" s="175" t="s">
        <v>16</v>
      </c>
      <c r="L5" s="175" t="s">
        <v>20</v>
      </c>
      <c r="M5" s="175" t="s">
        <v>22</v>
      </c>
      <c r="N5" s="157" t="s">
        <v>24</v>
      </c>
      <c r="O5" s="26" t="s">
        <v>23</v>
      </c>
      <c r="P5" s="44" t="s">
        <v>94</v>
      </c>
      <c r="R5" s="156" t="s">
        <v>24</v>
      </c>
      <c r="S5" s="43"/>
      <c r="T5" s="47" t="s">
        <v>26</v>
      </c>
      <c r="U5" s="47" t="s">
        <v>7</v>
      </c>
      <c r="V5" s="47" t="s">
        <v>28</v>
      </c>
      <c r="W5" s="47" t="s">
        <v>29</v>
      </c>
      <c r="X5" s="47" t="s">
        <v>30</v>
      </c>
      <c r="Y5" s="47" t="s">
        <v>31</v>
      </c>
      <c r="Z5" s="47" t="s">
        <v>32</v>
      </c>
      <c r="AA5" s="47" t="s">
        <v>33</v>
      </c>
    </row>
    <row r="6" spans="2:27">
      <c r="B6" s="42" t="s">
        <v>243</v>
      </c>
      <c r="C6" s="42" t="s">
        <v>244</v>
      </c>
      <c r="D6" s="42"/>
      <c r="E6" s="42" t="s">
        <v>245</v>
      </c>
      <c r="F6">
        <v>2021</v>
      </c>
      <c r="G6" s="176">
        <f>RSD!H121</f>
        <v>0.69568463418715298</v>
      </c>
      <c r="H6" s="176"/>
      <c r="I6" s="176">
        <f>RSD!J121</f>
        <v>5.8565106387802532E-2</v>
      </c>
      <c r="J6" s="176">
        <f>RSD!K121</f>
        <v>936.91051674829271</v>
      </c>
      <c r="K6" s="176">
        <f>RSD!L121</f>
        <v>23.698648760568549</v>
      </c>
      <c r="L6" s="176">
        <f>RSD!M121</f>
        <v>926.30352928862442</v>
      </c>
      <c r="M6" s="176">
        <f>RSD!N121</f>
        <v>23.698648760568549</v>
      </c>
      <c r="N6" s="176">
        <f>RSD!Q121</f>
        <v>15.5</v>
      </c>
      <c r="O6">
        <v>31.54</v>
      </c>
      <c r="R6" s="155">
        <v>22</v>
      </c>
      <c r="T6" t="s">
        <v>50</v>
      </c>
      <c r="U6" s="42" t="s">
        <v>243</v>
      </c>
      <c r="W6" s="42" t="s">
        <v>98</v>
      </c>
      <c r="X6" s="42" t="s">
        <v>99</v>
      </c>
    </row>
    <row r="7" spans="2:27">
      <c r="B7" s="42" t="s">
        <v>246</v>
      </c>
      <c r="C7" s="42" t="s">
        <v>244</v>
      </c>
      <c r="D7" s="42"/>
      <c r="E7" s="42" t="s">
        <v>247</v>
      </c>
      <c r="F7">
        <v>2021</v>
      </c>
      <c r="G7" s="177">
        <f>G6</f>
        <v>0.69568463418715298</v>
      </c>
      <c r="H7" s="177"/>
      <c r="I7" s="177">
        <f t="shared" ref="I7:M7" si="0">I6</f>
        <v>5.8565106387802532E-2</v>
      </c>
      <c r="J7" s="177">
        <f t="shared" si="0"/>
        <v>936.91051674829271</v>
      </c>
      <c r="K7" s="177">
        <f t="shared" si="0"/>
        <v>23.698648760568549</v>
      </c>
      <c r="L7" s="177">
        <f t="shared" si="0"/>
        <v>926.30352928862442</v>
      </c>
      <c r="M7" s="177">
        <f t="shared" si="0"/>
        <v>23.698648760568549</v>
      </c>
      <c r="N7" s="178">
        <f>N6</f>
        <v>15.5</v>
      </c>
      <c r="O7">
        <v>31.54</v>
      </c>
      <c r="R7" s="155">
        <f>R6</f>
        <v>22</v>
      </c>
      <c r="U7" s="42" t="s">
        <v>246</v>
      </c>
      <c r="W7" s="42" t="s">
        <v>98</v>
      </c>
      <c r="X7" s="42" t="s">
        <v>99</v>
      </c>
    </row>
    <row r="8" spans="2:27">
      <c r="B8" s="42" t="s">
        <v>248</v>
      </c>
      <c r="C8" s="42" t="s">
        <v>244</v>
      </c>
      <c r="D8" s="42"/>
      <c r="E8" s="42" t="s">
        <v>249</v>
      </c>
      <c r="F8">
        <v>2021</v>
      </c>
      <c r="G8" s="177">
        <f t="shared" ref="G8:G15" si="1">G7</f>
        <v>0.69568463418715298</v>
      </c>
      <c r="H8" s="177"/>
      <c r="I8" s="177">
        <f t="shared" ref="I8:I15" si="2">I7</f>
        <v>5.8565106387802532E-2</v>
      </c>
      <c r="J8" s="177">
        <f t="shared" ref="J8:J15" si="3">J7</f>
        <v>936.91051674829271</v>
      </c>
      <c r="K8" s="177">
        <f t="shared" ref="K8:K15" si="4">K7</f>
        <v>23.698648760568549</v>
      </c>
      <c r="L8" s="177">
        <f t="shared" ref="L8:L15" si="5">L7</f>
        <v>926.30352928862442</v>
      </c>
      <c r="M8" s="177">
        <f t="shared" ref="M8:N15" si="6">M7</f>
        <v>23.698648760568549</v>
      </c>
      <c r="N8" s="178">
        <f t="shared" si="6"/>
        <v>15.5</v>
      </c>
      <c r="O8">
        <v>31.54</v>
      </c>
      <c r="R8" s="155">
        <f t="shared" ref="R8:R15" si="7">R7</f>
        <v>22</v>
      </c>
      <c r="U8" s="42" t="s">
        <v>248</v>
      </c>
      <c r="W8" s="42" t="s">
        <v>98</v>
      </c>
      <c r="X8" s="42" t="s">
        <v>99</v>
      </c>
    </row>
    <row r="9" spans="2:27">
      <c r="B9" s="42" t="s">
        <v>250</v>
      </c>
      <c r="C9" s="42" t="s">
        <v>244</v>
      </c>
      <c r="D9" s="42"/>
      <c r="E9" s="42" t="s">
        <v>251</v>
      </c>
      <c r="F9">
        <v>2021</v>
      </c>
      <c r="G9" s="177">
        <f t="shared" si="1"/>
        <v>0.69568463418715298</v>
      </c>
      <c r="H9" s="177"/>
      <c r="I9" s="177">
        <f t="shared" si="2"/>
        <v>5.8565106387802532E-2</v>
      </c>
      <c r="J9" s="177">
        <f t="shared" si="3"/>
        <v>936.91051674829271</v>
      </c>
      <c r="K9" s="177">
        <f t="shared" si="4"/>
        <v>23.698648760568549</v>
      </c>
      <c r="L9" s="177">
        <f t="shared" si="5"/>
        <v>926.30352928862442</v>
      </c>
      <c r="M9" s="177">
        <f t="shared" si="6"/>
        <v>23.698648760568549</v>
      </c>
      <c r="N9" s="178">
        <f t="shared" si="6"/>
        <v>15.5</v>
      </c>
      <c r="O9">
        <v>31.54</v>
      </c>
      <c r="R9" s="155">
        <f t="shared" si="7"/>
        <v>22</v>
      </c>
      <c r="U9" s="42" t="s">
        <v>250</v>
      </c>
      <c r="W9" s="42" t="s">
        <v>98</v>
      </c>
      <c r="X9" s="42" t="s">
        <v>99</v>
      </c>
    </row>
    <row r="10" spans="2:27">
      <c r="B10" s="42" t="s">
        <v>252</v>
      </c>
      <c r="C10" s="42" t="s">
        <v>244</v>
      </c>
      <c r="D10" s="42"/>
      <c r="E10" s="42" t="s">
        <v>253</v>
      </c>
      <c r="F10">
        <v>2021</v>
      </c>
      <c r="G10" s="177">
        <f t="shared" si="1"/>
        <v>0.69568463418715298</v>
      </c>
      <c r="H10" s="177"/>
      <c r="I10" s="177">
        <f t="shared" si="2"/>
        <v>5.8565106387802532E-2</v>
      </c>
      <c r="J10" s="177">
        <f t="shared" si="3"/>
        <v>936.91051674829271</v>
      </c>
      <c r="K10" s="177">
        <f t="shared" si="4"/>
        <v>23.698648760568549</v>
      </c>
      <c r="L10" s="177">
        <f t="shared" si="5"/>
        <v>926.30352928862442</v>
      </c>
      <c r="M10" s="177">
        <f t="shared" si="6"/>
        <v>23.698648760568549</v>
      </c>
      <c r="N10" s="178">
        <f t="shared" si="6"/>
        <v>15.5</v>
      </c>
      <c r="O10">
        <v>31.54</v>
      </c>
      <c r="R10" s="155">
        <f t="shared" si="7"/>
        <v>22</v>
      </c>
      <c r="U10" s="42" t="s">
        <v>252</v>
      </c>
      <c r="W10" s="42" t="s">
        <v>98</v>
      </c>
      <c r="X10" s="42" t="s">
        <v>99</v>
      </c>
    </row>
    <row r="11" spans="2:27">
      <c r="B11" s="42" t="s">
        <v>254</v>
      </c>
      <c r="C11" s="42" t="s">
        <v>244</v>
      </c>
      <c r="D11" s="42"/>
      <c r="E11" s="42" t="s">
        <v>255</v>
      </c>
      <c r="F11">
        <v>2021</v>
      </c>
      <c r="G11" s="177">
        <f t="shared" si="1"/>
        <v>0.69568463418715298</v>
      </c>
      <c r="H11" s="177"/>
      <c r="I11" s="177">
        <f t="shared" si="2"/>
        <v>5.8565106387802532E-2</v>
      </c>
      <c r="J11" s="177">
        <f t="shared" si="3"/>
        <v>936.91051674829271</v>
      </c>
      <c r="K11" s="177">
        <f t="shared" si="4"/>
        <v>23.698648760568549</v>
      </c>
      <c r="L11" s="177">
        <f t="shared" si="5"/>
        <v>926.30352928862442</v>
      </c>
      <c r="M11" s="177">
        <f t="shared" si="6"/>
        <v>23.698648760568549</v>
      </c>
      <c r="N11" s="178">
        <f t="shared" si="6"/>
        <v>15.5</v>
      </c>
      <c r="O11">
        <v>31.54</v>
      </c>
      <c r="R11" s="155">
        <f t="shared" si="7"/>
        <v>22</v>
      </c>
      <c r="U11" s="42" t="s">
        <v>254</v>
      </c>
      <c r="W11" s="42" t="s">
        <v>98</v>
      </c>
      <c r="X11" s="42" t="s">
        <v>99</v>
      </c>
    </row>
    <row r="12" spans="2:27">
      <c r="B12" s="42" t="s">
        <v>256</v>
      </c>
      <c r="C12" s="42" t="s">
        <v>244</v>
      </c>
      <c r="D12" s="42"/>
      <c r="E12" s="42" t="s">
        <v>257</v>
      </c>
      <c r="F12">
        <v>2021</v>
      </c>
      <c r="G12" s="177">
        <f t="shared" si="1"/>
        <v>0.69568463418715298</v>
      </c>
      <c r="H12" s="177"/>
      <c r="I12" s="177">
        <f t="shared" si="2"/>
        <v>5.8565106387802532E-2</v>
      </c>
      <c r="J12" s="177">
        <f t="shared" si="3"/>
        <v>936.91051674829271</v>
      </c>
      <c r="K12" s="177">
        <f t="shared" si="4"/>
        <v>23.698648760568549</v>
      </c>
      <c r="L12" s="177">
        <f t="shared" si="5"/>
        <v>926.30352928862442</v>
      </c>
      <c r="M12" s="177">
        <f t="shared" si="6"/>
        <v>23.698648760568549</v>
      </c>
      <c r="N12" s="178">
        <f t="shared" si="6"/>
        <v>15.5</v>
      </c>
      <c r="O12">
        <v>31.54</v>
      </c>
      <c r="R12" s="155">
        <f t="shared" si="7"/>
        <v>22</v>
      </c>
      <c r="U12" s="42" t="s">
        <v>256</v>
      </c>
      <c r="W12" s="42" t="s">
        <v>98</v>
      </c>
      <c r="X12" s="42" t="s">
        <v>99</v>
      </c>
    </row>
    <row r="13" spans="2:27">
      <c r="B13" s="42" t="s">
        <v>258</v>
      </c>
      <c r="C13" s="42" t="s">
        <v>244</v>
      </c>
      <c r="D13" s="42"/>
      <c r="E13" s="42" t="s">
        <v>259</v>
      </c>
      <c r="F13">
        <v>2021</v>
      </c>
      <c r="G13" s="177">
        <f t="shared" si="1"/>
        <v>0.69568463418715298</v>
      </c>
      <c r="H13" s="177"/>
      <c r="I13" s="177">
        <f t="shared" si="2"/>
        <v>5.8565106387802532E-2</v>
      </c>
      <c r="J13" s="177">
        <f t="shared" si="3"/>
        <v>936.91051674829271</v>
      </c>
      <c r="K13" s="177">
        <f t="shared" si="4"/>
        <v>23.698648760568549</v>
      </c>
      <c r="L13" s="177">
        <f t="shared" si="5"/>
        <v>926.30352928862442</v>
      </c>
      <c r="M13" s="177">
        <f t="shared" si="6"/>
        <v>23.698648760568549</v>
      </c>
      <c r="N13" s="178">
        <f t="shared" si="6"/>
        <v>15.5</v>
      </c>
      <c r="O13">
        <v>31.54</v>
      </c>
      <c r="R13" s="155">
        <f t="shared" si="7"/>
        <v>22</v>
      </c>
      <c r="U13" s="42" t="s">
        <v>258</v>
      </c>
      <c r="W13" s="42" t="s">
        <v>98</v>
      </c>
      <c r="X13" s="42" t="s">
        <v>99</v>
      </c>
    </row>
    <row r="14" spans="2:27">
      <c r="B14" s="42" t="s">
        <v>260</v>
      </c>
      <c r="C14" s="42" t="s">
        <v>244</v>
      </c>
      <c r="D14" s="42"/>
      <c r="E14" s="42" t="s">
        <v>261</v>
      </c>
      <c r="F14">
        <v>2021</v>
      </c>
      <c r="G14" s="177">
        <f t="shared" si="1"/>
        <v>0.69568463418715298</v>
      </c>
      <c r="H14" s="177"/>
      <c r="I14" s="177">
        <f t="shared" si="2"/>
        <v>5.8565106387802532E-2</v>
      </c>
      <c r="J14" s="177">
        <f t="shared" si="3"/>
        <v>936.91051674829271</v>
      </c>
      <c r="K14" s="177">
        <f t="shared" si="4"/>
        <v>23.698648760568549</v>
      </c>
      <c r="L14" s="177">
        <f t="shared" si="5"/>
        <v>926.30352928862442</v>
      </c>
      <c r="M14" s="177">
        <f t="shared" si="6"/>
        <v>23.698648760568549</v>
      </c>
      <c r="N14" s="178">
        <f t="shared" si="6"/>
        <v>15.5</v>
      </c>
      <c r="O14">
        <v>31.54</v>
      </c>
      <c r="R14" s="155">
        <f t="shared" si="7"/>
        <v>22</v>
      </c>
      <c r="U14" s="42" t="s">
        <v>260</v>
      </c>
      <c r="W14" s="42" t="s">
        <v>98</v>
      </c>
      <c r="X14" s="42" t="s">
        <v>99</v>
      </c>
    </row>
    <row r="15" spans="2:27">
      <c r="B15" s="42" t="s">
        <v>262</v>
      </c>
      <c r="C15" s="42" t="s">
        <v>244</v>
      </c>
      <c r="D15" s="42"/>
      <c r="E15" s="42" t="s">
        <v>263</v>
      </c>
      <c r="F15">
        <v>2021</v>
      </c>
      <c r="G15" s="177">
        <f t="shared" si="1"/>
        <v>0.69568463418715298</v>
      </c>
      <c r="H15" s="177"/>
      <c r="I15" s="177">
        <f t="shared" si="2"/>
        <v>5.8565106387802532E-2</v>
      </c>
      <c r="J15" s="177">
        <f t="shared" si="3"/>
        <v>936.91051674829271</v>
      </c>
      <c r="K15" s="177">
        <f t="shared" si="4"/>
        <v>23.698648760568549</v>
      </c>
      <c r="L15" s="177">
        <f t="shared" si="5"/>
        <v>926.30352928862442</v>
      </c>
      <c r="M15" s="177">
        <f t="shared" si="6"/>
        <v>23.698648760568549</v>
      </c>
      <c r="N15" s="178">
        <f t="shared" si="6"/>
        <v>15.5</v>
      </c>
      <c r="O15">
        <v>31.54</v>
      </c>
      <c r="R15" s="155">
        <f t="shared" si="7"/>
        <v>22</v>
      </c>
      <c r="U15" s="42" t="s">
        <v>262</v>
      </c>
      <c r="W15" s="42" t="s">
        <v>98</v>
      </c>
      <c r="X15" s="42" t="s">
        <v>99</v>
      </c>
    </row>
    <row r="16" spans="2:27">
      <c r="B16" s="42" t="s">
        <v>264</v>
      </c>
      <c r="C16" s="42" t="s">
        <v>244</v>
      </c>
      <c r="D16" s="42"/>
      <c r="E16" s="42" t="s">
        <v>265</v>
      </c>
      <c r="F16">
        <v>2021</v>
      </c>
      <c r="G16" s="159">
        <v>1</v>
      </c>
      <c r="H16" s="159"/>
      <c r="I16" s="159">
        <f>[5]TechAuxiliaryMot!$N$43</f>
        <v>4.5458517684292522E-2</v>
      </c>
      <c r="J16" s="159">
        <f t="shared" ref="I16:O16" si="8">J206</f>
        <v>450.0048888888889</v>
      </c>
      <c r="K16" s="159">
        <f t="shared" si="8"/>
        <v>14.027111111111111</v>
      </c>
      <c r="L16" s="159">
        <f t="shared" si="8"/>
        <v>450.0048888888889</v>
      </c>
      <c r="M16" s="159">
        <f t="shared" si="8"/>
        <v>14.027111111111111</v>
      </c>
      <c r="N16" s="159">
        <f t="shared" si="8"/>
        <v>21</v>
      </c>
      <c r="O16" s="159">
        <f t="shared" si="8"/>
        <v>31.54</v>
      </c>
      <c r="R16" s="155">
        <v>10</v>
      </c>
      <c r="U16" s="42" t="s">
        <v>264</v>
      </c>
      <c r="W16" s="42" t="s">
        <v>98</v>
      </c>
      <c r="X16" s="42" t="s">
        <v>99</v>
      </c>
    </row>
    <row r="17" spans="2:24">
      <c r="B17" s="42" t="s">
        <v>266</v>
      </c>
      <c r="C17" s="42" t="s">
        <v>244</v>
      </c>
      <c r="D17" s="42"/>
      <c r="E17" s="42" t="s">
        <v>267</v>
      </c>
      <c r="F17">
        <v>2021</v>
      </c>
      <c r="G17" s="159">
        <f>G16</f>
        <v>1</v>
      </c>
      <c r="H17" s="159"/>
      <c r="I17" s="159">
        <f t="shared" ref="I17:O17" si="9">I16</f>
        <v>4.5458517684292522E-2</v>
      </c>
      <c r="J17" s="159">
        <f t="shared" si="9"/>
        <v>450.0048888888889</v>
      </c>
      <c r="K17" s="159">
        <f t="shared" si="9"/>
        <v>14.027111111111111</v>
      </c>
      <c r="L17" s="159">
        <f t="shared" si="9"/>
        <v>450.0048888888889</v>
      </c>
      <c r="M17" s="159">
        <f t="shared" si="9"/>
        <v>14.027111111111111</v>
      </c>
      <c r="N17" s="159">
        <f t="shared" si="9"/>
        <v>21</v>
      </c>
      <c r="O17" s="159">
        <f t="shared" si="9"/>
        <v>31.54</v>
      </c>
      <c r="R17" s="155">
        <v>10</v>
      </c>
      <c r="U17" s="42" t="s">
        <v>266</v>
      </c>
      <c r="W17" s="42" t="s">
        <v>98</v>
      </c>
      <c r="X17" s="42" t="s">
        <v>99</v>
      </c>
    </row>
    <row r="18" spans="2:24">
      <c r="B18" s="42" t="s">
        <v>268</v>
      </c>
      <c r="C18" s="42" t="s">
        <v>244</v>
      </c>
      <c r="D18" s="42"/>
      <c r="E18" s="42" t="s">
        <v>269</v>
      </c>
      <c r="F18">
        <v>2021</v>
      </c>
      <c r="G18" s="159">
        <f t="shared" ref="G18:G25" si="10">G17</f>
        <v>1</v>
      </c>
      <c r="H18" s="159"/>
      <c r="I18" s="159">
        <f t="shared" ref="I18:I25" si="11">I17</f>
        <v>4.5458517684292522E-2</v>
      </c>
      <c r="J18" s="159">
        <f t="shared" ref="J18:J25" si="12">J17</f>
        <v>450.0048888888889</v>
      </c>
      <c r="K18" s="159">
        <f t="shared" ref="K18:K25" si="13">K17</f>
        <v>14.027111111111111</v>
      </c>
      <c r="L18" s="159">
        <f t="shared" ref="L18:L25" si="14">L17</f>
        <v>450.0048888888889</v>
      </c>
      <c r="M18" s="159">
        <f t="shared" ref="M18:M25" si="15">M17</f>
        <v>14.027111111111111</v>
      </c>
      <c r="N18" s="159">
        <f t="shared" ref="N18:N25" si="16">N17</f>
        <v>21</v>
      </c>
      <c r="O18" s="159">
        <f t="shared" ref="O18:O25" si="17">O17</f>
        <v>31.54</v>
      </c>
      <c r="R18" s="155">
        <v>10</v>
      </c>
      <c r="U18" s="42" t="s">
        <v>268</v>
      </c>
      <c r="W18" s="42" t="s">
        <v>98</v>
      </c>
      <c r="X18" s="42" t="s">
        <v>99</v>
      </c>
    </row>
    <row r="19" spans="2:24">
      <c r="B19" s="42" t="s">
        <v>270</v>
      </c>
      <c r="C19" s="42" t="s">
        <v>244</v>
      </c>
      <c r="D19" s="42"/>
      <c r="E19" s="42" t="s">
        <v>271</v>
      </c>
      <c r="F19">
        <v>2021</v>
      </c>
      <c r="G19" s="159">
        <f t="shared" si="10"/>
        <v>1</v>
      </c>
      <c r="H19" s="159"/>
      <c r="I19" s="159">
        <f t="shared" si="11"/>
        <v>4.5458517684292522E-2</v>
      </c>
      <c r="J19" s="159">
        <f t="shared" si="12"/>
        <v>450.0048888888889</v>
      </c>
      <c r="K19" s="159">
        <f t="shared" si="13"/>
        <v>14.027111111111111</v>
      </c>
      <c r="L19" s="159">
        <f t="shared" si="14"/>
        <v>450.0048888888889</v>
      </c>
      <c r="M19" s="159">
        <f t="shared" si="15"/>
        <v>14.027111111111111</v>
      </c>
      <c r="N19" s="159">
        <f t="shared" si="16"/>
        <v>21</v>
      </c>
      <c r="O19" s="159">
        <f t="shared" si="17"/>
        <v>31.54</v>
      </c>
      <c r="R19" s="155">
        <v>10</v>
      </c>
      <c r="U19" s="42" t="s">
        <v>270</v>
      </c>
      <c r="W19" s="42" t="s">
        <v>98</v>
      </c>
      <c r="X19" s="42" t="s">
        <v>99</v>
      </c>
    </row>
    <row r="20" spans="2:24">
      <c r="B20" s="42" t="s">
        <v>272</v>
      </c>
      <c r="C20" s="42" t="s">
        <v>244</v>
      </c>
      <c r="D20" s="42"/>
      <c r="E20" s="42" t="s">
        <v>273</v>
      </c>
      <c r="F20">
        <v>2021</v>
      </c>
      <c r="G20" s="159">
        <f t="shared" si="10"/>
        <v>1</v>
      </c>
      <c r="H20" s="159"/>
      <c r="I20" s="159">
        <f t="shared" si="11"/>
        <v>4.5458517684292522E-2</v>
      </c>
      <c r="J20" s="159">
        <f t="shared" si="12"/>
        <v>450.0048888888889</v>
      </c>
      <c r="K20" s="159">
        <f t="shared" si="13"/>
        <v>14.027111111111111</v>
      </c>
      <c r="L20" s="159">
        <f t="shared" si="14"/>
        <v>450.0048888888889</v>
      </c>
      <c r="M20" s="159">
        <f t="shared" si="15"/>
        <v>14.027111111111111</v>
      </c>
      <c r="N20" s="159">
        <f t="shared" si="16"/>
        <v>21</v>
      </c>
      <c r="O20" s="159">
        <f t="shared" si="17"/>
        <v>31.54</v>
      </c>
      <c r="R20" s="155">
        <v>10</v>
      </c>
      <c r="U20" s="42" t="s">
        <v>272</v>
      </c>
      <c r="W20" s="42" t="s">
        <v>98</v>
      </c>
      <c r="X20" s="42" t="s">
        <v>99</v>
      </c>
    </row>
    <row r="21" spans="2:24">
      <c r="B21" s="42" t="s">
        <v>274</v>
      </c>
      <c r="C21" s="42" t="s">
        <v>244</v>
      </c>
      <c r="D21" s="42"/>
      <c r="E21" s="42" t="s">
        <v>275</v>
      </c>
      <c r="F21">
        <v>2021</v>
      </c>
      <c r="G21" s="159">
        <f t="shared" si="10"/>
        <v>1</v>
      </c>
      <c r="H21" s="159"/>
      <c r="I21" s="159">
        <f t="shared" si="11"/>
        <v>4.5458517684292522E-2</v>
      </c>
      <c r="J21" s="159">
        <f t="shared" si="12"/>
        <v>450.0048888888889</v>
      </c>
      <c r="K21" s="159">
        <f t="shared" si="13"/>
        <v>14.027111111111111</v>
      </c>
      <c r="L21" s="159">
        <f t="shared" si="14"/>
        <v>450.0048888888889</v>
      </c>
      <c r="M21" s="159">
        <f t="shared" si="15"/>
        <v>14.027111111111111</v>
      </c>
      <c r="N21" s="159">
        <f t="shared" si="16"/>
        <v>21</v>
      </c>
      <c r="O21" s="159">
        <f t="shared" si="17"/>
        <v>31.54</v>
      </c>
      <c r="R21" s="155">
        <v>10</v>
      </c>
      <c r="U21" s="42" t="s">
        <v>274</v>
      </c>
      <c r="W21" s="42" t="s">
        <v>98</v>
      </c>
      <c r="X21" s="42" t="s">
        <v>99</v>
      </c>
    </row>
    <row r="22" spans="2:24">
      <c r="B22" s="42" t="s">
        <v>276</v>
      </c>
      <c r="C22" s="42" t="s">
        <v>244</v>
      </c>
      <c r="D22" s="42"/>
      <c r="E22" s="42" t="s">
        <v>277</v>
      </c>
      <c r="F22">
        <v>2021</v>
      </c>
      <c r="G22" s="159">
        <f t="shared" si="10"/>
        <v>1</v>
      </c>
      <c r="H22" s="159"/>
      <c r="I22" s="159">
        <f t="shared" si="11"/>
        <v>4.5458517684292522E-2</v>
      </c>
      <c r="J22" s="159">
        <f t="shared" si="12"/>
        <v>450.0048888888889</v>
      </c>
      <c r="K22" s="159">
        <f t="shared" si="13"/>
        <v>14.027111111111111</v>
      </c>
      <c r="L22" s="159">
        <f t="shared" si="14"/>
        <v>450.0048888888889</v>
      </c>
      <c r="M22" s="159">
        <f t="shared" si="15"/>
        <v>14.027111111111111</v>
      </c>
      <c r="N22" s="159">
        <f t="shared" si="16"/>
        <v>21</v>
      </c>
      <c r="O22" s="159">
        <f t="shared" si="17"/>
        <v>31.54</v>
      </c>
      <c r="R22" s="155">
        <v>10</v>
      </c>
      <c r="U22" s="42" t="s">
        <v>276</v>
      </c>
      <c r="W22" s="42" t="s">
        <v>98</v>
      </c>
      <c r="X22" s="42" t="s">
        <v>99</v>
      </c>
    </row>
    <row r="23" spans="2:24">
      <c r="B23" s="42" t="s">
        <v>278</v>
      </c>
      <c r="C23" s="42" t="s">
        <v>244</v>
      </c>
      <c r="D23" s="42"/>
      <c r="E23" s="42" t="s">
        <v>279</v>
      </c>
      <c r="F23">
        <v>2021</v>
      </c>
      <c r="G23" s="159">
        <f t="shared" si="10"/>
        <v>1</v>
      </c>
      <c r="H23" s="159"/>
      <c r="I23" s="159">
        <f t="shared" si="11"/>
        <v>4.5458517684292522E-2</v>
      </c>
      <c r="J23" s="159">
        <f t="shared" si="12"/>
        <v>450.0048888888889</v>
      </c>
      <c r="K23" s="159">
        <f t="shared" si="13"/>
        <v>14.027111111111111</v>
      </c>
      <c r="L23" s="159">
        <f t="shared" si="14"/>
        <v>450.0048888888889</v>
      </c>
      <c r="M23" s="159">
        <f t="shared" si="15"/>
        <v>14.027111111111111</v>
      </c>
      <c r="N23" s="159">
        <f t="shared" si="16"/>
        <v>21</v>
      </c>
      <c r="O23" s="159">
        <f t="shared" si="17"/>
        <v>31.54</v>
      </c>
      <c r="R23" s="155">
        <v>10</v>
      </c>
      <c r="U23" s="42" t="s">
        <v>278</v>
      </c>
      <c r="W23" s="42" t="s">
        <v>98</v>
      </c>
      <c r="X23" s="42" t="s">
        <v>99</v>
      </c>
    </row>
    <row r="24" spans="2:24">
      <c r="B24" s="42" t="s">
        <v>280</v>
      </c>
      <c r="C24" s="42" t="s">
        <v>244</v>
      </c>
      <c r="D24" s="42"/>
      <c r="E24" s="42" t="s">
        <v>281</v>
      </c>
      <c r="F24">
        <v>2021</v>
      </c>
      <c r="G24" s="159">
        <f t="shared" si="10"/>
        <v>1</v>
      </c>
      <c r="H24" s="159"/>
      <c r="I24" s="159">
        <f t="shared" si="11"/>
        <v>4.5458517684292522E-2</v>
      </c>
      <c r="J24" s="159">
        <f t="shared" si="12"/>
        <v>450.0048888888889</v>
      </c>
      <c r="K24" s="159">
        <f t="shared" si="13"/>
        <v>14.027111111111111</v>
      </c>
      <c r="L24" s="159">
        <f t="shared" si="14"/>
        <v>450.0048888888889</v>
      </c>
      <c r="M24" s="159">
        <f t="shared" si="15"/>
        <v>14.027111111111111</v>
      </c>
      <c r="N24" s="159">
        <f t="shared" si="16"/>
        <v>21</v>
      </c>
      <c r="O24" s="159">
        <f t="shared" si="17"/>
        <v>31.54</v>
      </c>
      <c r="R24" s="155">
        <v>10</v>
      </c>
      <c r="U24" s="42" t="s">
        <v>280</v>
      </c>
      <c r="W24" s="42" t="s">
        <v>98</v>
      </c>
      <c r="X24" s="42" t="s">
        <v>99</v>
      </c>
    </row>
    <row r="25" spans="2:24">
      <c r="B25" s="42" t="s">
        <v>282</v>
      </c>
      <c r="C25" s="42" t="s">
        <v>244</v>
      </c>
      <c r="D25" s="42"/>
      <c r="E25" s="42" t="s">
        <v>283</v>
      </c>
      <c r="F25">
        <v>2021</v>
      </c>
      <c r="G25" s="159">
        <f t="shared" si="10"/>
        <v>1</v>
      </c>
      <c r="H25" s="159"/>
      <c r="I25" s="159">
        <f t="shared" si="11"/>
        <v>4.5458517684292522E-2</v>
      </c>
      <c r="J25" s="159">
        <f t="shared" si="12"/>
        <v>450.0048888888889</v>
      </c>
      <c r="K25" s="159">
        <f t="shared" si="13"/>
        <v>14.027111111111111</v>
      </c>
      <c r="L25" s="159">
        <f t="shared" si="14"/>
        <v>450.0048888888889</v>
      </c>
      <c r="M25" s="159">
        <f t="shared" si="15"/>
        <v>14.027111111111111</v>
      </c>
      <c r="N25" s="159">
        <f t="shared" si="16"/>
        <v>21</v>
      </c>
      <c r="O25" s="159">
        <f t="shared" si="17"/>
        <v>31.54</v>
      </c>
      <c r="R25" s="155">
        <v>10</v>
      </c>
      <c r="U25" s="42" t="s">
        <v>282</v>
      </c>
      <c r="W25" s="42" t="s">
        <v>98</v>
      </c>
      <c r="X25" s="42" t="s">
        <v>99</v>
      </c>
    </row>
    <row r="26" spans="2:24">
      <c r="B26" s="42" t="s">
        <v>284</v>
      </c>
      <c r="C26" s="42" t="s">
        <v>244</v>
      </c>
      <c r="D26" s="42"/>
      <c r="E26" s="42" t="s">
        <v>285</v>
      </c>
      <c r="F26">
        <v>2021</v>
      </c>
      <c r="G26" s="159">
        <f>G86</f>
        <v>0.98</v>
      </c>
      <c r="H26" s="159"/>
      <c r="I26" s="159">
        <f>[5]TechAuxiliaryEquipment!$O$199</f>
        <v>4.5458517684292522E-2</v>
      </c>
      <c r="J26" s="159">
        <f t="shared" ref="I26:N26" si="18">J86</f>
        <v>260.55555555555554</v>
      </c>
      <c r="K26" s="159">
        <f t="shared" si="18"/>
        <v>2.7777777777777777</v>
      </c>
      <c r="L26" s="159">
        <f t="shared" si="18"/>
        <v>260.55555555555554</v>
      </c>
      <c r="M26" s="159">
        <f t="shared" si="18"/>
        <v>2.7777777777777777</v>
      </c>
      <c r="N26" s="159">
        <f t="shared" si="18"/>
        <v>12</v>
      </c>
      <c r="O26" s="45">
        <v>31.54</v>
      </c>
      <c r="R26" s="155">
        <v>15</v>
      </c>
      <c r="U26" s="42" t="s">
        <v>284</v>
      </c>
      <c r="W26" s="42" t="s">
        <v>98</v>
      </c>
      <c r="X26" s="42" t="s">
        <v>99</v>
      </c>
    </row>
    <row r="27" spans="2:24">
      <c r="B27" s="42" t="s">
        <v>286</v>
      </c>
      <c r="C27" s="42" t="s">
        <v>287</v>
      </c>
      <c r="D27" s="42"/>
      <c r="E27" s="42" t="s">
        <v>285</v>
      </c>
      <c r="F27">
        <v>2021</v>
      </c>
      <c r="G27" s="159">
        <f t="shared" ref="G27:G31" si="19">G87</f>
        <v>0.8</v>
      </c>
      <c r="H27" s="159"/>
      <c r="I27" s="159">
        <f>[5]TechAuxiliaryEquipment!$O$200</f>
        <v>4.5458517684292522E-2</v>
      </c>
      <c r="J27" s="159">
        <f t="shared" ref="I27:N27" si="20">J87</f>
        <v>116.81034482758621</v>
      </c>
      <c r="K27" s="159">
        <f t="shared" si="20"/>
        <v>5.5172413793103452</v>
      </c>
      <c r="L27" s="159">
        <f t="shared" si="20"/>
        <v>116.81034482758621</v>
      </c>
      <c r="M27" s="159">
        <f t="shared" si="20"/>
        <v>5.5172413793103452</v>
      </c>
      <c r="N27" s="159">
        <f t="shared" si="20"/>
        <v>10</v>
      </c>
      <c r="O27" s="45">
        <v>31.54</v>
      </c>
      <c r="R27" s="155">
        <v>15</v>
      </c>
      <c r="U27" s="42" t="s">
        <v>286</v>
      </c>
      <c r="W27" s="42" t="s">
        <v>98</v>
      </c>
      <c r="X27" s="42" t="s">
        <v>99</v>
      </c>
    </row>
    <row r="28" spans="2:24">
      <c r="B28" s="42" t="s">
        <v>288</v>
      </c>
      <c r="C28" s="42" t="s">
        <v>289</v>
      </c>
      <c r="D28" s="42"/>
      <c r="E28" s="42" t="s">
        <v>285</v>
      </c>
      <c r="F28">
        <v>2021</v>
      </c>
      <c r="G28" s="159">
        <f t="shared" si="19"/>
        <v>0.8</v>
      </c>
      <c r="H28" s="159"/>
      <c r="I28" s="159">
        <f>[5]TechAuxiliaryEquipment!$O$201</f>
        <v>4.5458517684292522E-2</v>
      </c>
      <c r="J28" s="159">
        <f t="shared" ref="I28:N28" si="21">J88</f>
        <v>69.545454545454547</v>
      </c>
      <c r="K28" s="159">
        <f t="shared" si="21"/>
        <v>2.2727272727272729</v>
      </c>
      <c r="L28" s="159">
        <f t="shared" si="21"/>
        <v>69.545454545454547</v>
      </c>
      <c r="M28" s="159">
        <f t="shared" si="21"/>
        <v>2.2727272727272729</v>
      </c>
      <c r="N28" s="159">
        <f t="shared" si="21"/>
        <v>13</v>
      </c>
      <c r="O28" s="45">
        <v>31.54</v>
      </c>
      <c r="R28" s="155">
        <v>15</v>
      </c>
      <c r="U28" s="42" t="s">
        <v>288</v>
      </c>
      <c r="W28" s="42" t="s">
        <v>98</v>
      </c>
      <c r="X28" s="42" t="s">
        <v>99</v>
      </c>
    </row>
    <row r="29" spans="2:24">
      <c r="B29" s="42" t="s">
        <v>290</v>
      </c>
      <c r="C29" s="42" t="s">
        <v>291</v>
      </c>
      <c r="D29" s="42"/>
      <c r="E29" s="42" t="s">
        <v>285</v>
      </c>
      <c r="F29">
        <v>2021</v>
      </c>
      <c r="G29" s="159">
        <f t="shared" si="19"/>
        <v>0.8</v>
      </c>
      <c r="H29" s="159"/>
      <c r="I29" s="159">
        <f>[5]TechAuxiliaryEquipment!$O$202</f>
        <v>4.5458517684292522E-2</v>
      </c>
      <c r="J29" s="159">
        <f t="shared" ref="I29:N29" si="22">J89</f>
        <v>69.545454545454547</v>
      </c>
      <c r="K29" s="159">
        <f t="shared" si="22"/>
        <v>2.2727272727272729</v>
      </c>
      <c r="L29" s="159">
        <f t="shared" si="22"/>
        <v>69.545454545454547</v>
      </c>
      <c r="M29" s="159">
        <f t="shared" si="22"/>
        <v>2.2727272727272729</v>
      </c>
      <c r="N29" s="159">
        <f t="shared" si="22"/>
        <v>13</v>
      </c>
      <c r="O29" s="45">
        <v>31.54</v>
      </c>
      <c r="R29" s="155">
        <v>15</v>
      </c>
      <c r="U29" s="42" t="s">
        <v>290</v>
      </c>
      <c r="W29" s="42" t="s">
        <v>98</v>
      </c>
      <c r="X29" s="42" t="s">
        <v>99</v>
      </c>
    </row>
    <row r="30" spans="2:24">
      <c r="B30" s="42" t="s">
        <v>292</v>
      </c>
      <c r="C30" s="42" t="s">
        <v>293</v>
      </c>
      <c r="D30" s="42"/>
      <c r="E30" s="42" t="s">
        <v>285</v>
      </c>
      <c r="F30">
        <v>2021</v>
      </c>
      <c r="G30" s="159">
        <f t="shared" si="19"/>
        <v>0.98</v>
      </c>
      <c r="H30" s="159"/>
      <c r="I30" s="159">
        <f>[5]TechAuxiliaryEquipment!$O$203</f>
        <v>4.5458517684292522E-2</v>
      </c>
      <c r="J30" s="159">
        <f t="shared" ref="I30:N30" si="23">J90</f>
        <v>72.424242424242422</v>
      </c>
      <c r="K30" s="159">
        <f t="shared" si="23"/>
        <v>0.78787878787878785</v>
      </c>
      <c r="L30" s="159">
        <f t="shared" si="23"/>
        <v>72.424242424242422</v>
      </c>
      <c r="M30" s="159">
        <f t="shared" si="23"/>
        <v>0.78787878787878785</v>
      </c>
      <c r="N30" s="159">
        <f t="shared" si="23"/>
        <v>15</v>
      </c>
      <c r="O30" s="45">
        <v>31.54</v>
      </c>
      <c r="R30" s="155">
        <v>15</v>
      </c>
      <c r="U30" s="42" t="s">
        <v>292</v>
      </c>
      <c r="W30" s="42" t="s">
        <v>98</v>
      </c>
      <c r="X30" s="42" t="s">
        <v>99</v>
      </c>
    </row>
    <row r="31" spans="2:24">
      <c r="B31" s="42" t="s">
        <v>294</v>
      </c>
      <c r="C31" s="42" t="s">
        <v>295</v>
      </c>
      <c r="D31" s="42"/>
      <c r="E31" s="42" t="s">
        <v>285</v>
      </c>
      <c r="F31">
        <v>2021</v>
      </c>
      <c r="G31" s="159">
        <f t="shared" si="19"/>
        <v>0.87199999999999989</v>
      </c>
      <c r="H31" s="159"/>
      <c r="I31" s="159">
        <f>[5]TechAuxiliaryEquipment!$O$204</f>
        <v>4.5458517684292522E-2</v>
      </c>
      <c r="J31" s="159">
        <f t="shared" ref="I31:N31" si="24">J91</f>
        <v>117.77621037965864</v>
      </c>
      <c r="K31" s="159">
        <f t="shared" si="24"/>
        <v>2.7256704980842916</v>
      </c>
      <c r="L31" s="159">
        <f t="shared" si="24"/>
        <v>117.77621037965864</v>
      </c>
      <c r="M31" s="159">
        <f t="shared" si="24"/>
        <v>2.7256704980842916</v>
      </c>
      <c r="N31" s="159">
        <f t="shared" si="24"/>
        <v>12.6</v>
      </c>
      <c r="O31" s="45">
        <v>31.54</v>
      </c>
      <c r="R31" s="155">
        <v>15</v>
      </c>
      <c r="U31" s="42" t="s">
        <v>294</v>
      </c>
      <c r="W31" s="42" t="s">
        <v>98</v>
      </c>
      <c r="X31" s="42" t="s">
        <v>99</v>
      </c>
    </row>
    <row r="32" spans="2:24">
      <c r="B32" s="42" t="s">
        <v>296</v>
      </c>
      <c r="C32" s="42" t="s">
        <v>244</v>
      </c>
      <c r="D32" s="42"/>
      <c r="E32" s="42" t="s">
        <v>297</v>
      </c>
      <c r="F32">
        <v>2021</v>
      </c>
      <c r="G32" s="159">
        <f>G26</f>
        <v>0.98</v>
      </c>
      <c r="H32" s="159"/>
      <c r="I32" s="159">
        <f t="shared" ref="I32:N32" si="25">I26</f>
        <v>4.5458517684292522E-2</v>
      </c>
      <c r="J32" s="159">
        <f t="shared" si="25"/>
        <v>260.55555555555554</v>
      </c>
      <c r="K32" s="159">
        <f t="shared" si="25"/>
        <v>2.7777777777777777</v>
      </c>
      <c r="L32" s="159">
        <f t="shared" si="25"/>
        <v>260.55555555555554</v>
      </c>
      <c r="M32" s="159">
        <f t="shared" si="25"/>
        <v>2.7777777777777777</v>
      </c>
      <c r="N32" s="159">
        <f t="shared" si="25"/>
        <v>12</v>
      </c>
      <c r="O32" s="45">
        <v>31.54</v>
      </c>
      <c r="R32" s="155">
        <v>15</v>
      </c>
      <c r="U32" s="42" t="s">
        <v>296</v>
      </c>
      <c r="W32" s="42" t="s">
        <v>98</v>
      </c>
      <c r="X32" s="42" t="s">
        <v>99</v>
      </c>
    </row>
    <row r="33" spans="2:24">
      <c r="B33" s="42" t="s">
        <v>298</v>
      </c>
      <c r="C33" s="42" t="s">
        <v>287</v>
      </c>
      <c r="D33" s="42"/>
      <c r="E33" s="42" t="s">
        <v>297</v>
      </c>
      <c r="F33">
        <v>2021</v>
      </c>
      <c r="G33" s="159">
        <f t="shared" ref="G33:N33" si="26">G27</f>
        <v>0.8</v>
      </c>
      <c r="H33" s="159"/>
      <c r="I33" s="159">
        <f t="shared" si="26"/>
        <v>4.5458517684292522E-2</v>
      </c>
      <c r="J33" s="159">
        <f t="shared" si="26"/>
        <v>116.81034482758621</v>
      </c>
      <c r="K33" s="159">
        <f t="shared" si="26"/>
        <v>5.5172413793103452</v>
      </c>
      <c r="L33" s="159">
        <f t="shared" si="26"/>
        <v>116.81034482758621</v>
      </c>
      <c r="M33" s="159">
        <f t="shared" si="26"/>
        <v>5.5172413793103452</v>
      </c>
      <c r="N33" s="159">
        <f t="shared" si="26"/>
        <v>10</v>
      </c>
      <c r="O33" s="45">
        <v>31.54</v>
      </c>
      <c r="R33" s="155">
        <v>15</v>
      </c>
      <c r="U33" s="42" t="s">
        <v>298</v>
      </c>
      <c r="W33" s="42" t="s">
        <v>98</v>
      </c>
      <c r="X33" s="42" t="s">
        <v>99</v>
      </c>
    </row>
    <row r="34" spans="2:24">
      <c r="B34" s="42" t="s">
        <v>299</v>
      </c>
      <c r="C34" s="42" t="s">
        <v>289</v>
      </c>
      <c r="D34" s="42"/>
      <c r="E34" s="42" t="s">
        <v>297</v>
      </c>
      <c r="F34">
        <v>2021</v>
      </c>
      <c r="G34" s="159">
        <f t="shared" ref="G34:N34" si="27">G28</f>
        <v>0.8</v>
      </c>
      <c r="H34" s="159"/>
      <c r="I34" s="159">
        <f t="shared" si="27"/>
        <v>4.5458517684292522E-2</v>
      </c>
      <c r="J34" s="159">
        <f t="shared" si="27"/>
        <v>69.545454545454547</v>
      </c>
      <c r="K34" s="159">
        <f t="shared" si="27"/>
        <v>2.2727272727272729</v>
      </c>
      <c r="L34" s="159">
        <f t="shared" si="27"/>
        <v>69.545454545454547</v>
      </c>
      <c r="M34" s="159">
        <f t="shared" si="27"/>
        <v>2.2727272727272729</v>
      </c>
      <c r="N34" s="159">
        <f t="shared" si="27"/>
        <v>13</v>
      </c>
      <c r="O34" s="45">
        <v>31.54</v>
      </c>
      <c r="R34" s="155">
        <v>15</v>
      </c>
      <c r="U34" s="42" t="s">
        <v>299</v>
      </c>
      <c r="W34" s="42" t="s">
        <v>98</v>
      </c>
      <c r="X34" s="42" t="s">
        <v>99</v>
      </c>
    </row>
    <row r="35" spans="2:24">
      <c r="B35" s="42" t="s">
        <v>300</v>
      </c>
      <c r="C35" s="42" t="s">
        <v>291</v>
      </c>
      <c r="D35" s="42"/>
      <c r="E35" s="42" t="s">
        <v>297</v>
      </c>
      <c r="F35">
        <v>2021</v>
      </c>
      <c r="G35" s="159">
        <f t="shared" ref="G35:N35" si="28">G29</f>
        <v>0.8</v>
      </c>
      <c r="H35" s="159"/>
      <c r="I35" s="159">
        <f t="shared" si="28"/>
        <v>4.5458517684292522E-2</v>
      </c>
      <c r="J35" s="159">
        <f t="shared" si="28"/>
        <v>69.545454545454547</v>
      </c>
      <c r="K35" s="159">
        <f t="shared" si="28"/>
        <v>2.2727272727272729</v>
      </c>
      <c r="L35" s="159">
        <f t="shared" si="28"/>
        <v>69.545454545454547</v>
      </c>
      <c r="M35" s="159">
        <f t="shared" si="28"/>
        <v>2.2727272727272729</v>
      </c>
      <c r="N35" s="159">
        <f t="shared" si="28"/>
        <v>13</v>
      </c>
      <c r="O35" s="45">
        <v>31.54</v>
      </c>
      <c r="R35" s="155">
        <v>15</v>
      </c>
      <c r="U35" s="42" t="s">
        <v>300</v>
      </c>
      <c r="W35" s="42" t="s">
        <v>98</v>
      </c>
      <c r="X35" s="42" t="s">
        <v>99</v>
      </c>
    </row>
    <row r="36" spans="2:24">
      <c r="B36" s="42" t="s">
        <v>301</v>
      </c>
      <c r="C36" s="42" t="s">
        <v>293</v>
      </c>
      <c r="D36" s="42"/>
      <c r="E36" s="42" t="s">
        <v>297</v>
      </c>
      <c r="F36">
        <v>2021</v>
      </c>
      <c r="G36" s="159">
        <f t="shared" ref="G36:N36" si="29">G30</f>
        <v>0.98</v>
      </c>
      <c r="H36" s="159"/>
      <c r="I36" s="159">
        <f t="shared" si="29"/>
        <v>4.5458517684292522E-2</v>
      </c>
      <c r="J36" s="159">
        <f t="shared" si="29"/>
        <v>72.424242424242422</v>
      </c>
      <c r="K36" s="159">
        <f t="shared" si="29"/>
        <v>0.78787878787878785</v>
      </c>
      <c r="L36" s="159">
        <f t="shared" si="29"/>
        <v>72.424242424242422</v>
      </c>
      <c r="M36" s="159">
        <f t="shared" si="29"/>
        <v>0.78787878787878785</v>
      </c>
      <c r="N36" s="159">
        <f t="shared" si="29"/>
        <v>15</v>
      </c>
      <c r="O36" s="45">
        <v>31.54</v>
      </c>
      <c r="R36" s="155">
        <v>15</v>
      </c>
      <c r="U36" s="42" t="s">
        <v>301</v>
      </c>
      <c r="W36" s="42" t="s">
        <v>98</v>
      </c>
      <c r="X36" s="42" t="s">
        <v>99</v>
      </c>
    </row>
    <row r="37" spans="2:24">
      <c r="B37" s="42" t="s">
        <v>302</v>
      </c>
      <c r="C37" s="42" t="s">
        <v>295</v>
      </c>
      <c r="D37" s="42"/>
      <c r="E37" s="42" t="s">
        <v>297</v>
      </c>
      <c r="F37">
        <v>2021</v>
      </c>
      <c r="G37" s="159">
        <f t="shared" ref="G37:N37" si="30">G31</f>
        <v>0.87199999999999989</v>
      </c>
      <c r="H37" s="159"/>
      <c r="I37" s="159">
        <f t="shared" si="30"/>
        <v>4.5458517684292522E-2</v>
      </c>
      <c r="J37" s="159">
        <f t="shared" si="30"/>
        <v>117.77621037965864</v>
      </c>
      <c r="K37" s="159">
        <f t="shared" si="30"/>
        <v>2.7256704980842916</v>
      </c>
      <c r="L37" s="159">
        <f t="shared" si="30"/>
        <v>117.77621037965864</v>
      </c>
      <c r="M37" s="159">
        <f t="shared" si="30"/>
        <v>2.7256704980842916</v>
      </c>
      <c r="N37" s="159">
        <f t="shared" si="30"/>
        <v>12.6</v>
      </c>
      <c r="O37" s="45">
        <v>31.54</v>
      </c>
      <c r="R37" s="155">
        <v>15</v>
      </c>
      <c r="U37" s="42" t="s">
        <v>302</v>
      </c>
      <c r="W37" s="42" t="s">
        <v>98</v>
      </c>
      <c r="X37" s="42" t="s">
        <v>99</v>
      </c>
    </row>
    <row r="38" spans="2:24">
      <c r="B38" s="42" t="s">
        <v>303</v>
      </c>
      <c r="C38" s="42" t="s">
        <v>244</v>
      </c>
      <c r="D38" s="42"/>
      <c r="E38" s="42" t="s">
        <v>304</v>
      </c>
      <c r="F38">
        <v>2021</v>
      </c>
      <c r="G38" s="159">
        <f t="shared" ref="G38:N38" si="31">G32</f>
        <v>0.98</v>
      </c>
      <c r="H38" s="159"/>
      <c r="I38" s="159">
        <f t="shared" si="31"/>
        <v>4.5458517684292522E-2</v>
      </c>
      <c r="J38" s="159">
        <f t="shared" si="31"/>
        <v>260.55555555555554</v>
      </c>
      <c r="K38" s="159">
        <f t="shared" si="31"/>
        <v>2.7777777777777777</v>
      </c>
      <c r="L38" s="159">
        <f t="shared" si="31"/>
        <v>260.55555555555554</v>
      </c>
      <c r="M38" s="159">
        <f t="shared" si="31"/>
        <v>2.7777777777777777</v>
      </c>
      <c r="N38" s="159">
        <f t="shared" si="31"/>
        <v>12</v>
      </c>
      <c r="O38" s="45">
        <v>31.54</v>
      </c>
      <c r="R38" s="155">
        <v>15</v>
      </c>
      <c r="U38" s="42" t="s">
        <v>303</v>
      </c>
      <c r="W38" s="42" t="s">
        <v>98</v>
      </c>
      <c r="X38" s="42" t="s">
        <v>99</v>
      </c>
    </row>
    <row r="39" spans="2:24">
      <c r="B39" s="42" t="s">
        <v>305</v>
      </c>
      <c r="C39" s="42" t="s">
        <v>287</v>
      </c>
      <c r="D39" s="42"/>
      <c r="E39" s="42" t="s">
        <v>304</v>
      </c>
      <c r="F39">
        <v>2021</v>
      </c>
      <c r="G39" s="159">
        <f t="shared" ref="G39:N39" si="32">G33</f>
        <v>0.8</v>
      </c>
      <c r="H39" s="159"/>
      <c r="I39" s="159">
        <f t="shared" si="32"/>
        <v>4.5458517684292522E-2</v>
      </c>
      <c r="J39" s="159">
        <f t="shared" si="32"/>
        <v>116.81034482758621</v>
      </c>
      <c r="K39" s="159">
        <f t="shared" si="32"/>
        <v>5.5172413793103452</v>
      </c>
      <c r="L39" s="159">
        <f t="shared" si="32"/>
        <v>116.81034482758621</v>
      </c>
      <c r="M39" s="159">
        <f t="shared" si="32"/>
        <v>5.5172413793103452</v>
      </c>
      <c r="N39" s="159">
        <f t="shared" si="32"/>
        <v>10</v>
      </c>
      <c r="O39" s="45">
        <v>31.54</v>
      </c>
      <c r="R39" s="155">
        <v>15</v>
      </c>
      <c r="U39" s="42" t="s">
        <v>305</v>
      </c>
      <c r="W39" s="42" t="s">
        <v>98</v>
      </c>
      <c r="X39" s="42" t="s">
        <v>99</v>
      </c>
    </row>
    <row r="40" spans="2:24">
      <c r="B40" s="42" t="s">
        <v>306</v>
      </c>
      <c r="C40" s="42" t="s">
        <v>289</v>
      </c>
      <c r="D40" s="42"/>
      <c r="E40" s="42" t="s">
        <v>304</v>
      </c>
      <c r="F40">
        <v>2021</v>
      </c>
      <c r="G40" s="159">
        <f t="shared" ref="G40:N40" si="33">G34</f>
        <v>0.8</v>
      </c>
      <c r="H40" s="159"/>
      <c r="I40" s="159">
        <f t="shared" si="33"/>
        <v>4.5458517684292522E-2</v>
      </c>
      <c r="J40" s="159">
        <f t="shared" si="33"/>
        <v>69.545454545454547</v>
      </c>
      <c r="K40" s="159">
        <f t="shared" si="33"/>
        <v>2.2727272727272729</v>
      </c>
      <c r="L40" s="159">
        <f t="shared" si="33"/>
        <v>69.545454545454547</v>
      </c>
      <c r="M40" s="159">
        <f t="shared" si="33"/>
        <v>2.2727272727272729</v>
      </c>
      <c r="N40" s="159">
        <f t="shared" si="33"/>
        <v>13</v>
      </c>
      <c r="O40" s="45">
        <v>31.54</v>
      </c>
      <c r="R40" s="155">
        <v>15</v>
      </c>
      <c r="U40" s="42" t="s">
        <v>306</v>
      </c>
      <c r="W40" s="42" t="s">
        <v>98</v>
      </c>
      <c r="X40" s="42" t="s">
        <v>99</v>
      </c>
    </row>
    <row r="41" spans="2:24">
      <c r="B41" s="42" t="s">
        <v>307</v>
      </c>
      <c r="C41" s="42" t="s">
        <v>291</v>
      </c>
      <c r="D41" s="42"/>
      <c r="E41" s="42" t="s">
        <v>304</v>
      </c>
      <c r="F41">
        <v>2021</v>
      </c>
      <c r="G41" s="159">
        <f t="shared" ref="G41:N41" si="34">G35</f>
        <v>0.8</v>
      </c>
      <c r="H41" s="159"/>
      <c r="I41" s="159">
        <f t="shared" si="34"/>
        <v>4.5458517684292522E-2</v>
      </c>
      <c r="J41" s="159">
        <f t="shared" si="34"/>
        <v>69.545454545454547</v>
      </c>
      <c r="K41" s="159">
        <f t="shared" si="34"/>
        <v>2.2727272727272729</v>
      </c>
      <c r="L41" s="159">
        <f t="shared" si="34"/>
        <v>69.545454545454547</v>
      </c>
      <c r="M41" s="159">
        <f t="shared" si="34"/>
        <v>2.2727272727272729</v>
      </c>
      <c r="N41" s="159">
        <f t="shared" si="34"/>
        <v>13</v>
      </c>
      <c r="O41" s="45">
        <v>31.54</v>
      </c>
      <c r="R41" s="155">
        <v>15</v>
      </c>
      <c r="U41" s="42" t="s">
        <v>307</v>
      </c>
      <c r="W41" s="42" t="s">
        <v>98</v>
      </c>
      <c r="X41" s="42" t="s">
        <v>99</v>
      </c>
    </row>
    <row r="42" spans="2:24">
      <c r="B42" s="42" t="s">
        <v>308</v>
      </c>
      <c r="C42" s="42" t="s">
        <v>293</v>
      </c>
      <c r="D42" s="42"/>
      <c r="E42" s="42" t="s">
        <v>304</v>
      </c>
      <c r="F42">
        <v>2021</v>
      </c>
      <c r="G42" s="159">
        <f t="shared" ref="G42:N42" si="35">G36</f>
        <v>0.98</v>
      </c>
      <c r="H42" s="159"/>
      <c r="I42" s="159">
        <f t="shared" si="35"/>
        <v>4.5458517684292522E-2</v>
      </c>
      <c r="J42" s="159">
        <f t="shared" si="35"/>
        <v>72.424242424242422</v>
      </c>
      <c r="K42" s="159">
        <f t="shared" si="35"/>
        <v>0.78787878787878785</v>
      </c>
      <c r="L42" s="159">
        <f t="shared" si="35"/>
        <v>72.424242424242422</v>
      </c>
      <c r="M42" s="159">
        <f t="shared" si="35"/>
        <v>0.78787878787878785</v>
      </c>
      <c r="N42" s="159">
        <f t="shared" si="35"/>
        <v>15</v>
      </c>
      <c r="O42" s="45">
        <v>31.54</v>
      </c>
      <c r="R42" s="155">
        <v>15</v>
      </c>
      <c r="U42" s="42" t="s">
        <v>308</v>
      </c>
      <c r="W42" s="42" t="s">
        <v>98</v>
      </c>
      <c r="X42" s="42" t="s">
        <v>99</v>
      </c>
    </row>
    <row r="43" spans="2:24">
      <c r="B43" s="42" t="s">
        <v>309</v>
      </c>
      <c r="C43" s="42" t="s">
        <v>295</v>
      </c>
      <c r="D43" s="42"/>
      <c r="E43" s="42" t="s">
        <v>304</v>
      </c>
      <c r="F43">
        <v>2021</v>
      </c>
      <c r="G43" s="159">
        <f t="shared" ref="G43:N43" si="36">G37</f>
        <v>0.87199999999999989</v>
      </c>
      <c r="H43" s="159"/>
      <c r="I43" s="159">
        <f t="shared" si="36"/>
        <v>4.5458517684292522E-2</v>
      </c>
      <c r="J43" s="159">
        <f t="shared" si="36"/>
        <v>117.77621037965864</v>
      </c>
      <c r="K43" s="159">
        <f t="shared" si="36"/>
        <v>2.7256704980842916</v>
      </c>
      <c r="L43" s="159">
        <f t="shared" si="36"/>
        <v>117.77621037965864</v>
      </c>
      <c r="M43" s="159">
        <f t="shared" si="36"/>
        <v>2.7256704980842916</v>
      </c>
      <c r="N43" s="159">
        <f t="shared" si="36"/>
        <v>12.6</v>
      </c>
      <c r="O43" s="45">
        <v>31.54</v>
      </c>
      <c r="R43" s="155">
        <v>15</v>
      </c>
      <c r="U43" s="42" t="s">
        <v>309</v>
      </c>
      <c r="W43" s="42" t="s">
        <v>98</v>
      </c>
      <c r="X43" s="42" t="s">
        <v>99</v>
      </c>
    </row>
    <row r="44" spans="2:24">
      <c r="B44" s="42" t="s">
        <v>310</v>
      </c>
      <c r="C44" s="42" t="s">
        <v>244</v>
      </c>
      <c r="D44" s="42"/>
      <c r="E44" s="42" t="s">
        <v>311</v>
      </c>
      <c r="F44">
        <v>2021</v>
      </c>
      <c r="G44" s="159">
        <f t="shared" ref="G44:N44" si="37">G38</f>
        <v>0.98</v>
      </c>
      <c r="H44" s="159"/>
      <c r="I44" s="159">
        <f t="shared" si="37"/>
        <v>4.5458517684292522E-2</v>
      </c>
      <c r="J44" s="159">
        <f t="shared" si="37"/>
        <v>260.55555555555554</v>
      </c>
      <c r="K44" s="159">
        <f t="shared" si="37"/>
        <v>2.7777777777777777</v>
      </c>
      <c r="L44" s="159">
        <f t="shared" si="37"/>
        <v>260.55555555555554</v>
      </c>
      <c r="M44" s="159">
        <f t="shared" si="37"/>
        <v>2.7777777777777777</v>
      </c>
      <c r="N44" s="159">
        <f t="shared" si="37"/>
        <v>12</v>
      </c>
      <c r="O44" s="45">
        <v>31.54</v>
      </c>
      <c r="R44" s="155">
        <v>15</v>
      </c>
      <c r="U44" s="42" t="s">
        <v>310</v>
      </c>
      <c r="W44" s="42" t="s">
        <v>98</v>
      </c>
      <c r="X44" s="42" t="s">
        <v>99</v>
      </c>
    </row>
    <row r="45" spans="2:24">
      <c r="B45" s="42" t="s">
        <v>312</v>
      </c>
      <c r="C45" s="42" t="s">
        <v>287</v>
      </c>
      <c r="D45" s="42"/>
      <c r="E45" s="42" t="s">
        <v>311</v>
      </c>
      <c r="F45">
        <v>2021</v>
      </c>
      <c r="G45" s="159">
        <f t="shared" ref="G45:N45" si="38">G39</f>
        <v>0.8</v>
      </c>
      <c r="H45" s="159"/>
      <c r="I45" s="159">
        <f t="shared" si="38"/>
        <v>4.5458517684292522E-2</v>
      </c>
      <c r="J45" s="159">
        <f t="shared" si="38"/>
        <v>116.81034482758621</v>
      </c>
      <c r="K45" s="159">
        <f t="shared" si="38"/>
        <v>5.5172413793103452</v>
      </c>
      <c r="L45" s="159">
        <f t="shared" si="38"/>
        <v>116.81034482758621</v>
      </c>
      <c r="M45" s="159">
        <f t="shared" si="38"/>
        <v>5.5172413793103452</v>
      </c>
      <c r="N45" s="159">
        <f t="shared" si="38"/>
        <v>10</v>
      </c>
      <c r="O45" s="45">
        <v>31.54</v>
      </c>
      <c r="R45" s="155">
        <v>15</v>
      </c>
      <c r="U45" s="42" t="s">
        <v>312</v>
      </c>
      <c r="W45" s="42" t="s">
        <v>98</v>
      </c>
      <c r="X45" s="42" t="s">
        <v>99</v>
      </c>
    </row>
    <row r="46" spans="2:24">
      <c r="B46" s="42" t="s">
        <v>313</v>
      </c>
      <c r="C46" s="42" t="s">
        <v>289</v>
      </c>
      <c r="D46" s="42"/>
      <c r="E46" s="42" t="s">
        <v>311</v>
      </c>
      <c r="F46">
        <v>2021</v>
      </c>
      <c r="G46" s="159">
        <f t="shared" ref="G46:N46" si="39">G40</f>
        <v>0.8</v>
      </c>
      <c r="H46" s="159"/>
      <c r="I46" s="159">
        <f t="shared" si="39"/>
        <v>4.5458517684292522E-2</v>
      </c>
      <c r="J46" s="159">
        <f t="shared" si="39"/>
        <v>69.545454545454547</v>
      </c>
      <c r="K46" s="159">
        <f t="shared" si="39"/>
        <v>2.2727272727272729</v>
      </c>
      <c r="L46" s="159">
        <f t="shared" si="39"/>
        <v>69.545454545454547</v>
      </c>
      <c r="M46" s="159">
        <f t="shared" si="39"/>
        <v>2.2727272727272729</v>
      </c>
      <c r="N46" s="159">
        <f t="shared" si="39"/>
        <v>13</v>
      </c>
      <c r="O46" s="45">
        <v>31.54</v>
      </c>
      <c r="R46" s="155">
        <v>15</v>
      </c>
      <c r="U46" s="42" t="s">
        <v>313</v>
      </c>
      <c r="W46" s="42" t="s">
        <v>98</v>
      </c>
      <c r="X46" s="42" t="s">
        <v>99</v>
      </c>
    </row>
    <row r="47" spans="2:24">
      <c r="B47" s="42" t="s">
        <v>314</v>
      </c>
      <c r="C47" s="42" t="s">
        <v>291</v>
      </c>
      <c r="D47" s="42"/>
      <c r="E47" s="42" t="s">
        <v>311</v>
      </c>
      <c r="F47">
        <v>2021</v>
      </c>
      <c r="G47" s="159">
        <f t="shared" ref="G47:N47" si="40">G41</f>
        <v>0.8</v>
      </c>
      <c r="H47" s="159"/>
      <c r="I47" s="159">
        <f t="shared" si="40"/>
        <v>4.5458517684292522E-2</v>
      </c>
      <c r="J47" s="159">
        <f t="shared" si="40"/>
        <v>69.545454545454547</v>
      </c>
      <c r="K47" s="159">
        <f t="shared" si="40"/>
        <v>2.2727272727272729</v>
      </c>
      <c r="L47" s="159">
        <f t="shared" si="40"/>
        <v>69.545454545454547</v>
      </c>
      <c r="M47" s="159">
        <f t="shared" si="40"/>
        <v>2.2727272727272729</v>
      </c>
      <c r="N47" s="159">
        <f t="shared" si="40"/>
        <v>13</v>
      </c>
      <c r="O47" s="45">
        <v>31.54</v>
      </c>
      <c r="R47" s="155">
        <v>15</v>
      </c>
      <c r="U47" s="42" t="s">
        <v>314</v>
      </c>
      <c r="W47" s="42" t="s">
        <v>98</v>
      </c>
      <c r="X47" s="42" t="s">
        <v>99</v>
      </c>
    </row>
    <row r="48" spans="2:24">
      <c r="B48" s="42" t="s">
        <v>315</v>
      </c>
      <c r="C48" s="42" t="s">
        <v>293</v>
      </c>
      <c r="D48" s="42"/>
      <c r="E48" s="42" t="s">
        <v>311</v>
      </c>
      <c r="F48">
        <v>2021</v>
      </c>
      <c r="G48" s="159">
        <f t="shared" ref="G48:N48" si="41">G42</f>
        <v>0.98</v>
      </c>
      <c r="H48" s="159"/>
      <c r="I48" s="159">
        <f t="shared" si="41"/>
        <v>4.5458517684292522E-2</v>
      </c>
      <c r="J48" s="159">
        <f t="shared" si="41"/>
        <v>72.424242424242422</v>
      </c>
      <c r="K48" s="159">
        <f t="shared" si="41"/>
        <v>0.78787878787878785</v>
      </c>
      <c r="L48" s="159">
        <f t="shared" si="41"/>
        <v>72.424242424242422</v>
      </c>
      <c r="M48" s="159">
        <f t="shared" si="41"/>
        <v>0.78787878787878785</v>
      </c>
      <c r="N48" s="159">
        <f t="shared" si="41"/>
        <v>15</v>
      </c>
      <c r="O48" s="45">
        <v>31.54</v>
      </c>
      <c r="R48" s="155">
        <v>15</v>
      </c>
      <c r="U48" s="42" t="s">
        <v>315</v>
      </c>
      <c r="W48" s="42" t="s">
        <v>98</v>
      </c>
      <c r="X48" s="42" t="s">
        <v>99</v>
      </c>
    </row>
    <row r="49" spans="2:24">
      <c r="B49" s="42" t="s">
        <v>316</v>
      </c>
      <c r="C49" s="42" t="s">
        <v>295</v>
      </c>
      <c r="D49" s="42"/>
      <c r="E49" s="42" t="s">
        <v>311</v>
      </c>
      <c r="F49">
        <v>2021</v>
      </c>
      <c r="G49" s="159">
        <f t="shared" ref="G49:N49" si="42">G43</f>
        <v>0.87199999999999989</v>
      </c>
      <c r="H49" s="159"/>
      <c r="I49" s="159">
        <f t="shared" si="42"/>
        <v>4.5458517684292522E-2</v>
      </c>
      <c r="J49" s="159">
        <f t="shared" si="42"/>
        <v>117.77621037965864</v>
      </c>
      <c r="K49" s="159">
        <f t="shared" si="42"/>
        <v>2.7256704980842916</v>
      </c>
      <c r="L49" s="159">
        <f t="shared" si="42"/>
        <v>117.77621037965864</v>
      </c>
      <c r="M49" s="159">
        <f t="shared" si="42"/>
        <v>2.7256704980842916</v>
      </c>
      <c r="N49" s="159">
        <f t="shared" si="42"/>
        <v>12.6</v>
      </c>
      <c r="O49" s="45">
        <v>31.54</v>
      </c>
      <c r="R49" s="155">
        <v>15</v>
      </c>
      <c r="U49" s="42" t="s">
        <v>316</v>
      </c>
      <c r="W49" s="42" t="s">
        <v>98</v>
      </c>
      <c r="X49" s="42" t="s">
        <v>99</v>
      </c>
    </row>
    <row r="50" spans="2:24">
      <c r="B50" s="42" t="s">
        <v>317</v>
      </c>
      <c r="C50" s="42" t="s">
        <v>244</v>
      </c>
      <c r="D50" s="42"/>
      <c r="E50" s="42" t="s">
        <v>318</v>
      </c>
      <c r="F50">
        <v>2021</v>
      </c>
      <c r="G50" s="159">
        <f t="shared" ref="G50:N50" si="43">G44</f>
        <v>0.98</v>
      </c>
      <c r="H50" s="159"/>
      <c r="I50" s="159">
        <f t="shared" si="43"/>
        <v>4.5458517684292522E-2</v>
      </c>
      <c r="J50" s="159">
        <f t="shared" si="43"/>
        <v>260.55555555555554</v>
      </c>
      <c r="K50" s="159">
        <f t="shared" si="43"/>
        <v>2.7777777777777777</v>
      </c>
      <c r="L50" s="159">
        <f t="shared" si="43"/>
        <v>260.55555555555554</v>
      </c>
      <c r="M50" s="159">
        <f t="shared" si="43"/>
        <v>2.7777777777777777</v>
      </c>
      <c r="N50" s="159">
        <f t="shared" si="43"/>
        <v>12</v>
      </c>
      <c r="O50" s="45">
        <v>31.54</v>
      </c>
      <c r="R50" s="155">
        <v>15</v>
      </c>
      <c r="U50" s="42" t="s">
        <v>317</v>
      </c>
      <c r="W50" s="42" t="s">
        <v>98</v>
      </c>
      <c r="X50" s="42" t="s">
        <v>99</v>
      </c>
    </row>
    <row r="51" spans="2:24">
      <c r="B51" s="42" t="s">
        <v>319</v>
      </c>
      <c r="C51" s="42" t="s">
        <v>287</v>
      </c>
      <c r="D51" s="42"/>
      <c r="E51" s="42" t="s">
        <v>318</v>
      </c>
      <c r="F51">
        <v>2021</v>
      </c>
      <c r="G51" s="159">
        <f t="shared" ref="G51:N51" si="44">G45</f>
        <v>0.8</v>
      </c>
      <c r="H51" s="159"/>
      <c r="I51" s="159">
        <f t="shared" si="44"/>
        <v>4.5458517684292522E-2</v>
      </c>
      <c r="J51" s="159">
        <f t="shared" si="44"/>
        <v>116.81034482758621</v>
      </c>
      <c r="K51" s="159">
        <f t="shared" si="44"/>
        <v>5.5172413793103452</v>
      </c>
      <c r="L51" s="159">
        <f t="shared" si="44"/>
        <v>116.81034482758621</v>
      </c>
      <c r="M51" s="159">
        <f t="shared" si="44"/>
        <v>5.5172413793103452</v>
      </c>
      <c r="N51" s="159">
        <f t="shared" si="44"/>
        <v>10</v>
      </c>
      <c r="O51" s="45">
        <v>31.54</v>
      </c>
      <c r="R51" s="155">
        <v>15</v>
      </c>
      <c r="U51" s="42" t="s">
        <v>319</v>
      </c>
      <c r="W51" s="42" t="s">
        <v>98</v>
      </c>
      <c r="X51" s="42" t="s">
        <v>99</v>
      </c>
    </row>
    <row r="52" spans="2:24">
      <c r="B52" s="42" t="s">
        <v>320</v>
      </c>
      <c r="C52" s="42" t="s">
        <v>289</v>
      </c>
      <c r="D52" s="42"/>
      <c r="E52" s="42" t="s">
        <v>318</v>
      </c>
      <c r="F52">
        <v>2021</v>
      </c>
      <c r="G52" s="159">
        <f t="shared" ref="G52:N52" si="45">G46</f>
        <v>0.8</v>
      </c>
      <c r="H52" s="159"/>
      <c r="I52" s="159">
        <f t="shared" si="45"/>
        <v>4.5458517684292522E-2</v>
      </c>
      <c r="J52" s="159">
        <f t="shared" si="45"/>
        <v>69.545454545454547</v>
      </c>
      <c r="K52" s="159">
        <f t="shared" si="45"/>
        <v>2.2727272727272729</v>
      </c>
      <c r="L52" s="159">
        <f t="shared" si="45"/>
        <v>69.545454545454547</v>
      </c>
      <c r="M52" s="159">
        <f t="shared" si="45"/>
        <v>2.2727272727272729</v>
      </c>
      <c r="N52" s="159">
        <f t="shared" si="45"/>
        <v>13</v>
      </c>
      <c r="O52" s="45">
        <v>31.54</v>
      </c>
      <c r="R52" s="155">
        <v>15</v>
      </c>
      <c r="U52" s="42" t="s">
        <v>320</v>
      </c>
      <c r="W52" s="42" t="s">
        <v>98</v>
      </c>
      <c r="X52" s="42" t="s">
        <v>99</v>
      </c>
    </row>
    <row r="53" spans="2:24">
      <c r="B53" s="42" t="s">
        <v>321</v>
      </c>
      <c r="C53" s="42" t="s">
        <v>291</v>
      </c>
      <c r="D53" s="42"/>
      <c r="E53" s="42" t="s">
        <v>318</v>
      </c>
      <c r="F53">
        <v>2021</v>
      </c>
      <c r="G53" s="159">
        <f t="shared" ref="G53:N53" si="46">G47</f>
        <v>0.8</v>
      </c>
      <c r="H53" s="159"/>
      <c r="I53" s="159">
        <f t="shared" si="46"/>
        <v>4.5458517684292522E-2</v>
      </c>
      <c r="J53" s="159">
        <f t="shared" si="46"/>
        <v>69.545454545454547</v>
      </c>
      <c r="K53" s="159">
        <f t="shared" si="46"/>
        <v>2.2727272727272729</v>
      </c>
      <c r="L53" s="159">
        <f t="shared" si="46"/>
        <v>69.545454545454547</v>
      </c>
      <c r="M53" s="159">
        <f t="shared" si="46"/>
        <v>2.2727272727272729</v>
      </c>
      <c r="N53" s="159">
        <f t="shared" si="46"/>
        <v>13</v>
      </c>
      <c r="O53" s="45">
        <v>31.54</v>
      </c>
      <c r="R53" s="155">
        <v>15</v>
      </c>
      <c r="U53" s="42" t="s">
        <v>321</v>
      </c>
      <c r="W53" s="42" t="s">
        <v>98</v>
      </c>
      <c r="X53" s="42" t="s">
        <v>99</v>
      </c>
    </row>
    <row r="54" spans="2:24">
      <c r="B54" s="42" t="s">
        <v>322</v>
      </c>
      <c r="C54" s="42" t="s">
        <v>293</v>
      </c>
      <c r="D54" s="42"/>
      <c r="E54" s="42" t="s">
        <v>318</v>
      </c>
      <c r="F54">
        <v>2021</v>
      </c>
      <c r="G54" s="159">
        <f t="shared" ref="G54:N54" si="47">G48</f>
        <v>0.98</v>
      </c>
      <c r="H54" s="159"/>
      <c r="I54" s="159">
        <f t="shared" si="47"/>
        <v>4.5458517684292522E-2</v>
      </c>
      <c r="J54" s="159">
        <f t="shared" si="47"/>
        <v>72.424242424242422</v>
      </c>
      <c r="K54" s="159">
        <f t="shared" si="47"/>
        <v>0.78787878787878785</v>
      </c>
      <c r="L54" s="159">
        <f t="shared" si="47"/>
        <v>72.424242424242422</v>
      </c>
      <c r="M54" s="159">
        <f t="shared" si="47"/>
        <v>0.78787878787878785</v>
      </c>
      <c r="N54" s="159">
        <f t="shared" si="47"/>
        <v>15</v>
      </c>
      <c r="O54" s="45">
        <v>31.54</v>
      </c>
      <c r="R54" s="155">
        <v>15</v>
      </c>
      <c r="U54" s="42" t="s">
        <v>322</v>
      </c>
      <c r="W54" s="42" t="s">
        <v>98</v>
      </c>
      <c r="X54" s="42" t="s">
        <v>99</v>
      </c>
    </row>
    <row r="55" spans="2:24">
      <c r="B55" s="42" t="s">
        <v>323</v>
      </c>
      <c r="C55" s="42" t="s">
        <v>295</v>
      </c>
      <c r="D55" s="42"/>
      <c r="E55" s="42" t="s">
        <v>318</v>
      </c>
      <c r="F55">
        <v>2021</v>
      </c>
      <c r="G55" s="159">
        <f t="shared" ref="G55:N55" si="48">G49</f>
        <v>0.87199999999999989</v>
      </c>
      <c r="H55" s="159"/>
      <c r="I55" s="159">
        <f t="shared" si="48"/>
        <v>4.5458517684292522E-2</v>
      </c>
      <c r="J55" s="159">
        <f t="shared" si="48"/>
        <v>117.77621037965864</v>
      </c>
      <c r="K55" s="159">
        <f t="shared" si="48"/>
        <v>2.7256704980842916</v>
      </c>
      <c r="L55" s="159">
        <f t="shared" si="48"/>
        <v>117.77621037965864</v>
      </c>
      <c r="M55" s="159">
        <f t="shared" si="48"/>
        <v>2.7256704980842916</v>
      </c>
      <c r="N55" s="159">
        <f t="shared" si="48"/>
        <v>12.6</v>
      </c>
      <c r="O55" s="45">
        <v>31.54</v>
      </c>
      <c r="R55" s="155">
        <v>15</v>
      </c>
      <c r="U55" s="42" t="s">
        <v>323</v>
      </c>
      <c r="W55" s="42" t="s">
        <v>98</v>
      </c>
      <c r="X55" s="42" t="s">
        <v>99</v>
      </c>
    </row>
    <row r="56" spans="2:24">
      <c r="B56" s="42" t="s">
        <v>324</v>
      </c>
      <c r="C56" s="42" t="s">
        <v>244</v>
      </c>
      <c r="D56" s="42"/>
      <c r="E56" s="42" t="s">
        <v>325</v>
      </c>
      <c r="F56">
        <v>2021</v>
      </c>
      <c r="G56" s="159">
        <f t="shared" ref="G56:N56" si="49">G50</f>
        <v>0.98</v>
      </c>
      <c r="H56" s="159"/>
      <c r="I56" s="159">
        <f t="shared" si="49"/>
        <v>4.5458517684292522E-2</v>
      </c>
      <c r="J56" s="159">
        <f t="shared" si="49"/>
        <v>260.55555555555554</v>
      </c>
      <c r="K56" s="159">
        <f t="shared" si="49"/>
        <v>2.7777777777777777</v>
      </c>
      <c r="L56" s="159">
        <f t="shared" si="49"/>
        <v>260.55555555555554</v>
      </c>
      <c r="M56" s="159">
        <f t="shared" si="49"/>
        <v>2.7777777777777777</v>
      </c>
      <c r="N56" s="159">
        <f t="shared" si="49"/>
        <v>12</v>
      </c>
      <c r="O56" s="45">
        <v>31.54</v>
      </c>
      <c r="R56" s="155">
        <v>15</v>
      </c>
      <c r="U56" s="42" t="s">
        <v>324</v>
      </c>
      <c r="W56" s="42" t="s">
        <v>98</v>
      </c>
      <c r="X56" s="42" t="s">
        <v>99</v>
      </c>
    </row>
    <row r="57" spans="2:24">
      <c r="B57" s="42" t="s">
        <v>326</v>
      </c>
      <c r="C57" s="42" t="s">
        <v>287</v>
      </c>
      <c r="D57" s="42"/>
      <c r="E57" s="42" t="s">
        <v>325</v>
      </c>
      <c r="F57">
        <v>2021</v>
      </c>
      <c r="G57" s="159">
        <f t="shared" ref="G57:N57" si="50">G51</f>
        <v>0.8</v>
      </c>
      <c r="H57" s="159"/>
      <c r="I57" s="159">
        <f t="shared" si="50"/>
        <v>4.5458517684292522E-2</v>
      </c>
      <c r="J57" s="159">
        <f t="shared" si="50"/>
        <v>116.81034482758621</v>
      </c>
      <c r="K57" s="159">
        <f t="shared" si="50"/>
        <v>5.5172413793103452</v>
      </c>
      <c r="L57" s="159">
        <f t="shared" si="50"/>
        <v>116.81034482758621</v>
      </c>
      <c r="M57" s="159">
        <f t="shared" si="50"/>
        <v>5.5172413793103452</v>
      </c>
      <c r="N57" s="159">
        <f t="shared" si="50"/>
        <v>10</v>
      </c>
      <c r="O57" s="45">
        <v>31.54</v>
      </c>
      <c r="R57" s="155">
        <v>15</v>
      </c>
      <c r="U57" s="42" t="s">
        <v>326</v>
      </c>
      <c r="W57" s="42" t="s">
        <v>98</v>
      </c>
      <c r="X57" s="42" t="s">
        <v>99</v>
      </c>
    </row>
    <row r="58" spans="2:24">
      <c r="B58" s="42" t="s">
        <v>327</v>
      </c>
      <c r="C58" s="42" t="s">
        <v>289</v>
      </c>
      <c r="D58" s="42"/>
      <c r="E58" s="42" t="s">
        <v>325</v>
      </c>
      <c r="F58">
        <v>2021</v>
      </c>
      <c r="G58" s="159">
        <f t="shared" ref="G58:N58" si="51">G52</f>
        <v>0.8</v>
      </c>
      <c r="H58" s="159"/>
      <c r="I58" s="159">
        <f t="shared" si="51"/>
        <v>4.5458517684292522E-2</v>
      </c>
      <c r="J58" s="159">
        <f t="shared" si="51"/>
        <v>69.545454545454547</v>
      </c>
      <c r="K58" s="159">
        <f t="shared" si="51"/>
        <v>2.2727272727272729</v>
      </c>
      <c r="L58" s="159">
        <f t="shared" si="51"/>
        <v>69.545454545454547</v>
      </c>
      <c r="M58" s="159">
        <f t="shared" si="51"/>
        <v>2.2727272727272729</v>
      </c>
      <c r="N58" s="159">
        <f t="shared" si="51"/>
        <v>13</v>
      </c>
      <c r="O58" s="45">
        <v>31.54</v>
      </c>
      <c r="R58" s="155">
        <v>15</v>
      </c>
      <c r="U58" s="42" t="s">
        <v>327</v>
      </c>
      <c r="W58" s="42" t="s">
        <v>98</v>
      </c>
      <c r="X58" s="42" t="s">
        <v>99</v>
      </c>
    </row>
    <row r="59" spans="2:24">
      <c r="B59" s="42" t="s">
        <v>328</v>
      </c>
      <c r="C59" s="42" t="s">
        <v>291</v>
      </c>
      <c r="D59" s="42"/>
      <c r="E59" s="42" t="s">
        <v>325</v>
      </c>
      <c r="F59">
        <v>2021</v>
      </c>
      <c r="G59" s="159">
        <f t="shared" ref="G59:N59" si="52">G53</f>
        <v>0.8</v>
      </c>
      <c r="H59" s="159"/>
      <c r="I59" s="159">
        <f t="shared" si="52"/>
        <v>4.5458517684292522E-2</v>
      </c>
      <c r="J59" s="159">
        <f t="shared" si="52"/>
        <v>69.545454545454547</v>
      </c>
      <c r="K59" s="159">
        <f t="shared" si="52"/>
        <v>2.2727272727272729</v>
      </c>
      <c r="L59" s="159">
        <f t="shared" si="52"/>
        <v>69.545454545454547</v>
      </c>
      <c r="M59" s="159">
        <f t="shared" si="52"/>
        <v>2.2727272727272729</v>
      </c>
      <c r="N59" s="159">
        <f t="shared" si="52"/>
        <v>13</v>
      </c>
      <c r="O59" s="45">
        <v>31.54</v>
      </c>
      <c r="R59" s="155">
        <v>15</v>
      </c>
      <c r="U59" s="42" t="s">
        <v>328</v>
      </c>
      <c r="W59" s="42" t="s">
        <v>98</v>
      </c>
      <c r="X59" s="42" t="s">
        <v>99</v>
      </c>
    </row>
    <row r="60" spans="2:24">
      <c r="B60" s="42" t="s">
        <v>329</v>
      </c>
      <c r="C60" s="42" t="s">
        <v>293</v>
      </c>
      <c r="D60" s="42"/>
      <c r="E60" s="42" t="s">
        <v>325</v>
      </c>
      <c r="F60">
        <v>2021</v>
      </c>
      <c r="G60" s="159">
        <f t="shared" ref="G60:N60" si="53">G54</f>
        <v>0.98</v>
      </c>
      <c r="H60" s="159"/>
      <c r="I60" s="159">
        <f t="shared" si="53"/>
        <v>4.5458517684292522E-2</v>
      </c>
      <c r="J60" s="159">
        <f t="shared" si="53"/>
        <v>72.424242424242422</v>
      </c>
      <c r="K60" s="159">
        <f t="shared" si="53"/>
        <v>0.78787878787878785</v>
      </c>
      <c r="L60" s="159">
        <f t="shared" si="53"/>
        <v>72.424242424242422</v>
      </c>
      <c r="M60" s="159">
        <f t="shared" si="53"/>
        <v>0.78787878787878785</v>
      </c>
      <c r="N60" s="159">
        <f t="shared" si="53"/>
        <v>15</v>
      </c>
      <c r="O60" s="45">
        <v>31.54</v>
      </c>
      <c r="R60" s="155">
        <v>15</v>
      </c>
      <c r="U60" s="42" t="s">
        <v>329</v>
      </c>
      <c r="W60" s="42" t="s">
        <v>98</v>
      </c>
      <c r="X60" s="42" t="s">
        <v>99</v>
      </c>
    </row>
    <row r="61" spans="2:24">
      <c r="B61" s="42" t="s">
        <v>330</v>
      </c>
      <c r="C61" s="42" t="s">
        <v>295</v>
      </c>
      <c r="D61" s="42"/>
      <c r="E61" s="42" t="s">
        <v>325</v>
      </c>
      <c r="F61">
        <v>2021</v>
      </c>
      <c r="G61" s="159">
        <f t="shared" ref="G61:N61" si="54">G55</f>
        <v>0.87199999999999989</v>
      </c>
      <c r="H61" s="159"/>
      <c r="I61" s="159">
        <f t="shared" si="54"/>
        <v>4.5458517684292522E-2</v>
      </c>
      <c r="J61" s="159">
        <f t="shared" si="54"/>
        <v>117.77621037965864</v>
      </c>
      <c r="K61" s="159">
        <f t="shared" si="54"/>
        <v>2.7256704980842916</v>
      </c>
      <c r="L61" s="159">
        <f t="shared" si="54"/>
        <v>117.77621037965864</v>
      </c>
      <c r="M61" s="159">
        <f t="shared" si="54"/>
        <v>2.7256704980842916</v>
      </c>
      <c r="N61" s="159">
        <f t="shared" si="54"/>
        <v>12.6</v>
      </c>
      <c r="O61" s="45">
        <v>31.54</v>
      </c>
      <c r="R61" s="155">
        <v>15</v>
      </c>
      <c r="U61" s="42" t="s">
        <v>330</v>
      </c>
      <c r="W61" s="42" t="s">
        <v>98</v>
      </c>
      <c r="X61" s="42" t="s">
        <v>99</v>
      </c>
    </row>
    <row r="62" spans="2:24">
      <c r="B62" s="42" t="s">
        <v>331</v>
      </c>
      <c r="C62" s="42" t="s">
        <v>244</v>
      </c>
      <c r="D62" s="42"/>
      <c r="E62" s="42" t="s">
        <v>332</v>
      </c>
      <c r="F62">
        <v>2021</v>
      </c>
      <c r="G62" s="159">
        <f t="shared" ref="G62:N62" si="55">G56</f>
        <v>0.98</v>
      </c>
      <c r="H62" s="159"/>
      <c r="I62" s="159">
        <f t="shared" si="55"/>
        <v>4.5458517684292522E-2</v>
      </c>
      <c r="J62" s="159">
        <f t="shared" si="55"/>
        <v>260.55555555555554</v>
      </c>
      <c r="K62" s="159">
        <f t="shared" si="55"/>
        <v>2.7777777777777777</v>
      </c>
      <c r="L62" s="159">
        <f t="shared" si="55"/>
        <v>260.55555555555554</v>
      </c>
      <c r="M62" s="159">
        <f t="shared" si="55"/>
        <v>2.7777777777777777</v>
      </c>
      <c r="N62" s="159">
        <f t="shared" si="55"/>
        <v>12</v>
      </c>
      <c r="O62" s="45">
        <v>31.54</v>
      </c>
      <c r="R62" s="155">
        <v>15</v>
      </c>
      <c r="U62" s="42" t="s">
        <v>331</v>
      </c>
      <c r="W62" s="42" t="s">
        <v>98</v>
      </c>
      <c r="X62" s="42" t="s">
        <v>99</v>
      </c>
    </row>
    <row r="63" spans="2:24">
      <c r="B63" s="42" t="s">
        <v>333</v>
      </c>
      <c r="C63" s="42" t="s">
        <v>287</v>
      </c>
      <c r="D63" s="42"/>
      <c r="E63" s="42" t="s">
        <v>332</v>
      </c>
      <c r="F63">
        <v>2021</v>
      </c>
      <c r="G63" s="159">
        <f t="shared" ref="G63:N63" si="56">G57</f>
        <v>0.8</v>
      </c>
      <c r="H63" s="159"/>
      <c r="I63" s="159">
        <f t="shared" si="56"/>
        <v>4.5458517684292522E-2</v>
      </c>
      <c r="J63" s="159">
        <f t="shared" si="56"/>
        <v>116.81034482758621</v>
      </c>
      <c r="K63" s="159">
        <f t="shared" si="56"/>
        <v>5.5172413793103452</v>
      </c>
      <c r="L63" s="159">
        <f t="shared" si="56"/>
        <v>116.81034482758621</v>
      </c>
      <c r="M63" s="159">
        <f t="shared" si="56"/>
        <v>5.5172413793103452</v>
      </c>
      <c r="N63" s="159">
        <f t="shared" si="56"/>
        <v>10</v>
      </c>
      <c r="O63" s="45">
        <v>31.54</v>
      </c>
      <c r="R63" s="155">
        <v>15</v>
      </c>
      <c r="U63" s="42" t="s">
        <v>333</v>
      </c>
      <c r="W63" s="42" t="s">
        <v>98</v>
      </c>
      <c r="X63" s="42" t="s">
        <v>99</v>
      </c>
    </row>
    <row r="64" spans="2:24">
      <c r="B64" s="42" t="s">
        <v>334</v>
      </c>
      <c r="C64" s="42" t="s">
        <v>289</v>
      </c>
      <c r="D64" s="42"/>
      <c r="E64" s="42" t="s">
        <v>332</v>
      </c>
      <c r="F64">
        <v>2021</v>
      </c>
      <c r="G64" s="159">
        <f t="shared" ref="G64:N64" si="57">G58</f>
        <v>0.8</v>
      </c>
      <c r="H64" s="159"/>
      <c r="I64" s="159">
        <f t="shared" si="57"/>
        <v>4.5458517684292522E-2</v>
      </c>
      <c r="J64" s="159">
        <f t="shared" si="57"/>
        <v>69.545454545454547</v>
      </c>
      <c r="K64" s="159">
        <f t="shared" si="57"/>
        <v>2.2727272727272729</v>
      </c>
      <c r="L64" s="159">
        <f t="shared" si="57"/>
        <v>69.545454545454547</v>
      </c>
      <c r="M64" s="159">
        <f t="shared" si="57"/>
        <v>2.2727272727272729</v>
      </c>
      <c r="N64" s="159">
        <f t="shared" si="57"/>
        <v>13</v>
      </c>
      <c r="O64" s="45">
        <v>31.54</v>
      </c>
      <c r="R64" s="155">
        <v>15</v>
      </c>
      <c r="U64" s="42" t="s">
        <v>334</v>
      </c>
      <c r="W64" s="42" t="s">
        <v>98</v>
      </c>
      <c r="X64" s="42" t="s">
        <v>99</v>
      </c>
    </row>
    <row r="65" spans="2:24">
      <c r="B65" s="42" t="s">
        <v>335</v>
      </c>
      <c r="C65" s="42" t="s">
        <v>291</v>
      </c>
      <c r="D65" s="42"/>
      <c r="E65" s="42" t="s">
        <v>332</v>
      </c>
      <c r="F65">
        <v>2021</v>
      </c>
      <c r="G65" s="159">
        <f t="shared" ref="G65:N65" si="58">G59</f>
        <v>0.8</v>
      </c>
      <c r="H65" s="159"/>
      <c r="I65" s="159">
        <f t="shared" si="58"/>
        <v>4.5458517684292522E-2</v>
      </c>
      <c r="J65" s="159">
        <f t="shared" si="58"/>
        <v>69.545454545454547</v>
      </c>
      <c r="K65" s="159">
        <f t="shared" si="58"/>
        <v>2.2727272727272729</v>
      </c>
      <c r="L65" s="159">
        <f t="shared" si="58"/>
        <v>69.545454545454547</v>
      </c>
      <c r="M65" s="159">
        <f t="shared" si="58"/>
        <v>2.2727272727272729</v>
      </c>
      <c r="N65" s="159">
        <f t="shared" si="58"/>
        <v>13</v>
      </c>
      <c r="O65" s="45">
        <v>31.54</v>
      </c>
      <c r="R65" s="155">
        <v>15</v>
      </c>
      <c r="U65" s="42" t="s">
        <v>335</v>
      </c>
      <c r="W65" s="42" t="s">
        <v>98</v>
      </c>
      <c r="X65" s="42" t="s">
        <v>99</v>
      </c>
    </row>
    <row r="66" spans="2:24">
      <c r="B66" s="42" t="s">
        <v>336</v>
      </c>
      <c r="C66" s="42" t="s">
        <v>293</v>
      </c>
      <c r="D66" s="42"/>
      <c r="E66" s="42" t="s">
        <v>332</v>
      </c>
      <c r="F66">
        <v>2021</v>
      </c>
      <c r="G66" s="159">
        <f t="shared" ref="G66:N66" si="59">G60</f>
        <v>0.98</v>
      </c>
      <c r="H66" s="159"/>
      <c r="I66" s="159">
        <f t="shared" si="59"/>
        <v>4.5458517684292522E-2</v>
      </c>
      <c r="J66" s="159">
        <f t="shared" si="59"/>
        <v>72.424242424242422</v>
      </c>
      <c r="K66" s="159">
        <f t="shared" si="59"/>
        <v>0.78787878787878785</v>
      </c>
      <c r="L66" s="159">
        <f t="shared" si="59"/>
        <v>72.424242424242422</v>
      </c>
      <c r="M66" s="159">
        <f t="shared" si="59"/>
        <v>0.78787878787878785</v>
      </c>
      <c r="N66" s="159">
        <f t="shared" si="59"/>
        <v>15</v>
      </c>
      <c r="O66" s="45">
        <v>31.54</v>
      </c>
      <c r="R66" s="155">
        <v>15</v>
      </c>
      <c r="U66" s="42" t="s">
        <v>336</v>
      </c>
      <c r="W66" s="42" t="s">
        <v>98</v>
      </c>
      <c r="X66" s="42" t="s">
        <v>99</v>
      </c>
    </row>
    <row r="67" spans="2:24">
      <c r="B67" s="42" t="s">
        <v>337</v>
      </c>
      <c r="C67" s="42" t="s">
        <v>295</v>
      </c>
      <c r="D67" s="42"/>
      <c r="E67" s="42" t="s">
        <v>332</v>
      </c>
      <c r="F67">
        <v>2021</v>
      </c>
      <c r="G67" s="159">
        <f t="shared" ref="G67:N67" si="60">G61</f>
        <v>0.87199999999999989</v>
      </c>
      <c r="H67" s="159"/>
      <c r="I67" s="159">
        <f t="shared" si="60"/>
        <v>4.5458517684292522E-2</v>
      </c>
      <c r="J67" s="159">
        <f t="shared" si="60"/>
        <v>117.77621037965864</v>
      </c>
      <c r="K67" s="159">
        <f t="shared" si="60"/>
        <v>2.7256704980842916</v>
      </c>
      <c r="L67" s="159">
        <f t="shared" si="60"/>
        <v>117.77621037965864</v>
      </c>
      <c r="M67" s="159">
        <f t="shared" si="60"/>
        <v>2.7256704980842916</v>
      </c>
      <c r="N67" s="159">
        <f t="shared" si="60"/>
        <v>12.6</v>
      </c>
      <c r="O67" s="45">
        <v>31.54</v>
      </c>
      <c r="R67" s="155">
        <v>15</v>
      </c>
      <c r="U67" s="42" t="s">
        <v>337</v>
      </c>
      <c r="W67" s="42" t="s">
        <v>98</v>
      </c>
      <c r="X67" s="42" t="s">
        <v>99</v>
      </c>
    </row>
    <row r="68" spans="2:24">
      <c r="B68" s="42" t="s">
        <v>338</v>
      </c>
      <c r="C68" s="42" t="s">
        <v>244</v>
      </c>
      <c r="D68" s="42"/>
      <c r="E68" s="42" t="s">
        <v>339</v>
      </c>
      <c r="F68">
        <v>2021</v>
      </c>
      <c r="G68" s="159">
        <f t="shared" ref="G68:N68" si="61">G62</f>
        <v>0.98</v>
      </c>
      <c r="H68" s="159"/>
      <c r="I68" s="159">
        <f t="shared" si="61"/>
        <v>4.5458517684292522E-2</v>
      </c>
      <c r="J68" s="159">
        <f t="shared" si="61"/>
        <v>260.55555555555554</v>
      </c>
      <c r="K68" s="159">
        <f t="shared" si="61"/>
        <v>2.7777777777777777</v>
      </c>
      <c r="L68" s="159">
        <f t="shared" si="61"/>
        <v>260.55555555555554</v>
      </c>
      <c r="M68" s="159">
        <f t="shared" si="61"/>
        <v>2.7777777777777777</v>
      </c>
      <c r="N68" s="159">
        <f t="shared" si="61"/>
        <v>12</v>
      </c>
      <c r="O68" s="45">
        <v>31.54</v>
      </c>
      <c r="R68" s="155">
        <v>15</v>
      </c>
      <c r="U68" s="42" t="s">
        <v>338</v>
      </c>
      <c r="W68" s="42" t="s">
        <v>98</v>
      </c>
      <c r="X68" s="42" t="s">
        <v>99</v>
      </c>
    </row>
    <row r="69" spans="2:24">
      <c r="B69" s="42" t="s">
        <v>340</v>
      </c>
      <c r="C69" s="42" t="s">
        <v>287</v>
      </c>
      <c r="D69" s="42"/>
      <c r="E69" s="42" t="s">
        <v>339</v>
      </c>
      <c r="F69">
        <v>2021</v>
      </c>
      <c r="G69" s="159">
        <f t="shared" ref="G69:N69" si="62">G63</f>
        <v>0.8</v>
      </c>
      <c r="H69" s="159"/>
      <c r="I69" s="159">
        <f t="shared" si="62"/>
        <v>4.5458517684292522E-2</v>
      </c>
      <c r="J69" s="159">
        <f t="shared" si="62"/>
        <v>116.81034482758621</v>
      </c>
      <c r="K69" s="159">
        <f t="shared" si="62"/>
        <v>5.5172413793103452</v>
      </c>
      <c r="L69" s="159">
        <f t="shared" si="62"/>
        <v>116.81034482758621</v>
      </c>
      <c r="M69" s="159">
        <f t="shared" si="62"/>
        <v>5.5172413793103452</v>
      </c>
      <c r="N69" s="159">
        <f t="shared" si="62"/>
        <v>10</v>
      </c>
      <c r="O69" s="45">
        <v>31.54</v>
      </c>
      <c r="R69" s="155">
        <v>15</v>
      </c>
      <c r="U69" s="42" t="s">
        <v>340</v>
      </c>
      <c r="W69" s="42" t="s">
        <v>98</v>
      </c>
      <c r="X69" s="42" t="s">
        <v>99</v>
      </c>
    </row>
    <row r="70" spans="2:24">
      <c r="B70" s="42" t="s">
        <v>341</v>
      </c>
      <c r="C70" s="42" t="s">
        <v>289</v>
      </c>
      <c r="D70" s="42"/>
      <c r="E70" s="42" t="s">
        <v>339</v>
      </c>
      <c r="F70">
        <v>2021</v>
      </c>
      <c r="G70" s="159">
        <f t="shared" ref="G70:N70" si="63">G64</f>
        <v>0.8</v>
      </c>
      <c r="H70" s="159"/>
      <c r="I70" s="159">
        <f t="shared" si="63"/>
        <v>4.5458517684292522E-2</v>
      </c>
      <c r="J70" s="159">
        <f t="shared" si="63"/>
        <v>69.545454545454547</v>
      </c>
      <c r="K70" s="159">
        <f t="shared" si="63"/>
        <v>2.2727272727272729</v>
      </c>
      <c r="L70" s="159">
        <f t="shared" si="63"/>
        <v>69.545454545454547</v>
      </c>
      <c r="M70" s="159">
        <f t="shared" si="63"/>
        <v>2.2727272727272729</v>
      </c>
      <c r="N70" s="159">
        <f t="shared" si="63"/>
        <v>13</v>
      </c>
      <c r="O70" s="45">
        <v>31.54</v>
      </c>
      <c r="R70" s="155">
        <v>15</v>
      </c>
      <c r="U70" s="42" t="s">
        <v>341</v>
      </c>
      <c r="W70" s="42" t="s">
        <v>98</v>
      </c>
      <c r="X70" s="42" t="s">
        <v>99</v>
      </c>
    </row>
    <row r="71" spans="2:24">
      <c r="B71" s="42" t="s">
        <v>342</v>
      </c>
      <c r="C71" s="42" t="s">
        <v>291</v>
      </c>
      <c r="D71" s="42"/>
      <c r="E71" s="42" t="s">
        <v>339</v>
      </c>
      <c r="F71">
        <v>2021</v>
      </c>
      <c r="G71" s="159">
        <f t="shared" ref="G71:N71" si="64">G65</f>
        <v>0.8</v>
      </c>
      <c r="H71" s="159"/>
      <c r="I71" s="159">
        <f t="shared" si="64"/>
        <v>4.5458517684292522E-2</v>
      </c>
      <c r="J71" s="159">
        <f t="shared" si="64"/>
        <v>69.545454545454547</v>
      </c>
      <c r="K71" s="159">
        <f t="shared" si="64"/>
        <v>2.2727272727272729</v>
      </c>
      <c r="L71" s="159">
        <f t="shared" si="64"/>
        <v>69.545454545454547</v>
      </c>
      <c r="M71" s="159">
        <f t="shared" si="64"/>
        <v>2.2727272727272729</v>
      </c>
      <c r="N71" s="159">
        <f t="shared" si="64"/>
        <v>13</v>
      </c>
      <c r="O71" s="45">
        <v>31.54</v>
      </c>
      <c r="R71" s="155">
        <v>15</v>
      </c>
      <c r="U71" s="42" t="s">
        <v>342</v>
      </c>
      <c r="W71" s="42" t="s">
        <v>98</v>
      </c>
      <c r="X71" s="42" t="s">
        <v>99</v>
      </c>
    </row>
    <row r="72" spans="2:24">
      <c r="B72" s="42" t="s">
        <v>343</v>
      </c>
      <c r="C72" s="42" t="s">
        <v>293</v>
      </c>
      <c r="D72" s="42"/>
      <c r="E72" s="42" t="s">
        <v>339</v>
      </c>
      <c r="F72">
        <v>2021</v>
      </c>
      <c r="G72" s="159">
        <f t="shared" ref="G72:N72" si="65">G66</f>
        <v>0.98</v>
      </c>
      <c r="H72" s="159"/>
      <c r="I72" s="159">
        <f t="shared" si="65"/>
        <v>4.5458517684292522E-2</v>
      </c>
      <c r="J72" s="159">
        <f t="shared" si="65"/>
        <v>72.424242424242422</v>
      </c>
      <c r="K72" s="159">
        <f t="shared" si="65"/>
        <v>0.78787878787878785</v>
      </c>
      <c r="L72" s="159">
        <f t="shared" si="65"/>
        <v>72.424242424242422</v>
      </c>
      <c r="M72" s="159">
        <f t="shared" si="65"/>
        <v>0.78787878787878785</v>
      </c>
      <c r="N72" s="159">
        <f t="shared" si="65"/>
        <v>15</v>
      </c>
      <c r="O72" s="45">
        <v>31.54</v>
      </c>
      <c r="R72" s="155">
        <v>15</v>
      </c>
      <c r="U72" s="42" t="s">
        <v>343</v>
      </c>
      <c r="W72" s="42" t="s">
        <v>98</v>
      </c>
      <c r="X72" s="42" t="s">
        <v>99</v>
      </c>
    </row>
    <row r="73" spans="2:24">
      <c r="B73" s="42" t="s">
        <v>344</v>
      </c>
      <c r="C73" s="42" t="s">
        <v>295</v>
      </c>
      <c r="D73" s="42"/>
      <c r="E73" s="42" t="s">
        <v>339</v>
      </c>
      <c r="F73">
        <v>2021</v>
      </c>
      <c r="G73" s="159">
        <f t="shared" ref="G73:N73" si="66">G67</f>
        <v>0.87199999999999989</v>
      </c>
      <c r="H73" s="159"/>
      <c r="I73" s="159">
        <f t="shared" si="66"/>
        <v>4.5458517684292522E-2</v>
      </c>
      <c r="J73" s="159">
        <f t="shared" si="66"/>
        <v>117.77621037965864</v>
      </c>
      <c r="K73" s="159">
        <f t="shared" si="66"/>
        <v>2.7256704980842916</v>
      </c>
      <c r="L73" s="159">
        <f t="shared" si="66"/>
        <v>117.77621037965864</v>
      </c>
      <c r="M73" s="159">
        <f t="shared" si="66"/>
        <v>2.7256704980842916</v>
      </c>
      <c r="N73" s="159">
        <f t="shared" si="66"/>
        <v>12.6</v>
      </c>
      <c r="O73" s="45">
        <v>31.54</v>
      </c>
      <c r="R73" s="155">
        <v>15</v>
      </c>
      <c r="U73" s="42" t="s">
        <v>344</v>
      </c>
      <c r="W73" s="42" t="s">
        <v>98</v>
      </c>
      <c r="X73" s="42" t="s">
        <v>99</v>
      </c>
    </row>
    <row r="74" spans="2:24">
      <c r="B74" s="42" t="s">
        <v>345</v>
      </c>
      <c r="C74" s="42" t="s">
        <v>244</v>
      </c>
      <c r="D74" s="42"/>
      <c r="E74" s="42" t="s">
        <v>346</v>
      </c>
      <c r="F74">
        <v>2021</v>
      </c>
      <c r="G74" s="159">
        <f t="shared" ref="G74:N74" si="67">G68</f>
        <v>0.98</v>
      </c>
      <c r="H74" s="159"/>
      <c r="I74" s="159">
        <f t="shared" si="67"/>
        <v>4.5458517684292522E-2</v>
      </c>
      <c r="J74" s="159">
        <f t="shared" si="67"/>
        <v>260.55555555555554</v>
      </c>
      <c r="K74" s="159">
        <f t="shared" si="67"/>
        <v>2.7777777777777777</v>
      </c>
      <c r="L74" s="159">
        <f t="shared" si="67"/>
        <v>260.55555555555554</v>
      </c>
      <c r="M74" s="159">
        <f t="shared" si="67"/>
        <v>2.7777777777777777</v>
      </c>
      <c r="N74" s="159">
        <f t="shared" si="67"/>
        <v>12</v>
      </c>
      <c r="O74" s="45">
        <v>31.54</v>
      </c>
      <c r="R74" s="155">
        <v>15</v>
      </c>
      <c r="U74" s="42" t="s">
        <v>345</v>
      </c>
      <c r="W74" s="42" t="s">
        <v>98</v>
      </c>
      <c r="X74" s="42" t="s">
        <v>99</v>
      </c>
    </row>
    <row r="75" spans="2:24">
      <c r="B75" s="42" t="s">
        <v>347</v>
      </c>
      <c r="C75" s="42" t="s">
        <v>287</v>
      </c>
      <c r="D75" s="42"/>
      <c r="E75" s="42" t="s">
        <v>346</v>
      </c>
      <c r="F75">
        <v>2021</v>
      </c>
      <c r="G75" s="159">
        <f t="shared" ref="G75:N75" si="68">G69</f>
        <v>0.8</v>
      </c>
      <c r="H75" s="159"/>
      <c r="I75" s="159">
        <f t="shared" si="68"/>
        <v>4.5458517684292522E-2</v>
      </c>
      <c r="J75" s="159">
        <f t="shared" si="68"/>
        <v>116.81034482758621</v>
      </c>
      <c r="K75" s="159">
        <f t="shared" si="68"/>
        <v>5.5172413793103452</v>
      </c>
      <c r="L75" s="159">
        <f t="shared" si="68"/>
        <v>116.81034482758621</v>
      </c>
      <c r="M75" s="159">
        <f t="shared" si="68"/>
        <v>5.5172413793103452</v>
      </c>
      <c r="N75" s="159">
        <f t="shared" si="68"/>
        <v>10</v>
      </c>
      <c r="O75" s="45">
        <v>31.54</v>
      </c>
      <c r="R75" s="155">
        <v>15</v>
      </c>
      <c r="U75" s="42" t="s">
        <v>347</v>
      </c>
      <c r="W75" s="42" t="s">
        <v>98</v>
      </c>
      <c r="X75" s="42" t="s">
        <v>99</v>
      </c>
    </row>
    <row r="76" spans="2:24">
      <c r="B76" s="42" t="s">
        <v>348</v>
      </c>
      <c r="C76" s="42" t="s">
        <v>289</v>
      </c>
      <c r="D76" s="42"/>
      <c r="E76" s="42" t="s">
        <v>346</v>
      </c>
      <c r="F76">
        <v>2021</v>
      </c>
      <c r="G76" s="159">
        <f t="shared" ref="G76:N76" si="69">G70</f>
        <v>0.8</v>
      </c>
      <c r="H76" s="159"/>
      <c r="I76" s="159">
        <f t="shared" si="69"/>
        <v>4.5458517684292522E-2</v>
      </c>
      <c r="J76" s="159">
        <f t="shared" si="69"/>
        <v>69.545454545454547</v>
      </c>
      <c r="K76" s="159">
        <f t="shared" si="69"/>
        <v>2.2727272727272729</v>
      </c>
      <c r="L76" s="159">
        <f t="shared" si="69"/>
        <v>69.545454545454547</v>
      </c>
      <c r="M76" s="159">
        <f t="shared" si="69"/>
        <v>2.2727272727272729</v>
      </c>
      <c r="N76" s="159">
        <f t="shared" si="69"/>
        <v>13</v>
      </c>
      <c r="O76" s="45">
        <v>31.54</v>
      </c>
      <c r="R76" s="155">
        <v>15</v>
      </c>
      <c r="U76" s="42" t="s">
        <v>348</v>
      </c>
      <c r="W76" s="42" t="s">
        <v>98</v>
      </c>
      <c r="X76" s="42" t="s">
        <v>99</v>
      </c>
    </row>
    <row r="77" spans="2:24">
      <c r="B77" s="42" t="s">
        <v>349</v>
      </c>
      <c r="C77" s="42" t="s">
        <v>291</v>
      </c>
      <c r="D77" s="42"/>
      <c r="E77" s="42" t="s">
        <v>346</v>
      </c>
      <c r="F77">
        <v>2021</v>
      </c>
      <c r="G77" s="159">
        <f t="shared" ref="G77:N77" si="70">G71</f>
        <v>0.8</v>
      </c>
      <c r="H77" s="159"/>
      <c r="I77" s="159">
        <f t="shared" si="70"/>
        <v>4.5458517684292522E-2</v>
      </c>
      <c r="J77" s="159">
        <f t="shared" si="70"/>
        <v>69.545454545454547</v>
      </c>
      <c r="K77" s="159">
        <f t="shared" si="70"/>
        <v>2.2727272727272729</v>
      </c>
      <c r="L77" s="159">
        <f t="shared" si="70"/>
        <v>69.545454545454547</v>
      </c>
      <c r="M77" s="159">
        <f t="shared" si="70"/>
        <v>2.2727272727272729</v>
      </c>
      <c r="N77" s="159">
        <f t="shared" si="70"/>
        <v>13</v>
      </c>
      <c r="O77" s="45">
        <v>31.54</v>
      </c>
      <c r="R77" s="155">
        <v>15</v>
      </c>
      <c r="U77" s="42" t="s">
        <v>349</v>
      </c>
      <c r="W77" s="42" t="s">
        <v>98</v>
      </c>
      <c r="X77" s="42" t="s">
        <v>99</v>
      </c>
    </row>
    <row r="78" spans="2:24">
      <c r="B78" s="42" t="s">
        <v>350</v>
      </c>
      <c r="C78" s="42" t="s">
        <v>293</v>
      </c>
      <c r="D78" s="42"/>
      <c r="E78" s="42" t="s">
        <v>346</v>
      </c>
      <c r="F78">
        <v>2021</v>
      </c>
      <c r="G78" s="159">
        <f t="shared" ref="G78:N78" si="71">G72</f>
        <v>0.98</v>
      </c>
      <c r="H78" s="159"/>
      <c r="I78" s="159">
        <f t="shared" si="71"/>
        <v>4.5458517684292522E-2</v>
      </c>
      <c r="J78" s="159">
        <f t="shared" si="71"/>
        <v>72.424242424242422</v>
      </c>
      <c r="K78" s="159">
        <f t="shared" si="71"/>
        <v>0.78787878787878785</v>
      </c>
      <c r="L78" s="159">
        <f t="shared" si="71"/>
        <v>72.424242424242422</v>
      </c>
      <c r="M78" s="159">
        <f t="shared" si="71"/>
        <v>0.78787878787878785</v>
      </c>
      <c r="N78" s="159">
        <f t="shared" si="71"/>
        <v>15</v>
      </c>
      <c r="O78" s="45">
        <v>31.54</v>
      </c>
      <c r="R78" s="155">
        <v>15</v>
      </c>
      <c r="U78" s="42" t="s">
        <v>350</v>
      </c>
      <c r="W78" s="42" t="s">
        <v>98</v>
      </c>
      <c r="X78" s="42" t="s">
        <v>99</v>
      </c>
    </row>
    <row r="79" spans="2:24">
      <c r="B79" s="42" t="s">
        <v>351</v>
      </c>
      <c r="C79" s="42" t="s">
        <v>295</v>
      </c>
      <c r="D79" s="42"/>
      <c r="E79" s="42" t="s">
        <v>346</v>
      </c>
      <c r="F79">
        <v>2021</v>
      </c>
      <c r="G79" s="159">
        <f t="shared" ref="G79:N79" si="72">G73</f>
        <v>0.87199999999999989</v>
      </c>
      <c r="H79" s="159"/>
      <c r="I79" s="159">
        <f t="shared" si="72"/>
        <v>4.5458517684292522E-2</v>
      </c>
      <c r="J79" s="159">
        <f t="shared" si="72"/>
        <v>117.77621037965864</v>
      </c>
      <c r="K79" s="159">
        <f t="shared" si="72"/>
        <v>2.7256704980842916</v>
      </c>
      <c r="L79" s="159">
        <f t="shared" si="72"/>
        <v>117.77621037965864</v>
      </c>
      <c r="M79" s="159">
        <f t="shared" si="72"/>
        <v>2.7256704980842916</v>
      </c>
      <c r="N79" s="159">
        <f t="shared" si="72"/>
        <v>12.6</v>
      </c>
      <c r="O79" s="45">
        <v>31.54</v>
      </c>
      <c r="R79" s="155">
        <v>15</v>
      </c>
      <c r="U79" s="42" t="s">
        <v>351</v>
      </c>
      <c r="W79" s="42" t="s">
        <v>98</v>
      </c>
      <c r="X79" s="42" t="s">
        <v>99</v>
      </c>
    </row>
    <row r="80" spans="2:24">
      <c r="B80" s="42" t="s">
        <v>352</v>
      </c>
      <c r="C80" s="42" t="s">
        <v>244</v>
      </c>
      <c r="D80" s="42"/>
      <c r="E80" s="42" t="s">
        <v>353</v>
      </c>
      <c r="F80">
        <v>2021</v>
      </c>
      <c r="G80" s="159">
        <f t="shared" ref="G80:N80" si="73">G74</f>
        <v>0.98</v>
      </c>
      <c r="H80" s="159"/>
      <c r="I80" s="159">
        <f t="shared" si="73"/>
        <v>4.5458517684292522E-2</v>
      </c>
      <c r="J80" s="159">
        <f t="shared" si="73"/>
        <v>260.55555555555554</v>
      </c>
      <c r="K80" s="159">
        <f t="shared" si="73"/>
        <v>2.7777777777777777</v>
      </c>
      <c r="L80" s="159">
        <f t="shared" si="73"/>
        <v>260.55555555555554</v>
      </c>
      <c r="M80" s="159">
        <f t="shared" si="73"/>
        <v>2.7777777777777777</v>
      </c>
      <c r="N80" s="159">
        <f t="shared" si="73"/>
        <v>12</v>
      </c>
      <c r="O80" s="45">
        <v>31.54</v>
      </c>
      <c r="R80" s="155">
        <v>15</v>
      </c>
      <c r="U80" s="42" t="s">
        <v>352</v>
      </c>
      <c r="W80" s="42" t="s">
        <v>98</v>
      </c>
      <c r="X80" s="42" t="s">
        <v>99</v>
      </c>
    </row>
    <row r="81" spans="2:24">
      <c r="B81" s="42" t="s">
        <v>354</v>
      </c>
      <c r="C81" s="42" t="s">
        <v>287</v>
      </c>
      <c r="D81" s="42"/>
      <c r="E81" s="42" t="s">
        <v>353</v>
      </c>
      <c r="F81">
        <v>2021</v>
      </c>
      <c r="G81" s="159">
        <f t="shared" ref="G81:N81" si="74">G75</f>
        <v>0.8</v>
      </c>
      <c r="H81" s="159"/>
      <c r="I81" s="159">
        <f t="shared" si="74"/>
        <v>4.5458517684292522E-2</v>
      </c>
      <c r="J81" s="159">
        <f t="shared" si="74"/>
        <v>116.81034482758621</v>
      </c>
      <c r="K81" s="159">
        <f t="shared" si="74"/>
        <v>5.5172413793103452</v>
      </c>
      <c r="L81" s="159">
        <f t="shared" si="74"/>
        <v>116.81034482758621</v>
      </c>
      <c r="M81" s="159">
        <f t="shared" si="74"/>
        <v>5.5172413793103452</v>
      </c>
      <c r="N81" s="159">
        <f t="shared" si="74"/>
        <v>10</v>
      </c>
      <c r="O81" s="45">
        <v>31.54</v>
      </c>
      <c r="R81" s="155">
        <v>15</v>
      </c>
      <c r="U81" s="42" t="s">
        <v>354</v>
      </c>
      <c r="W81" s="42" t="s">
        <v>98</v>
      </c>
      <c r="X81" s="42" t="s">
        <v>99</v>
      </c>
    </row>
    <row r="82" spans="2:24">
      <c r="B82" s="42" t="s">
        <v>355</v>
      </c>
      <c r="C82" s="42" t="s">
        <v>289</v>
      </c>
      <c r="D82" s="42"/>
      <c r="E82" s="42" t="s">
        <v>353</v>
      </c>
      <c r="F82">
        <v>2021</v>
      </c>
      <c r="G82" s="159">
        <f t="shared" ref="G82:N82" si="75">G76</f>
        <v>0.8</v>
      </c>
      <c r="H82" s="159"/>
      <c r="I82" s="159">
        <f t="shared" si="75"/>
        <v>4.5458517684292522E-2</v>
      </c>
      <c r="J82" s="159">
        <f t="shared" si="75"/>
        <v>69.545454545454547</v>
      </c>
      <c r="K82" s="159">
        <f t="shared" si="75"/>
        <v>2.2727272727272729</v>
      </c>
      <c r="L82" s="159">
        <f t="shared" si="75"/>
        <v>69.545454545454547</v>
      </c>
      <c r="M82" s="159">
        <f t="shared" si="75"/>
        <v>2.2727272727272729</v>
      </c>
      <c r="N82" s="159">
        <f t="shared" si="75"/>
        <v>13</v>
      </c>
      <c r="O82" s="45">
        <v>31.54</v>
      </c>
      <c r="R82" s="155">
        <v>15</v>
      </c>
      <c r="U82" s="42" t="s">
        <v>355</v>
      </c>
      <c r="W82" s="42" t="s">
        <v>98</v>
      </c>
      <c r="X82" s="42" t="s">
        <v>99</v>
      </c>
    </row>
    <row r="83" spans="2:24">
      <c r="B83" s="42" t="s">
        <v>356</v>
      </c>
      <c r="C83" s="42" t="s">
        <v>291</v>
      </c>
      <c r="D83" s="42"/>
      <c r="E83" s="42" t="s">
        <v>353</v>
      </c>
      <c r="F83">
        <v>2021</v>
      </c>
      <c r="G83" s="159">
        <f t="shared" ref="G83:N83" si="76">G77</f>
        <v>0.8</v>
      </c>
      <c r="H83" s="159"/>
      <c r="I83" s="159">
        <f t="shared" si="76"/>
        <v>4.5458517684292522E-2</v>
      </c>
      <c r="J83" s="159">
        <f t="shared" si="76"/>
        <v>69.545454545454547</v>
      </c>
      <c r="K83" s="159">
        <f t="shared" si="76"/>
        <v>2.2727272727272729</v>
      </c>
      <c r="L83" s="159">
        <f t="shared" si="76"/>
        <v>69.545454545454547</v>
      </c>
      <c r="M83" s="159">
        <f t="shared" si="76"/>
        <v>2.2727272727272729</v>
      </c>
      <c r="N83" s="159">
        <f t="shared" si="76"/>
        <v>13</v>
      </c>
      <c r="O83" s="45">
        <v>31.54</v>
      </c>
      <c r="R83" s="155">
        <v>15</v>
      </c>
      <c r="U83" s="42" t="s">
        <v>356</v>
      </c>
      <c r="W83" s="42" t="s">
        <v>98</v>
      </c>
      <c r="X83" s="42" t="s">
        <v>99</v>
      </c>
    </row>
    <row r="84" spans="2:24">
      <c r="B84" s="42" t="s">
        <v>357</v>
      </c>
      <c r="C84" s="42" t="s">
        <v>293</v>
      </c>
      <c r="D84" s="42"/>
      <c r="E84" s="42" t="s">
        <v>353</v>
      </c>
      <c r="F84">
        <v>2021</v>
      </c>
      <c r="G84" s="159">
        <f t="shared" ref="G84:N85" si="77">G78</f>
        <v>0.98</v>
      </c>
      <c r="H84" s="159"/>
      <c r="I84" s="159">
        <f t="shared" si="77"/>
        <v>4.5458517684292522E-2</v>
      </c>
      <c r="J84" s="159">
        <f t="shared" si="77"/>
        <v>72.424242424242422</v>
      </c>
      <c r="K84" s="159">
        <f t="shared" si="77"/>
        <v>0.78787878787878785</v>
      </c>
      <c r="L84" s="159">
        <f t="shared" si="77"/>
        <v>72.424242424242422</v>
      </c>
      <c r="M84" s="159">
        <f t="shared" si="77"/>
        <v>0.78787878787878785</v>
      </c>
      <c r="N84" s="159">
        <f t="shared" si="77"/>
        <v>15</v>
      </c>
      <c r="O84" s="45">
        <v>31.54</v>
      </c>
      <c r="R84" s="155">
        <v>15</v>
      </c>
      <c r="U84" s="42" t="s">
        <v>357</v>
      </c>
      <c r="W84" s="42" t="s">
        <v>98</v>
      </c>
      <c r="X84" s="42" t="s">
        <v>99</v>
      </c>
    </row>
    <row r="85" spans="2:24">
      <c r="B85" s="42" t="s">
        <v>358</v>
      </c>
      <c r="C85" s="42" t="s">
        <v>295</v>
      </c>
      <c r="D85" s="42"/>
      <c r="E85" s="42" t="s">
        <v>353</v>
      </c>
      <c r="F85">
        <v>2021</v>
      </c>
      <c r="G85" s="159">
        <f t="shared" si="77"/>
        <v>0.87199999999999989</v>
      </c>
      <c r="H85" s="159"/>
      <c r="I85" s="159">
        <f t="shared" si="77"/>
        <v>4.5458517684292522E-2</v>
      </c>
      <c r="J85" s="159">
        <f t="shared" si="77"/>
        <v>117.77621037965864</v>
      </c>
      <c r="K85" s="159">
        <f t="shared" si="77"/>
        <v>2.7256704980842916</v>
      </c>
      <c r="L85" s="159">
        <f t="shared" si="77"/>
        <v>117.77621037965864</v>
      </c>
      <c r="M85" s="159">
        <f t="shared" si="77"/>
        <v>2.7256704980842916</v>
      </c>
      <c r="N85" s="159">
        <f t="shared" si="77"/>
        <v>12.6</v>
      </c>
      <c r="O85" s="45">
        <v>31.54</v>
      </c>
      <c r="R85" s="155">
        <v>15</v>
      </c>
      <c r="U85" s="42" t="s">
        <v>358</v>
      </c>
      <c r="W85" s="42" t="s">
        <v>98</v>
      </c>
      <c r="X85" s="42" t="s">
        <v>99</v>
      </c>
    </row>
    <row r="86" spans="2:24">
      <c r="B86" s="42" t="s">
        <v>359</v>
      </c>
      <c r="C86" s="42" t="s">
        <v>244</v>
      </c>
      <c r="D86" s="42"/>
      <c r="E86" s="42" t="s">
        <v>360</v>
      </c>
      <c r="F86">
        <v>2021</v>
      </c>
      <c r="G86" s="159">
        <f>0.98</f>
        <v>0.98</v>
      </c>
      <c r="H86" s="161"/>
      <c r="I86" s="159">
        <f>'[5]TechWaterHeat-COM'!$O$199</f>
        <v>0.10117977406146407</v>
      </c>
      <c r="J86" s="159">
        <f>4690/18*1</f>
        <v>260.55555555555554</v>
      </c>
      <c r="K86" s="159">
        <f>50/18*1</f>
        <v>2.7777777777777777</v>
      </c>
      <c r="L86" s="159">
        <f t="shared" ref="L86:L90" si="78">J86</f>
        <v>260.55555555555554</v>
      </c>
      <c r="M86" s="159">
        <f t="shared" ref="M86:M90" si="79">K86</f>
        <v>2.7777777777777777</v>
      </c>
      <c r="N86" s="160">
        <v>12</v>
      </c>
      <c r="O86" s="45">
        <v>31.54</v>
      </c>
      <c r="R86" s="155">
        <v>15</v>
      </c>
      <c r="U86" s="42" t="s">
        <v>359</v>
      </c>
      <c r="W86" s="42" t="s">
        <v>98</v>
      </c>
      <c r="X86" s="42" t="s">
        <v>99</v>
      </c>
    </row>
    <row r="87" spans="2:24">
      <c r="B87" s="42" t="s">
        <v>361</v>
      </c>
      <c r="C87" s="42" t="s">
        <v>287</v>
      </c>
      <c r="D87" s="42"/>
      <c r="E87" s="42" t="s">
        <v>360</v>
      </c>
      <c r="F87">
        <v>2021</v>
      </c>
      <c r="G87" s="159">
        <v>0.8</v>
      </c>
      <c r="H87" s="159"/>
      <c r="I87" s="159">
        <f>'[5]TechWaterHeat-COM'!$O$200</f>
        <v>0.24860663198917018</v>
      </c>
      <c r="J87" s="159">
        <f>(5140+8410)/2/58*1</f>
        <v>116.81034482758621</v>
      </c>
      <c r="K87" s="159">
        <f>320/58*1</f>
        <v>5.5172413793103452</v>
      </c>
      <c r="L87" s="159">
        <f t="shared" si="78"/>
        <v>116.81034482758621</v>
      </c>
      <c r="M87" s="159">
        <f t="shared" si="79"/>
        <v>5.5172413793103452</v>
      </c>
      <c r="N87" s="159">
        <v>10</v>
      </c>
      <c r="O87" s="45">
        <v>31.54</v>
      </c>
      <c r="R87" s="155">
        <v>15</v>
      </c>
      <c r="U87" s="42" t="s">
        <v>361</v>
      </c>
      <c r="W87" s="42" t="s">
        <v>98</v>
      </c>
      <c r="X87" s="42" t="s">
        <v>99</v>
      </c>
    </row>
    <row r="88" spans="2:24">
      <c r="B88" s="42" t="s">
        <v>362</v>
      </c>
      <c r="C88" s="42" t="s">
        <v>289</v>
      </c>
      <c r="D88" s="42"/>
      <c r="E88" s="42" t="s">
        <v>360</v>
      </c>
      <c r="F88">
        <v>2021</v>
      </c>
      <c r="G88" s="159">
        <v>0.8</v>
      </c>
      <c r="H88" s="159"/>
      <c r="I88" s="159">
        <f>'[5]TechWaterHeat-COM'!$O$201</f>
        <v>8.8560651785726044E-2</v>
      </c>
      <c r="J88" s="159">
        <f>6120/88*1</f>
        <v>69.545454545454547</v>
      </c>
      <c r="K88" s="159">
        <f>200/88*1</f>
        <v>2.2727272727272729</v>
      </c>
      <c r="L88" s="159">
        <f t="shared" si="78"/>
        <v>69.545454545454547</v>
      </c>
      <c r="M88" s="159">
        <f t="shared" si="79"/>
        <v>2.2727272727272729</v>
      </c>
      <c r="N88" s="159">
        <v>13</v>
      </c>
      <c r="O88" s="45">
        <v>31.54</v>
      </c>
      <c r="R88" s="155">
        <v>15</v>
      </c>
      <c r="U88" s="42" t="s">
        <v>362</v>
      </c>
      <c r="W88" s="42" t="s">
        <v>98</v>
      </c>
      <c r="X88" s="42" t="s">
        <v>99</v>
      </c>
    </row>
    <row r="89" spans="2:24">
      <c r="B89" s="42" t="s">
        <v>363</v>
      </c>
      <c r="C89" s="42" t="s">
        <v>291</v>
      </c>
      <c r="D89" s="42"/>
      <c r="E89" s="42" t="s">
        <v>360</v>
      </c>
      <c r="F89">
        <v>2021</v>
      </c>
      <c r="G89" s="159">
        <v>0.8</v>
      </c>
      <c r="H89" s="159"/>
      <c r="I89" s="159">
        <f>'[5]TechWaterHeat-COM'!$O$202</f>
        <v>8.8560651785726044E-2</v>
      </c>
      <c r="J89" s="159">
        <f t="shared" ref="J89" si="80">J88</f>
        <v>69.545454545454547</v>
      </c>
      <c r="K89" s="159">
        <f t="shared" ref="K89" si="81">K88</f>
        <v>2.2727272727272729</v>
      </c>
      <c r="L89" s="159">
        <f t="shared" si="78"/>
        <v>69.545454545454547</v>
      </c>
      <c r="M89" s="159">
        <f t="shared" si="79"/>
        <v>2.2727272727272729</v>
      </c>
      <c r="N89" s="159">
        <v>13</v>
      </c>
      <c r="O89" s="45">
        <v>31.54</v>
      </c>
      <c r="R89" s="155">
        <v>15</v>
      </c>
      <c r="U89" s="42" t="s">
        <v>363</v>
      </c>
      <c r="W89" s="42" t="s">
        <v>98</v>
      </c>
      <c r="X89" s="42" t="s">
        <v>99</v>
      </c>
    </row>
    <row r="90" spans="2:24">
      <c r="B90" s="42" t="s">
        <v>364</v>
      </c>
      <c r="C90" s="42" t="s">
        <v>293</v>
      </c>
      <c r="D90" s="42"/>
      <c r="E90" s="42" t="s">
        <v>360</v>
      </c>
      <c r="F90">
        <v>2021</v>
      </c>
      <c r="G90" s="166">
        <v>0.98</v>
      </c>
      <c r="H90" s="159"/>
      <c r="I90" s="159">
        <f>'[5]TechWaterHeat-COM'!$O$203</f>
        <v>0.14392310719876714</v>
      </c>
      <c r="J90" s="159">
        <f>11950/165*1</f>
        <v>72.424242424242422</v>
      </c>
      <c r="K90" s="159">
        <f>130/165*1</f>
        <v>0.78787878787878785</v>
      </c>
      <c r="L90" s="159">
        <f t="shared" si="78"/>
        <v>72.424242424242422</v>
      </c>
      <c r="M90" s="159">
        <f t="shared" si="79"/>
        <v>0.78787878787878785</v>
      </c>
      <c r="N90" s="159">
        <v>15</v>
      </c>
      <c r="O90" s="45">
        <v>31.54</v>
      </c>
      <c r="R90" s="155">
        <v>15</v>
      </c>
      <c r="U90" s="42" t="s">
        <v>364</v>
      </c>
      <c r="W90" s="42" t="s">
        <v>98</v>
      </c>
      <c r="X90" s="42" t="s">
        <v>99</v>
      </c>
    </row>
    <row r="91" spans="2:24">
      <c r="B91" s="42" t="s">
        <v>365</v>
      </c>
      <c r="C91" s="42" t="s">
        <v>295</v>
      </c>
      <c r="D91" s="42"/>
      <c r="E91" s="42" t="s">
        <v>360</v>
      </c>
      <c r="F91">
        <v>2021</v>
      </c>
      <c r="G91" s="159">
        <f>AVERAGE(G86:G90)</f>
        <v>0.87199999999999989</v>
      </c>
      <c r="H91" s="159"/>
      <c r="I91" s="159">
        <f>'[5]TechWaterHeat-COM'!$O$204</f>
        <v>0.28126847815747497</v>
      </c>
      <c r="J91" s="159">
        <f t="shared" ref="I91:N91" si="82">AVERAGE(J86:J90)</f>
        <v>117.77621037965864</v>
      </c>
      <c r="K91" s="159">
        <f t="shared" si="82"/>
        <v>2.7256704980842916</v>
      </c>
      <c r="L91" s="159">
        <f t="shared" si="82"/>
        <v>117.77621037965864</v>
      </c>
      <c r="M91" s="159">
        <f t="shared" si="82"/>
        <v>2.7256704980842916</v>
      </c>
      <c r="N91" s="167">
        <f t="shared" si="82"/>
        <v>12.6</v>
      </c>
      <c r="O91" s="45">
        <v>31.54</v>
      </c>
      <c r="R91" s="155">
        <v>15</v>
      </c>
      <c r="U91" s="42" t="s">
        <v>365</v>
      </c>
      <c r="W91" s="42" t="s">
        <v>98</v>
      </c>
      <c r="X91" s="42" t="s">
        <v>99</v>
      </c>
    </row>
    <row r="92" spans="2:24">
      <c r="B92" s="42" t="s">
        <v>366</v>
      </c>
      <c r="C92" s="42" t="s">
        <v>244</v>
      </c>
      <c r="D92" s="42"/>
      <c r="E92" s="42" t="s">
        <v>367</v>
      </c>
      <c r="F92">
        <v>2021</v>
      </c>
      <c r="G92" s="159">
        <f>G86</f>
        <v>0.98</v>
      </c>
      <c r="H92" s="159"/>
      <c r="I92" s="159">
        <f t="shared" ref="I92:N92" si="83">I86</f>
        <v>0.10117977406146407</v>
      </c>
      <c r="J92" s="159">
        <f t="shared" si="83"/>
        <v>260.55555555555554</v>
      </c>
      <c r="K92" s="159">
        <f t="shared" si="83"/>
        <v>2.7777777777777777</v>
      </c>
      <c r="L92" s="159">
        <f t="shared" si="83"/>
        <v>260.55555555555554</v>
      </c>
      <c r="M92" s="159">
        <f t="shared" si="83"/>
        <v>2.7777777777777777</v>
      </c>
      <c r="N92" s="159">
        <f t="shared" si="83"/>
        <v>12</v>
      </c>
      <c r="O92" s="45">
        <v>31.54</v>
      </c>
      <c r="R92" s="155">
        <v>15</v>
      </c>
      <c r="U92" s="42" t="s">
        <v>366</v>
      </c>
      <c r="W92" s="42" t="s">
        <v>98</v>
      </c>
      <c r="X92" s="42" t="s">
        <v>99</v>
      </c>
    </row>
    <row r="93" spans="2:24">
      <c r="B93" s="42" t="s">
        <v>368</v>
      </c>
      <c r="C93" s="42" t="s">
        <v>287</v>
      </c>
      <c r="D93" s="42"/>
      <c r="E93" s="42" t="s">
        <v>367</v>
      </c>
      <c r="F93">
        <v>2021</v>
      </c>
      <c r="G93" s="159">
        <f t="shared" ref="G93:G97" si="84">G87</f>
        <v>0.8</v>
      </c>
      <c r="H93" s="159"/>
      <c r="I93" s="159">
        <f t="shared" ref="I93:N93" si="85">I87</f>
        <v>0.24860663198917018</v>
      </c>
      <c r="J93" s="159">
        <f t="shared" si="85"/>
        <v>116.81034482758621</v>
      </c>
      <c r="K93" s="159">
        <f t="shared" si="85"/>
        <v>5.5172413793103452</v>
      </c>
      <c r="L93" s="159">
        <f t="shared" si="85"/>
        <v>116.81034482758621</v>
      </c>
      <c r="M93" s="159">
        <f t="shared" si="85"/>
        <v>5.5172413793103452</v>
      </c>
      <c r="N93" s="159">
        <f t="shared" si="85"/>
        <v>10</v>
      </c>
      <c r="O93" s="45">
        <v>31.54</v>
      </c>
      <c r="R93" s="155">
        <v>15</v>
      </c>
      <c r="U93" s="42" t="s">
        <v>368</v>
      </c>
      <c r="W93" s="42" t="s">
        <v>98</v>
      </c>
      <c r="X93" s="42" t="s">
        <v>99</v>
      </c>
    </row>
    <row r="94" spans="2:24">
      <c r="B94" s="42" t="s">
        <v>369</v>
      </c>
      <c r="C94" s="42" t="s">
        <v>289</v>
      </c>
      <c r="D94" s="42"/>
      <c r="E94" s="42" t="s">
        <v>367</v>
      </c>
      <c r="F94">
        <v>2021</v>
      </c>
      <c r="G94" s="159">
        <f t="shared" si="84"/>
        <v>0.8</v>
      </c>
      <c r="H94" s="159"/>
      <c r="I94" s="159">
        <f t="shared" ref="I94:N94" si="86">I88</f>
        <v>8.8560651785726044E-2</v>
      </c>
      <c r="J94" s="159">
        <f t="shared" si="86"/>
        <v>69.545454545454547</v>
      </c>
      <c r="K94" s="159">
        <f t="shared" si="86"/>
        <v>2.2727272727272729</v>
      </c>
      <c r="L94" s="159">
        <f t="shared" si="86"/>
        <v>69.545454545454547</v>
      </c>
      <c r="M94" s="159">
        <f t="shared" si="86"/>
        <v>2.2727272727272729</v>
      </c>
      <c r="N94" s="159">
        <f t="shared" si="86"/>
        <v>13</v>
      </c>
      <c r="O94" s="45">
        <v>31.54</v>
      </c>
      <c r="R94" s="155">
        <v>15</v>
      </c>
      <c r="U94" s="42" t="s">
        <v>369</v>
      </c>
      <c r="W94" s="42" t="s">
        <v>98</v>
      </c>
      <c r="X94" s="42" t="s">
        <v>99</v>
      </c>
    </row>
    <row r="95" spans="2:24">
      <c r="B95" s="42" t="s">
        <v>370</v>
      </c>
      <c r="C95" s="42" t="s">
        <v>291</v>
      </c>
      <c r="D95" s="42"/>
      <c r="E95" s="42" t="s">
        <v>367</v>
      </c>
      <c r="F95">
        <v>2021</v>
      </c>
      <c r="G95" s="159">
        <f t="shared" si="84"/>
        <v>0.8</v>
      </c>
      <c r="H95" s="159"/>
      <c r="I95" s="159">
        <f t="shared" ref="I95:N95" si="87">I89</f>
        <v>8.8560651785726044E-2</v>
      </c>
      <c r="J95" s="159">
        <f t="shared" si="87"/>
        <v>69.545454545454547</v>
      </c>
      <c r="K95" s="159">
        <f t="shared" si="87"/>
        <v>2.2727272727272729</v>
      </c>
      <c r="L95" s="159">
        <f t="shared" si="87"/>
        <v>69.545454545454547</v>
      </c>
      <c r="M95" s="159">
        <f t="shared" si="87"/>
        <v>2.2727272727272729</v>
      </c>
      <c r="N95" s="159">
        <f t="shared" si="87"/>
        <v>13</v>
      </c>
      <c r="O95" s="45">
        <v>31.54</v>
      </c>
      <c r="R95" s="155">
        <v>15</v>
      </c>
      <c r="U95" s="42" t="s">
        <v>370</v>
      </c>
      <c r="W95" s="42" t="s">
        <v>98</v>
      </c>
      <c r="X95" s="42" t="s">
        <v>99</v>
      </c>
    </row>
    <row r="96" spans="2:24">
      <c r="B96" s="42" t="s">
        <v>371</v>
      </c>
      <c r="C96" s="42" t="s">
        <v>293</v>
      </c>
      <c r="D96" s="42"/>
      <c r="E96" s="42" t="s">
        <v>367</v>
      </c>
      <c r="F96">
        <v>2021</v>
      </c>
      <c r="G96" s="159">
        <f t="shared" si="84"/>
        <v>0.98</v>
      </c>
      <c r="H96" s="159"/>
      <c r="I96" s="159">
        <f t="shared" ref="I96:N96" si="88">I90</f>
        <v>0.14392310719876714</v>
      </c>
      <c r="J96" s="159">
        <f t="shared" si="88"/>
        <v>72.424242424242422</v>
      </c>
      <c r="K96" s="159">
        <f t="shared" si="88"/>
        <v>0.78787878787878785</v>
      </c>
      <c r="L96" s="159">
        <f t="shared" si="88"/>
        <v>72.424242424242422</v>
      </c>
      <c r="M96" s="159">
        <f t="shared" si="88"/>
        <v>0.78787878787878785</v>
      </c>
      <c r="N96" s="159">
        <f t="shared" si="88"/>
        <v>15</v>
      </c>
      <c r="O96" s="45">
        <v>31.54</v>
      </c>
      <c r="R96" s="155">
        <v>15</v>
      </c>
      <c r="U96" s="42" t="s">
        <v>371</v>
      </c>
      <c r="W96" s="42" t="s">
        <v>98</v>
      </c>
      <c r="X96" s="42" t="s">
        <v>99</v>
      </c>
    </row>
    <row r="97" spans="2:24">
      <c r="B97" s="42" t="s">
        <v>372</v>
      </c>
      <c r="C97" s="42" t="s">
        <v>295</v>
      </c>
      <c r="D97" s="42"/>
      <c r="E97" s="42" t="s">
        <v>367</v>
      </c>
      <c r="F97">
        <v>2021</v>
      </c>
      <c r="G97" s="159">
        <f t="shared" si="84"/>
        <v>0.87199999999999989</v>
      </c>
      <c r="H97" s="159"/>
      <c r="I97" s="159">
        <f t="shared" ref="I97:N97" si="89">I91</f>
        <v>0.28126847815747497</v>
      </c>
      <c r="J97" s="159">
        <f t="shared" si="89"/>
        <v>117.77621037965864</v>
      </c>
      <c r="K97" s="159">
        <f t="shared" si="89"/>
        <v>2.7256704980842916</v>
      </c>
      <c r="L97" s="159">
        <f t="shared" si="89"/>
        <v>117.77621037965864</v>
      </c>
      <c r="M97" s="159">
        <f t="shared" si="89"/>
        <v>2.7256704980842916</v>
      </c>
      <c r="N97" s="159">
        <f t="shared" si="89"/>
        <v>12.6</v>
      </c>
      <c r="O97" s="45">
        <v>31.54</v>
      </c>
      <c r="R97" s="155">
        <v>15</v>
      </c>
      <c r="U97" s="42" t="s">
        <v>372</v>
      </c>
      <c r="W97" s="42" t="s">
        <v>98</v>
      </c>
      <c r="X97" s="42" t="s">
        <v>99</v>
      </c>
    </row>
    <row r="98" spans="2:24">
      <c r="B98" s="42" t="s">
        <v>373</v>
      </c>
      <c r="C98" s="42" t="s">
        <v>244</v>
      </c>
      <c r="D98" s="42"/>
      <c r="E98" s="42" t="s">
        <v>374</v>
      </c>
      <c r="F98">
        <v>2021</v>
      </c>
      <c r="G98" s="159">
        <f>G92</f>
        <v>0.98</v>
      </c>
      <c r="H98" s="159"/>
      <c r="I98" s="159">
        <f t="shared" ref="I98:N98" si="90">I92</f>
        <v>0.10117977406146407</v>
      </c>
      <c r="J98" s="159">
        <f t="shared" si="90"/>
        <v>260.55555555555554</v>
      </c>
      <c r="K98" s="159">
        <f t="shared" si="90"/>
        <v>2.7777777777777777</v>
      </c>
      <c r="L98" s="159">
        <f t="shared" si="90"/>
        <v>260.55555555555554</v>
      </c>
      <c r="M98" s="159">
        <f t="shared" si="90"/>
        <v>2.7777777777777777</v>
      </c>
      <c r="N98" s="159">
        <f t="shared" si="90"/>
        <v>12</v>
      </c>
      <c r="O98" s="45">
        <v>31.54</v>
      </c>
      <c r="R98" s="155">
        <v>15</v>
      </c>
      <c r="U98" s="42" t="s">
        <v>373</v>
      </c>
      <c r="W98" s="42" t="s">
        <v>98</v>
      </c>
      <c r="X98" s="42" t="s">
        <v>99</v>
      </c>
    </row>
    <row r="99" spans="2:24">
      <c r="B99" s="42" t="s">
        <v>375</v>
      </c>
      <c r="C99" s="42" t="s">
        <v>287</v>
      </c>
      <c r="D99" s="42"/>
      <c r="E99" s="42" t="s">
        <v>374</v>
      </c>
      <c r="F99">
        <v>2021</v>
      </c>
      <c r="G99" s="159">
        <f t="shared" ref="G99:G103" si="91">G93</f>
        <v>0.8</v>
      </c>
      <c r="H99" s="159"/>
      <c r="I99" s="159">
        <f t="shared" ref="I99:N99" si="92">I93</f>
        <v>0.24860663198917018</v>
      </c>
      <c r="J99" s="159">
        <f t="shared" si="92"/>
        <v>116.81034482758621</v>
      </c>
      <c r="K99" s="159">
        <f t="shared" si="92"/>
        <v>5.5172413793103452</v>
      </c>
      <c r="L99" s="159">
        <f t="shared" si="92"/>
        <v>116.81034482758621</v>
      </c>
      <c r="M99" s="159">
        <f t="shared" si="92"/>
        <v>5.5172413793103452</v>
      </c>
      <c r="N99" s="159">
        <f t="shared" si="92"/>
        <v>10</v>
      </c>
      <c r="O99" s="45">
        <v>31.54</v>
      </c>
      <c r="R99" s="155">
        <v>15</v>
      </c>
      <c r="U99" s="42" t="s">
        <v>375</v>
      </c>
      <c r="W99" s="42" t="s">
        <v>98</v>
      </c>
      <c r="X99" s="42" t="s">
        <v>99</v>
      </c>
    </row>
    <row r="100" spans="2:24">
      <c r="B100" s="42" t="s">
        <v>376</v>
      </c>
      <c r="C100" s="42" t="s">
        <v>289</v>
      </c>
      <c r="D100" s="42"/>
      <c r="E100" s="42" t="s">
        <v>374</v>
      </c>
      <c r="F100">
        <v>2021</v>
      </c>
      <c r="G100" s="159">
        <f t="shared" si="91"/>
        <v>0.8</v>
      </c>
      <c r="H100" s="159"/>
      <c r="I100" s="159">
        <f t="shared" ref="I100:N100" si="93">I94</f>
        <v>8.8560651785726044E-2</v>
      </c>
      <c r="J100" s="159">
        <f t="shared" si="93"/>
        <v>69.545454545454547</v>
      </c>
      <c r="K100" s="159">
        <f t="shared" si="93"/>
        <v>2.2727272727272729</v>
      </c>
      <c r="L100" s="159">
        <f t="shared" si="93"/>
        <v>69.545454545454547</v>
      </c>
      <c r="M100" s="159">
        <f t="shared" si="93"/>
        <v>2.2727272727272729</v>
      </c>
      <c r="N100" s="159">
        <f t="shared" si="93"/>
        <v>13</v>
      </c>
      <c r="O100" s="45">
        <v>31.54</v>
      </c>
      <c r="R100" s="155">
        <v>15</v>
      </c>
      <c r="U100" s="42" t="s">
        <v>376</v>
      </c>
      <c r="W100" s="42" t="s">
        <v>98</v>
      </c>
      <c r="X100" s="42" t="s">
        <v>99</v>
      </c>
    </row>
    <row r="101" spans="2:24">
      <c r="B101" s="42" t="s">
        <v>377</v>
      </c>
      <c r="C101" s="42" t="s">
        <v>291</v>
      </c>
      <c r="D101" s="42"/>
      <c r="E101" s="42" t="s">
        <v>374</v>
      </c>
      <c r="F101">
        <v>2021</v>
      </c>
      <c r="G101" s="159">
        <f t="shared" si="91"/>
        <v>0.8</v>
      </c>
      <c r="H101" s="159"/>
      <c r="I101" s="159">
        <f t="shared" ref="I101:N101" si="94">I95</f>
        <v>8.8560651785726044E-2</v>
      </c>
      <c r="J101" s="159">
        <f t="shared" si="94"/>
        <v>69.545454545454547</v>
      </c>
      <c r="K101" s="159">
        <f t="shared" si="94"/>
        <v>2.2727272727272729</v>
      </c>
      <c r="L101" s="159">
        <f t="shared" si="94"/>
        <v>69.545454545454547</v>
      </c>
      <c r="M101" s="159">
        <f t="shared" si="94"/>
        <v>2.2727272727272729</v>
      </c>
      <c r="N101" s="159">
        <f t="shared" si="94"/>
        <v>13</v>
      </c>
      <c r="O101" s="45">
        <v>31.54</v>
      </c>
      <c r="R101" s="155">
        <v>15</v>
      </c>
      <c r="U101" s="42" t="s">
        <v>377</v>
      </c>
      <c r="W101" s="42" t="s">
        <v>98</v>
      </c>
      <c r="X101" s="42" t="s">
        <v>99</v>
      </c>
    </row>
    <row r="102" spans="2:24">
      <c r="B102" s="42" t="s">
        <v>378</v>
      </c>
      <c r="C102" s="42" t="s">
        <v>293</v>
      </c>
      <c r="D102" s="42"/>
      <c r="E102" s="42" t="s">
        <v>374</v>
      </c>
      <c r="F102">
        <v>2021</v>
      </c>
      <c r="G102" s="159">
        <f t="shared" si="91"/>
        <v>0.98</v>
      </c>
      <c r="H102" s="159"/>
      <c r="I102" s="159">
        <f t="shared" ref="I102:N102" si="95">I96</f>
        <v>0.14392310719876714</v>
      </c>
      <c r="J102" s="159">
        <f t="shared" si="95"/>
        <v>72.424242424242422</v>
      </c>
      <c r="K102" s="159">
        <f t="shared" si="95"/>
        <v>0.78787878787878785</v>
      </c>
      <c r="L102" s="159">
        <f t="shared" si="95"/>
        <v>72.424242424242422</v>
      </c>
      <c r="M102" s="159">
        <f t="shared" si="95"/>
        <v>0.78787878787878785</v>
      </c>
      <c r="N102" s="159">
        <f t="shared" si="95"/>
        <v>15</v>
      </c>
      <c r="O102" s="45">
        <v>31.54</v>
      </c>
      <c r="R102" s="155">
        <v>15</v>
      </c>
      <c r="U102" s="42" t="s">
        <v>378</v>
      </c>
      <c r="W102" s="42" t="s">
        <v>98</v>
      </c>
      <c r="X102" s="42" t="s">
        <v>99</v>
      </c>
    </row>
    <row r="103" spans="2:24">
      <c r="B103" s="42" t="s">
        <v>379</v>
      </c>
      <c r="C103" s="42" t="s">
        <v>295</v>
      </c>
      <c r="D103" s="42"/>
      <c r="E103" s="42" t="s">
        <v>374</v>
      </c>
      <c r="F103">
        <v>2021</v>
      </c>
      <c r="G103" s="159">
        <f t="shared" si="91"/>
        <v>0.87199999999999989</v>
      </c>
      <c r="H103" s="159"/>
      <c r="I103" s="159">
        <f t="shared" ref="I103:N103" si="96">I97</f>
        <v>0.28126847815747497</v>
      </c>
      <c r="J103" s="159">
        <f t="shared" si="96"/>
        <v>117.77621037965864</v>
      </c>
      <c r="K103" s="159">
        <f t="shared" si="96"/>
        <v>2.7256704980842916</v>
      </c>
      <c r="L103" s="159">
        <f t="shared" si="96"/>
        <v>117.77621037965864</v>
      </c>
      <c r="M103" s="159">
        <f t="shared" si="96"/>
        <v>2.7256704980842916</v>
      </c>
      <c r="N103" s="159">
        <f t="shared" si="96"/>
        <v>12.6</v>
      </c>
      <c r="O103" s="45">
        <v>31.54</v>
      </c>
      <c r="R103" s="155">
        <v>15</v>
      </c>
      <c r="U103" s="42" t="s">
        <v>379</v>
      </c>
      <c r="W103" s="42" t="s">
        <v>98</v>
      </c>
      <c r="X103" s="42" t="s">
        <v>99</v>
      </c>
    </row>
    <row r="104" spans="2:24">
      <c r="B104" s="42" t="s">
        <v>380</v>
      </c>
      <c r="C104" s="42" t="s">
        <v>244</v>
      </c>
      <c r="D104" s="42"/>
      <c r="E104" s="42" t="s">
        <v>381</v>
      </c>
      <c r="F104">
        <v>2021</v>
      </c>
      <c r="G104" s="159">
        <f>G98</f>
        <v>0.98</v>
      </c>
      <c r="H104" s="159"/>
      <c r="I104" s="159">
        <f t="shared" ref="I104:N104" si="97">I98</f>
        <v>0.10117977406146407</v>
      </c>
      <c r="J104" s="159">
        <f t="shared" si="97"/>
        <v>260.55555555555554</v>
      </c>
      <c r="K104" s="159">
        <f t="shared" si="97"/>
        <v>2.7777777777777777</v>
      </c>
      <c r="L104" s="159">
        <f t="shared" si="97"/>
        <v>260.55555555555554</v>
      </c>
      <c r="M104" s="159">
        <f t="shared" si="97"/>
        <v>2.7777777777777777</v>
      </c>
      <c r="N104" s="159">
        <f t="shared" si="97"/>
        <v>12</v>
      </c>
      <c r="O104" s="45">
        <v>31.54</v>
      </c>
      <c r="R104" s="155">
        <v>15</v>
      </c>
      <c r="U104" s="42" t="s">
        <v>380</v>
      </c>
      <c r="W104" s="42" t="s">
        <v>98</v>
      </c>
      <c r="X104" s="42" t="s">
        <v>99</v>
      </c>
    </row>
    <row r="105" spans="2:24">
      <c r="B105" s="42" t="s">
        <v>382</v>
      </c>
      <c r="C105" s="42" t="s">
        <v>287</v>
      </c>
      <c r="D105" s="42"/>
      <c r="E105" s="42" t="s">
        <v>381</v>
      </c>
      <c r="F105">
        <v>2021</v>
      </c>
      <c r="G105" s="159">
        <f t="shared" ref="G105:G109" si="98">G99</f>
        <v>0.8</v>
      </c>
      <c r="H105" s="159"/>
      <c r="I105" s="159">
        <f t="shared" ref="I105:N105" si="99">I99</f>
        <v>0.24860663198917018</v>
      </c>
      <c r="J105" s="159">
        <f t="shared" si="99"/>
        <v>116.81034482758621</v>
      </c>
      <c r="K105" s="159">
        <f t="shared" si="99"/>
        <v>5.5172413793103452</v>
      </c>
      <c r="L105" s="159">
        <f t="shared" si="99"/>
        <v>116.81034482758621</v>
      </c>
      <c r="M105" s="159">
        <f t="shared" si="99"/>
        <v>5.5172413793103452</v>
      </c>
      <c r="N105" s="159">
        <f t="shared" si="99"/>
        <v>10</v>
      </c>
      <c r="O105" s="45">
        <v>31.54</v>
      </c>
      <c r="R105" s="155">
        <v>15</v>
      </c>
      <c r="U105" s="42" t="s">
        <v>382</v>
      </c>
      <c r="W105" s="42" t="s">
        <v>98</v>
      </c>
      <c r="X105" s="42" t="s">
        <v>99</v>
      </c>
    </row>
    <row r="106" spans="2:24">
      <c r="B106" s="42" t="s">
        <v>383</v>
      </c>
      <c r="C106" s="42" t="s">
        <v>289</v>
      </c>
      <c r="D106" s="42"/>
      <c r="E106" s="42" t="s">
        <v>381</v>
      </c>
      <c r="F106">
        <v>2021</v>
      </c>
      <c r="G106" s="159">
        <f t="shared" si="98"/>
        <v>0.8</v>
      </c>
      <c r="H106" s="159"/>
      <c r="I106" s="159">
        <f t="shared" ref="I106:N106" si="100">I100</f>
        <v>8.8560651785726044E-2</v>
      </c>
      <c r="J106" s="159">
        <f t="shared" si="100"/>
        <v>69.545454545454547</v>
      </c>
      <c r="K106" s="159">
        <f t="shared" si="100"/>
        <v>2.2727272727272729</v>
      </c>
      <c r="L106" s="159">
        <f t="shared" si="100"/>
        <v>69.545454545454547</v>
      </c>
      <c r="M106" s="159">
        <f t="shared" si="100"/>
        <v>2.2727272727272729</v>
      </c>
      <c r="N106" s="159">
        <f t="shared" si="100"/>
        <v>13</v>
      </c>
      <c r="O106" s="45">
        <v>31.54</v>
      </c>
      <c r="R106" s="155">
        <v>15</v>
      </c>
      <c r="U106" s="42" t="s">
        <v>383</v>
      </c>
      <c r="W106" s="42" t="s">
        <v>98</v>
      </c>
      <c r="X106" s="42" t="s">
        <v>99</v>
      </c>
    </row>
    <row r="107" spans="2:24">
      <c r="B107" s="42" t="s">
        <v>384</v>
      </c>
      <c r="C107" s="42" t="s">
        <v>291</v>
      </c>
      <c r="D107" s="42"/>
      <c r="E107" s="42" t="s">
        <v>381</v>
      </c>
      <c r="F107">
        <v>2021</v>
      </c>
      <c r="G107" s="159">
        <f t="shared" si="98"/>
        <v>0.8</v>
      </c>
      <c r="H107" s="159"/>
      <c r="I107" s="159">
        <f t="shared" ref="I107:N107" si="101">I101</f>
        <v>8.8560651785726044E-2</v>
      </c>
      <c r="J107" s="159">
        <f t="shared" si="101"/>
        <v>69.545454545454547</v>
      </c>
      <c r="K107" s="159">
        <f t="shared" si="101"/>
        <v>2.2727272727272729</v>
      </c>
      <c r="L107" s="159">
        <f t="shared" si="101"/>
        <v>69.545454545454547</v>
      </c>
      <c r="M107" s="159">
        <f t="shared" si="101"/>
        <v>2.2727272727272729</v>
      </c>
      <c r="N107" s="159">
        <f t="shared" si="101"/>
        <v>13</v>
      </c>
      <c r="O107" s="45">
        <v>31.54</v>
      </c>
      <c r="R107" s="155">
        <v>15</v>
      </c>
      <c r="U107" s="42" t="s">
        <v>384</v>
      </c>
      <c r="W107" s="42" t="s">
        <v>98</v>
      </c>
      <c r="X107" s="42" t="s">
        <v>99</v>
      </c>
    </row>
    <row r="108" spans="2:24">
      <c r="B108" s="42" t="s">
        <v>385</v>
      </c>
      <c r="C108" s="42" t="s">
        <v>293</v>
      </c>
      <c r="D108" s="42"/>
      <c r="E108" s="42" t="s">
        <v>381</v>
      </c>
      <c r="F108">
        <v>2021</v>
      </c>
      <c r="G108" s="159">
        <f t="shared" si="98"/>
        <v>0.98</v>
      </c>
      <c r="H108" s="159"/>
      <c r="I108" s="159">
        <f t="shared" ref="I108:N108" si="102">I102</f>
        <v>0.14392310719876714</v>
      </c>
      <c r="J108" s="159">
        <f t="shared" si="102"/>
        <v>72.424242424242422</v>
      </c>
      <c r="K108" s="159">
        <f t="shared" si="102"/>
        <v>0.78787878787878785</v>
      </c>
      <c r="L108" s="159">
        <f t="shared" si="102"/>
        <v>72.424242424242422</v>
      </c>
      <c r="M108" s="159">
        <f t="shared" si="102"/>
        <v>0.78787878787878785</v>
      </c>
      <c r="N108" s="159">
        <f t="shared" si="102"/>
        <v>15</v>
      </c>
      <c r="O108" s="45">
        <v>31.54</v>
      </c>
      <c r="R108" s="155">
        <v>15</v>
      </c>
      <c r="U108" s="42" t="s">
        <v>385</v>
      </c>
      <c r="W108" s="42" t="s">
        <v>98</v>
      </c>
      <c r="X108" s="42" t="s">
        <v>99</v>
      </c>
    </row>
    <row r="109" spans="2:24">
      <c r="B109" s="42" t="s">
        <v>386</v>
      </c>
      <c r="C109" s="42" t="s">
        <v>295</v>
      </c>
      <c r="D109" s="42"/>
      <c r="E109" s="42" t="s">
        <v>381</v>
      </c>
      <c r="F109">
        <v>2021</v>
      </c>
      <c r="G109" s="159">
        <f t="shared" si="98"/>
        <v>0.87199999999999989</v>
      </c>
      <c r="H109" s="159"/>
      <c r="I109" s="159">
        <f t="shared" ref="I109:N109" si="103">I103</f>
        <v>0.28126847815747497</v>
      </c>
      <c r="J109" s="159">
        <f t="shared" si="103"/>
        <v>117.77621037965864</v>
      </c>
      <c r="K109" s="159">
        <f t="shared" si="103"/>
        <v>2.7256704980842916</v>
      </c>
      <c r="L109" s="159">
        <f t="shared" si="103"/>
        <v>117.77621037965864</v>
      </c>
      <c r="M109" s="159">
        <f t="shared" si="103"/>
        <v>2.7256704980842916</v>
      </c>
      <c r="N109" s="159">
        <f t="shared" si="103"/>
        <v>12.6</v>
      </c>
      <c r="O109" s="45">
        <v>31.54</v>
      </c>
      <c r="R109" s="155">
        <v>15</v>
      </c>
      <c r="U109" s="42" t="s">
        <v>386</v>
      </c>
      <c r="W109" s="42" t="s">
        <v>98</v>
      </c>
      <c r="X109" s="42" t="s">
        <v>99</v>
      </c>
    </row>
    <row r="110" spans="2:24">
      <c r="B110" s="42" t="s">
        <v>387</v>
      </c>
      <c r="C110" s="42" t="s">
        <v>244</v>
      </c>
      <c r="D110" s="42"/>
      <c r="E110" s="42" t="s">
        <v>388</v>
      </c>
      <c r="F110">
        <v>2021</v>
      </c>
      <c r="G110" s="159">
        <f>G104</f>
        <v>0.98</v>
      </c>
      <c r="H110" s="159"/>
      <c r="I110" s="159">
        <f t="shared" ref="I110:N110" si="104">I104</f>
        <v>0.10117977406146407</v>
      </c>
      <c r="J110" s="159">
        <f t="shared" si="104"/>
        <v>260.55555555555554</v>
      </c>
      <c r="K110" s="159">
        <f t="shared" si="104"/>
        <v>2.7777777777777777</v>
      </c>
      <c r="L110" s="159">
        <f t="shared" si="104"/>
        <v>260.55555555555554</v>
      </c>
      <c r="M110" s="159">
        <f t="shared" si="104"/>
        <v>2.7777777777777777</v>
      </c>
      <c r="N110" s="159">
        <f t="shared" si="104"/>
        <v>12</v>
      </c>
      <c r="O110" s="45">
        <v>31.54</v>
      </c>
      <c r="R110" s="155">
        <v>15</v>
      </c>
      <c r="U110" s="42" t="s">
        <v>387</v>
      </c>
      <c r="W110" s="42" t="s">
        <v>98</v>
      </c>
      <c r="X110" s="42" t="s">
        <v>99</v>
      </c>
    </row>
    <row r="111" spans="2:24">
      <c r="B111" s="42" t="s">
        <v>389</v>
      </c>
      <c r="C111" s="42" t="s">
        <v>287</v>
      </c>
      <c r="D111" s="42"/>
      <c r="E111" s="42" t="s">
        <v>388</v>
      </c>
      <c r="F111">
        <v>2021</v>
      </c>
      <c r="G111" s="159">
        <f t="shared" ref="G111:G115" si="105">G105</f>
        <v>0.8</v>
      </c>
      <c r="H111" s="159"/>
      <c r="I111" s="159">
        <f t="shared" ref="I111:N111" si="106">I105</f>
        <v>0.24860663198917018</v>
      </c>
      <c r="J111" s="159">
        <f t="shared" si="106"/>
        <v>116.81034482758621</v>
      </c>
      <c r="K111" s="159">
        <f t="shared" si="106"/>
        <v>5.5172413793103452</v>
      </c>
      <c r="L111" s="159">
        <f t="shared" si="106"/>
        <v>116.81034482758621</v>
      </c>
      <c r="M111" s="159">
        <f t="shared" si="106"/>
        <v>5.5172413793103452</v>
      </c>
      <c r="N111" s="159">
        <f t="shared" si="106"/>
        <v>10</v>
      </c>
      <c r="O111" s="45">
        <v>31.54</v>
      </c>
      <c r="R111" s="155">
        <v>15</v>
      </c>
      <c r="U111" s="42" t="s">
        <v>389</v>
      </c>
      <c r="W111" s="42" t="s">
        <v>98</v>
      </c>
      <c r="X111" s="42" t="s">
        <v>99</v>
      </c>
    </row>
    <row r="112" spans="2:24">
      <c r="B112" s="42" t="s">
        <v>390</v>
      </c>
      <c r="C112" s="42" t="s">
        <v>289</v>
      </c>
      <c r="D112" s="42"/>
      <c r="E112" s="42" t="s">
        <v>388</v>
      </c>
      <c r="F112">
        <v>2021</v>
      </c>
      <c r="G112" s="159">
        <f t="shared" si="105"/>
        <v>0.8</v>
      </c>
      <c r="H112" s="159"/>
      <c r="I112" s="159">
        <f t="shared" ref="I112:N112" si="107">I106</f>
        <v>8.8560651785726044E-2</v>
      </c>
      <c r="J112" s="159">
        <f t="shared" si="107"/>
        <v>69.545454545454547</v>
      </c>
      <c r="K112" s="159">
        <f t="shared" si="107"/>
        <v>2.2727272727272729</v>
      </c>
      <c r="L112" s="159">
        <f t="shared" si="107"/>
        <v>69.545454545454547</v>
      </c>
      <c r="M112" s="159">
        <f t="shared" si="107"/>
        <v>2.2727272727272729</v>
      </c>
      <c r="N112" s="159">
        <f t="shared" si="107"/>
        <v>13</v>
      </c>
      <c r="O112" s="45">
        <v>31.54</v>
      </c>
      <c r="R112" s="155">
        <v>15</v>
      </c>
      <c r="U112" s="42" t="s">
        <v>390</v>
      </c>
      <c r="W112" s="42" t="s">
        <v>98</v>
      </c>
      <c r="X112" s="42" t="s">
        <v>99</v>
      </c>
    </row>
    <row r="113" spans="2:24">
      <c r="B113" s="42" t="s">
        <v>391</v>
      </c>
      <c r="C113" s="42" t="s">
        <v>291</v>
      </c>
      <c r="D113" s="42"/>
      <c r="E113" s="42" t="s">
        <v>388</v>
      </c>
      <c r="F113">
        <v>2021</v>
      </c>
      <c r="G113" s="159">
        <f t="shared" si="105"/>
        <v>0.8</v>
      </c>
      <c r="H113" s="159"/>
      <c r="I113" s="159">
        <f t="shared" ref="I113:N113" si="108">I107</f>
        <v>8.8560651785726044E-2</v>
      </c>
      <c r="J113" s="159">
        <f t="shared" si="108"/>
        <v>69.545454545454547</v>
      </c>
      <c r="K113" s="159">
        <f t="shared" si="108"/>
        <v>2.2727272727272729</v>
      </c>
      <c r="L113" s="159">
        <f t="shared" si="108"/>
        <v>69.545454545454547</v>
      </c>
      <c r="M113" s="159">
        <f t="shared" si="108"/>
        <v>2.2727272727272729</v>
      </c>
      <c r="N113" s="159">
        <f t="shared" si="108"/>
        <v>13</v>
      </c>
      <c r="O113" s="45">
        <v>31.54</v>
      </c>
      <c r="R113" s="155">
        <v>15</v>
      </c>
      <c r="U113" s="42" t="s">
        <v>391</v>
      </c>
      <c r="W113" s="42" t="s">
        <v>98</v>
      </c>
      <c r="X113" s="42" t="s">
        <v>99</v>
      </c>
    </row>
    <row r="114" spans="2:24">
      <c r="B114" s="42" t="s">
        <v>392</v>
      </c>
      <c r="C114" s="42" t="s">
        <v>293</v>
      </c>
      <c r="D114" s="42"/>
      <c r="E114" s="42" t="s">
        <v>388</v>
      </c>
      <c r="F114">
        <v>2021</v>
      </c>
      <c r="G114" s="159">
        <f t="shared" si="105"/>
        <v>0.98</v>
      </c>
      <c r="H114" s="159"/>
      <c r="I114" s="159">
        <f t="shared" ref="I114:N114" si="109">I108</f>
        <v>0.14392310719876714</v>
      </c>
      <c r="J114" s="159">
        <f t="shared" si="109"/>
        <v>72.424242424242422</v>
      </c>
      <c r="K114" s="159">
        <f t="shared" si="109"/>
        <v>0.78787878787878785</v>
      </c>
      <c r="L114" s="159">
        <f t="shared" si="109"/>
        <v>72.424242424242422</v>
      </c>
      <c r="M114" s="159">
        <f t="shared" si="109"/>
        <v>0.78787878787878785</v>
      </c>
      <c r="N114" s="159">
        <f t="shared" si="109"/>
        <v>15</v>
      </c>
      <c r="O114" s="45">
        <v>31.54</v>
      </c>
      <c r="R114" s="155">
        <v>15</v>
      </c>
      <c r="U114" s="42" t="s">
        <v>392</v>
      </c>
      <c r="W114" s="42" t="s">
        <v>98</v>
      </c>
      <c r="X114" s="42" t="s">
        <v>99</v>
      </c>
    </row>
    <row r="115" spans="2:24">
      <c r="B115" s="42" t="s">
        <v>393</v>
      </c>
      <c r="C115" s="42" t="s">
        <v>295</v>
      </c>
      <c r="D115" s="42"/>
      <c r="E115" s="42" t="s">
        <v>388</v>
      </c>
      <c r="F115">
        <v>2021</v>
      </c>
      <c r="G115" s="159">
        <f t="shared" si="105"/>
        <v>0.87199999999999989</v>
      </c>
      <c r="H115" s="159"/>
      <c r="I115" s="159">
        <f t="shared" ref="I115:N115" si="110">I109</f>
        <v>0.28126847815747497</v>
      </c>
      <c r="J115" s="159">
        <f t="shared" si="110"/>
        <v>117.77621037965864</v>
      </c>
      <c r="K115" s="159">
        <f t="shared" si="110"/>
        <v>2.7256704980842916</v>
      </c>
      <c r="L115" s="159">
        <f t="shared" si="110"/>
        <v>117.77621037965864</v>
      </c>
      <c r="M115" s="159">
        <f t="shared" si="110"/>
        <v>2.7256704980842916</v>
      </c>
      <c r="N115" s="159">
        <f t="shared" si="110"/>
        <v>12.6</v>
      </c>
      <c r="O115" s="45">
        <v>31.54</v>
      </c>
      <c r="R115" s="155">
        <v>15</v>
      </c>
      <c r="U115" s="42" t="s">
        <v>393</v>
      </c>
      <c r="W115" s="42" t="s">
        <v>98</v>
      </c>
      <c r="X115" s="42" t="s">
        <v>99</v>
      </c>
    </row>
    <row r="116" spans="2:24">
      <c r="B116" s="42" t="s">
        <v>394</v>
      </c>
      <c r="C116" s="42" t="s">
        <v>244</v>
      </c>
      <c r="D116" s="42"/>
      <c r="E116" s="42" t="s">
        <v>395</v>
      </c>
      <c r="F116">
        <v>2021</v>
      </c>
      <c r="G116" s="159">
        <f>G110</f>
        <v>0.98</v>
      </c>
      <c r="H116" s="159"/>
      <c r="I116" s="159">
        <f t="shared" ref="I116:N116" si="111">I110</f>
        <v>0.10117977406146407</v>
      </c>
      <c r="J116" s="159">
        <f t="shared" si="111"/>
        <v>260.55555555555554</v>
      </c>
      <c r="K116" s="159">
        <f t="shared" si="111"/>
        <v>2.7777777777777777</v>
      </c>
      <c r="L116" s="159">
        <f t="shared" si="111"/>
        <v>260.55555555555554</v>
      </c>
      <c r="M116" s="159">
        <f t="shared" si="111"/>
        <v>2.7777777777777777</v>
      </c>
      <c r="N116" s="159">
        <f t="shared" si="111"/>
        <v>12</v>
      </c>
      <c r="O116" s="45">
        <v>31.54</v>
      </c>
      <c r="R116" s="155">
        <v>15</v>
      </c>
      <c r="U116" s="42" t="s">
        <v>394</v>
      </c>
      <c r="W116" s="42" t="s">
        <v>98</v>
      </c>
      <c r="X116" s="42" t="s">
        <v>99</v>
      </c>
    </row>
    <row r="117" spans="2:24">
      <c r="B117" s="42" t="s">
        <v>396</v>
      </c>
      <c r="C117" s="42" t="s">
        <v>287</v>
      </c>
      <c r="D117" s="42"/>
      <c r="E117" s="42" t="s">
        <v>395</v>
      </c>
      <c r="F117">
        <v>2021</v>
      </c>
      <c r="G117" s="159">
        <f t="shared" ref="G117:G121" si="112">G111</f>
        <v>0.8</v>
      </c>
      <c r="H117" s="159"/>
      <c r="I117" s="159">
        <f t="shared" ref="I117:N117" si="113">I111</f>
        <v>0.24860663198917018</v>
      </c>
      <c r="J117" s="159">
        <f t="shared" si="113"/>
        <v>116.81034482758621</v>
      </c>
      <c r="K117" s="159">
        <f t="shared" si="113"/>
        <v>5.5172413793103452</v>
      </c>
      <c r="L117" s="159">
        <f t="shared" si="113"/>
        <v>116.81034482758621</v>
      </c>
      <c r="M117" s="159">
        <f t="shared" si="113"/>
        <v>5.5172413793103452</v>
      </c>
      <c r="N117" s="159">
        <f t="shared" si="113"/>
        <v>10</v>
      </c>
      <c r="O117" s="45">
        <v>31.54</v>
      </c>
      <c r="R117" s="155">
        <v>15</v>
      </c>
      <c r="U117" s="42" t="s">
        <v>396</v>
      </c>
      <c r="W117" s="42" t="s">
        <v>98</v>
      </c>
      <c r="X117" s="42" t="s">
        <v>99</v>
      </c>
    </row>
    <row r="118" spans="2:24">
      <c r="B118" s="42" t="s">
        <v>397</v>
      </c>
      <c r="C118" s="42" t="s">
        <v>289</v>
      </c>
      <c r="D118" s="42"/>
      <c r="E118" s="42" t="s">
        <v>395</v>
      </c>
      <c r="F118">
        <v>2021</v>
      </c>
      <c r="G118" s="159">
        <f t="shared" si="112"/>
        <v>0.8</v>
      </c>
      <c r="H118" s="159"/>
      <c r="I118" s="159">
        <f t="shared" ref="I118:N118" si="114">I112</f>
        <v>8.8560651785726044E-2</v>
      </c>
      <c r="J118" s="159">
        <f t="shared" si="114"/>
        <v>69.545454545454547</v>
      </c>
      <c r="K118" s="159">
        <f t="shared" si="114"/>
        <v>2.2727272727272729</v>
      </c>
      <c r="L118" s="159">
        <f t="shared" si="114"/>
        <v>69.545454545454547</v>
      </c>
      <c r="M118" s="159">
        <f t="shared" si="114"/>
        <v>2.2727272727272729</v>
      </c>
      <c r="N118" s="159">
        <f t="shared" si="114"/>
        <v>13</v>
      </c>
      <c r="O118" s="45">
        <v>31.54</v>
      </c>
      <c r="R118" s="155">
        <v>15</v>
      </c>
      <c r="U118" s="42" t="s">
        <v>397</v>
      </c>
      <c r="W118" s="42" t="s">
        <v>98</v>
      </c>
      <c r="X118" s="42" t="s">
        <v>99</v>
      </c>
    </row>
    <row r="119" spans="2:24">
      <c r="B119" s="42" t="s">
        <v>398</v>
      </c>
      <c r="C119" s="42" t="s">
        <v>291</v>
      </c>
      <c r="D119" s="42"/>
      <c r="E119" s="42" t="s">
        <v>395</v>
      </c>
      <c r="F119">
        <v>2021</v>
      </c>
      <c r="G119" s="159">
        <f t="shared" si="112"/>
        <v>0.8</v>
      </c>
      <c r="H119" s="159"/>
      <c r="I119" s="159">
        <f t="shared" ref="I119:N119" si="115">I113</f>
        <v>8.8560651785726044E-2</v>
      </c>
      <c r="J119" s="159">
        <f t="shared" si="115"/>
        <v>69.545454545454547</v>
      </c>
      <c r="K119" s="159">
        <f t="shared" si="115"/>
        <v>2.2727272727272729</v>
      </c>
      <c r="L119" s="159">
        <f t="shared" si="115"/>
        <v>69.545454545454547</v>
      </c>
      <c r="M119" s="159">
        <f t="shared" si="115"/>
        <v>2.2727272727272729</v>
      </c>
      <c r="N119" s="159">
        <f t="shared" si="115"/>
        <v>13</v>
      </c>
      <c r="O119" s="45">
        <v>31.54</v>
      </c>
      <c r="R119" s="155">
        <v>15</v>
      </c>
      <c r="U119" s="42" t="s">
        <v>398</v>
      </c>
      <c r="W119" s="42" t="s">
        <v>98</v>
      </c>
      <c r="X119" s="42" t="s">
        <v>99</v>
      </c>
    </row>
    <row r="120" spans="2:24">
      <c r="B120" s="42" t="s">
        <v>399</v>
      </c>
      <c r="C120" s="42" t="s">
        <v>293</v>
      </c>
      <c r="D120" s="42"/>
      <c r="E120" s="42" t="s">
        <v>395</v>
      </c>
      <c r="F120">
        <v>2021</v>
      </c>
      <c r="G120" s="159">
        <f t="shared" si="112"/>
        <v>0.98</v>
      </c>
      <c r="H120" s="159"/>
      <c r="I120" s="159">
        <f t="shared" ref="I120:N120" si="116">I114</f>
        <v>0.14392310719876714</v>
      </c>
      <c r="J120" s="159">
        <f t="shared" si="116"/>
        <v>72.424242424242422</v>
      </c>
      <c r="K120" s="159">
        <f t="shared" si="116"/>
        <v>0.78787878787878785</v>
      </c>
      <c r="L120" s="159">
        <f t="shared" si="116"/>
        <v>72.424242424242422</v>
      </c>
      <c r="M120" s="159">
        <f t="shared" si="116"/>
        <v>0.78787878787878785</v>
      </c>
      <c r="N120" s="159">
        <f t="shared" si="116"/>
        <v>15</v>
      </c>
      <c r="O120" s="45">
        <v>31.54</v>
      </c>
      <c r="R120" s="155">
        <v>15</v>
      </c>
      <c r="U120" s="42" t="s">
        <v>399</v>
      </c>
      <c r="W120" s="42" t="s">
        <v>98</v>
      </c>
      <c r="X120" s="42" t="s">
        <v>99</v>
      </c>
    </row>
    <row r="121" spans="2:24">
      <c r="B121" s="42" t="s">
        <v>400</v>
      </c>
      <c r="C121" s="42" t="s">
        <v>295</v>
      </c>
      <c r="D121" s="42"/>
      <c r="E121" s="42" t="s">
        <v>395</v>
      </c>
      <c r="F121">
        <v>2021</v>
      </c>
      <c r="G121" s="159">
        <f t="shared" si="112"/>
        <v>0.87199999999999989</v>
      </c>
      <c r="H121" s="159"/>
      <c r="I121" s="159">
        <f t="shared" ref="I121:N121" si="117">I115</f>
        <v>0.28126847815747497</v>
      </c>
      <c r="J121" s="159">
        <f t="shared" si="117"/>
        <v>117.77621037965864</v>
      </c>
      <c r="K121" s="159">
        <f t="shared" si="117"/>
        <v>2.7256704980842916</v>
      </c>
      <c r="L121" s="159">
        <f t="shared" si="117"/>
        <v>117.77621037965864</v>
      </c>
      <c r="M121" s="159">
        <f t="shared" si="117"/>
        <v>2.7256704980842916</v>
      </c>
      <c r="N121" s="159">
        <f t="shared" si="117"/>
        <v>12.6</v>
      </c>
      <c r="O121" s="45">
        <v>31.54</v>
      </c>
      <c r="R121" s="155">
        <v>15</v>
      </c>
      <c r="U121" s="42" t="s">
        <v>400</v>
      </c>
      <c r="W121" s="42" t="s">
        <v>98</v>
      </c>
      <c r="X121" s="42" t="s">
        <v>99</v>
      </c>
    </row>
    <row r="122" spans="2:24">
      <c r="B122" s="42" t="s">
        <v>401</v>
      </c>
      <c r="C122" s="42" t="s">
        <v>244</v>
      </c>
      <c r="D122" s="42"/>
      <c r="E122" s="42" t="s">
        <v>402</v>
      </c>
      <c r="F122">
        <v>2021</v>
      </c>
      <c r="G122" s="159">
        <f>G116</f>
        <v>0.98</v>
      </c>
      <c r="H122" s="159"/>
      <c r="I122" s="159">
        <f t="shared" ref="I122:N122" si="118">I116</f>
        <v>0.10117977406146407</v>
      </c>
      <c r="J122" s="159">
        <f t="shared" si="118"/>
        <v>260.55555555555554</v>
      </c>
      <c r="K122" s="159">
        <f t="shared" si="118"/>
        <v>2.7777777777777777</v>
      </c>
      <c r="L122" s="159">
        <f t="shared" si="118"/>
        <v>260.55555555555554</v>
      </c>
      <c r="M122" s="159">
        <f t="shared" si="118"/>
        <v>2.7777777777777777</v>
      </c>
      <c r="N122" s="159">
        <f t="shared" si="118"/>
        <v>12</v>
      </c>
      <c r="O122" s="45">
        <v>31.54</v>
      </c>
      <c r="R122" s="155">
        <v>15</v>
      </c>
      <c r="U122" s="42" t="s">
        <v>401</v>
      </c>
      <c r="W122" s="42" t="s">
        <v>98</v>
      </c>
      <c r="X122" s="42" t="s">
        <v>99</v>
      </c>
    </row>
    <row r="123" spans="2:24">
      <c r="B123" s="42" t="s">
        <v>403</v>
      </c>
      <c r="C123" s="42" t="s">
        <v>287</v>
      </c>
      <c r="D123" s="42"/>
      <c r="E123" s="42" t="s">
        <v>402</v>
      </c>
      <c r="F123">
        <v>2021</v>
      </c>
      <c r="G123" s="159">
        <f t="shared" ref="G123:G127" si="119">G117</f>
        <v>0.8</v>
      </c>
      <c r="H123" s="159"/>
      <c r="I123" s="159">
        <f t="shared" ref="I123:N123" si="120">I117</f>
        <v>0.24860663198917018</v>
      </c>
      <c r="J123" s="159">
        <f t="shared" si="120"/>
        <v>116.81034482758621</v>
      </c>
      <c r="K123" s="159">
        <f t="shared" si="120"/>
        <v>5.5172413793103452</v>
      </c>
      <c r="L123" s="159">
        <f t="shared" si="120"/>
        <v>116.81034482758621</v>
      </c>
      <c r="M123" s="159">
        <f t="shared" si="120"/>
        <v>5.5172413793103452</v>
      </c>
      <c r="N123" s="159">
        <f t="shared" si="120"/>
        <v>10</v>
      </c>
      <c r="O123" s="45">
        <v>31.54</v>
      </c>
      <c r="R123" s="155">
        <v>15</v>
      </c>
      <c r="U123" s="42" t="s">
        <v>403</v>
      </c>
      <c r="W123" s="42" t="s">
        <v>98</v>
      </c>
      <c r="X123" s="42" t="s">
        <v>99</v>
      </c>
    </row>
    <row r="124" spans="2:24">
      <c r="B124" s="42" t="s">
        <v>404</v>
      </c>
      <c r="C124" s="42" t="s">
        <v>289</v>
      </c>
      <c r="D124" s="42"/>
      <c r="E124" s="42" t="s">
        <v>402</v>
      </c>
      <c r="F124">
        <v>2021</v>
      </c>
      <c r="G124" s="159">
        <f t="shared" si="119"/>
        <v>0.8</v>
      </c>
      <c r="H124" s="159"/>
      <c r="I124" s="159">
        <f t="shared" ref="I124:N124" si="121">I118</f>
        <v>8.8560651785726044E-2</v>
      </c>
      <c r="J124" s="159">
        <f t="shared" si="121"/>
        <v>69.545454545454547</v>
      </c>
      <c r="K124" s="159">
        <f t="shared" si="121"/>
        <v>2.2727272727272729</v>
      </c>
      <c r="L124" s="159">
        <f t="shared" si="121"/>
        <v>69.545454545454547</v>
      </c>
      <c r="M124" s="159">
        <f t="shared" si="121"/>
        <v>2.2727272727272729</v>
      </c>
      <c r="N124" s="159">
        <f t="shared" si="121"/>
        <v>13</v>
      </c>
      <c r="O124" s="45">
        <v>31.54</v>
      </c>
      <c r="R124" s="155">
        <v>15</v>
      </c>
      <c r="U124" s="42" t="s">
        <v>404</v>
      </c>
      <c r="W124" s="42" t="s">
        <v>98</v>
      </c>
      <c r="X124" s="42" t="s">
        <v>99</v>
      </c>
    </row>
    <row r="125" spans="2:24">
      <c r="B125" s="42" t="s">
        <v>405</v>
      </c>
      <c r="C125" s="42" t="s">
        <v>291</v>
      </c>
      <c r="D125" s="42"/>
      <c r="E125" s="42" t="s">
        <v>402</v>
      </c>
      <c r="F125">
        <v>2021</v>
      </c>
      <c r="G125" s="159">
        <f t="shared" si="119"/>
        <v>0.8</v>
      </c>
      <c r="H125" s="159"/>
      <c r="I125" s="159">
        <f t="shared" ref="I125:N125" si="122">I119</f>
        <v>8.8560651785726044E-2</v>
      </c>
      <c r="J125" s="159">
        <f t="shared" si="122"/>
        <v>69.545454545454547</v>
      </c>
      <c r="K125" s="159">
        <f t="shared" si="122"/>
        <v>2.2727272727272729</v>
      </c>
      <c r="L125" s="159">
        <f t="shared" si="122"/>
        <v>69.545454545454547</v>
      </c>
      <c r="M125" s="159">
        <f t="shared" si="122"/>
        <v>2.2727272727272729</v>
      </c>
      <c r="N125" s="159">
        <f t="shared" si="122"/>
        <v>13</v>
      </c>
      <c r="O125" s="45">
        <v>31.54</v>
      </c>
      <c r="R125" s="155">
        <v>15</v>
      </c>
      <c r="U125" s="42" t="s">
        <v>405</v>
      </c>
      <c r="W125" s="42" t="s">
        <v>98</v>
      </c>
      <c r="X125" s="42" t="s">
        <v>99</v>
      </c>
    </row>
    <row r="126" spans="2:24">
      <c r="B126" s="42" t="s">
        <v>406</v>
      </c>
      <c r="C126" s="42" t="s">
        <v>293</v>
      </c>
      <c r="D126" s="42"/>
      <c r="E126" s="42" t="s">
        <v>402</v>
      </c>
      <c r="F126">
        <v>2021</v>
      </c>
      <c r="G126" s="159">
        <f t="shared" si="119"/>
        <v>0.98</v>
      </c>
      <c r="H126" s="159"/>
      <c r="I126" s="159">
        <f t="shared" ref="I126:N126" si="123">I120</f>
        <v>0.14392310719876714</v>
      </c>
      <c r="J126" s="159">
        <f t="shared" si="123"/>
        <v>72.424242424242422</v>
      </c>
      <c r="K126" s="159">
        <f t="shared" si="123"/>
        <v>0.78787878787878785</v>
      </c>
      <c r="L126" s="159">
        <f t="shared" si="123"/>
        <v>72.424242424242422</v>
      </c>
      <c r="M126" s="159">
        <f t="shared" si="123"/>
        <v>0.78787878787878785</v>
      </c>
      <c r="N126" s="159">
        <f t="shared" si="123"/>
        <v>15</v>
      </c>
      <c r="O126" s="45">
        <v>31.54</v>
      </c>
      <c r="R126" s="155">
        <v>15</v>
      </c>
      <c r="U126" s="42" t="s">
        <v>406</v>
      </c>
      <c r="W126" s="42" t="s">
        <v>98</v>
      </c>
      <c r="X126" s="42" t="s">
        <v>99</v>
      </c>
    </row>
    <row r="127" spans="2:24">
      <c r="B127" s="42" t="s">
        <v>407</v>
      </c>
      <c r="C127" s="42" t="s">
        <v>295</v>
      </c>
      <c r="D127" s="42"/>
      <c r="E127" s="42" t="s">
        <v>402</v>
      </c>
      <c r="F127">
        <v>2021</v>
      </c>
      <c r="G127" s="159">
        <f t="shared" si="119"/>
        <v>0.87199999999999989</v>
      </c>
      <c r="H127" s="159"/>
      <c r="I127" s="159">
        <f t="shared" ref="I127:N127" si="124">I121</f>
        <v>0.28126847815747497</v>
      </c>
      <c r="J127" s="159">
        <f t="shared" si="124"/>
        <v>117.77621037965864</v>
      </c>
      <c r="K127" s="159">
        <f t="shared" si="124"/>
        <v>2.7256704980842916</v>
      </c>
      <c r="L127" s="159">
        <f t="shared" si="124"/>
        <v>117.77621037965864</v>
      </c>
      <c r="M127" s="159">
        <f t="shared" si="124"/>
        <v>2.7256704980842916</v>
      </c>
      <c r="N127" s="159">
        <f t="shared" si="124"/>
        <v>12.6</v>
      </c>
      <c r="O127" s="45">
        <v>31.54</v>
      </c>
      <c r="R127" s="155">
        <v>15</v>
      </c>
      <c r="U127" s="42" t="s">
        <v>407</v>
      </c>
      <c r="W127" s="42" t="s">
        <v>98</v>
      </c>
      <c r="X127" s="42" t="s">
        <v>99</v>
      </c>
    </row>
    <row r="128" spans="2:24">
      <c r="B128" s="42" t="s">
        <v>408</v>
      </c>
      <c r="C128" s="42" t="s">
        <v>244</v>
      </c>
      <c r="D128" s="42"/>
      <c r="E128" s="42" t="s">
        <v>409</v>
      </c>
      <c r="F128">
        <v>2021</v>
      </c>
      <c r="G128" s="159">
        <f>G122</f>
        <v>0.98</v>
      </c>
      <c r="H128" s="159"/>
      <c r="I128" s="159">
        <f t="shared" ref="I128:N128" si="125">I122</f>
        <v>0.10117977406146407</v>
      </c>
      <c r="J128" s="159">
        <f t="shared" si="125"/>
        <v>260.55555555555554</v>
      </c>
      <c r="K128" s="159">
        <f t="shared" si="125"/>
        <v>2.7777777777777777</v>
      </c>
      <c r="L128" s="159">
        <f t="shared" si="125"/>
        <v>260.55555555555554</v>
      </c>
      <c r="M128" s="159">
        <f t="shared" si="125"/>
        <v>2.7777777777777777</v>
      </c>
      <c r="N128" s="159">
        <f t="shared" si="125"/>
        <v>12</v>
      </c>
      <c r="O128" s="45">
        <v>31.54</v>
      </c>
      <c r="R128" s="155">
        <v>15</v>
      </c>
      <c r="U128" s="42" t="s">
        <v>408</v>
      </c>
      <c r="W128" s="42" t="s">
        <v>98</v>
      </c>
      <c r="X128" s="42" t="s">
        <v>99</v>
      </c>
    </row>
    <row r="129" spans="2:24">
      <c r="B129" s="42" t="s">
        <v>410</v>
      </c>
      <c r="C129" s="42" t="s">
        <v>287</v>
      </c>
      <c r="D129" s="42"/>
      <c r="E129" s="42" t="s">
        <v>409</v>
      </c>
      <c r="F129">
        <v>2021</v>
      </c>
      <c r="G129" s="159">
        <f t="shared" ref="G129:G133" si="126">G123</f>
        <v>0.8</v>
      </c>
      <c r="H129" s="159"/>
      <c r="I129" s="159">
        <f t="shared" ref="I129:N129" si="127">I123</f>
        <v>0.24860663198917018</v>
      </c>
      <c r="J129" s="159">
        <f t="shared" si="127"/>
        <v>116.81034482758621</v>
      </c>
      <c r="K129" s="159">
        <f t="shared" si="127"/>
        <v>5.5172413793103452</v>
      </c>
      <c r="L129" s="159">
        <f t="shared" si="127"/>
        <v>116.81034482758621</v>
      </c>
      <c r="M129" s="159">
        <f t="shared" si="127"/>
        <v>5.5172413793103452</v>
      </c>
      <c r="N129" s="159">
        <f t="shared" si="127"/>
        <v>10</v>
      </c>
      <c r="O129" s="45">
        <v>31.54</v>
      </c>
      <c r="R129" s="155">
        <v>15</v>
      </c>
      <c r="U129" s="42" t="s">
        <v>410</v>
      </c>
      <c r="W129" s="42" t="s">
        <v>98</v>
      </c>
      <c r="X129" s="42" t="s">
        <v>99</v>
      </c>
    </row>
    <row r="130" spans="2:24">
      <c r="B130" s="42" t="s">
        <v>411</v>
      </c>
      <c r="C130" s="42" t="s">
        <v>289</v>
      </c>
      <c r="D130" s="42"/>
      <c r="E130" s="42" t="s">
        <v>409</v>
      </c>
      <c r="F130">
        <v>2021</v>
      </c>
      <c r="G130" s="159">
        <f t="shared" si="126"/>
        <v>0.8</v>
      </c>
      <c r="H130" s="159"/>
      <c r="I130" s="159">
        <f t="shared" ref="I130:N130" si="128">I124</f>
        <v>8.8560651785726044E-2</v>
      </c>
      <c r="J130" s="159">
        <f t="shared" si="128"/>
        <v>69.545454545454547</v>
      </c>
      <c r="K130" s="159">
        <f t="shared" si="128"/>
        <v>2.2727272727272729</v>
      </c>
      <c r="L130" s="159">
        <f t="shared" si="128"/>
        <v>69.545454545454547</v>
      </c>
      <c r="M130" s="159">
        <f t="shared" si="128"/>
        <v>2.2727272727272729</v>
      </c>
      <c r="N130" s="159">
        <f t="shared" si="128"/>
        <v>13</v>
      </c>
      <c r="O130" s="45">
        <v>31.54</v>
      </c>
      <c r="R130" s="155">
        <v>15</v>
      </c>
      <c r="U130" s="42" t="s">
        <v>411</v>
      </c>
      <c r="W130" s="42" t="s">
        <v>98</v>
      </c>
      <c r="X130" s="42" t="s">
        <v>99</v>
      </c>
    </row>
    <row r="131" spans="2:24">
      <c r="B131" s="42" t="s">
        <v>412</v>
      </c>
      <c r="C131" s="42" t="s">
        <v>291</v>
      </c>
      <c r="D131" s="42"/>
      <c r="E131" s="42" t="s">
        <v>409</v>
      </c>
      <c r="F131">
        <v>2021</v>
      </c>
      <c r="G131" s="159">
        <f t="shared" si="126"/>
        <v>0.8</v>
      </c>
      <c r="H131" s="159"/>
      <c r="I131" s="159">
        <f t="shared" ref="I131:N131" si="129">I125</f>
        <v>8.8560651785726044E-2</v>
      </c>
      <c r="J131" s="159">
        <f t="shared" si="129"/>
        <v>69.545454545454547</v>
      </c>
      <c r="K131" s="159">
        <f t="shared" si="129"/>
        <v>2.2727272727272729</v>
      </c>
      <c r="L131" s="159">
        <f t="shared" si="129"/>
        <v>69.545454545454547</v>
      </c>
      <c r="M131" s="159">
        <f t="shared" si="129"/>
        <v>2.2727272727272729</v>
      </c>
      <c r="N131" s="159">
        <f t="shared" si="129"/>
        <v>13</v>
      </c>
      <c r="O131" s="45">
        <v>31.54</v>
      </c>
      <c r="R131" s="155">
        <v>15</v>
      </c>
      <c r="U131" s="42" t="s">
        <v>412</v>
      </c>
      <c r="W131" s="42" t="s">
        <v>98</v>
      </c>
      <c r="X131" s="42" t="s">
        <v>99</v>
      </c>
    </row>
    <row r="132" spans="2:24">
      <c r="B132" s="42" t="s">
        <v>413</v>
      </c>
      <c r="C132" s="42" t="s">
        <v>293</v>
      </c>
      <c r="D132" s="42"/>
      <c r="E132" s="42" t="s">
        <v>409</v>
      </c>
      <c r="F132">
        <v>2021</v>
      </c>
      <c r="G132" s="159">
        <f t="shared" si="126"/>
        <v>0.98</v>
      </c>
      <c r="H132" s="159"/>
      <c r="I132" s="159">
        <f t="shared" ref="I132:N132" si="130">I126</f>
        <v>0.14392310719876714</v>
      </c>
      <c r="J132" s="159">
        <f t="shared" si="130"/>
        <v>72.424242424242422</v>
      </c>
      <c r="K132" s="159">
        <f t="shared" si="130"/>
        <v>0.78787878787878785</v>
      </c>
      <c r="L132" s="159">
        <f t="shared" si="130"/>
        <v>72.424242424242422</v>
      </c>
      <c r="M132" s="159">
        <f t="shared" si="130"/>
        <v>0.78787878787878785</v>
      </c>
      <c r="N132" s="159">
        <f t="shared" si="130"/>
        <v>15</v>
      </c>
      <c r="O132" s="45">
        <v>31.54</v>
      </c>
      <c r="R132" s="155">
        <v>15</v>
      </c>
      <c r="U132" s="42" t="s">
        <v>413</v>
      </c>
      <c r="W132" s="42" t="s">
        <v>98</v>
      </c>
      <c r="X132" s="42" t="s">
        <v>99</v>
      </c>
    </row>
    <row r="133" spans="2:24">
      <c r="B133" s="42" t="s">
        <v>414</v>
      </c>
      <c r="C133" s="42" t="s">
        <v>295</v>
      </c>
      <c r="D133" s="42"/>
      <c r="E133" s="42" t="s">
        <v>409</v>
      </c>
      <c r="F133">
        <v>2021</v>
      </c>
      <c r="G133" s="159">
        <f t="shared" si="126"/>
        <v>0.87199999999999989</v>
      </c>
      <c r="H133" s="159"/>
      <c r="I133" s="159">
        <f t="shared" ref="I133:N133" si="131">I127</f>
        <v>0.28126847815747497</v>
      </c>
      <c r="J133" s="159">
        <f t="shared" si="131"/>
        <v>117.77621037965864</v>
      </c>
      <c r="K133" s="159">
        <f t="shared" si="131"/>
        <v>2.7256704980842916</v>
      </c>
      <c r="L133" s="159">
        <f t="shared" si="131"/>
        <v>117.77621037965864</v>
      </c>
      <c r="M133" s="159">
        <f t="shared" si="131"/>
        <v>2.7256704980842916</v>
      </c>
      <c r="N133" s="159">
        <f t="shared" si="131"/>
        <v>12.6</v>
      </c>
      <c r="O133" s="45">
        <v>31.54</v>
      </c>
      <c r="R133" s="155">
        <v>15</v>
      </c>
      <c r="U133" s="42" t="s">
        <v>414</v>
      </c>
      <c r="W133" s="42" t="s">
        <v>98</v>
      </c>
      <c r="X133" s="42" t="s">
        <v>99</v>
      </c>
    </row>
    <row r="134" spans="2:24">
      <c r="B134" s="42" t="s">
        <v>415</v>
      </c>
      <c r="C134" s="42" t="s">
        <v>244</v>
      </c>
      <c r="D134" s="42"/>
      <c r="E134" s="42" t="s">
        <v>416</v>
      </c>
      <c r="F134">
        <v>2021</v>
      </c>
      <c r="G134" s="159">
        <f>G128</f>
        <v>0.98</v>
      </c>
      <c r="H134" s="159"/>
      <c r="I134" s="159">
        <f t="shared" ref="I134:N134" si="132">I128</f>
        <v>0.10117977406146407</v>
      </c>
      <c r="J134" s="159">
        <f t="shared" si="132"/>
        <v>260.55555555555554</v>
      </c>
      <c r="K134" s="159">
        <f t="shared" si="132"/>
        <v>2.7777777777777777</v>
      </c>
      <c r="L134" s="159">
        <f t="shared" si="132"/>
        <v>260.55555555555554</v>
      </c>
      <c r="M134" s="159">
        <f t="shared" si="132"/>
        <v>2.7777777777777777</v>
      </c>
      <c r="N134" s="159">
        <f t="shared" si="132"/>
        <v>12</v>
      </c>
      <c r="O134" s="45">
        <v>31.54</v>
      </c>
      <c r="R134" s="155">
        <v>15</v>
      </c>
      <c r="U134" s="42" t="s">
        <v>415</v>
      </c>
      <c r="W134" s="42" t="s">
        <v>98</v>
      </c>
      <c r="X134" s="42" t="s">
        <v>99</v>
      </c>
    </row>
    <row r="135" spans="2:24">
      <c r="B135" s="42" t="s">
        <v>417</v>
      </c>
      <c r="C135" s="42" t="s">
        <v>287</v>
      </c>
      <c r="D135" s="42"/>
      <c r="E135" s="42" t="s">
        <v>416</v>
      </c>
      <c r="F135">
        <v>2021</v>
      </c>
      <c r="G135" s="159">
        <f t="shared" ref="G135:G139" si="133">G129</f>
        <v>0.8</v>
      </c>
      <c r="H135" s="159"/>
      <c r="I135" s="159">
        <f t="shared" ref="I135:N135" si="134">I129</f>
        <v>0.24860663198917018</v>
      </c>
      <c r="J135" s="159">
        <f t="shared" si="134"/>
        <v>116.81034482758621</v>
      </c>
      <c r="K135" s="159">
        <f t="shared" si="134"/>
        <v>5.5172413793103452</v>
      </c>
      <c r="L135" s="159">
        <f t="shared" si="134"/>
        <v>116.81034482758621</v>
      </c>
      <c r="M135" s="159">
        <f t="shared" si="134"/>
        <v>5.5172413793103452</v>
      </c>
      <c r="N135" s="159">
        <f t="shared" si="134"/>
        <v>10</v>
      </c>
      <c r="O135" s="45">
        <v>31.54</v>
      </c>
      <c r="R135" s="155">
        <v>15</v>
      </c>
      <c r="U135" s="42" t="s">
        <v>417</v>
      </c>
      <c r="W135" s="42" t="s">
        <v>98</v>
      </c>
      <c r="X135" s="42" t="s">
        <v>99</v>
      </c>
    </row>
    <row r="136" spans="2:24">
      <c r="B136" s="42" t="s">
        <v>418</v>
      </c>
      <c r="C136" s="42" t="s">
        <v>289</v>
      </c>
      <c r="D136" s="42"/>
      <c r="E136" s="42" t="s">
        <v>416</v>
      </c>
      <c r="F136">
        <v>2021</v>
      </c>
      <c r="G136" s="159">
        <f t="shared" si="133"/>
        <v>0.8</v>
      </c>
      <c r="H136" s="159"/>
      <c r="I136" s="159">
        <f t="shared" ref="I136:N136" si="135">I130</f>
        <v>8.8560651785726044E-2</v>
      </c>
      <c r="J136" s="159">
        <f t="shared" si="135"/>
        <v>69.545454545454547</v>
      </c>
      <c r="K136" s="159">
        <f t="shared" si="135"/>
        <v>2.2727272727272729</v>
      </c>
      <c r="L136" s="159">
        <f t="shared" si="135"/>
        <v>69.545454545454547</v>
      </c>
      <c r="M136" s="159">
        <f t="shared" si="135"/>
        <v>2.2727272727272729</v>
      </c>
      <c r="N136" s="159">
        <f t="shared" si="135"/>
        <v>13</v>
      </c>
      <c r="O136" s="45">
        <v>31.54</v>
      </c>
      <c r="R136" s="155">
        <v>15</v>
      </c>
      <c r="U136" s="42" t="s">
        <v>418</v>
      </c>
      <c r="W136" s="42" t="s">
        <v>98</v>
      </c>
      <c r="X136" s="42" t="s">
        <v>99</v>
      </c>
    </row>
    <row r="137" spans="2:24">
      <c r="B137" s="42" t="s">
        <v>419</v>
      </c>
      <c r="C137" s="42" t="s">
        <v>291</v>
      </c>
      <c r="D137" s="42"/>
      <c r="E137" s="42" t="s">
        <v>416</v>
      </c>
      <c r="F137">
        <v>2021</v>
      </c>
      <c r="G137" s="159">
        <f t="shared" si="133"/>
        <v>0.8</v>
      </c>
      <c r="H137" s="159"/>
      <c r="I137" s="159">
        <f t="shared" ref="I137:N137" si="136">I131</f>
        <v>8.8560651785726044E-2</v>
      </c>
      <c r="J137" s="159">
        <f t="shared" si="136"/>
        <v>69.545454545454547</v>
      </c>
      <c r="K137" s="159">
        <f t="shared" si="136"/>
        <v>2.2727272727272729</v>
      </c>
      <c r="L137" s="159">
        <f t="shared" si="136"/>
        <v>69.545454545454547</v>
      </c>
      <c r="M137" s="159">
        <f t="shared" si="136"/>
        <v>2.2727272727272729</v>
      </c>
      <c r="N137" s="159">
        <f t="shared" si="136"/>
        <v>13</v>
      </c>
      <c r="O137" s="45">
        <v>31.54</v>
      </c>
      <c r="R137" s="155">
        <v>15</v>
      </c>
      <c r="U137" s="42" t="s">
        <v>419</v>
      </c>
      <c r="W137" s="42" t="s">
        <v>98</v>
      </c>
      <c r="X137" s="42" t="s">
        <v>99</v>
      </c>
    </row>
    <row r="138" spans="2:24">
      <c r="B138" s="42" t="s">
        <v>420</v>
      </c>
      <c r="C138" s="42" t="s">
        <v>293</v>
      </c>
      <c r="D138" s="42"/>
      <c r="E138" s="42" t="s">
        <v>416</v>
      </c>
      <c r="F138">
        <v>2021</v>
      </c>
      <c r="G138" s="159">
        <f t="shared" si="133"/>
        <v>0.98</v>
      </c>
      <c r="H138" s="159"/>
      <c r="I138" s="159">
        <f t="shared" ref="I138:N138" si="137">I132</f>
        <v>0.14392310719876714</v>
      </c>
      <c r="J138" s="159">
        <f t="shared" si="137"/>
        <v>72.424242424242422</v>
      </c>
      <c r="K138" s="159">
        <f t="shared" si="137"/>
        <v>0.78787878787878785</v>
      </c>
      <c r="L138" s="159">
        <f t="shared" si="137"/>
        <v>72.424242424242422</v>
      </c>
      <c r="M138" s="159">
        <f t="shared" si="137"/>
        <v>0.78787878787878785</v>
      </c>
      <c r="N138" s="159">
        <f t="shared" si="137"/>
        <v>15</v>
      </c>
      <c r="O138" s="45">
        <v>31.54</v>
      </c>
      <c r="R138" s="155">
        <v>15</v>
      </c>
      <c r="U138" s="42" t="s">
        <v>420</v>
      </c>
      <c r="W138" s="42" t="s">
        <v>98</v>
      </c>
      <c r="X138" s="42" t="s">
        <v>99</v>
      </c>
    </row>
    <row r="139" spans="2:24">
      <c r="B139" s="42" t="s">
        <v>421</v>
      </c>
      <c r="C139" s="42" t="s">
        <v>295</v>
      </c>
      <c r="D139" s="42"/>
      <c r="E139" s="42" t="s">
        <v>416</v>
      </c>
      <c r="F139">
        <v>2021</v>
      </c>
      <c r="G139" s="159">
        <f t="shared" si="133"/>
        <v>0.87199999999999989</v>
      </c>
      <c r="H139" s="159"/>
      <c r="I139" s="159">
        <f t="shared" ref="I139:N139" si="138">I133</f>
        <v>0.28126847815747497</v>
      </c>
      <c r="J139" s="159">
        <f t="shared" si="138"/>
        <v>117.77621037965864</v>
      </c>
      <c r="K139" s="159">
        <f t="shared" si="138"/>
        <v>2.7256704980842916</v>
      </c>
      <c r="L139" s="159">
        <f t="shared" si="138"/>
        <v>117.77621037965864</v>
      </c>
      <c r="M139" s="159">
        <f t="shared" si="138"/>
        <v>2.7256704980842916</v>
      </c>
      <c r="N139" s="159">
        <f t="shared" si="138"/>
        <v>12.6</v>
      </c>
      <c r="O139" s="45">
        <v>31.54</v>
      </c>
      <c r="R139" s="155">
        <v>15</v>
      </c>
      <c r="U139" s="42" t="s">
        <v>421</v>
      </c>
      <c r="W139" s="42" t="s">
        <v>98</v>
      </c>
      <c r="X139" s="42" t="s">
        <v>99</v>
      </c>
    </row>
    <row r="140" spans="2:24">
      <c r="B140" s="42" t="s">
        <v>422</v>
      </c>
      <c r="C140" s="42" t="s">
        <v>244</v>
      </c>
      <c r="D140" s="42"/>
      <c r="E140" s="42" t="s">
        <v>423</v>
      </c>
      <c r="F140">
        <v>2021</v>
      </c>
      <c r="G140" s="159">
        <f>G134</f>
        <v>0.98</v>
      </c>
      <c r="H140" s="159"/>
      <c r="I140" s="159">
        <f t="shared" ref="I140:N140" si="139">I134</f>
        <v>0.10117977406146407</v>
      </c>
      <c r="J140" s="159">
        <f t="shared" si="139"/>
        <v>260.55555555555554</v>
      </c>
      <c r="K140" s="159">
        <f t="shared" si="139"/>
        <v>2.7777777777777777</v>
      </c>
      <c r="L140" s="159">
        <f t="shared" si="139"/>
        <v>260.55555555555554</v>
      </c>
      <c r="M140" s="159">
        <f t="shared" si="139"/>
        <v>2.7777777777777777</v>
      </c>
      <c r="N140" s="159">
        <f t="shared" si="139"/>
        <v>12</v>
      </c>
      <c r="O140" s="45">
        <v>31.54</v>
      </c>
      <c r="R140" s="155">
        <v>15</v>
      </c>
      <c r="U140" s="42" t="s">
        <v>422</v>
      </c>
      <c r="W140" s="42" t="s">
        <v>98</v>
      </c>
      <c r="X140" s="42" t="s">
        <v>99</v>
      </c>
    </row>
    <row r="141" spans="2:24">
      <c r="B141" s="42" t="s">
        <v>424</v>
      </c>
      <c r="C141" s="42" t="s">
        <v>287</v>
      </c>
      <c r="D141" s="42"/>
      <c r="E141" s="42" t="s">
        <v>423</v>
      </c>
      <c r="F141">
        <v>2021</v>
      </c>
      <c r="G141" s="159">
        <f t="shared" ref="G141:G145" si="140">G135</f>
        <v>0.8</v>
      </c>
      <c r="H141" s="159"/>
      <c r="I141" s="159">
        <f t="shared" ref="I141:N141" si="141">I135</f>
        <v>0.24860663198917018</v>
      </c>
      <c r="J141" s="159">
        <f t="shared" si="141"/>
        <v>116.81034482758621</v>
      </c>
      <c r="K141" s="159">
        <f t="shared" si="141"/>
        <v>5.5172413793103452</v>
      </c>
      <c r="L141" s="159">
        <f t="shared" si="141"/>
        <v>116.81034482758621</v>
      </c>
      <c r="M141" s="159">
        <f t="shared" si="141"/>
        <v>5.5172413793103452</v>
      </c>
      <c r="N141" s="159">
        <f t="shared" si="141"/>
        <v>10</v>
      </c>
      <c r="O141" s="45">
        <v>31.54</v>
      </c>
      <c r="R141" s="155">
        <v>15</v>
      </c>
      <c r="U141" s="42" t="s">
        <v>424</v>
      </c>
      <c r="W141" s="42" t="s">
        <v>98</v>
      </c>
      <c r="X141" s="42" t="s">
        <v>99</v>
      </c>
    </row>
    <row r="142" spans="2:24">
      <c r="B142" s="42" t="s">
        <v>425</v>
      </c>
      <c r="C142" s="42" t="s">
        <v>289</v>
      </c>
      <c r="D142" s="42"/>
      <c r="E142" s="42" t="s">
        <v>423</v>
      </c>
      <c r="F142">
        <v>2021</v>
      </c>
      <c r="G142" s="159">
        <f t="shared" si="140"/>
        <v>0.8</v>
      </c>
      <c r="H142" s="159"/>
      <c r="I142" s="159">
        <f t="shared" ref="I142:N142" si="142">I136</f>
        <v>8.8560651785726044E-2</v>
      </c>
      <c r="J142" s="159">
        <f t="shared" si="142"/>
        <v>69.545454545454547</v>
      </c>
      <c r="K142" s="159">
        <f t="shared" si="142"/>
        <v>2.2727272727272729</v>
      </c>
      <c r="L142" s="159">
        <f t="shared" si="142"/>
        <v>69.545454545454547</v>
      </c>
      <c r="M142" s="159">
        <f t="shared" si="142"/>
        <v>2.2727272727272729</v>
      </c>
      <c r="N142" s="159">
        <f t="shared" si="142"/>
        <v>13</v>
      </c>
      <c r="O142" s="45">
        <v>31.54</v>
      </c>
      <c r="R142" s="155">
        <v>15</v>
      </c>
      <c r="U142" s="42" t="s">
        <v>425</v>
      </c>
      <c r="W142" s="42" t="s">
        <v>98</v>
      </c>
      <c r="X142" s="42" t="s">
        <v>99</v>
      </c>
    </row>
    <row r="143" spans="2:24">
      <c r="B143" s="42" t="s">
        <v>426</v>
      </c>
      <c r="C143" s="42" t="s">
        <v>291</v>
      </c>
      <c r="D143" s="42"/>
      <c r="E143" s="42" t="s">
        <v>423</v>
      </c>
      <c r="F143">
        <v>2021</v>
      </c>
      <c r="G143" s="159">
        <f t="shared" si="140"/>
        <v>0.8</v>
      </c>
      <c r="H143" s="159"/>
      <c r="I143" s="159">
        <f t="shared" ref="I143:N143" si="143">I137</f>
        <v>8.8560651785726044E-2</v>
      </c>
      <c r="J143" s="159">
        <f t="shared" si="143"/>
        <v>69.545454545454547</v>
      </c>
      <c r="K143" s="159">
        <f t="shared" si="143"/>
        <v>2.2727272727272729</v>
      </c>
      <c r="L143" s="159">
        <f t="shared" si="143"/>
        <v>69.545454545454547</v>
      </c>
      <c r="M143" s="159">
        <f t="shared" si="143"/>
        <v>2.2727272727272729</v>
      </c>
      <c r="N143" s="159">
        <f t="shared" si="143"/>
        <v>13</v>
      </c>
      <c r="O143" s="45">
        <v>31.54</v>
      </c>
      <c r="R143" s="155">
        <v>15</v>
      </c>
      <c r="U143" s="42" t="s">
        <v>426</v>
      </c>
      <c r="W143" s="42" t="s">
        <v>98</v>
      </c>
      <c r="X143" s="42" t="s">
        <v>99</v>
      </c>
    </row>
    <row r="144" spans="2:24">
      <c r="B144" s="42" t="s">
        <v>427</v>
      </c>
      <c r="C144" s="42" t="s">
        <v>293</v>
      </c>
      <c r="D144" s="42"/>
      <c r="E144" s="42" t="s">
        <v>423</v>
      </c>
      <c r="F144">
        <v>2021</v>
      </c>
      <c r="G144" s="159">
        <f t="shared" si="140"/>
        <v>0.98</v>
      </c>
      <c r="H144" s="159"/>
      <c r="I144" s="159">
        <f t="shared" ref="I144:N144" si="144">I138</f>
        <v>0.14392310719876714</v>
      </c>
      <c r="J144" s="159">
        <f t="shared" si="144"/>
        <v>72.424242424242422</v>
      </c>
      <c r="K144" s="159">
        <f t="shared" si="144"/>
        <v>0.78787878787878785</v>
      </c>
      <c r="L144" s="159">
        <f t="shared" si="144"/>
        <v>72.424242424242422</v>
      </c>
      <c r="M144" s="159">
        <f t="shared" si="144"/>
        <v>0.78787878787878785</v>
      </c>
      <c r="N144" s="159">
        <f t="shared" si="144"/>
        <v>15</v>
      </c>
      <c r="O144" s="45">
        <v>31.54</v>
      </c>
      <c r="R144" s="155">
        <v>15</v>
      </c>
      <c r="U144" s="42" t="s">
        <v>427</v>
      </c>
      <c r="W144" s="42" t="s">
        <v>98</v>
      </c>
      <c r="X144" s="42" t="s">
        <v>99</v>
      </c>
    </row>
    <row r="145" spans="2:24">
      <c r="B145" s="42" t="s">
        <v>428</v>
      </c>
      <c r="C145" s="42" t="s">
        <v>295</v>
      </c>
      <c r="D145" s="42"/>
      <c r="E145" s="42" t="s">
        <v>423</v>
      </c>
      <c r="F145">
        <v>2021</v>
      </c>
      <c r="G145" s="159">
        <f t="shared" si="140"/>
        <v>0.87199999999999989</v>
      </c>
      <c r="H145" s="159"/>
      <c r="I145" s="159">
        <f t="shared" ref="I145:N145" si="145">I139</f>
        <v>0.28126847815747497</v>
      </c>
      <c r="J145" s="159">
        <f t="shared" si="145"/>
        <v>117.77621037965864</v>
      </c>
      <c r="K145" s="159">
        <f t="shared" si="145"/>
        <v>2.7256704980842916</v>
      </c>
      <c r="L145" s="159">
        <f t="shared" si="145"/>
        <v>117.77621037965864</v>
      </c>
      <c r="M145" s="159">
        <f t="shared" si="145"/>
        <v>2.7256704980842916</v>
      </c>
      <c r="N145" s="159">
        <f t="shared" si="145"/>
        <v>12.6</v>
      </c>
      <c r="O145" s="45">
        <v>31.54</v>
      </c>
      <c r="R145" s="155">
        <v>15</v>
      </c>
      <c r="U145" s="42" t="s">
        <v>428</v>
      </c>
      <c r="W145" s="42" t="s">
        <v>98</v>
      </c>
      <c r="X145" s="42" t="s">
        <v>99</v>
      </c>
    </row>
    <row r="146" spans="2:24">
      <c r="B146" s="168" t="s">
        <v>429</v>
      </c>
      <c r="C146" s="168" t="s">
        <v>244</v>
      </c>
      <c r="D146" s="168"/>
      <c r="E146" s="168" t="s">
        <v>430</v>
      </c>
      <c r="F146" s="169">
        <v>2021</v>
      </c>
      <c r="G146" s="170">
        <v>1</v>
      </c>
      <c r="H146" s="170"/>
      <c r="I146" s="170">
        <f>'[5]TechSpaceHeat-COM'!$O$199</f>
        <v>0.14303460167047716</v>
      </c>
      <c r="J146" s="170">
        <f>5470/(170/3.412)*1</f>
        <v>109.78611764705883</v>
      </c>
      <c r="K146" s="170">
        <f>32/(170/3.412)*1</f>
        <v>0.64225882352941177</v>
      </c>
      <c r="L146" s="170">
        <f t="shared" ref="L146:L207" si="146">J146</f>
        <v>109.78611764705883</v>
      </c>
      <c r="M146" s="170">
        <f t="shared" ref="M146:M207" si="147">K146</f>
        <v>0.64225882352941177</v>
      </c>
      <c r="N146" s="170">
        <v>18</v>
      </c>
      <c r="O146" s="45">
        <v>31.54</v>
      </c>
      <c r="R146" s="155">
        <v>15</v>
      </c>
      <c r="U146" s="42" t="s">
        <v>429</v>
      </c>
      <c r="W146" s="42" t="s">
        <v>98</v>
      </c>
      <c r="X146" s="42" t="s">
        <v>99</v>
      </c>
    </row>
    <row r="147" spans="2:24">
      <c r="B147" s="168" t="s">
        <v>431</v>
      </c>
      <c r="C147" s="168" t="s">
        <v>287</v>
      </c>
      <c r="D147" s="168"/>
      <c r="E147" s="168" t="s">
        <v>430</v>
      </c>
      <c r="F147" s="169">
        <v>2021</v>
      </c>
      <c r="G147" s="170">
        <v>0.8</v>
      </c>
      <c r="H147" s="170"/>
      <c r="I147" s="170">
        <f>'[5]TechSpaceHeat-COM'!$O$200</f>
        <v>0.18900772326984977</v>
      </c>
      <c r="J147" s="170">
        <f>2540/117*1</f>
        <v>21.70940170940171</v>
      </c>
      <c r="K147" s="170">
        <f>200/117*1</f>
        <v>1.7094017094017093</v>
      </c>
      <c r="L147" s="170">
        <f t="shared" si="146"/>
        <v>21.70940170940171</v>
      </c>
      <c r="M147" s="170">
        <f t="shared" si="147"/>
        <v>1.7094017094017093</v>
      </c>
      <c r="N147" s="170">
        <v>23</v>
      </c>
      <c r="O147" s="45">
        <v>31.54</v>
      </c>
      <c r="R147" s="155">
        <v>15</v>
      </c>
      <c r="U147" s="42" t="s">
        <v>431</v>
      </c>
      <c r="W147" s="42" t="s">
        <v>98</v>
      </c>
      <c r="X147" s="42" t="s">
        <v>99</v>
      </c>
    </row>
    <row r="148" spans="2:24">
      <c r="B148" s="168" t="s">
        <v>432</v>
      </c>
      <c r="C148" s="168" t="s">
        <v>289</v>
      </c>
      <c r="D148" s="168"/>
      <c r="E148" s="168" t="s">
        <v>430</v>
      </c>
      <c r="F148" s="169">
        <v>2021</v>
      </c>
      <c r="G148" s="170">
        <v>0.81</v>
      </c>
      <c r="H148" s="170"/>
      <c r="I148" s="170">
        <f>'[5]TechSpaceHeat-COM'!$O$201</f>
        <v>0.11469255641761587</v>
      </c>
      <c r="J148" s="170">
        <f>7740/73*1</f>
        <v>106.02739726027397</v>
      </c>
      <c r="K148" s="170">
        <f>360/73*1</f>
        <v>4.9315068493150687</v>
      </c>
      <c r="L148" s="170">
        <f t="shared" si="146"/>
        <v>106.02739726027397</v>
      </c>
      <c r="M148" s="170">
        <f t="shared" si="147"/>
        <v>4.9315068493150687</v>
      </c>
      <c r="N148" s="171">
        <v>23</v>
      </c>
      <c r="O148" s="45">
        <v>31.54</v>
      </c>
      <c r="R148" s="155">
        <v>15</v>
      </c>
      <c r="U148" s="42" t="s">
        <v>432</v>
      </c>
      <c r="W148" s="42" t="s">
        <v>98</v>
      </c>
      <c r="X148" s="42" t="s">
        <v>99</v>
      </c>
    </row>
    <row r="149" spans="2:24">
      <c r="B149" s="168" t="s">
        <v>433</v>
      </c>
      <c r="C149" s="168" t="s">
        <v>291</v>
      </c>
      <c r="D149" s="168"/>
      <c r="E149" s="168" t="s">
        <v>430</v>
      </c>
      <c r="F149" s="169">
        <v>2021</v>
      </c>
      <c r="G149" s="170">
        <f>G148</f>
        <v>0.81</v>
      </c>
      <c r="H149" s="170"/>
      <c r="I149" s="170">
        <f>'[5]TechSpaceHeat-COM'!$O$202</f>
        <v>0.11469255641761587</v>
      </c>
      <c r="J149" s="170">
        <f t="shared" ref="I149:O149" si="148">J148</f>
        <v>106.02739726027397</v>
      </c>
      <c r="K149" s="170">
        <f t="shared" si="148"/>
        <v>4.9315068493150687</v>
      </c>
      <c r="L149" s="170">
        <f t="shared" si="148"/>
        <v>106.02739726027397</v>
      </c>
      <c r="M149" s="170">
        <f t="shared" si="148"/>
        <v>4.9315068493150687</v>
      </c>
      <c r="N149" s="170">
        <f t="shared" si="148"/>
        <v>23</v>
      </c>
      <c r="O149" s="45">
        <v>31.54</v>
      </c>
      <c r="R149" s="155">
        <v>15</v>
      </c>
      <c r="U149" s="42" t="s">
        <v>433</v>
      </c>
      <c r="W149" s="42" t="s">
        <v>98</v>
      </c>
      <c r="X149" s="42" t="s">
        <v>99</v>
      </c>
    </row>
    <row r="150" spans="2:24">
      <c r="B150" s="168" t="s">
        <v>434</v>
      </c>
      <c r="C150" s="168" t="s">
        <v>293</v>
      </c>
      <c r="D150" s="168"/>
      <c r="E150" s="168" t="s">
        <v>430</v>
      </c>
      <c r="F150" s="169">
        <v>2021</v>
      </c>
      <c r="G150" s="172">
        <f>G90</f>
        <v>0.98</v>
      </c>
      <c r="H150" s="172"/>
      <c r="I150" s="172">
        <f>'[5]TechSpaceHeat-COM'!$O$203</f>
        <v>0.18900772326984977</v>
      </c>
      <c r="J150" s="172">
        <f t="shared" ref="I150:O150" si="149">J90</f>
        <v>72.424242424242422</v>
      </c>
      <c r="K150" s="172">
        <f t="shared" si="149"/>
        <v>0.78787878787878785</v>
      </c>
      <c r="L150" s="172">
        <f t="shared" si="149"/>
        <v>72.424242424242422</v>
      </c>
      <c r="M150" s="172">
        <f t="shared" si="149"/>
        <v>0.78787878787878785</v>
      </c>
      <c r="N150" s="172">
        <f t="shared" si="149"/>
        <v>15</v>
      </c>
      <c r="O150" s="45">
        <v>31.54</v>
      </c>
      <c r="R150" s="155">
        <v>15</v>
      </c>
      <c r="U150" s="42" t="s">
        <v>434</v>
      </c>
      <c r="W150" s="42" t="s">
        <v>98</v>
      </c>
      <c r="X150" s="42" t="s">
        <v>99</v>
      </c>
    </row>
    <row r="151" spans="2:24">
      <c r="B151" s="168" t="s">
        <v>435</v>
      </c>
      <c r="C151" s="168" t="s">
        <v>295</v>
      </c>
      <c r="D151" s="168"/>
      <c r="E151" s="168" t="s">
        <v>430</v>
      </c>
      <c r="F151" s="169">
        <v>2021</v>
      </c>
      <c r="G151" s="170">
        <f>AVERAGE(G146:G150)</f>
        <v>0.88000000000000012</v>
      </c>
      <c r="H151" s="170"/>
      <c r="I151" s="170">
        <f>'[5]TechSpaceHeat-COM'!$O$204</f>
        <v>0.21983667250248537</v>
      </c>
      <c r="J151" s="170">
        <f t="shared" ref="I151:N151" si="150">AVERAGE(J146:J150)</f>
        <v>83.19491126025018</v>
      </c>
      <c r="K151" s="170">
        <f t="shared" si="150"/>
        <v>2.6005106038880088</v>
      </c>
      <c r="L151" s="170">
        <f t="shared" si="150"/>
        <v>83.19491126025018</v>
      </c>
      <c r="M151" s="170">
        <f t="shared" si="150"/>
        <v>2.6005106038880088</v>
      </c>
      <c r="N151" s="170">
        <f t="shared" si="150"/>
        <v>20.399999999999999</v>
      </c>
      <c r="O151" s="45">
        <v>31.54</v>
      </c>
      <c r="R151" s="155">
        <v>15</v>
      </c>
      <c r="U151" s="42" t="s">
        <v>435</v>
      </c>
      <c r="W151" s="42" t="s">
        <v>98</v>
      </c>
      <c r="X151" s="42" t="s">
        <v>99</v>
      </c>
    </row>
    <row r="152" spans="2:24">
      <c r="B152" s="42" t="s">
        <v>436</v>
      </c>
      <c r="C152" s="42" t="s">
        <v>244</v>
      </c>
      <c r="D152" s="42"/>
      <c r="E152" s="42" t="s">
        <v>437</v>
      </c>
      <c r="F152">
        <v>2021</v>
      </c>
      <c r="G152" s="159">
        <f>G146</f>
        <v>1</v>
      </c>
      <c r="H152" s="159"/>
      <c r="I152" s="159">
        <f t="shared" ref="I152:O152" si="151">I146</f>
        <v>0.14303460167047716</v>
      </c>
      <c r="J152" s="159">
        <f t="shared" si="151"/>
        <v>109.78611764705883</v>
      </c>
      <c r="K152" s="159">
        <f t="shared" si="151"/>
        <v>0.64225882352941177</v>
      </c>
      <c r="L152" s="159">
        <f t="shared" si="151"/>
        <v>109.78611764705883</v>
      </c>
      <c r="M152" s="159">
        <f t="shared" si="151"/>
        <v>0.64225882352941177</v>
      </c>
      <c r="N152" s="159">
        <f t="shared" si="151"/>
        <v>18</v>
      </c>
      <c r="O152" s="45">
        <v>31.54</v>
      </c>
      <c r="R152" s="155">
        <v>15</v>
      </c>
      <c r="U152" s="42" t="s">
        <v>436</v>
      </c>
      <c r="W152" s="42" t="s">
        <v>98</v>
      </c>
      <c r="X152" s="42" t="s">
        <v>99</v>
      </c>
    </row>
    <row r="153" spans="2:24">
      <c r="B153" s="42" t="s">
        <v>438</v>
      </c>
      <c r="C153" s="42" t="s">
        <v>287</v>
      </c>
      <c r="D153" s="42"/>
      <c r="E153" s="42" t="s">
        <v>437</v>
      </c>
      <c r="F153">
        <v>2021</v>
      </c>
      <c r="G153" s="159">
        <f t="shared" ref="G153:O153" si="152">G147</f>
        <v>0.8</v>
      </c>
      <c r="H153" s="159"/>
      <c r="I153" s="159">
        <f t="shared" si="152"/>
        <v>0.18900772326984977</v>
      </c>
      <c r="J153" s="159">
        <f t="shared" si="152"/>
        <v>21.70940170940171</v>
      </c>
      <c r="K153" s="159">
        <f t="shared" si="152"/>
        <v>1.7094017094017093</v>
      </c>
      <c r="L153" s="159">
        <f t="shared" si="152"/>
        <v>21.70940170940171</v>
      </c>
      <c r="M153" s="159">
        <f t="shared" si="152"/>
        <v>1.7094017094017093</v>
      </c>
      <c r="N153" s="159">
        <f t="shared" si="152"/>
        <v>23</v>
      </c>
      <c r="O153" s="45">
        <v>31.54</v>
      </c>
      <c r="R153" s="155">
        <v>15</v>
      </c>
      <c r="U153" s="42" t="s">
        <v>438</v>
      </c>
      <c r="W153" s="42" t="s">
        <v>98</v>
      </c>
      <c r="X153" s="42" t="s">
        <v>99</v>
      </c>
    </row>
    <row r="154" spans="2:24">
      <c r="B154" s="42" t="s">
        <v>439</v>
      </c>
      <c r="C154" s="42" t="s">
        <v>289</v>
      </c>
      <c r="D154" s="42"/>
      <c r="E154" s="42" t="s">
        <v>437</v>
      </c>
      <c r="F154">
        <v>2021</v>
      </c>
      <c r="G154" s="159">
        <f t="shared" ref="G154:O154" si="153">G148</f>
        <v>0.81</v>
      </c>
      <c r="H154" s="159"/>
      <c r="I154" s="159">
        <f t="shared" si="153"/>
        <v>0.11469255641761587</v>
      </c>
      <c r="J154" s="159">
        <f t="shared" si="153"/>
        <v>106.02739726027397</v>
      </c>
      <c r="K154" s="159">
        <f t="shared" si="153"/>
        <v>4.9315068493150687</v>
      </c>
      <c r="L154" s="159">
        <f t="shared" si="153"/>
        <v>106.02739726027397</v>
      </c>
      <c r="M154" s="159">
        <f t="shared" si="153"/>
        <v>4.9315068493150687</v>
      </c>
      <c r="N154" s="159">
        <f t="shared" si="153"/>
        <v>23</v>
      </c>
      <c r="O154" s="45">
        <v>31.54</v>
      </c>
      <c r="R154" s="155">
        <v>15</v>
      </c>
      <c r="U154" s="42" t="s">
        <v>439</v>
      </c>
      <c r="W154" s="42" t="s">
        <v>98</v>
      </c>
      <c r="X154" s="42" t="s">
        <v>99</v>
      </c>
    </row>
    <row r="155" spans="2:24">
      <c r="B155" s="42" t="s">
        <v>440</v>
      </c>
      <c r="C155" s="42" t="s">
        <v>291</v>
      </c>
      <c r="D155" s="42"/>
      <c r="E155" s="42" t="s">
        <v>437</v>
      </c>
      <c r="F155">
        <v>2021</v>
      </c>
      <c r="G155" s="159">
        <f t="shared" ref="G155:O155" si="154">G149</f>
        <v>0.81</v>
      </c>
      <c r="H155" s="159"/>
      <c r="I155" s="159">
        <f t="shared" si="154"/>
        <v>0.11469255641761587</v>
      </c>
      <c r="J155" s="159">
        <f t="shared" si="154"/>
        <v>106.02739726027397</v>
      </c>
      <c r="K155" s="159">
        <f t="shared" si="154"/>
        <v>4.9315068493150687</v>
      </c>
      <c r="L155" s="159">
        <f t="shared" si="154"/>
        <v>106.02739726027397</v>
      </c>
      <c r="M155" s="159">
        <f t="shared" si="154"/>
        <v>4.9315068493150687</v>
      </c>
      <c r="N155" s="159">
        <f t="shared" si="154"/>
        <v>23</v>
      </c>
      <c r="O155" s="45">
        <v>31.54</v>
      </c>
      <c r="R155" s="155">
        <v>15</v>
      </c>
      <c r="U155" s="42" t="s">
        <v>440</v>
      </c>
      <c r="W155" s="42" t="s">
        <v>98</v>
      </c>
      <c r="X155" s="42" t="s">
        <v>99</v>
      </c>
    </row>
    <row r="156" spans="2:24">
      <c r="B156" s="42" t="s">
        <v>441</v>
      </c>
      <c r="C156" s="42" t="s">
        <v>293</v>
      </c>
      <c r="D156" s="42"/>
      <c r="E156" s="42" t="s">
        <v>437</v>
      </c>
      <c r="F156">
        <v>2021</v>
      </c>
      <c r="G156" s="159">
        <f t="shared" ref="G156:O156" si="155">G150</f>
        <v>0.98</v>
      </c>
      <c r="H156" s="159"/>
      <c r="I156" s="159">
        <f t="shared" si="155"/>
        <v>0.18900772326984977</v>
      </c>
      <c r="J156" s="159">
        <f t="shared" si="155"/>
        <v>72.424242424242422</v>
      </c>
      <c r="K156" s="159">
        <f t="shared" si="155"/>
        <v>0.78787878787878785</v>
      </c>
      <c r="L156" s="159">
        <f t="shared" si="155"/>
        <v>72.424242424242422</v>
      </c>
      <c r="M156" s="159">
        <f t="shared" si="155"/>
        <v>0.78787878787878785</v>
      </c>
      <c r="N156" s="159">
        <f t="shared" si="155"/>
        <v>15</v>
      </c>
      <c r="O156" s="45">
        <v>31.54</v>
      </c>
      <c r="R156" s="155">
        <v>15</v>
      </c>
      <c r="U156" s="42" t="s">
        <v>441</v>
      </c>
      <c r="W156" s="42" t="s">
        <v>98</v>
      </c>
      <c r="X156" s="42" t="s">
        <v>99</v>
      </c>
    </row>
    <row r="157" spans="2:24">
      <c r="B157" s="42" t="s">
        <v>442</v>
      </c>
      <c r="C157" s="42" t="s">
        <v>295</v>
      </c>
      <c r="D157" s="42"/>
      <c r="E157" s="42" t="s">
        <v>437</v>
      </c>
      <c r="F157">
        <v>2021</v>
      </c>
      <c r="G157" s="159">
        <f t="shared" ref="G157:O157" si="156">G151</f>
        <v>0.88000000000000012</v>
      </c>
      <c r="H157" s="159"/>
      <c r="I157" s="159">
        <f t="shared" si="156"/>
        <v>0.21983667250248537</v>
      </c>
      <c r="J157" s="159">
        <f t="shared" si="156"/>
        <v>83.19491126025018</v>
      </c>
      <c r="K157" s="159">
        <f t="shared" si="156"/>
        <v>2.6005106038880088</v>
      </c>
      <c r="L157" s="159">
        <f t="shared" si="156"/>
        <v>83.19491126025018</v>
      </c>
      <c r="M157" s="159">
        <f t="shared" si="156"/>
        <v>2.6005106038880088</v>
      </c>
      <c r="N157" s="159">
        <f t="shared" si="156"/>
        <v>20.399999999999999</v>
      </c>
      <c r="O157" s="45">
        <v>31.54</v>
      </c>
      <c r="R157" s="155">
        <v>15</v>
      </c>
      <c r="U157" s="42" t="s">
        <v>442</v>
      </c>
      <c r="W157" s="42" t="s">
        <v>98</v>
      </c>
      <c r="X157" s="42" t="s">
        <v>99</v>
      </c>
    </row>
    <row r="158" spans="2:24">
      <c r="B158" s="42" t="s">
        <v>443</v>
      </c>
      <c r="C158" s="42" t="s">
        <v>244</v>
      </c>
      <c r="D158" s="42"/>
      <c r="E158" s="42" t="s">
        <v>444</v>
      </c>
      <c r="F158">
        <v>2021</v>
      </c>
      <c r="G158" s="159">
        <f>G152</f>
        <v>1</v>
      </c>
      <c r="H158" s="159"/>
      <c r="I158" s="159">
        <f t="shared" ref="I158:O158" si="157">I152</f>
        <v>0.14303460167047716</v>
      </c>
      <c r="J158" s="159">
        <f t="shared" si="157"/>
        <v>109.78611764705883</v>
      </c>
      <c r="K158" s="159">
        <f t="shared" si="157"/>
        <v>0.64225882352941177</v>
      </c>
      <c r="L158" s="159">
        <f t="shared" si="157"/>
        <v>109.78611764705883</v>
      </c>
      <c r="M158" s="159">
        <f t="shared" si="157"/>
        <v>0.64225882352941177</v>
      </c>
      <c r="N158" s="159">
        <f t="shared" si="157"/>
        <v>18</v>
      </c>
      <c r="O158" s="45">
        <v>31.54</v>
      </c>
      <c r="R158" s="155">
        <v>15</v>
      </c>
      <c r="U158" s="42" t="s">
        <v>443</v>
      </c>
      <c r="W158" s="42" t="s">
        <v>98</v>
      </c>
      <c r="X158" s="42" t="s">
        <v>99</v>
      </c>
    </row>
    <row r="159" spans="2:24">
      <c r="B159" s="42" t="s">
        <v>445</v>
      </c>
      <c r="C159" s="42" t="s">
        <v>287</v>
      </c>
      <c r="D159" s="42"/>
      <c r="E159" s="42" t="s">
        <v>444</v>
      </c>
      <c r="F159">
        <v>2021</v>
      </c>
      <c r="G159" s="159">
        <f t="shared" ref="G159" si="158">G153</f>
        <v>0.8</v>
      </c>
      <c r="H159" s="159"/>
      <c r="I159" s="159">
        <f t="shared" ref="I159:O159" si="159">I153</f>
        <v>0.18900772326984977</v>
      </c>
      <c r="J159" s="159">
        <f t="shared" si="159"/>
        <v>21.70940170940171</v>
      </c>
      <c r="K159" s="159">
        <f t="shared" si="159"/>
        <v>1.7094017094017093</v>
      </c>
      <c r="L159" s="159">
        <f t="shared" si="159"/>
        <v>21.70940170940171</v>
      </c>
      <c r="M159" s="159">
        <f t="shared" si="159"/>
        <v>1.7094017094017093</v>
      </c>
      <c r="N159" s="159">
        <f t="shared" si="159"/>
        <v>23</v>
      </c>
      <c r="O159" s="45">
        <v>31.54</v>
      </c>
      <c r="R159" s="155">
        <v>15</v>
      </c>
      <c r="U159" s="42" t="s">
        <v>445</v>
      </c>
      <c r="W159" s="42" t="s">
        <v>98</v>
      </c>
      <c r="X159" s="42" t="s">
        <v>99</v>
      </c>
    </row>
    <row r="160" spans="2:24">
      <c r="B160" s="42" t="s">
        <v>446</v>
      </c>
      <c r="C160" s="42" t="s">
        <v>289</v>
      </c>
      <c r="D160" s="42"/>
      <c r="E160" s="42" t="s">
        <v>444</v>
      </c>
      <c r="F160">
        <v>2021</v>
      </c>
      <c r="G160" s="159">
        <f t="shared" ref="G160" si="160">G154</f>
        <v>0.81</v>
      </c>
      <c r="H160" s="159"/>
      <c r="I160" s="159">
        <f t="shared" ref="I160:O160" si="161">I154</f>
        <v>0.11469255641761587</v>
      </c>
      <c r="J160" s="159">
        <f t="shared" si="161"/>
        <v>106.02739726027397</v>
      </c>
      <c r="K160" s="159">
        <f t="shared" si="161"/>
        <v>4.9315068493150687</v>
      </c>
      <c r="L160" s="159">
        <f t="shared" si="161"/>
        <v>106.02739726027397</v>
      </c>
      <c r="M160" s="159">
        <f t="shared" si="161"/>
        <v>4.9315068493150687</v>
      </c>
      <c r="N160" s="159">
        <f t="shared" si="161"/>
        <v>23</v>
      </c>
      <c r="O160" s="45">
        <v>31.54</v>
      </c>
      <c r="R160" s="155">
        <v>15</v>
      </c>
      <c r="U160" s="42" t="s">
        <v>446</v>
      </c>
      <c r="W160" s="42" t="s">
        <v>98</v>
      </c>
      <c r="X160" s="42" t="s">
        <v>99</v>
      </c>
    </row>
    <row r="161" spans="2:24">
      <c r="B161" s="42" t="s">
        <v>447</v>
      </c>
      <c r="C161" s="42" t="s">
        <v>291</v>
      </c>
      <c r="D161" s="42"/>
      <c r="E161" s="42" t="s">
        <v>444</v>
      </c>
      <c r="F161">
        <v>2021</v>
      </c>
      <c r="G161" s="159">
        <f t="shared" ref="G161" si="162">G155</f>
        <v>0.81</v>
      </c>
      <c r="H161" s="159"/>
      <c r="I161" s="159">
        <f t="shared" ref="I161:O161" si="163">I155</f>
        <v>0.11469255641761587</v>
      </c>
      <c r="J161" s="159">
        <f t="shared" si="163"/>
        <v>106.02739726027397</v>
      </c>
      <c r="K161" s="159">
        <f t="shared" si="163"/>
        <v>4.9315068493150687</v>
      </c>
      <c r="L161" s="159">
        <f t="shared" si="163"/>
        <v>106.02739726027397</v>
      </c>
      <c r="M161" s="159">
        <f t="shared" si="163"/>
        <v>4.9315068493150687</v>
      </c>
      <c r="N161" s="159">
        <f t="shared" si="163"/>
        <v>23</v>
      </c>
      <c r="O161" s="45">
        <v>31.54</v>
      </c>
      <c r="R161" s="155">
        <v>15</v>
      </c>
      <c r="U161" s="42" t="s">
        <v>447</v>
      </c>
      <c r="W161" s="42" t="s">
        <v>98</v>
      </c>
      <c r="X161" s="42" t="s">
        <v>99</v>
      </c>
    </row>
    <row r="162" spans="2:24">
      <c r="B162" s="42" t="s">
        <v>448</v>
      </c>
      <c r="C162" s="42" t="s">
        <v>293</v>
      </c>
      <c r="D162" s="42"/>
      <c r="E162" s="42" t="s">
        <v>444</v>
      </c>
      <c r="F162">
        <v>2021</v>
      </c>
      <c r="G162" s="159">
        <f t="shared" ref="G162" si="164">G156</f>
        <v>0.98</v>
      </c>
      <c r="H162" s="159"/>
      <c r="I162" s="159">
        <f t="shared" ref="I162:O162" si="165">I156</f>
        <v>0.18900772326984977</v>
      </c>
      <c r="J162" s="159">
        <f t="shared" si="165"/>
        <v>72.424242424242422</v>
      </c>
      <c r="K162" s="159">
        <f t="shared" si="165"/>
        <v>0.78787878787878785</v>
      </c>
      <c r="L162" s="159">
        <f t="shared" si="165"/>
        <v>72.424242424242422</v>
      </c>
      <c r="M162" s="159">
        <f t="shared" si="165"/>
        <v>0.78787878787878785</v>
      </c>
      <c r="N162" s="159">
        <f t="shared" si="165"/>
        <v>15</v>
      </c>
      <c r="O162" s="45">
        <v>31.54</v>
      </c>
      <c r="R162" s="155">
        <v>15</v>
      </c>
      <c r="U162" s="42" t="s">
        <v>448</v>
      </c>
      <c r="W162" s="42" t="s">
        <v>98</v>
      </c>
      <c r="X162" s="42" t="s">
        <v>99</v>
      </c>
    </row>
    <row r="163" spans="2:24">
      <c r="B163" s="42" t="s">
        <v>449</v>
      </c>
      <c r="C163" s="42" t="s">
        <v>295</v>
      </c>
      <c r="D163" s="42"/>
      <c r="E163" s="42" t="s">
        <v>444</v>
      </c>
      <c r="F163">
        <v>2021</v>
      </c>
      <c r="G163" s="159">
        <f t="shared" ref="G163" si="166">G157</f>
        <v>0.88000000000000012</v>
      </c>
      <c r="H163" s="159"/>
      <c r="I163" s="159">
        <f t="shared" ref="I163:O163" si="167">I157</f>
        <v>0.21983667250248537</v>
      </c>
      <c r="J163" s="159">
        <f t="shared" si="167"/>
        <v>83.19491126025018</v>
      </c>
      <c r="K163" s="159">
        <f t="shared" si="167"/>
        <v>2.6005106038880088</v>
      </c>
      <c r="L163" s="159">
        <f t="shared" si="167"/>
        <v>83.19491126025018</v>
      </c>
      <c r="M163" s="159">
        <f t="shared" si="167"/>
        <v>2.6005106038880088</v>
      </c>
      <c r="N163" s="159">
        <f t="shared" si="167"/>
        <v>20.399999999999999</v>
      </c>
      <c r="O163" s="45">
        <v>31.54</v>
      </c>
      <c r="R163" s="155">
        <v>15</v>
      </c>
      <c r="U163" s="42" t="s">
        <v>449</v>
      </c>
      <c r="W163" s="42" t="s">
        <v>98</v>
      </c>
      <c r="X163" s="42" t="s">
        <v>99</v>
      </c>
    </row>
    <row r="164" spans="2:24">
      <c r="B164" s="42" t="s">
        <v>450</v>
      </c>
      <c r="C164" s="42" t="s">
        <v>244</v>
      </c>
      <c r="D164" s="42"/>
      <c r="E164" s="42" t="s">
        <v>451</v>
      </c>
      <c r="F164">
        <v>2021</v>
      </c>
      <c r="G164" s="159">
        <f>G158</f>
        <v>1</v>
      </c>
      <c r="H164" s="159"/>
      <c r="I164" s="159">
        <f t="shared" ref="I164:O164" si="168">I158</f>
        <v>0.14303460167047716</v>
      </c>
      <c r="J164" s="159">
        <f t="shared" si="168"/>
        <v>109.78611764705883</v>
      </c>
      <c r="K164" s="159">
        <f t="shared" si="168"/>
        <v>0.64225882352941177</v>
      </c>
      <c r="L164" s="159">
        <f t="shared" si="168"/>
        <v>109.78611764705883</v>
      </c>
      <c r="M164" s="159">
        <f t="shared" si="168"/>
        <v>0.64225882352941177</v>
      </c>
      <c r="N164" s="159">
        <f t="shared" si="168"/>
        <v>18</v>
      </c>
      <c r="O164" s="45">
        <v>31.54</v>
      </c>
      <c r="R164" s="155">
        <v>15</v>
      </c>
      <c r="U164" s="42" t="s">
        <v>450</v>
      </c>
      <c r="W164" s="42" t="s">
        <v>98</v>
      </c>
      <c r="X164" s="42" t="s">
        <v>99</v>
      </c>
    </row>
    <row r="165" spans="2:24">
      <c r="B165" s="42" t="s">
        <v>452</v>
      </c>
      <c r="C165" s="42" t="s">
        <v>287</v>
      </c>
      <c r="D165" s="42"/>
      <c r="E165" s="42" t="s">
        <v>451</v>
      </c>
      <c r="F165">
        <v>2021</v>
      </c>
      <c r="G165" s="159">
        <f t="shared" ref="G165" si="169">G159</f>
        <v>0.8</v>
      </c>
      <c r="H165" s="159"/>
      <c r="I165" s="159">
        <f t="shared" ref="I165:O165" si="170">I159</f>
        <v>0.18900772326984977</v>
      </c>
      <c r="J165" s="159">
        <f t="shared" si="170"/>
        <v>21.70940170940171</v>
      </c>
      <c r="K165" s="159">
        <f t="shared" si="170"/>
        <v>1.7094017094017093</v>
      </c>
      <c r="L165" s="159">
        <f t="shared" si="170"/>
        <v>21.70940170940171</v>
      </c>
      <c r="M165" s="159">
        <f t="shared" si="170"/>
        <v>1.7094017094017093</v>
      </c>
      <c r="N165" s="159">
        <f t="shared" si="170"/>
        <v>23</v>
      </c>
      <c r="O165" s="45">
        <v>31.54</v>
      </c>
      <c r="R165" s="155">
        <v>15</v>
      </c>
      <c r="U165" s="42" t="s">
        <v>452</v>
      </c>
      <c r="W165" s="42" t="s">
        <v>98</v>
      </c>
      <c r="X165" s="42" t="s">
        <v>99</v>
      </c>
    </row>
    <row r="166" spans="2:24">
      <c r="B166" s="42" t="s">
        <v>453</v>
      </c>
      <c r="C166" s="42" t="s">
        <v>289</v>
      </c>
      <c r="D166" s="42"/>
      <c r="E166" s="42" t="s">
        <v>451</v>
      </c>
      <c r="F166">
        <v>2021</v>
      </c>
      <c r="G166" s="159">
        <f t="shared" ref="G166" si="171">G160</f>
        <v>0.81</v>
      </c>
      <c r="H166" s="159"/>
      <c r="I166" s="159">
        <f t="shared" ref="I166:O166" si="172">I160</f>
        <v>0.11469255641761587</v>
      </c>
      <c r="J166" s="159">
        <f t="shared" si="172"/>
        <v>106.02739726027397</v>
      </c>
      <c r="K166" s="159">
        <f t="shared" si="172"/>
        <v>4.9315068493150687</v>
      </c>
      <c r="L166" s="159">
        <f t="shared" si="172"/>
        <v>106.02739726027397</v>
      </c>
      <c r="M166" s="159">
        <f t="shared" si="172"/>
        <v>4.9315068493150687</v>
      </c>
      <c r="N166" s="159">
        <f t="shared" si="172"/>
        <v>23</v>
      </c>
      <c r="O166" s="45">
        <v>31.54</v>
      </c>
      <c r="R166" s="155">
        <v>15</v>
      </c>
      <c r="U166" s="42" t="s">
        <v>453</v>
      </c>
      <c r="W166" s="42" t="s">
        <v>98</v>
      </c>
      <c r="X166" s="42" t="s">
        <v>99</v>
      </c>
    </row>
    <row r="167" spans="2:24">
      <c r="B167" s="42" t="s">
        <v>454</v>
      </c>
      <c r="C167" s="42" t="s">
        <v>291</v>
      </c>
      <c r="D167" s="42"/>
      <c r="E167" s="42" t="s">
        <v>451</v>
      </c>
      <c r="F167">
        <v>2021</v>
      </c>
      <c r="G167" s="159">
        <f t="shared" ref="G167" si="173">G161</f>
        <v>0.81</v>
      </c>
      <c r="H167" s="159"/>
      <c r="I167" s="159">
        <f t="shared" ref="I167:O167" si="174">I161</f>
        <v>0.11469255641761587</v>
      </c>
      <c r="J167" s="159">
        <f t="shared" si="174"/>
        <v>106.02739726027397</v>
      </c>
      <c r="K167" s="159">
        <f t="shared" si="174"/>
        <v>4.9315068493150687</v>
      </c>
      <c r="L167" s="159">
        <f t="shared" si="174"/>
        <v>106.02739726027397</v>
      </c>
      <c r="M167" s="159">
        <f t="shared" si="174"/>
        <v>4.9315068493150687</v>
      </c>
      <c r="N167" s="159">
        <f t="shared" si="174"/>
        <v>23</v>
      </c>
      <c r="O167" s="45">
        <v>31.54</v>
      </c>
      <c r="R167" s="155">
        <v>15</v>
      </c>
      <c r="U167" s="42" t="s">
        <v>454</v>
      </c>
      <c r="W167" s="42" t="s">
        <v>98</v>
      </c>
      <c r="X167" s="42" t="s">
        <v>99</v>
      </c>
    </row>
    <row r="168" spans="2:24">
      <c r="B168" s="42" t="s">
        <v>455</v>
      </c>
      <c r="C168" s="42" t="s">
        <v>293</v>
      </c>
      <c r="D168" s="42"/>
      <c r="E168" s="42" t="s">
        <v>451</v>
      </c>
      <c r="F168">
        <v>2021</v>
      </c>
      <c r="G168" s="159">
        <f t="shared" ref="G168" si="175">G162</f>
        <v>0.98</v>
      </c>
      <c r="H168" s="159"/>
      <c r="I168" s="159">
        <f t="shared" ref="I168:O168" si="176">I162</f>
        <v>0.18900772326984977</v>
      </c>
      <c r="J168" s="159">
        <f t="shared" si="176"/>
        <v>72.424242424242422</v>
      </c>
      <c r="K168" s="159">
        <f t="shared" si="176"/>
        <v>0.78787878787878785</v>
      </c>
      <c r="L168" s="159">
        <f t="shared" si="176"/>
        <v>72.424242424242422</v>
      </c>
      <c r="M168" s="159">
        <f t="shared" si="176"/>
        <v>0.78787878787878785</v>
      </c>
      <c r="N168" s="159">
        <f t="shared" si="176"/>
        <v>15</v>
      </c>
      <c r="O168" s="45">
        <v>31.54</v>
      </c>
      <c r="R168" s="155">
        <v>15</v>
      </c>
      <c r="U168" s="42" t="s">
        <v>455</v>
      </c>
      <c r="W168" s="42" t="s">
        <v>98</v>
      </c>
      <c r="X168" s="42" t="s">
        <v>99</v>
      </c>
    </row>
    <row r="169" spans="2:24">
      <c r="B169" s="42" t="s">
        <v>456</v>
      </c>
      <c r="C169" s="42" t="s">
        <v>295</v>
      </c>
      <c r="D169" s="42"/>
      <c r="E169" s="42" t="s">
        <v>451</v>
      </c>
      <c r="F169">
        <v>2021</v>
      </c>
      <c r="G169" s="159">
        <f t="shared" ref="G169" si="177">G163</f>
        <v>0.88000000000000012</v>
      </c>
      <c r="H169" s="159"/>
      <c r="I169" s="159">
        <f t="shared" ref="I169:O169" si="178">I163</f>
        <v>0.21983667250248537</v>
      </c>
      <c r="J169" s="159">
        <f t="shared" si="178"/>
        <v>83.19491126025018</v>
      </c>
      <c r="K169" s="159">
        <f t="shared" si="178"/>
        <v>2.6005106038880088</v>
      </c>
      <c r="L169" s="159">
        <f t="shared" si="178"/>
        <v>83.19491126025018</v>
      </c>
      <c r="M169" s="159">
        <f t="shared" si="178"/>
        <v>2.6005106038880088</v>
      </c>
      <c r="N169" s="159">
        <f t="shared" si="178"/>
        <v>20.399999999999999</v>
      </c>
      <c r="O169" s="45">
        <v>31.54</v>
      </c>
      <c r="R169" s="155">
        <v>15</v>
      </c>
      <c r="U169" s="42" t="s">
        <v>456</v>
      </c>
      <c r="W169" s="42" t="s">
        <v>98</v>
      </c>
      <c r="X169" s="42" t="s">
        <v>99</v>
      </c>
    </row>
    <row r="170" spans="2:24">
      <c r="B170" s="42" t="s">
        <v>457</v>
      </c>
      <c r="C170" s="42" t="s">
        <v>244</v>
      </c>
      <c r="D170" s="42"/>
      <c r="E170" s="42" t="s">
        <v>458</v>
      </c>
      <c r="F170">
        <v>2021</v>
      </c>
      <c r="G170" s="159">
        <f>G164</f>
        <v>1</v>
      </c>
      <c r="H170" s="159"/>
      <c r="I170" s="159">
        <f t="shared" ref="I170:O170" si="179">I164</f>
        <v>0.14303460167047716</v>
      </c>
      <c r="J170" s="159">
        <f t="shared" si="179"/>
        <v>109.78611764705883</v>
      </c>
      <c r="K170" s="159">
        <f t="shared" si="179"/>
        <v>0.64225882352941177</v>
      </c>
      <c r="L170" s="159">
        <f t="shared" si="179"/>
        <v>109.78611764705883</v>
      </c>
      <c r="M170" s="159">
        <f t="shared" si="179"/>
        <v>0.64225882352941177</v>
      </c>
      <c r="N170" s="159">
        <f t="shared" si="179"/>
        <v>18</v>
      </c>
      <c r="O170" s="45">
        <v>31.54</v>
      </c>
      <c r="R170" s="155">
        <v>15</v>
      </c>
      <c r="U170" s="42" t="s">
        <v>457</v>
      </c>
      <c r="W170" s="42" t="s">
        <v>98</v>
      </c>
      <c r="X170" s="42" t="s">
        <v>99</v>
      </c>
    </row>
    <row r="171" spans="2:24">
      <c r="B171" s="42" t="s">
        <v>459</v>
      </c>
      <c r="C171" s="42" t="s">
        <v>287</v>
      </c>
      <c r="D171" s="42"/>
      <c r="E171" s="42" t="s">
        <v>458</v>
      </c>
      <c r="F171">
        <v>2021</v>
      </c>
      <c r="G171" s="159">
        <f t="shared" ref="G171" si="180">G165</f>
        <v>0.8</v>
      </c>
      <c r="H171" s="159"/>
      <c r="I171" s="159">
        <f t="shared" ref="I171:O171" si="181">I165</f>
        <v>0.18900772326984977</v>
      </c>
      <c r="J171" s="159">
        <f t="shared" si="181"/>
        <v>21.70940170940171</v>
      </c>
      <c r="K171" s="159">
        <f t="shared" si="181"/>
        <v>1.7094017094017093</v>
      </c>
      <c r="L171" s="159">
        <f t="shared" si="181"/>
        <v>21.70940170940171</v>
      </c>
      <c r="M171" s="159">
        <f t="shared" si="181"/>
        <v>1.7094017094017093</v>
      </c>
      <c r="N171" s="159">
        <f t="shared" si="181"/>
        <v>23</v>
      </c>
      <c r="O171" s="45">
        <v>31.54</v>
      </c>
      <c r="R171" s="155">
        <v>15</v>
      </c>
      <c r="U171" s="42" t="s">
        <v>459</v>
      </c>
      <c r="W171" s="42" t="s">
        <v>98</v>
      </c>
      <c r="X171" s="42" t="s">
        <v>99</v>
      </c>
    </row>
    <row r="172" spans="2:24">
      <c r="B172" s="42" t="s">
        <v>460</v>
      </c>
      <c r="C172" s="42" t="s">
        <v>289</v>
      </c>
      <c r="D172" s="42"/>
      <c r="E172" s="42" t="s">
        <v>458</v>
      </c>
      <c r="F172">
        <v>2021</v>
      </c>
      <c r="G172" s="159">
        <f t="shared" ref="G172" si="182">G166</f>
        <v>0.81</v>
      </c>
      <c r="H172" s="159"/>
      <c r="I172" s="159">
        <f t="shared" ref="I172:O172" si="183">I166</f>
        <v>0.11469255641761587</v>
      </c>
      <c r="J172" s="159">
        <f t="shared" si="183"/>
        <v>106.02739726027397</v>
      </c>
      <c r="K172" s="159">
        <f t="shared" si="183"/>
        <v>4.9315068493150687</v>
      </c>
      <c r="L172" s="159">
        <f t="shared" si="183"/>
        <v>106.02739726027397</v>
      </c>
      <c r="M172" s="159">
        <f t="shared" si="183"/>
        <v>4.9315068493150687</v>
      </c>
      <c r="N172" s="159">
        <f t="shared" si="183"/>
        <v>23</v>
      </c>
      <c r="O172" s="45">
        <v>31.54</v>
      </c>
      <c r="R172" s="155">
        <v>15</v>
      </c>
      <c r="U172" s="42" t="s">
        <v>460</v>
      </c>
      <c r="W172" s="42" t="s">
        <v>98</v>
      </c>
      <c r="X172" s="42" t="s">
        <v>99</v>
      </c>
    </row>
    <row r="173" spans="2:24">
      <c r="B173" s="42" t="s">
        <v>461</v>
      </c>
      <c r="C173" s="42" t="s">
        <v>291</v>
      </c>
      <c r="D173" s="42"/>
      <c r="E173" s="42" t="s">
        <v>458</v>
      </c>
      <c r="F173">
        <v>2021</v>
      </c>
      <c r="G173" s="159">
        <f t="shared" ref="G173" si="184">G167</f>
        <v>0.81</v>
      </c>
      <c r="H173" s="159"/>
      <c r="I173" s="159">
        <f t="shared" ref="I173:O173" si="185">I167</f>
        <v>0.11469255641761587</v>
      </c>
      <c r="J173" s="159">
        <f t="shared" si="185"/>
        <v>106.02739726027397</v>
      </c>
      <c r="K173" s="159">
        <f t="shared" si="185"/>
        <v>4.9315068493150687</v>
      </c>
      <c r="L173" s="159">
        <f t="shared" si="185"/>
        <v>106.02739726027397</v>
      </c>
      <c r="M173" s="159">
        <f t="shared" si="185"/>
        <v>4.9315068493150687</v>
      </c>
      <c r="N173" s="159">
        <f t="shared" si="185"/>
        <v>23</v>
      </c>
      <c r="O173" s="45">
        <v>31.54</v>
      </c>
      <c r="R173" s="155">
        <v>15</v>
      </c>
      <c r="U173" s="42" t="s">
        <v>461</v>
      </c>
      <c r="W173" s="42" t="s">
        <v>98</v>
      </c>
      <c r="X173" s="42" t="s">
        <v>99</v>
      </c>
    </row>
    <row r="174" spans="2:24">
      <c r="B174" s="42" t="s">
        <v>462</v>
      </c>
      <c r="C174" s="42" t="s">
        <v>293</v>
      </c>
      <c r="D174" s="42"/>
      <c r="E174" s="42" t="s">
        <v>458</v>
      </c>
      <c r="F174">
        <v>2021</v>
      </c>
      <c r="G174" s="159">
        <f t="shared" ref="G174" si="186">G168</f>
        <v>0.98</v>
      </c>
      <c r="H174" s="159"/>
      <c r="I174" s="159">
        <f t="shared" ref="I174:O174" si="187">I168</f>
        <v>0.18900772326984977</v>
      </c>
      <c r="J174" s="159">
        <f t="shared" si="187"/>
        <v>72.424242424242422</v>
      </c>
      <c r="K174" s="159">
        <f t="shared" si="187"/>
        <v>0.78787878787878785</v>
      </c>
      <c r="L174" s="159">
        <f t="shared" si="187"/>
        <v>72.424242424242422</v>
      </c>
      <c r="M174" s="159">
        <f t="shared" si="187"/>
        <v>0.78787878787878785</v>
      </c>
      <c r="N174" s="159">
        <f t="shared" si="187"/>
        <v>15</v>
      </c>
      <c r="O174" s="45">
        <v>31.54</v>
      </c>
      <c r="R174" s="155">
        <v>15</v>
      </c>
      <c r="U174" s="42" t="s">
        <v>462</v>
      </c>
      <c r="W174" s="42" t="s">
        <v>98</v>
      </c>
      <c r="X174" s="42" t="s">
        <v>99</v>
      </c>
    </row>
    <row r="175" spans="2:24">
      <c r="B175" s="42" t="s">
        <v>463</v>
      </c>
      <c r="C175" s="42" t="s">
        <v>295</v>
      </c>
      <c r="D175" s="42"/>
      <c r="E175" s="42" t="s">
        <v>458</v>
      </c>
      <c r="F175">
        <v>2021</v>
      </c>
      <c r="G175" s="159">
        <f t="shared" ref="G175" si="188">G169</f>
        <v>0.88000000000000012</v>
      </c>
      <c r="H175" s="159"/>
      <c r="I175" s="159">
        <f t="shared" ref="I175:O175" si="189">I169</f>
        <v>0.21983667250248537</v>
      </c>
      <c r="J175" s="159">
        <f t="shared" si="189"/>
        <v>83.19491126025018</v>
      </c>
      <c r="K175" s="159">
        <f t="shared" si="189"/>
        <v>2.6005106038880088</v>
      </c>
      <c r="L175" s="159">
        <f t="shared" si="189"/>
        <v>83.19491126025018</v>
      </c>
      <c r="M175" s="159">
        <f t="shared" si="189"/>
        <v>2.6005106038880088</v>
      </c>
      <c r="N175" s="159">
        <f t="shared" si="189"/>
        <v>20.399999999999999</v>
      </c>
      <c r="O175" s="45">
        <v>31.54</v>
      </c>
      <c r="R175" s="155">
        <v>15</v>
      </c>
      <c r="U175" s="42" t="s">
        <v>463</v>
      </c>
      <c r="W175" s="42" t="s">
        <v>98</v>
      </c>
      <c r="X175" s="42" t="s">
        <v>99</v>
      </c>
    </row>
    <row r="176" spans="2:24">
      <c r="B176" s="42" t="s">
        <v>464</v>
      </c>
      <c r="C176" s="42" t="s">
        <v>244</v>
      </c>
      <c r="D176" s="42"/>
      <c r="E176" s="42" t="s">
        <v>465</v>
      </c>
      <c r="F176">
        <v>2021</v>
      </c>
      <c r="G176" s="159">
        <f>G170</f>
        <v>1</v>
      </c>
      <c r="H176" s="159"/>
      <c r="I176" s="159">
        <f t="shared" ref="I176:O176" si="190">I170</f>
        <v>0.14303460167047716</v>
      </c>
      <c r="J176" s="159">
        <f t="shared" si="190"/>
        <v>109.78611764705883</v>
      </c>
      <c r="K176" s="159">
        <f t="shared" si="190"/>
        <v>0.64225882352941177</v>
      </c>
      <c r="L176" s="159">
        <f t="shared" si="190"/>
        <v>109.78611764705883</v>
      </c>
      <c r="M176" s="159">
        <f t="shared" si="190"/>
        <v>0.64225882352941177</v>
      </c>
      <c r="N176" s="159">
        <f t="shared" si="190"/>
        <v>18</v>
      </c>
      <c r="O176" s="45">
        <v>31.54</v>
      </c>
      <c r="R176" s="155">
        <v>15</v>
      </c>
      <c r="U176" s="42" t="s">
        <v>464</v>
      </c>
      <c r="W176" s="42" t="s">
        <v>98</v>
      </c>
      <c r="X176" s="42" t="s">
        <v>99</v>
      </c>
    </row>
    <row r="177" spans="2:24">
      <c r="B177" s="42" t="s">
        <v>466</v>
      </c>
      <c r="C177" s="42" t="s">
        <v>287</v>
      </c>
      <c r="D177" s="42"/>
      <c r="E177" s="42" t="s">
        <v>465</v>
      </c>
      <c r="F177">
        <v>2021</v>
      </c>
      <c r="G177" s="159">
        <f t="shared" ref="G177" si="191">G171</f>
        <v>0.8</v>
      </c>
      <c r="H177" s="159"/>
      <c r="I177" s="159">
        <f t="shared" ref="I177:O177" si="192">I171</f>
        <v>0.18900772326984977</v>
      </c>
      <c r="J177" s="159">
        <f t="shared" si="192"/>
        <v>21.70940170940171</v>
      </c>
      <c r="K177" s="159">
        <f t="shared" si="192"/>
        <v>1.7094017094017093</v>
      </c>
      <c r="L177" s="159">
        <f t="shared" si="192"/>
        <v>21.70940170940171</v>
      </c>
      <c r="M177" s="159">
        <f t="shared" si="192"/>
        <v>1.7094017094017093</v>
      </c>
      <c r="N177" s="159">
        <f t="shared" si="192"/>
        <v>23</v>
      </c>
      <c r="O177" s="45">
        <v>31.54</v>
      </c>
      <c r="R177" s="155">
        <v>15</v>
      </c>
      <c r="U177" s="42" t="s">
        <v>466</v>
      </c>
      <c r="W177" s="42" t="s">
        <v>98</v>
      </c>
      <c r="X177" s="42" t="s">
        <v>99</v>
      </c>
    </row>
    <row r="178" spans="2:24">
      <c r="B178" s="42" t="s">
        <v>467</v>
      </c>
      <c r="C178" s="42" t="s">
        <v>289</v>
      </c>
      <c r="D178" s="42"/>
      <c r="E178" s="42" t="s">
        <v>465</v>
      </c>
      <c r="F178">
        <v>2021</v>
      </c>
      <c r="G178" s="159">
        <f t="shared" ref="G178" si="193">G172</f>
        <v>0.81</v>
      </c>
      <c r="H178" s="159"/>
      <c r="I178" s="159">
        <f t="shared" ref="I178:O178" si="194">I172</f>
        <v>0.11469255641761587</v>
      </c>
      <c r="J178" s="159">
        <f t="shared" si="194"/>
        <v>106.02739726027397</v>
      </c>
      <c r="K178" s="159">
        <f t="shared" si="194"/>
        <v>4.9315068493150687</v>
      </c>
      <c r="L178" s="159">
        <f t="shared" si="194"/>
        <v>106.02739726027397</v>
      </c>
      <c r="M178" s="159">
        <f t="shared" si="194"/>
        <v>4.9315068493150687</v>
      </c>
      <c r="N178" s="159">
        <f t="shared" si="194"/>
        <v>23</v>
      </c>
      <c r="O178" s="45">
        <v>31.54</v>
      </c>
      <c r="R178" s="155">
        <v>15</v>
      </c>
      <c r="U178" s="42" t="s">
        <v>467</v>
      </c>
      <c r="W178" s="42" t="s">
        <v>98</v>
      </c>
      <c r="X178" s="42" t="s">
        <v>99</v>
      </c>
    </row>
    <row r="179" spans="2:24">
      <c r="B179" s="42" t="s">
        <v>468</v>
      </c>
      <c r="C179" s="42" t="s">
        <v>291</v>
      </c>
      <c r="D179" s="42"/>
      <c r="E179" s="42" t="s">
        <v>465</v>
      </c>
      <c r="F179">
        <v>2021</v>
      </c>
      <c r="G179" s="159">
        <f t="shared" ref="G179" si="195">G173</f>
        <v>0.81</v>
      </c>
      <c r="H179" s="159"/>
      <c r="I179" s="159">
        <f t="shared" ref="I179:O179" si="196">I173</f>
        <v>0.11469255641761587</v>
      </c>
      <c r="J179" s="159">
        <f t="shared" si="196"/>
        <v>106.02739726027397</v>
      </c>
      <c r="K179" s="159">
        <f t="shared" si="196"/>
        <v>4.9315068493150687</v>
      </c>
      <c r="L179" s="159">
        <f t="shared" si="196"/>
        <v>106.02739726027397</v>
      </c>
      <c r="M179" s="159">
        <f t="shared" si="196"/>
        <v>4.9315068493150687</v>
      </c>
      <c r="N179" s="159">
        <f t="shared" si="196"/>
        <v>23</v>
      </c>
      <c r="O179" s="45">
        <v>31.54</v>
      </c>
      <c r="R179" s="155">
        <v>15</v>
      </c>
      <c r="U179" s="42" t="s">
        <v>468</v>
      </c>
      <c r="W179" s="42" t="s">
        <v>98</v>
      </c>
      <c r="X179" s="42" t="s">
        <v>99</v>
      </c>
    </row>
    <row r="180" spans="2:24">
      <c r="B180" s="42" t="s">
        <v>469</v>
      </c>
      <c r="C180" s="42" t="s">
        <v>293</v>
      </c>
      <c r="D180" s="42"/>
      <c r="E180" s="42" t="s">
        <v>465</v>
      </c>
      <c r="F180">
        <v>2021</v>
      </c>
      <c r="G180" s="159">
        <f t="shared" ref="G180" si="197">G174</f>
        <v>0.98</v>
      </c>
      <c r="H180" s="159"/>
      <c r="I180" s="159">
        <f t="shared" ref="I180:O180" si="198">I174</f>
        <v>0.18900772326984977</v>
      </c>
      <c r="J180" s="159">
        <f t="shared" si="198"/>
        <v>72.424242424242422</v>
      </c>
      <c r="K180" s="159">
        <f t="shared" si="198"/>
        <v>0.78787878787878785</v>
      </c>
      <c r="L180" s="159">
        <f t="shared" si="198"/>
        <v>72.424242424242422</v>
      </c>
      <c r="M180" s="159">
        <f t="shared" si="198"/>
        <v>0.78787878787878785</v>
      </c>
      <c r="N180" s="159">
        <f t="shared" si="198"/>
        <v>15</v>
      </c>
      <c r="O180" s="45">
        <v>31.54</v>
      </c>
      <c r="R180" s="155">
        <v>15</v>
      </c>
      <c r="U180" s="42" t="s">
        <v>469</v>
      </c>
      <c r="W180" s="42" t="s">
        <v>98</v>
      </c>
      <c r="X180" s="42" t="s">
        <v>99</v>
      </c>
    </row>
    <row r="181" spans="2:24">
      <c r="B181" s="42" t="s">
        <v>470</v>
      </c>
      <c r="C181" s="42" t="s">
        <v>295</v>
      </c>
      <c r="D181" s="42"/>
      <c r="E181" s="42" t="s">
        <v>465</v>
      </c>
      <c r="F181">
        <v>2021</v>
      </c>
      <c r="G181" s="159">
        <f t="shared" ref="G181" si="199">G175</f>
        <v>0.88000000000000012</v>
      </c>
      <c r="H181" s="159"/>
      <c r="I181" s="159">
        <f t="shared" ref="I181:O181" si="200">I175</f>
        <v>0.21983667250248537</v>
      </c>
      <c r="J181" s="159">
        <f t="shared" si="200"/>
        <v>83.19491126025018</v>
      </c>
      <c r="K181" s="159">
        <f t="shared" si="200"/>
        <v>2.6005106038880088</v>
      </c>
      <c r="L181" s="159">
        <f t="shared" si="200"/>
        <v>83.19491126025018</v>
      </c>
      <c r="M181" s="159">
        <f t="shared" si="200"/>
        <v>2.6005106038880088</v>
      </c>
      <c r="N181" s="159">
        <f t="shared" si="200"/>
        <v>20.399999999999999</v>
      </c>
      <c r="O181" s="45">
        <v>31.54</v>
      </c>
      <c r="R181" s="155">
        <v>15</v>
      </c>
      <c r="U181" s="42" t="s">
        <v>470</v>
      </c>
      <c r="W181" s="42" t="s">
        <v>98</v>
      </c>
      <c r="X181" s="42" t="s">
        <v>99</v>
      </c>
    </row>
    <row r="182" spans="2:24">
      <c r="B182" s="42" t="s">
        <v>471</v>
      </c>
      <c r="C182" s="42" t="s">
        <v>244</v>
      </c>
      <c r="D182" s="42"/>
      <c r="E182" s="42" t="s">
        <v>472</v>
      </c>
      <c r="F182">
        <v>2021</v>
      </c>
      <c r="G182" s="159">
        <f>G176</f>
        <v>1</v>
      </c>
      <c r="H182" s="159"/>
      <c r="I182" s="159">
        <f t="shared" ref="I182:O182" si="201">I176</f>
        <v>0.14303460167047716</v>
      </c>
      <c r="J182" s="159">
        <f t="shared" si="201"/>
        <v>109.78611764705883</v>
      </c>
      <c r="K182" s="159">
        <f t="shared" si="201"/>
        <v>0.64225882352941177</v>
      </c>
      <c r="L182" s="159">
        <f t="shared" si="201"/>
        <v>109.78611764705883</v>
      </c>
      <c r="M182" s="159">
        <f t="shared" si="201"/>
        <v>0.64225882352941177</v>
      </c>
      <c r="N182" s="159">
        <f t="shared" si="201"/>
        <v>18</v>
      </c>
      <c r="O182" s="45">
        <v>31.54</v>
      </c>
      <c r="R182" s="155">
        <v>15</v>
      </c>
      <c r="U182" s="42" t="s">
        <v>471</v>
      </c>
      <c r="W182" s="42" t="s">
        <v>98</v>
      </c>
      <c r="X182" s="42" t="s">
        <v>99</v>
      </c>
    </row>
    <row r="183" spans="2:24">
      <c r="B183" s="42" t="s">
        <v>473</v>
      </c>
      <c r="C183" s="42" t="s">
        <v>287</v>
      </c>
      <c r="D183" s="42"/>
      <c r="E183" s="42" t="s">
        <v>472</v>
      </c>
      <c r="F183">
        <v>2021</v>
      </c>
      <c r="G183" s="159">
        <f t="shared" ref="G183" si="202">G177</f>
        <v>0.8</v>
      </c>
      <c r="H183" s="159"/>
      <c r="I183" s="159">
        <f t="shared" ref="I183:O183" si="203">I177</f>
        <v>0.18900772326984977</v>
      </c>
      <c r="J183" s="159">
        <f t="shared" si="203"/>
        <v>21.70940170940171</v>
      </c>
      <c r="K183" s="159">
        <f t="shared" si="203"/>
        <v>1.7094017094017093</v>
      </c>
      <c r="L183" s="159">
        <f t="shared" si="203"/>
        <v>21.70940170940171</v>
      </c>
      <c r="M183" s="159">
        <f t="shared" si="203"/>
        <v>1.7094017094017093</v>
      </c>
      <c r="N183" s="159">
        <f t="shared" si="203"/>
        <v>23</v>
      </c>
      <c r="O183" s="45">
        <v>31.54</v>
      </c>
      <c r="R183" s="155">
        <v>15</v>
      </c>
      <c r="U183" s="42" t="s">
        <v>473</v>
      </c>
      <c r="W183" s="42" t="s">
        <v>98</v>
      </c>
      <c r="X183" s="42" t="s">
        <v>99</v>
      </c>
    </row>
    <row r="184" spans="2:24">
      <c r="B184" s="42" t="s">
        <v>474</v>
      </c>
      <c r="C184" s="42" t="s">
        <v>289</v>
      </c>
      <c r="D184" s="42"/>
      <c r="E184" s="42" t="s">
        <v>472</v>
      </c>
      <c r="F184">
        <v>2021</v>
      </c>
      <c r="G184" s="159">
        <f t="shared" ref="G184" si="204">G178</f>
        <v>0.81</v>
      </c>
      <c r="H184" s="159"/>
      <c r="I184" s="159">
        <f t="shared" ref="I184:O184" si="205">I178</f>
        <v>0.11469255641761587</v>
      </c>
      <c r="J184" s="159">
        <f t="shared" si="205"/>
        <v>106.02739726027397</v>
      </c>
      <c r="K184" s="159">
        <f t="shared" si="205"/>
        <v>4.9315068493150687</v>
      </c>
      <c r="L184" s="159">
        <f t="shared" si="205"/>
        <v>106.02739726027397</v>
      </c>
      <c r="M184" s="159">
        <f t="shared" si="205"/>
        <v>4.9315068493150687</v>
      </c>
      <c r="N184" s="159">
        <f t="shared" si="205"/>
        <v>23</v>
      </c>
      <c r="O184" s="45">
        <v>31.54</v>
      </c>
      <c r="R184" s="155">
        <v>15</v>
      </c>
      <c r="U184" s="42" t="s">
        <v>474</v>
      </c>
      <c r="W184" s="42" t="s">
        <v>98</v>
      </c>
      <c r="X184" s="42" t="s">
        <v>99</v>
      </c>
    </row>
    <row r="185" spans="2:24">
      <c r="B185" s="42" t="s">
        <v>475</v>
      </c>
      <c r="C185" s="42" t="s">
        <v>291</v>
      </c>
      <c r="D185" s="42"/>
      <c r="E185" s="42" t="s">
        <v>472</v>
      </c>
      <c r="F185">
        <v>2021</v>
      </c>
      <c r="G185" s="159">
        <f t="shared" ref="G185" si="206">G179</f>
        <v>0.81</v>
      </c>
      <c r="H185" s="159"/>
      <c r="I185" s="159">
        <f t="shared" ref="I185:O185" si="207">I179</f>
        <v>0.11469255641761587</v>
      </c>
      <c r="J185" s="159">
        <f t="shared" si="207"/>
        <v>106.02739726027397</v>
      </c>
      <c r="K185" s="159">
        <f t="shared" si="207"/>
        <v>4.9315068493150687</v>
      </c>
      <c r="L185" s="159">
        <f t="shared" si="207"/>
        <v>106.02739726027397</v>
      </c>
      <c r="M185" s="159">
        <f t="shared" si="207"/>
        <v>4.9315068493150687</v>
      </c>
      <c r="N185" s="159">
        <f t="shared" si="207"/>
        <v>23</v>
      </c>
      <c r="O185" s="45">
        <v>31.54</v>
      </c>
      <c r="R185" s="155">
        <v>15</v>
      </c>
      <c r="U185" s="42" t="s">
        <v>475</v>
      </c>
      <c r="W185" s="42" t="s">
        <v>98</v>
      </c>
      <c r="X185" s="42" t="s">
        <v>99</v>
      </c>
    </row>
    <row r="186" spans="2:24">
      <c r="B186" s="42" t="s">
        <v>476</v>
      </c>
      <c r="C186" s="42" t="s">
        <v>293</v>
      </c>
      <c r="D186" s="42"/>
      <c r="E186" s="42" t="s">
        <v>472</v>
      </c>
      <c r="F186">
        <v>2021</v>
      </c>
      <c r="G186" s="159">
        <f t="shared" ref="G186" si="208">G180</f>
        <v>0.98</v>
      </c>
      <c r="H186" s="159"/>
      <c r="I186" s="159">
        <f t="shared" ref="I186:O186" si="209">I180</f>
        <v>0.18900772326984977</v>
      </c>
      <c r="J186" s="159">
        <f t="shared" si="209"/>
        <v>72.424242424242422</v>
      </c>
      <c r="K186" s="159">
        <f t="shared" si="209"/>
        <v>0.78787878787878785</v>
      </c>
      <c r="L186" s="159">
        <f t="shared" si="209"/>
        <v>72.424242424242422</v>
      </c>
      <c r="M186" s="159">
        <f t="shared" si="209"/>
        <v>0.78787878787878785</v>
      </c>
      <c r="N186" s="159">
        <f t="shared" si="209"/>
        <v>15</v>
      </c>
      <c r="O186" s="45">
        <v>31.54</v>
      </c>
      <c r="R186" s="155">
        <v>15</v>
      </c>
      <c r="U186" s="42" t="s">
        <v>476</v>
      </c>
      <c r="W186" s="42" t="s">
        <v>98</v>
      </c>
      <c r="X186" s="42" t="s">
        <v>99</v>
      </c>
    </row>
    <row r="187" spans="2:24">
      <c r="B187" s="42" t="s">
        <v>477</v>
      </c>
      <c r="C187" s="42" t="s">
        <v>295</v>
      </c>
      <c r="D187" s="42"/>
      <c r="E187" s="42" t="s">
        <v>472</v>
      </c>
      <c r="F187">
        <v>2021</v>
      </c>
      <c r="G187" s="159">
        <f t="shared" ref="G187" si="210">G181</f>
        <v>0.88000000000000012</v>
      </c>
      <c r="H187" s="159"/>
      <c r="I187" s="159">
        <f t="shared" ref="I187:O187" si="211">I181</f>
        <v>0.21983667250248537</v>
      </c>
      <c r="J187" s="159">
        <f t="shared" si="211"/>
        <v>83.19491126025018</v>
      </c>
      <c r="K187" s="159">
        <f t="shared" si="211"/>
        <v>2.6005106038880088</v>
      </c>
      <c r="L187" s="159">
        <f t="shared" si="211"/>
        <v>83.19491126025018</v>
      </c>
      <c r="M187" s="159">
        <f t="shared" si="211"/>
        <v>2.6005106038880088</v>
      </c>
      <c r="N187" s="159">
        <f t="shared" si="211"/>
        <v>20.399999999999999</v>
      </c>
      <c r="O187" s="45">
        <v>31.54</v>
      </c>
      <c r="R187" s="155">
        <v>15</v>
      </c>
      <c r="U187" s="42" t="s">
        <v>477</v>
      </c>
      <c r="W187" s="42" t="s">
        <v>98</v>
      </c>
      <c r="X187" s="42" t="s">
        <v>99</v>
      </c>
    </row>
    <row r="188" spans="2:24">
      <c r="B188" s="42" t="s">
        <v>478</v>
      </c>
      <c r="C188" s="42" t="s">
        <v>244</v>
      </c>
      <c r="D188" s="42"/>
      <c r="E188" s="42" t="s">
        <v>479</v>
      </c>
      <c r="F188">
        <v>2021</v>
      </c>
      <c r="G188" s="159">
        <f>G182</f>
        <v>1</v>
      </c>
      <c r="H188" s="159"/>
      <c r="I188" s="159">
        <f t="shared" ref="I188:O188" si="212">I182</f>
        <v>0.14303460167047716</v>
      </c>
      <c r="J188" s="159">
        <f t="shared" si="212"/>
        <v>109.78611764705883</v>
      </c>
      <c r="K188" s="159">
        <f t="shared" si="212"/>
        <v>0.64225882352941177</v>
      </c>
      <c r="L188" s="159">
        <f t="shared" si="212"/>
        <v>109.78611764705883</v>
      </c>
      <c r="M188" s="159">
        <f t="shared" si="212"/>
        <v>0.64225882352941177</v>
      </c>
      <c r="N188" s="159">
        <f t="shared" si="212"/>
        <v>18</v>
      </c>
      <c r="O188" s="45">
        <v>31.54</v>
      </c>
      <c r="R188" s="155">
        <v>15</v>
      </c>
      <c r="U188" s="42" t="s">
        <v>478</v>
      </c>
      <c r="W188" s="42" t="s">
        <v>98</v>
      </c>
      <c r="X188" s="42" t="s">
        <v>99</v>
      </c>
    </row>
    <row r="189" spans="2:24">
      <c r="B189" s="42" t="s">
        <v>480</v>
      </c>
      <c r="C189" s="42" t="s">
        <v>287</v>
      </c>
      <c r="D189" s="42"/>
      <c r="E189" s="42" t="s">
        <v>479</v>
      </c>
      <c r="F189">
        <v>2021</v>
      </c>
      <c r="G189" s="159">
        <f t="shared" ref="G189" si="213">G183</f>
        <v>0.8</v>
      </c>
      <c r="H189" s="159"/>
      <c r="I189" s="159">
        <f t="shared" ref="I189:O189" si="214">I183</f>
        <v>0.18900772326984977</v>
      </c>
      <c r="J189" s="159">
        <f t="shared" si="214"/>
        <v>21.70940170940171</v>
      </c>
      <c r="K189" s="159">
        <f t="shared" si="214"/>
        <v>1.7094017094017093</v>
      </c>
      <c r="L189" s="159">
        <f t="shared" si="214"/>
        <v>21.70940170940171</v>
      </c>
      <c r="M189" s="159">
        <f t="shared" si="214"/>
        <v>1.7094017094017093</v>
      </c>
      <c r="N189" s="159">
        <f t="shared" si="214"/>
        <v>23</v>
      </c>
      <c r="O189" s="45">
        <v>31.54</v>
      </c>
      <c r="R189" s="155">
        <v>15</v>
      </c>
      <c r="U189" s="42" t="s">
        <v>480</v>
      </c>
      <c r="W189" s="42" t="s">
        <v>98</v>
      </c>
      <c r="X189" s="42" t="s">
        <v>99</v>
      </c>
    </row>
    <row r="190" spans="2:24">
      <c r="B190" s="42" t="s">
        <v>481</v>
      </c>
      <c r="C190" s="42" t="s">
        <v>289</v>
      </c>
      <c r="D190" s="42"/>
      <c r="E190" s="42" t="s">
        <v>479</v>
      </c>
      <c r="F190">
        <v>2021</v>
      </c>
      <c r="G190" s="159">
        <f t="shared" ref="G190" si="215">G184</f>
        <v>0.81</v>
      </c>
      <c r="H190" s="159"/>
      <c r="I190" s="159">
        <f t="shared" ref="I190:O190" si="216">I184</f>
        <v>0.11469255641761587</v>
      </c>
      <c r="J190" s="159">
        <f t="shared" si="216"/>
        <v>106.02739726027397</v>
      </c>
      <c r="K190" s="159">
        <f t="shared" si="216"/>
        <v>4.9315068493150687</v>
      </c>
      <c r="L190" s="159">
        <f t="shared" si="216"/>
        <v>106.02739726027397</v>
      </c>
      <c r="M190" s="159">
        <f t="shared" si="216"/>
        <v>4.9315068493150687</v>
      </c>
      <c r="N190" s="159">
        <f t="shared" si="216"/>
        <v>23</v>
      </c>
      <c r="O190" s="45">
        <v>31.54</v>
      </c>
      <c r="R190" s="155">
        <v>15</v>
      </c>
      <c r="U190" s="42" t="s">
        <v>481</v>
      </c>
      <c r="W190" s="42" t="s">
        <v>98</v>
      </c>
      <c r="X190" s="42" t="s">
        <v>99</v>
      </c>
    </row>
    <row r="191" spans="2:24">
      <c r="B191" s="42" t="s">
        <v>482</v>
      </c>
      <c r="C191" s="42" t="s">
        <v>291</v>
      </c>
      <c r="D191" s="42"/>
      <c r="E191" s="42" t="s">
        <v>479</v>
      </c>
      <c r="F191">
        <v>2021</v>
      </c>
      <c r="G191" s="159">
        <f t="shared" ref="G191" si="217">G185</f>
        <v>0.81</v>
      </c>
      <c r="H191" s="159"/>
      <c r="I191" s="159">
        <f t="shared" ref="I191:O191" si="218">I185</f>
        <v>0.11469255641761587</v>
      </c>
      <c r="J191" s="159">
        <f t="shared" si="218"/>
        <v>106.02739726027397</v>
      </c>
      <c r="K191" s="159">
        <f t="shared" si="218"/>
        <v>4.9315068493150687</v>
      </c>
      <c r="L191" s="159">
        <f t="shared" si="218"/>
        <v>106.02739726027397</v>
      </c>
      <c r="M191" s="159">
        <f t="shared" si="218"/>
        <v>4.9315068493150687</v>
      </c>
      <c r="N191" s="159">
        <f t="shared" si="218"/>
        <v>23</v>
      </c>
      <c r="O191" s="45">
        <v>31.54</v>
      </c>
      <c r="R191" s="155">
        <v>15</v>
      </c>
      <c r="U191" s="42" t="s">
        <v>482</v>
      </c>
      <c r="W191" s="42" t="s">
        <v>98</v>
      </c>
      <c r="X191" s="42" t="s">
        <v>99</v>
      </c>
    </row>
    <row r="192" spans="2:24">
      <c r="B192" s="42" t="s">
        <v>483</v>
      </c>
      <c r="C192" s="42" t="s">
        <v>293</v>
      </c>
      <c r="D192" s="42"/>
      <c r="E192" s="42" t="s">
        <v>479</v>
      </c>
      <c r="F192">
        <v>2021</v>
      </c>
      <c r="G192" s="159">
        <f t="shared" ref="G192" si="219">G186</f>
        <v>0.98</v>
      </c>
      <c r="H192" s="159"/>
      <c r="I192" s="159">
        <f t="shared" ref="I192:O192" si="220">I186</f>
        <v>0.18900772326984977</v>
      </c>
      <c r="J192" s="159">
        <f t="shared" si="220"/>
        <v>72.424242424242422</v>
      </c>
      <c r="K192" s="159">
        <f t="shared" si="220"/>
        <v>0.78787878787878785</v>
      </c>
      <c r="L192" s="159">
        <f t="shared" si="220"/>
        <v>72.424242424242422</v>
      </c>
      <c r="M192" s="159">
        <f t="shared" si="220"/>
        <v>0.78787878787878785</v>
      </c>
      <c r="N192" s="159">
        <f t="shared" si="220"/>
        <v>15</v>
      </c>
      <c r="O192" s="45">
        <v>31.54</v>
      </c>
      <c r="R192" s="155">
        <v>15</v>
      </c>
      <c r="U192" s="42" t="s">
        <v>483</v>
      </c>
      <c r="W192" s="42" t="s">
        <v>98</v>
      </c>
      <c r="X192" s="42" t="s">
        <v>99</v>
      </c>
    </row>
    <row r="193" spans="2:24">
      <c r="B193" s="42" t="s">
        <v>484</v>
      </c>
      <c r="C193" s="42" t="s">
        <v>295</v>
      </c>
      <c r="D193" s="42"/>
      <c r="E193" s="42" t="s">
        <v>479</v>
      </c>
      <c r="F193">
        <v>2021</v>
      </c>
      <c r="G193" s="159">
        <f t="shared" ref="G193" si="221">G187</f>
        <v>0.88000000000000012</v>
      </c>
      <c r="H193" s="159"/>
      <c r="I193" s="159">
        <f t="shared" ref="I193:O193" si="222">I187</f>
        <v>0.21983667250248537</v>
      </c>
      <c r="J193" s="159">
        <f t="shared" si="222"/>
        <v>83.19491126025018</v>
      </c>
      <c r="K193" s="159">
        <f t="shared" si="222"/>
        <v>2.6005106038880088</v>
      </c>
      <c r="L193" s="159">
        <f t="shared" si="222"/>
        <v>83.19491126025018</v>
      </c>
      <c r="M193" s="159">
        <f t="shared" si="222"/>
        <v>2.6005106038880088</v>
      </c>
      <c r="N193" s="159">
        <f t="shared" si="222"/>
        <v>20.399999999999999</v>
      </c>
      <c r="O193" s="45">
        <v>31.54</v>
      </c>
      <c r="R193" s="155">
        <v>15</v>
      </c>
      <c r="U193" s="42" t="s">
        <v>484</v>
      </c>
      <c r="W193" s="42" t="s">
        <v>98</v>
      </c>
      <c r="X193" s="42" t="s">
        <v>99</v>
      </c>
    </row>
    <row r="194" spans="2:24">
      <c r="B194" s="42" t="s">
        <v>485</v>
      </c>
      <c r="C194" s="42" t="s">
        <v>244</v>
      </c>
      <c r="D194" s="42"/>
      <c r="E194" s="42" t="s">
        <v>486</v>
      </c>
      <c r="F194">
        <v>2021</v>
      </c>
      <c r="G194" s="159">
        <f>G188</f>
        <v>1</v>
      </c>
      <c r="H194" s="159"/>
      <c r="I194" s="159">
        <f t="shared" ref="I194:O194" si="223">I188</f>
        <v>0.14303460167047716</v>
      </c>
      <c r="J194" s="159">
        <f t="shared" si="223"/>
        <v>109.78611764705883</v>
      </c>
      <c r="K194" s="159">
        <f t="shared" si="223"/>
        <v>0.64225882352941177</v>
      </c>
      <c r="L194" s="159">
        <f t="shared" si="223"/>
        <v>109.78611764705883</v>
      </c>
      <c r="M194" s="159">
        <f t="shared" si="223"/>
        <v>0.64225882352941177</v>
      </c>
      <c r="N194" s="159">
        <f t="shared" si="223"/>
        <v>18</v>
      </c>
      <c r="O194" s="45">
        <v>31.54</v>
      </c>
      <c r="R194" s="155">
        <v>15</v>
      </c>
      <c r="U194" s="42" t="s">
        <v>485</v>
      </c>
      <c r="W194" s="42" t="s">
        <v>98</v>
      </c>
      <c r="X194" s="42" t="s">
        <v>99</v>
      </c>
    </row>
    <row r="195" spans="2:24">
      <c r="B195" s="42" t="s">
        <v>487</v>
      </c>
      <c r="C195" s="42" t="s">
        <v>287</v>
      </c>
      <c r="D195" s="42"/>
      <c r="E195" s="42" t="s">
        <v>486</v>
      </c>
      <c r="F195">
        <v>2021</v>
      </c>
      <c r="G195" s="159">
        <f t="shared" ref="G195" si="224">G189</f>
        <v>0.8</v>
      </c>
      <c r="H195" s="159"/>
      <c r="I195" s="159">
        <f t="shared" ref="I195:O195" si="225">I189</f>
        <v>0.18900772326984977</v>
      </c>
      <c r="J195" s="159">
        <f t="shared" si="225"/>
        <v>21.70940170940171</v>
      </c>
      <c r="K195" s="159">
        <f t="shared" si="225"/>
        <v>1.7094017094017093</v>
      </c>
      <c r="L195" s="159">
        <f t="shared" si="225"/>
        <v>21.70940170940171</v>
      </c>
      <c r="M195" s="159">
        <f t="shared" si="225"/>
        <v>1.7094017094017093</v>
      </c>
      <c r="N195" s="159">
        <f t="shared" si="225"/>
        <v>23</v>
      </c>
      <c r="O195" s="45">
        <v>31.54</v>
      </c>
      <c r="R195" s="155">
        <v>15</v>
      </c>
      <c r="U195" s="42" t="s">
        <v>487</v>
      </c>
      <c r="W195" s="42" t="s">
        <v>98</v>
      </c>
      <c r="X195" s="42" t="s">
        <v>99</v>
      </c>
    </row>
    <row r="196" spans="2:24">
      <c r="B196" s="42" t="s">
        <v>488</v>
      </c>
      <c r="C196" s="42" t="s">
        <v>289</v>
      </c>
      <c r="D196" s="42"/>
      <c r="E196" s="42" t="s">
        <v>486</v>
      </c>
      <c r="F196">
        <v>2021</v>
      </c>
      <c r="G196" s="159">
        <f t="shared" ref="G196" si="226">G190</f>
        <v>0.81</v>
      </c>
      <c r="H196" s="159"/>
      <c r="I196" s="159">
        <f t="shared" ref="I196:O196" si="227">I190</f>
        <v>0.11469255641761587</v>
      </c>
      <c r="J196" s="159">
        <f t="shared" si="227"/>
        <v>106.02739726027397</v>
      </c>
      <c r="K196" s="159">
        <f t="shared" si="227"/>
        <v>4.9315068493150687</v>
      </c>
      <c r="L196" s="159">
        <f t="shared" si="227"/>
        <v>106.02739726027397</v>
      </c>
      <c r="M196" s="159">
        <f t="shared" si="227"/>
        <v>4.9315068493150687</v>
      </c>
      <c r="N196" s="159">
        <f t="shared" si="227"/>
        <v>23</v>
      </c>
      <c r="O196" s="45">
        <v>31.54</v>
      </c>
      <c r="R196" s="155">
        <v>15</v>
      </c>
      <c r="U196" s="42" t="s">
        <v>488</v>
      </c>
      <c r="W196" s="42" t="s">
        <v>98</v>
      </c>
      <c r="X196" s="42" t="s">
        <v>99</v>
      </c>
    </row>
    <row r="197" spans="2:24">
      <c r="B197" s="42" t="s">
        <v>489</v>
      </c>
      <c r="C197" s="42" t="s">
        <v>291</v>
      </c>
      <c r="D197" s="42"/>
      <c r="E197" s="42" t="s">
        <v>486</v>
      </c>
      <c r="F197">
        <v>2021</v>
      </c>
      <c r="G197" s="159">
        <f t="shared" ref="G197" si="228">G191</f>
        <v>0.81</v>
      </c>
      <c r="H197" s="159"/>
      <c r="I197" s="159">
        <f t="shared" ref="I197:O197" si="229">I191</f>
        <v>0.11469255641761587</v>
      </c>
      <c r="J197" s="159">
        <f t="shared" si="229"/>
        <v>106.02739726027397</v>
      </c>
      <c r="K197" s="159">
        <f t="shared" si="229"/>
        <v>4.9315068493150687</v>
      </c>
      <c r="L197" s="159">
        <f t="shared" si="229"/>
        <v>106.02739726027397</v>
      </c>
      <c r="M197" s="159">
        <f t="shared" si="229"/>
        <v>4.9315068493150687</v>
      </c>
      <c r="N197" s="159">
        <f t="shared" si="229"/>
        <v>23</v>
      </c>
      <c r="O197" s="45">
        <v>31.54</v>
      </c>
      <c r="R197" s="155">
        <v>15</v>
      </c>
      <c r="U197" s="42" t="s">
        <v>489</v>
      </c>
      <c r="W197" s="42" t="s">
        <v>98</v>
      </c>
      <c r="X197" s="42" t="s">
        <v>99</v>
      </c>
    </row>
    <row r="198" spans="2:24">
      <c r="B198" s="42" t="s">
        <v>490</v>
      </c>
      <c r="C198" s="42" t="s">
        <v>293</v>
      </c>
      <c r="D198" s="42"/>
      <c r="E198" s="42" t="s">
        <v>486</v>
      </c>
      <c r="F198">
        <v>2021</v>
      </c>
      <c r="G198" s="159">
        <f t="shared" ref="G198" si="230">G192</f>
        <v>0.98</v>
      </c>
      <c r="H198" s="159"/>
      <c r="I198" s="159">
        <f t="shared" ref="I198:O198" si="231">I192</f>
        <v>0.18900772326984977</v>
      </c>
      <c r="J198" s="159">
        <f t="shared" si="231"/>
        <v>72.424242424242422</v>
      </c>
      <c r="K198" s="159">
        <f t="shared" si="231"/>
        <v>0.78787878787878785</v>
      </c>
      <c r="L198" s="159">
        <f t="shared" si="231"/>
        <v>72.424242424242422</v>
      </c>
      <c r="M198" s="159">
        <f t="shared" si="231"/>
        <v>0.78787878787878785</v>
      </c>
      <c r="N198" s="159">
        <f t="shared" si="231"/>
        <v>15</v>
      </c>
      <c r="O198" s="45">
        <v>31.54</v>
      </c>
      <c r="R198" s="155">
        <v>15</v>
      </c>
      <c r="U198" s="42" t="s">
        <v>490</v>
      </c>
      <c r="W198" s="42" t="s">
        <v>98</v>
      </c>
      <c r="X198" s="42" t="s">
        <v>99</v>
      </c>
    </row>
    <row r="199" spans="2:24">
      <c r="B199" s="42" t="s">
        <v>491</v>
      </c>
      <c r="C199" s="42" t="s">
        <v>295</v>
      </c>
      <c r="D199" s="42"/>
      <c r="E199" s="42" t="s">
        <v>486</v>
      </c>
      <c r="F199">
        <v>2021</v>
      </c>
      <c r="G199" s="159">
        <f t="shared" ref="G199" si="232">G193</f>
        <v>0.88000000000000012</v>
      </c>
      <c r="H199" s="159"/>
      <c r="I199" s="159">
        <f t="shared" ref="I199:O199" si="233">I193</f>
        <v>0.21983667250248537</v>
      </c>
      <c r="J199" s="159">
        <f t="shared" si="233"/>
        <v>83.19491126025018</v>
      </c>
      <c r="K199" s="159">
        <f t="shared" si="233"/>
        <v>2.6005106038880088</v>
      </c>
      <c r="L199" s="159">
        <f t="shared" si="233"/>
        <v>83.19491126025018</v>
      </c>
      <c r="M199" s="159">
        <f t="shared" si="233"/>
        <v>2.6005106038880088</v>
      </c>
      <c r="N199" s="159">
        <f t="shared" si="233"/>
        <v>20.399999999999999</v>
      </c>
      <c r="O199" s="45">
        <v>31.54</v>
      </c>
      <c r="R199" s="155">
        <v>15</v>
      </c>
      <c r="U199" s="42" t="s">
        <v>491</v>
      </c>
      <c r="W199" s="42" t="s">
        <v>98</v>
      </c>
      <c r="X199" s="42" t="s">
        <v>99</v>
      </c>
    </row>
    <row r="200" spans="2:24">
      <c r="B200" s="42" t="s">
        <v>492</v>
      </c>
      <c r="C200" s="42" t="s">
        <v>244</v>
      </c>
      <c r="D200" s="42"/>
      <c r="E200" s="42" t="s">
        <v>493</v>
      </c>
      <c r="F200">
        <v>2021</v>
      </c>
      <c r="G200" s="159">
        <f>G194</f>
        <v>1</v>
      </c>
      <c r="H200" s="159"/>
      <c r="I200" s="159">
        <f t="shared" ref="I200:O200" si="234">I194</f>
        <v>0.14303460167047716</v>
      </c>
      <c r="J200" s="159">
        <f t="shared" si="234"/>
        <v>109.78611764705883</v>
      </c>
      <c r="K200" s="159">
        <f t="shared" si="234"/>
        <v>0.64225882352941177</v>
      </c>
      <c r="L200" s="159">
        <f t="shared" si="234"/>
        <v>109.78611764705883</v>
      </c>
      <c r="M200" s="159">
        <f t="shared" si="234"/>
        <v>0.64225882352941177</v>
      </c>
      <c r="N200" s="159">
        <f t="shared" si="234"/>
        <v>18</v>
      </c>
      <c r="O200" s="45">
        <v>31.54</v>
      </c>
      <c r="R200" s="155">
        <v>15</v>
      </c>
      <c r="U200" s="42" t="s">
        <v>492</v>
      </c>
      <c r="W200" s="42" t="s">
        <v>98</v>
      </c>
      <c r="X200" s="42" t="s">
        <v>99</v>
      </c>
    </row>
    <row r="201" spans="2:24">
      <c r="B201" s="42" t="s">
        <v>494</v>
      </c>
      <c r="C201" s="42" t="s">
        <v>287</v>
      </c>
      <c r="D201" s="42"/>
      <c r="E201" s="42" t="s">
        <v>493</v>
      </c>
      <c r="F201">
        <v>2021</v>
      </c>
      <c r="G201" s="159">
        <f t="shared" ref="G201" si="235">G195</f>
        <v>0.8</v>
      </c>
      <c r="H201" s="159"/>
      <c r="I201" s="159">
        <f t="shared" ref="I201:O201" si="236">I195</f>
        <v>0.18900772326984977</v>
      </c>
      <c r="J201" s="159">
        <f t="shared" si="236"/>
        <v>21.70940170940171</v>
      </c>
      <c r="K201" s="159">
        <f t="shared" si="236"/>
        <v>1.7094017094017093</v>
      </c>
      <c r="L201" s="159">
        <f t="shared" si="236"/>
        <v>21.70940170940171</v>
      </c>
      <c r="M201" s="159">
        <f t="shared" si="236"/>
        <v>1.7094017094017093</v>
      </c>
      <c r="N201" s="159">
        <f t="shared" si="236"/>
        <v>23</v>
      </c>
      <c r="O201" s="45">
        <v>31.54</v>
      </c>
      <c r="R201" s="155">
        <v>15</v>
      </c>
      <c r="U201" s="42" t="s">
        <v>494</v>
      </c>
      <c r="W201" s="42" t="s">
        <v>98</v>
      </c>
      <c r="X201" s="42" t="s">
        <v>99</v>
      </c>
    </row>
    <row r="202" spans="2:24">
      <c r="B202" s="42" t="s">
        <v>495</v>
      </c>
      <c r="C202" s="42" t="s">
        <v>289</v>
      </c>
      <c r="D202" s="42"/>
      <c r="E202" s="42" t="s">
        <v>493</v>
      </c>
      <c r="F202">
        <v>2021</v>
      </c>
      <c r="G202" s="159">
        <f t="shared" ref="G202" si="237">G196</f>
        <v>0.81</v>
      </c>
      <c r="H202" s="159"/>
      <c r="I202" s="159">
        <f t="shared" ref="I202:O202" si="238">I196</f>
        <v>0.11469255641761587</v>
      </c>
      <c r="J202" s="159">
        <f t="shared" si="238"/>
        <v>106.02739726027397</v>
      </c>
      <c r="K202" s="159">
        <f t="shared" si="238"/>
        <v>4.9315068493150687</v>
      </c>
      <c r="L202" s="159">
        <f t="shared" si="238"/>
        <v>106.02739726027397</v>
      </c>
      <c r="M202" s="159">
        <f t="shared" si="238"/>
        <v>4.9315068493150687</v>
      </c>
      <c r="N202" s="159">
        <f t="shared" si="238"/>
        <v>23</v>
      </c>
      <c r="O202" s="45">
        <v>31.54</v>
      </c>
      <c r="R202" s="155">
        <v>15</v>
      </c>
      <c r="U202" s="42" t="s">
        <v>495</v>
      </c>
      <c r="W202" s="42" t="s">
        <v>98</v>
      </c>
      <c r="X202" s="42" t="s">
        <v>99</v>
      </c>
    </row>
    <row r="203" spans="2:24">
      <c r="B203" s="42" t="s">
        <v>496</v>
      </c>
      <c r="C203" s="42" t="s">
        <v>291</v>
      </c>
      <c r="D203" s="42"/>
      <c r="E203" s="42" t="s">
        <v>493</v>
      </c>
      <c r="F203">
        <v>2021</v>
      </c>
      <c r="G203" s="159">
        <f t="shared" ref="G203" si="239">G197</f>
        <v>0.81</v>
      </c>
      <c r="H203" s="159"/>
      <c r="I203" s="159">
        <f t="shared" ref="I203:O203" si="240">I197</f>
        <v>0.11469255641761587</v>
      </c>
      <c r="J203" s="159">
        <f t="shared" si="240"/>
        <v>106.02739726027397</v>
      </c>
      <c r="K203" s="159">
        <f t="shared" si="240"/>
        <v>4.9315068493150687</v>
      </c>
      <c r="L203" s="159">
        <f t="shared" si="240"/>
        <v>106.02739726027397</v>
      </c>
      <c r="M203" s="159">
        <f t="shared" si="240"/>
        <v>4.9315068493150687</v>
      </c>
      <c r="N203" s="159">
        <f t="shared" si="240"/>
        <v>23</v>
      </c>
      <c r="O203" s="45">
        <v>31.54</v>
      </c>
      <c r="R203" s="155">
        <v>15</v>
      </c>
      <c r="U203" s="42" t="s">
        <v>496</v>
      </c>
      <c r="W203" s="42" t="s">
        <v>98</v>
      </c>
      <c r="X203" s="42" t="s">
        <v>99</v>
      </c>
    </row>
    <row r="204" spans="2:24">
      <c r="B204" s="42" t="s">
        <v>497</v>
      </c>
      <c r="C204" s="42" t="s">
        <v>293</v>
      </c>
      <c r="D204" s="42"/>
      <c r="E204" s="42" t="s">
        <v>493</v>
      </c>
      <c r="F204">
        <v>2021</v>
      </c>
      <c r="G204" s="159">
        <f t="shared" ref="G204" si="241">G198</f>
        <v>0.98</v>
      </c>
      <c r="H204" s="159"/>
      <c r="I204" s="159">
        <f t="shared" ref="I204:O204" si="242">I198</f>
        <v>0.18900772326984977</v>
      </c>
      <c r="J204" s="159">
        <f t="shared" si="242"/>
        <v>72.424242424242422</v>
      </c>
      <c r="K204" s="159">
        <f t="shared" si="242"/>
        <v>0.78787878787878785</v>
      </c>
      <c r="L204" s="159">
        <f t="shared" si="242"/>
        <v>72.424242424242422</v>
      </c>
      <c r="M204" s="159">
        <f t="shared" si="242"/>
        <v>0.78787878787878785</v>
      </c>
      <c r="N204" s="159">
        <f t="shared" si="242"/>
        <v>15</v>
      </c>
      <c r="O204" s="45">
        <v>31.54</v>
      </c>
      <c r="R204" s="155">
        <v>15</v>
      </c>
      <c r="U204" s="42" t="s">
        <v>497</v>
      </c>
      <c r="W204" s="42" t="s">
        <v>98</v>
      </c>
      <c r="X204" s="42" t="s">
        <v>99</v>
      </c>
    </row>
    <row r="205" spans="2:24">
      <c r="B205" s="42" t="s">
        <v>498</v>
      </c>
      <c r="C205" s="42" t="s">
        <v>295</v>
      </c>
      <c r="D205" s="42"/>
      <c r="E205" s="42" t="s">
        <v>493</v>
      </c>
      <c r="F205">
        <v>2021</v>
      </c>
      <c r="G205" s="159">
        <f t="shared" ref="G205" si="243">G199</f>
        <v>0.88000000000000012</v>
      </c>
      <c r="H205" s="159"/>
      <c r="I205" s="159">
        <f t="shared" ref="I205:O205" si="244">I199</f>
        <v>0.21983667250248537</v>
      </c>
      <c r="J205" s="159">
        <f t="shared" si="244"/>
        <v>83.19491126025018</v>
      </c>
      <c r="K205" s="159">
        <f t="shared" si="244"/>
        <v>2.6005106038880088</v>
      </c>
      <c r="L205" s="159">
        <f t="shared" si="244"/>
        <v>83.19491126025018</v>
      </c>
      <c r="M205" s="159">
        <f t="shared" si="244"/>
        <v>2.6005106038880088</v>
      </c>
      <c r="N205" s="159">
        <f t="shared" si="244"/>
        <v>20.399999999999999</v>
      </c>
      <c r="O205" s="45">
        <v>31.54</v>
      </c>
      <c r="R205" s="155">
        <v>15</v>
      </c>
      <c r="U205" s="42" t="s">
        <v>498</v>
      </c>
      <c r="W205" s="42" t="s">
        <v>98</v>
      </c>
      <c r="X205" s="42" t="s">
        <v>99</v>
      </c>
    </row>
    <row r="206" spans="2:24">
      <c r="B206" s="42" t="s">
        <v>499</v>
      </c>
      <c r="C206" s="42" t="s">
        <v>244</v>
      </c>
      <c r="D206" s="42"/>
      <c r="E206" s="42" t="s">
        <v>500</v>
      </c>
      <c r="F206">
        <v>2021</v>
      </c>
      <c r="G206" s="159">
        <f>3.8</f>
        <v>3.8</v>
      </c>
      <c r="H206" s="159"/>
      <c r="I206" s="159">
        <f>'[5]TechSpaceCooling-COM'!$N$79</f>
        <v>2.3111249614029179E-2</v>
      </c>
      <c r="J206" s="159">
        <f>11870/(90/3.412)</f>
        <v>450.0048888888889</v>
      </c>
      <c r="K206" s="159">
        <f>370/(90/3.412)</f>
        <v>14.027111111111111</v>
      </c>
      <c r="L206" s="159">
        <f t="shared" si="146"/>
        <v>450.0048888888889</v>
      </c>
      <c r="M206" s="159">
        <f t="shared" si="147"/>
        <v>14.027111111111111</v>
      </c>
      <c r="N206" s="159">
        <v>21</v>
      </c>
      <c r="O206" s="45">
        <v>31.54</v>
      </c>
      <c r="R206" s="155">
        <v>10</v>
      </c>
      <c r="U206" s="42" t="s">
        <v>499</v>
      </c>
      <c r="W206" s="42" t="s">
        <v>98</v>
      </c>
      <c r="X206" s="42" t="s">
        <v>99</v>
      </c>
    </row>
    <row r="207" spans="2:24">
      <c r="B207" s="42" t="s">
        <v>501</v>
      </c>
      <c r="C207" s="42" t="s">
        <v>287</v>
      </c>
      <c r="D207" s="42"/>
      <c r="E207" s="42" t="s">
        <v>500</v>
      </c>
      <c r="F207">
        <v>2021</v>
      </c>
      <c r="G207" s="159">
        <v>1.2</v>
      </c>
      <c r="H207" s="159"/>
      <c r="I207" s="159">
        <f>'[5]TechSpaceCooling-COM'!$N$80</f>
        <v>2.3111249614029179E-2</v>
      </c>
      <c r="J207" s="159">
        <f>4110/3.517*1</f>
        <v>1168.6096104634632</v>
      </c>
      <c r="K207" s="159">
        <f>70/(11*3.517)</f>
        <v>1.8093933362628274</v>
      </c>
      <c r="L207" s="159">
        <f t="shared" si="146"/>
        <v>1168.6096104634632</v>
      </c>
      <c r="M207" s="159">
        <f t="shared" si="147"/>
        <v>1.8093933362628274</v>
      </c>
      <c r="N207" s="159">
        <v>15</v>
      </c>
      <c r="O207" s="45">
        <v>31.54</v>
      </c>
      <c r="R207" s="155">
        <v>10</v>
      </c>
      <c r="U207" s="42" t="s">
        <v>501</v>
      </c>
      <c r="W207" s="42" t="s">
        <v>98</v>
      </c>
      <c r="X207" s="42" t="s">
        <v>99</v>
      </c>
    </row>
    <row r="208" spans="2:24">
      <c r="B208" s="42" t="s">
        <v>502</v>
      </c>
      <c r="C208" s="42" t="s">
        <v>244</v>
      </c>
      <c r="D208" s="42"/>
      <c r="E208" s="42" t="s">
        <v>503</v>
      </c>
      <c r="F208">
        <v>2021</v>
      </c>
      <c r="G208" s="158">
        <f>G206</f>
        <v>3.8</v>
      </c>
      <c r="H208" s="158"/>
      <c r="I208" s="158">
        <f t="shared" ref="I208:O209" si="245">I206</f>
        <v>2.3111249614029179E-2</v>
      </c>
      <c r="J208" s="158">
        <f t="shared" si="245"/>
        <v>450.0048888888889</v>
      </c>
      <c r="K208" s="158">
        <f t="shared" si="245"/>
        <v>14.027111111111111</v>
      </c>
      <c r="L208" s="158">
        <f t="shared" si="245"/>
        <v>450.0048888888889</v>
      </c>
      <c r="M208" s="158">
        <f t="shared" si="245"/>
        <v>14.027111111111111</v>
      </c>
      <c r="N208" s="158">
        <f t="shared" si="245"/>
        <v>21</v>
      </c>
      <c r="O208" s="45">
        <v>31.54</v>
      </c>
      <c r="R208" s="155">
        <v>10</v>
      </c>
      <c r="U208" s="42" t="s">
        <v>502</v>
      </c>
      <c r="W208" s="42" t="s">
        <v>98</v>
      </c>
      <c r="X208" s="42" t="s">
        <v>99</v>
      </c>
    </row>
    <row r="209" spans="2:24">
      <c r="B209" s="42" t="s">
        <v>504</v>
      </c>
      <c r="C209" s="42" t="s">
        <v>287</v>
      </c>
      <c r="D209" s="42"/>
      <c r="E209" s="42" t="s">
        <v>503</v>
      </c>
      <c r="F209">
        <v>2021</v>
      </c>
      <c r="G209" s="158">
        <f>G207</f>
        <v>1.2</v>
      </c>
      <c r="H209" s="158"/>
      <c r="I209" s="158">
        <f t="shared" si="245"/>
        <v>2.3111249614029179E-2</v>
      </c>
      <c r="J209" s="158">
        <f t="shared" si="245"/>
        <v>1168.6096104634632</v>
      </c>
      <c r="K209" s="158">
        <f t="shared" si="245"/>
        <v>1.8093933362628274</v>
      </c>
      <c r="L209" s="158">
        <f t="shared" si="245"/>
        <v>1168.6096104634632</v>
      </c>
      <c r="M209" s="158">
        <f t="shared" si="245"/>
        <v>1.8093933362628274</v>
      </c>
      <c r="N209" s="158">
        <f t="shared" si="245"/>
        <v>15</v>
      </c>
      <c r="O209" s="45">
        <v>31.54</v>
      </c>
      <c r="R209" s="155">
        <v>10</v>
      </c>
      <c r="U209" s="42" t="s">
        <v>504</v>
      </c>
      <c r="W209" s="42" t="s">
        <v>98</v>
      </c>
      <c r="X209" s="42" t="s">
        <v>99</v>
      </c>
    </row>
    <row r="210" spans="2:24">
      <c r="B210" s="42" t="s">
        <v>505</v>
      </c>
      <c r="C210" s="42" t="s">
        <v>244</v>
      </c>
      <c r="D210" s="42"/>
      <c r="E210" s="42" t="s">
        <v>506</v>
      </c>
      <c r="F210">
        <v>2021</v>
      </c>
      <c r="G210" s="158">
        <f>G208</f>
        <v>3.8</v>
      </c>
      <c r="H210" s="158"/>
      <c r="I210" s="158">
        <f t="shared" ref="I210:O210" si="246">I208</f>
        <v>2.3111249614029179E-2</v>
      </c>
      <c r="J210" s="158">
        <f t="shared" si="246"/>
        <v>450.0048888888889</v>
      </c>
      <c r="K210" s="158">
        <f t="shared" si="246"/>
        <v>14.027111111111111</v>
      </c>
      <c r="L210" s="158">
        <f t="shared" si="246"/>
        <v>450.0048888888889</v>
      </c>
      <c r="M210" s="158">
        <f t="shared" si="246"/>
        <v>14.027111111111111</v>
      </c>
      <c r="N210" s="158">
        <f t="shared" si="246"/>
        <v>21</v>
      </c>
      <c r="O210" s="45">
        <v>31.54</v>
      </c>
      <c r="R210" s="155">
        <v>10</v>
      </c>
      <c r="U210" s="42" t="s">
        <v>505</v>
      </c>
      <c r="W210" s="42" t="s">
        <v>98</v>
      </c>
      <c r="X210" s="42" t="s">
        <v>99</v>
      </c>
    </row>
    <row r="211" spans="2:24">
      <c r="B211" s="42" t="s">
        <v>507</v>
      </c>
      <c r="C211" s="42" t="s">
        <v>287</v>
      </c>
      <c r="D211" s="42"/>
      <c r="E211" s="42" t="s">
        <v>506</v>
      </c>
      <c r="F211">
        <v>2021</v>
      </c>
      <c r="G211" s="158">
        <f>G209</f>
        <v>1.2</v>
      </c>
      <c r="H211" s="158"/>
      <c r="I211" s="158">
        <f t="shared" ref="I211:O211" si="247">I209</f>
        <v>2.3111249614029179E-2</v>
      </c>
      <c r="J211" s="158">
        <f t="shared" si="247"/>
        <v>1168.6096104634632</v>
      </c>
      <c r="K211" s="158">
        <f t="shared" si="247"/>
        <v>1.8093933362628274</v>
      </c>
      <c r="L211" s="158">
        <f t="shared" si="247"/>
        <v>1168.6096104634632</v>
      </c>
      <c r="M211" s="158">
        <f t="shared" si="247"/>
        <v>1.8093933362628274</v>
      </c>
      <c r="N211" s="158">
        <f t="shared" si="247"/>
        <v>15</v>
      </c>
      <c r="O211" s="45">
        <v>31.54</v>
      </c>
      <c r="R211" s="155">
        <v>10</v>
      </c>
      <c r="U211" s="42" t="s">
        <v>507</v>
      </c>
      <c r="W211" s="42" t="s">
        <v>98</v>
      </c>
      <c r="X211" s="42" t="s">
        <v>99</v>
      </c>
    </row>
    <row r="212" spans="2:24">
      <c r="B212" s="42" t="s">
        <v>508</v>
      </c>
      <c r="C212" s="42" t="s">
        <v>244</v>
      </c>
      <c r="D212" s="42"/>
      <c r="E212" s="42" t="s">
        <v>509</v>
      </c>
      <c r="F212">
        <v>2021</v>
      </c>
      <c r="G212" s="158">
        <f t="shared" ref="G212:G225" si="248">G210</f>
        <v>3.8</v>
      </c>
      <c r="H212" s="158"/>
      <c r="I212" s="158">
        <f t="shared" ref="I212:O212" si="249">I210</f>
        <v>2.3111249614029179E-2</v>
      </c>
      <c r="J212" s="158">
        <f t="shared" si="249"/>
        <v>450.0048888888889</v>
      </c>
      <c r="K212" s="158">
        <f t="shared" si="249"/>
        <v>14.027111111111111</v>
      </c>
      <c r="L212" s="158">
        <f t="shared" si="249"/>
        <v>450.0048888888889</v>
      </c>
      <c r="M212" s="158">
        <f t="shared" si="249"/>
        <v>14.027111111111111</v>
      </c>
      <c r="N212" s="158">
        <f t="shared" si="249"/>
        <v>21</v>
      </c>
      <c r="O212" s="45">
        <v>31.54</v>
      </c>
      <c r="R212" s="155">
        <v>10</v>
      </c>
      <c r="U212" s="42" t="s">
        <v>508</v>
      </c>
      <c r="W212" s="42" t="s">
        <v>98</v>
      </c>
      <c r="X212" s="42" t="s">
        <v>99</v>
      </c>
    </row>
    <row r="213" spans="2:24">
      <c r="B213" s="42" t="s">
        <v>510</v>
      </c>
      <c r="C213" s="42" t="s">
        <v>287</v>
      </c>
      <c r="D213" s="42"/>
      <c r="E213" s="42" t="s">
        <v>509</v>
      </c>
      <c r="F213">
        <v>2021</v>
      </c>
      <c r="G213" s="158">
        <f t="shared" si="248"/>
        <v>1.2</v>
      </c>
      <c r="H213" s="158"/>
      <c r="I213" s="158">
        <f t="shared" ref="I213:O213" si="250">I211</f>
        <v>2.3111249614029179E-2</v>
      </c>
      <c r="J213" s="158">
        <f t="shared" si="250"/>
        <v>1168.6096104634632</v>
      </c>
      <c r="K213" s="158">
        <f t="shared" si="250"/>
        <v>1.8093933362628274</v>
      </c>
      <c r="L213" s="158">
        <f t="shared" si="250"/>
        <v>1168.6096104634632</v>
      </c>
      <c r="M213" s="158">
        <f t="shared" si="250"/>
        <v>1.8093933362628274</v>
      </c>
      <c r="N213" s="158">
        <f t="shared" si="250"/>
        <v>15</v>
      </c>
      <c r="O213" s="45">
        <v>31.54</v>
      </c>
      <c r="R213" s="155">
        <v>10</v>
      </c>
      <c r="U213" s="42" t="s">
        <v>510</v>
      </c>
      <c r="W213" s="42" t="s">
        <v>98</v>
      </c>
      <c r="X213" s="42" t="s">
        <v>99</v>
      </c>
    </row>
    <row r="214" spans="2:24">
      <c r="B214" s="42" t="s">
        <v>511</v>
      </c>
      <c r="C214" s="42" t="s">
        <v>244</v>
      </c>
      <c r="D214" s="42"/>
      <c r="E214" s="42" t="s">
        <v>512</v>
      </c>
      <c r="F214">
        <v>2021</v>
      </c>
      <c r="G214" s="158">
        <f t="shared" si="248"/>
        <v>3.8</v>
      </c>
      <c r="H214" s="158"/>
      <c r="I214" s="158">
        <f t="shared" ref="I214:O214" si="251">I212</f>
        <v>2.3111249614029179E-2</v>
      </c>
      <c r="J214" s="158">
        <f t="shared" si="251"/>
        <v>450.0048888888889</v>
      </c>
      <c r="K214" s="158">
        <f t="shared" si="251"/>
        <v>14.027111111111111</v>
      </c>
      <c r="L214" s="158">
        <f t="shared" si="251"/>
        <v>450.0048888888889</v>
      </c>
      <c r="M214" s="158">
        <f t="shared" si="251"/>
        <v>14.027111111111111</v>
      </c>
      <c r="N214" s="158">
        <f t="shared" si="251"/>
        <v>21</v>
      </c>
      <c r="O214" s="45">
        <v>31.54</v>
      </c>
      <c r="R214" s="155">
        <v>10</v>
      </c>
      <c r="U214" s="42" t="s">
        <v>511</v>
      </c>
      <c r="W214" s="42" t="s">
        <v>98</v>
      </c>
      <c r="X214" s="42" t="s">
        <v>99</v>
      </c>
    </row>
    <row r="215" spans="2:24">
      <c r="B215" s="42" t="s">
        <v>513</v>
      </c>
      <c r="C215" s="42" t="s">
        <v>287</v>
      </c>
      <c r="D215" s="42"/>
      <c r="E215" s="42" t="s">
        <v>512</v>
      </c>
      <c r="F215">
        <v>2021</v>
      </c>
      <c r="G215" s="158">
        <f t="shared" si="248"/>
        <v>1.2</v>
      </c>
      <c r="H215" s="158"/>
      <c r="I215" s="158">
        <f t="shared" ref="I215:O215" si="252">I213</f>
        <v>2.3111249614029179E-2</v>
      </c>
      <c r="J215" s="158">
        <f t="shared" si="252"/>
        <v>1168.6096104634632</v>
      </c>
      <c r="K215" s="158">
        <f t="shared" si="252"/>
        <v>1.8093933362628274</v>
      </c>
      <c r="L215" s="158">
        <f t="shared" si="252"/>
        <v>1168.6096104634632</v>
      </c>
      <c r="M215" s="158">
        <f t="shared" si="252"/>
        <v>1.8093933362628274</v>
      </c>
      <c r="N215" s="158">
        <f t="shared" si="252"/>
        <v>15</v>
      </c>
      <c r="O215" s="45">
        <v>31.54</v>
      </c>
      <c r="R215" s="155">
        <v>10</v>
      </c>
      <c r="U215" s="42" t="s">
        <v>513</v>
      </c>
      <c r="W215" s="42" t="s">
        <v>98</v>
      </c>
      <c r="X215" s="42" t="s">
        <v>99</v>
      </c>
    </row>
    <row r="216" spans="2:24">
      <c r="B216" s="42" t="s">
        <v>514</v>
      </c>
      <c r="C216" s="42" t="s">
        <v>244</v>
      </c>
      <c r="D216" s="42"/>
      <c r="E216" s="42" t="s">
        <v>515</v>
      </c>
      <c r="F216">
        <v>2021</v>
      </c>
      <c r="G216" s="158">
        <f t="shared" si="248"/>
        <v>3.8</v>
      </c>
      <c r="H216" s="158"/>
      <c r="I216" s="158">
        <f t="shared" ref="I216:O216" si="253">I214</f>
        <v>2.3111249614029179E-2</v>
      </c>
      <c r="J216" s="158">
        <f t="shared" si="253"/>
        <v>450.0048888888889</v>
      </c>
      <c r="K216" s="158">
        <f t="shared" si="253"/>
        <v>14.027111111111111</v>
      </c>
      <c r="L216" s="158">
        <f t="shared" si="253"/>
        <v>450.0048888888889</v>
      </c>
      <c r="M216" s="158">
        <f t="shared" si="253"/>
        <v>14.027111111111111</v>
      </c>
      <c r="N216" s="158">
        <f t="shared" si="253"/>
        <v>21</v>
      </c>
      <c r="O216" s="45">
        <v>31.54</v>
      </c>
      <c r="R216" s="155">
        <v>10</v>
      </c>
      <c r="U216" s="42" t="s">
        <v>514</v>
      </c>
      <c r="W216" s="42" t="s">
        <v>98</v>
      </c>
      <c r="X216" s="42" t="s">
        <v>99</v>
      </c>
    </row>
    <row r="217" spans="2:24">
      <c r="B217" s="42" t="s">
        <v>516</v>
      </c>
      <c r="C217" s="42" t="s">
        <v>287</v>
      </c>
      <c r="D217" s="42"/>
      <c r="E217" s="42" t="s">
        <v>515</v>
      </c>
      <c r="F217">
        <v>2021</v>
      </c>
      <c r="G217" s="158">
        <f t="shared" si="248"/>
        <v>1.2</v>
      </c>
      <c r="H217" s="158"/>
      <c r="I217" s="158">
        <f t="shared" ref="I217:O217" si="254">I215</f>
        <v>2.3111249614029179E-2</v>
      </c>
      <c r="J217" s="158">
        <f t="shared" si="254"/>
        <v>1168.6096104634632</v>
      </c>
      <c r="K217" s="158">
        <f t="shared" si="254"/>
        <v>1.8093933362628274</v>
      </c>
      <c r="L217" s="158">
        <f t="shared" si="254"/>
        <v>1168.6096104634632</v>
      </c>
      <c r="M217" s="158">
        <f t="shared" si="254"/>
        <v>1.8093933362628274</v>
      </c>
      <c r="N217" s="158">
        <f t="shared" si="254"/>
        <v>15</v>
      </c>
      <c r="O217" s="45">
        <v>31.54</v>
      </c>
      <c r="R217" s="155">
        <v>10</v>
      </c>
      <c r="U217" s="42" t="s">
        <v>516</v>
      </c>
      <c r="W217" s="42" t="s">
        <v>98</v>
      </c>
      <c r="X217" s="42" t="s">
        <v>99</v>
      </c>
    </row>
    <row r="218" spans="2:24">
      <c r="B218" s="42" t="s">
        <v>517</v>
      </c>
      <c r="C218" s="42" t="s">
        <v>244</v>
      </c>
      <c r="D218" s="42"/>
      <c r="E218" s="42" t="s">
        <v>518</v>
      </c>
      <c r="F218">
        <v>2021</v>
      </c>
      <c r="G218" s="158">
        <f t="shared" si="248"/>
        <v>3.8</v>
      </c>
      <c r="H218" s="158"/>
      <c r="I218" s="158">
        <f t="shared" ref="I218:O218" si="255">I216</f>
        <v>2.3111249614029179E-2</v>
      </c>
      <c r="J218" s="158">
        <f t="shared" si="255"/>
        <v>450.0048888888889</v>
      </c>
      <c r="K218" s="158">
        <f t="shared" si="255"/>
        <v>14.027111111111111</v>
      </c>
      <c r="L218" s="158">
        <f t="shared" si="255"/>
        <v>450.0048888888889</v>
      </c>
      <c r="M218" s="158">
        <f t="shared" si="255"/>
        <v>14.027111111111111</v>
      </c>
      <c r="N218" s="158">
        <f t="shared" si="255"/>
        <v>21</v>
      </c>
      <c r="O218" s="45">
        <v>31.54</v>
      </c>
      <c r="R218" s="155">
        <v>10</v>
      </c>
      <c r="U218" s="42" t="s">
        <v>517</v>
      </c>
      <c r="W218" s="42" t="s">
        <v>98</v>
      </c>
      <c r="X218" s="42" t="s">
        <v>99</v>
      </c>
    </row>
    <row r="219" spans="2:24">
      <c r="B219" s="42" t="s">
        <v>519</v>
      </c>
      <c r="C219" s="42" t="s">
        <v>287</v>
      </c>
      <c r="D219" s="42"/>
      <c r="E219" s="42" t="s">
        <v>518</v>
      </c>
      <c r="F219">
        <v>2021</v>
      </c>
      <c r="G219" s="158">
        <f t="shared" si="248"/>
        <v>1.2</v>
      </c>
      <c r="H219" s="158"/>
      <c r="I219" s="158">
        <f t="shared" ref="I219:O219" si="256">I217</f>
        <v>2.3111249614029179E-2</v>
      </c>
      <c r="J219" s="158">
        <f t="shared" si="256"/>
        <v>1168.6096104634632</v>
      </c>
      <c r="K219" s="158">
        <f t="shared" si="256"/>
        <v>1.8093933362628274</v>
      </c>
      <c r="L219" s="158">
        <f t="shared" si="256"/>
        <v>1168.6096104634632</v>
      </c>
      <c r="M219" s="158">
        <f t="shared" si="256"/>
        <v>1.8093933362628274</v>
      </c>
      <c r="N219" s="158">
        <f t="shared" si="256"/>
        <v>15</v>
      </c>
      <c r="O219" s="45">
        <v>31.54</v>
      </c>
      <c r="R219" s="155">
        <v>10</v>
      </c>
      <c r="U219" s="42" t="s">
        <v>519</v>
      </c>
      <c r="W219" s="42" t="s">
        <v>98</v>
      </c>
      <c r="X219" s="42" t="s">
        <v>99</v>
      </c>
    </row>
    <row r="220" spans="2:24">
      <c r="B220" s="42" t="s">
        <v>520</v>
      </c>
      <c r="C220" s="42" t="s">
        <v>244</v>
      </c>
      <c r="D220" s="42"/>
      <c r="E220" s="42" t="s">
        <v>521</v>
      </c>
      <c r="F220">
        <v>2021</v>
      </c>
      <c r="G220" s="158">
        <f t="shared" si="248"/>
        <v>3.8</v>
      </c>
      <c r="H220" s="158"/>
      <c r="I220" s="158">
        <f t="shared" ref="I220:O220" si="257">I218</f>
        <v>2.3111249614029179E-2</v>
      </c>
      <c r="J220" s="158">
        <f t="shared" si="257"/>
        <v>450.0048888888889</v>
      </c>
      <c r="K220" s="158">
        <f t="shared" si="257"/>
        <v>14.027111111111111</v>
      </c>
      <c r="L220" s="158">
        <f t="shared" si="257"/>
        <v>450.0048888888889</v>
      </c>
      <c r="M220" s="158">
        <f t="shared" si="257"/>
        <v>14.027111111111111</v>
      </c>
      <c r="N220" s="158">
        <f t="shared" si="257"/>
        <v>21</v>
      </c>
      <c r="O220" s="45">
        <v>31.54</v>
      </c>
      <c r="R220" s="155">
        <v>10</v>
      </c>
      <c r="U220" s="42" t="s">
        <v>520</v>
      </c>
      <c r="W220" s="42" t="s">
        <v>98</v>
      </c>
      <c r="X220" s="42" t="s">
        <v>99</v>
      </c>
    </row>
    <row r="221" spans="2:24">
      <c r="B221" s="42" t="s">
        <v>522</v>
      </c>
      <c r="C221" s="42" t="s">
        <v>287</v>
      </c>
      <c r="D221" s="42"/>
      <c r="E221" s="42" t="s">
        <v>521</v>
      </c>
      <c r="F221">
        <v>2021</v>
      </c>
      <c r="G221" s="158">
        <f t="shared" si="248"/>
        <v>1.2</v>
      </c>
      <c r="H221" s="158"/>
      <c r="I221" s="158">
        <f t="shared" ref="I221:O221" si="258">I219</f>
        <v>2.3111249614029179E-2</v>
      </c>
      <c r="J221" s="158">
        <f t="shared" si="258"/>
        <v>1168.6096104634632</v>
      </c>
      <c r="K221" s="158">
        <f t="shared" si="258"/>
        <v>1.8093933362628274</v>
      </c>
      <c r="L221" s="158">
        <f t="shared" si="258"/>
        <v>1168.6096104634632</v>
      </c>
      <c r="M221" s="158">
        <f t="shared" si="258"/>
        <v>1.8093933362628274</v>
      </c>
      <c r="N221" s="158">
        <f t="shared" si="258"/>
        <v>15</v>
      </c>
      <c r="O221" s="45">
        <v>31.54</v>
      </c>
      <c r="R221" s="155">
        <v>10</v>
      </c>
      <c r="U221" s="42" t="s">
        <v>522</v>
      </c>
      <c r="W221" s="42" t="s">
        <v>98</v>
      </c>
      <c r="X221" s="42" t="s">
        <v>99</v>
      </c>
    </row>
    <row r="222" spans="2:24">
      <c r="B222" s="42" t="s">
        <v>523</v>
      </c>
      <c r="C222" s="42" t="s">
        <v>244</v>
      </c>
      <c r="D222" s="42"/>
      <c r="E222" s="42" t="s">
        <v>524</v>
      </c>
      <c r="F222">
        <v>2021</v>
      </c>
      <c r="G222" s="158">
        <f t="shared" si="248"/>
        <v>3.8</v>
      </c>
      <c r="H222" s="158"/>
      <c r="I222" s="158">
        <f t="shared" ref="I222:O222" si="259">I220</f>
        <v>2.3111249614029179E-2</v>
      </c>
      <c r="J222" s="158">
        <f t="shared" si="259"/>
        <v>450.0048888888889</v>
      </c>
      <c r="K222" s="158">
        <f t="shared" si="259"/>
        <v>14.027111111111111</v>
      </c>
      <c r="L222" s="158">
        <f t="shared" si="259"/>
        <v>450.0048888888889</v>
      </c>
      <c r="M222" s="158">
        <f t="shared" si="259"/>
        <v>14.027111111111111</v>
      </c>
      <c r="N222" s="158">
        <f t="shared" si="259"/>
        <v>21</v>
      </c>
      <c r="O222" s="45">
        <v>31.54</v>
      </c>
      <c r="R222" s="155">
        <v>10</v>
      </c>
      <c r="U222" s="42" t="s">
        <v>523</v>
      </c>
      <c r="W222" s="42" t="s">
        <v>98</v>
      </c>
      <c r="X222" s="42" t="s">
        <v>99</v>
      </c>
    </row>
    <row r="223" spans="2:24">
      <c r="B223" s="42" t="s">
        <v>525</v>
      </c>
      <c r="C223" s="42" t="s">
        <v>287</v>
      </c>
      <c r="D223" s="42"/>
      <c r="E223" s="42" t="s">
        <v>524</v>
      </c>
      <c r="F223">
        <v>2021</v>
      </c>
      <c r="G223" s="158">
        <f t="shared" si="248"/>
        <v>1.2</v>
      </c>
      <c r="H223" s="158"/>
      <c r="I223" s="158">
        <f t="shared" ref="I223:O223" si="260">I221</f>
        <v>2.3111249614029179E-2</v>
      </c>
      <c r="J223" s="158">
        <f t="shared" si="260"/>
        <v>1168.6096104634632</v>
      </c>
      <c r="K223" s="158">
        <f t="shared" si="260"/>
        <v>1.8093933362628274</v>
      </c>
      <c r="L223" s="158">
        <f t="shared" si="260"/>
        <v>1168.6096104634632</v>
      </c>
      <c r="M223" s="158">
        <f t="shared" si="260"/>
        <v>1.8093933362628274</v>
      </c>
      <c r="N223" s="158">
        <f t="shared" si="260"/>
        <v>15</v>
      </c>
      <c r="O223" s="45">
        <v>31.54</v>
      </c>
      <c r="R223" s="155">
        <v>10</v>
      </c>
      <c r="U223" s="42" t="s">
        <v>525</v>
      </c>
      <c r="W223" s="42" t="s">
        <v>98</v>
      </c>
      <c r="X223" s="42" t="s">
        <v>99</v>
      </c>
    </row>
    <row r="224" spans="2:24">
      <c r="B224" s="42" t="s">
        <v>526</v>
      </c>
      <c r="C224" s="42" t="s">
        <v>244</v>
      </c>
      <c r="D224" s="42"/>
      <c r="E224" s="42" t="s">
        <v>527</v>
      </c>
      <c r="F224">
        <v>2021</v>
      </c>
      <c r="G224" s="158">
        <f t="shared" si="248"/>
        <v>3.8</v>
      </c>
      <c r="H224" s="158"/>
      <c r="I224" s="158">
        <f t="shared" ref="I224:O224" si="261">I222</f>
        <v>2.3111249614029179E-2</v>
      </c>
      <c r="J224" s="158">
        <f t="shared" si="261"/>
        <v>450.0048888888889</v>
      </c>
      <c r="K224" s="158">
        <f t="shared" si="261"/>
        <v>14.027111111111111</v>
      </c>
      <c r="L224" s="158">
        <f t="shared" si="261"/>
        <v>450.0048888888889</v>
      </c>
      <c r="M224" s="158">
        <f t="shared" si="261"/>
        <v>14.027111111111111</v>
      </c>
      <c r="N224" s="158">
        <f t="shared" si="261"/>
        <v>21</v>
      </c>
      <c r="O224" s="45">
        <v>31.54</v>
      </c>
      <c r="R224" s="155">
        <v>10</v>
      </c>
      <c r="U224" s="42" t="s">
        <v>526</v>
      </c>
      <c r="W224" s="42" t="s">
        <v>98</v>
      </c>
      <c r="X224" s="42" t="s">
        <v>99</v>
      </c>
    </row>
    <row r="225" spans="2:25">
      <c r="B225" s="42" t="s">
        <v>528</v>
      </c>
      <c r="C225" s="42" t="s">
        <v>287</v>
      </c>
      <c r="D225" s="42"/>
      <c r="E225" s="42" t="s">
        <v>527</v>
      </c>
      <c r="F225">
        <v>2021</v>
      </c>
      <c r="G225" s="158">
        <f t="shared" si="248"/>
        <v>1.2</v>
      </c>
      <c r="H225" s="158"/>
      <c r="I225" s="158">
        <f t="shared" ref="I225:O225" si="262">I223</f>
        <v>2.3111249614029179E-2</v>
      </c>
      <c r="J225" s="158">
        <f t="shared" si="262"/>
        <v>1168.6096104634632</v>
      </c>
      <c r="K225" s="158">
        <f t="shared" si="262"/>
        <v>1.8093933362628274</v>
      </c>
      <c r="L225" s="158">
        <f t="shared" si="262"/>
        <v>1168.6096104634632</v>
      </c>
      <c r="M225" s="158">
        <f t="shared" si="262"/>
        <v>1.8093933362628274</v>
      </c>
      <c r="N225" s="158">
        <f t="shared" si="262"/>
        <v>15</v>
      </c>
      <c r="O225" s="45">
        <v>31.54</v>
      </c>
      <c r="R225" s="155">
        <v>10</v>
      </c>
      <c r="U225" s="42" t="s">
        <v>528</v>
      </c>
      <c r="W225" s="42" t="s">
        <v>98</v>
      </c>
      <c r="X225" s="42" t="s">
        <v>99</v>
      </c>
    </row>
    <row r="226" spans="2:25">
      <c r="B226" s="158" t="str">
        <f>U226</f>
        <v>WST-SpHeat_HET1</v>
      </c>
      <c r="C226" s="173" t="s">
        <v>244</v>
      </c>
      <c r="D226" s="173"/>
      <c r="E226" s="173" t="s">
        <v>430</v>
      </c>
      <c r="F226" s="158">
        <v>2021</v>
      </c>
      <c r="G226" s="158">
        <v>1</v>
      </c>
      <c r="H226" s="158"/>
      <c r="I226" s="158">
        <v>1</v>
      </c>
      <c r="J226" s="159">
        <f>AVERAGE(17350,25580)/(48/3.412)*1</f>
        <v>1525.8037499999998</v>
      </c>
      <c r="K226" s="159">
        <f>180/(48/3.412)*1</f>
        <v>12.795</v>
      </c>
      <c r="L226" s="159">
        <f>J226</f>
        <v>1525.8037499999998</v>
      </c>
      <c r="M226" s="159">
        <f>K226</f>
        <v>12.795</v>
      </c>
      <c r="N226" s="159">
        <f>AVERAGE(21,8)</f>
        <v>14.5</v>
      </c>
      <c r="O226" s="45">
        <v>31.54</v>
      </c>
      <c r="R226" s="155">
        <v>15</v>
      </c>
      <c r="S226" s="106"/>
      <c r="T226" s="101"/>
      <c r="U226" s="162" t="s">
        <v>529</v>
      </c>
      <c r="V226" s="101"/>
      <c r="W226" s="162" t="s">
        <v>98</v>
      </c>
      <c r="X226" s="162" t="s">
        <v>99</v>
      </c>
      <c r="Y226" s="101"/>
    </row>
    <row r="227" spans="2:25">
      <c r="B227" s="158"/>
      <c r="C227" s="158"/>
      <c r="D227" s="174" t="str">
        <f>[3]COMM!$E$19</f>
        <v>RSDAHT</v>
      </c>
      <c r="E227" s="158"/>
      <c r="F227" s="158"/>
      <c r="G227" s="158"/>
      <c r="H227" s="158">
        <f>1/3</f>
        <v>0.33333333333333331</v>
      </c>
      <c r="I227" s="158"/>
      <c r="J227" s="158"/>
      <c r="K227" s="158"/>
      <c r="L227" s="106"/>
      <c r="M227" s="106"/>
      <c r="N227" s="101"/>
      <c r="O227" s="101"/>
      <c r="P227" s="101"/>
      <c r="S227" s="106"/>
      <c r="T227" s="101"/>
      <c r="U227" s="162" t="s">
        <v>530</v>
      </c>
      <c r="V227" s="101"/>
      <c r="W227" s="162" t="s">
        <v>98</v>
      </c>
      <c r="X227" s="162" t="s">
        <v>99</v>
      </c>
      <c r="Y227" s="101"/>
    </row>
    <row r="228" spans="2:25">
      <c r="B228" s="101" t="str">
        <f>U227</f>
        <v>RTS-SpHeat_HET1</v>
      </c>
      <c r="C228" s="162" t="s">
        <v>244</v>
      </c>
      <c r="D228" s="162"/>
      <c r="E228" s="162" t="s">
        <v>437</v>
      </c>
      <c r="F228" s="101">
        <v>2021</v>
      </c>
      <c r="G228" s="106">
        <v>1</v>
      </c>
      <c r="H228" s="106"/>
      <c r="I228" s="158">
        <f>I226</f>
        <v>1</v>
      </c>
      <c r="J228" s="158">
        <f t="shared" ref="J228:N244" si="263">J226</f>
        <v>1525.8037499999998</v>
      </c>
      <c r="K228" s="158">
        <f t="shared" si="263"/>
        <v>12.795</v>
      </c>
      <c r="L228" s="158">
        <f t="shared" si="263"/>
        <v>1525.8037499999998</v>
      </c>
      <c r="M228" s="158">
        <f t="shared" si="263"/>
        <v>12.795</v>
      </c>
      <c r="N228" s="158">
        <f t="shared" si="263"/>
        <v>14.5</v>
      </c>
      <c r="O228" s="163">
        <v>31.54</v>
      </c>
      <c r="R228" s="155">
        <v>15</v>
      </c>
      <c r="S228" s="106"/>
      <c r="T228" s="101"/>
      <c r="U228" s="162" t="s">
        <v>531</v>
      </c>
      <c r="V228" s="101"/>
      <c r="W228" s="162" t="s">
        <v>98</v>
      </c>
      <c r="X228" s="162" t="s">
        <v>99</v>
      </c>
      <c r="Y228" s="101"/>
    </row>
    <row r="229" spans="2:25">
      <c r="B229" s="101"/>
      <c r="C229" s="101"/>
      <c r="D229" s="104" t="str">
        <f>[3]COMM!$E$19</f>
        <v>RSDAHT</v>
      </c>
      <c r="E229" s="101"/>
      <c r="F229" s="101"/>
      <c r="G229" s="106"/>
      <c r="H229" s="106">
        <f>1/3</f>
        <v>0.33333333333333331</v>
      </c>
      <c r="I229" s="106"/>
      <c r="J229" s="106"/>
      <c r="K229" s="106"/>
      <c r="L229" s="106"/>
      <c r="M229" s="106"/>
      <c r="N229" s="101"/>
      <c r="O229" s="101"/>
      <c r="S229" s="106"/>
      <c r="T229" s="101"/>
      <c r="U229" s="162" t="s">
        <v>532</v>
      </c>
      <c r="V229" s="101"/>
      <c r="W229" s="162" t="s">
        <v>98</v>
      </c>
      <c r="X229" s="162" t="s">
        <v>99</v>
      </c>
      <c r="Y229" s="101"/>
    </row>
    <row r="230" spans="2:25">
      <c r="B230" s="101" t="str">
        <f>U228</f>
        <v>TWS-SpHeat_HET1</v>
      </c>
      <c r="C230" s="162" t="s">
        <v>244</v>
      </c>
      <c r="D230" s="162"/>
      <c r="E230" s="162" t="s">
        <v>444</v>
      </c>
      <c r="F230" s="101">
        <v>2021</v>
      </c>
      <c r="G230" s="106">
        <v>1</v>
      </c>
      <c r="H230" s="106"/>
      <c r="I230" s="158">
        <f>I228</f>
        <v>1</v>
      </c>
      <c r="J230" s="158">
        <f t="shared" si="263"/>
        <v>1525.8037499999998</v>
      </c>
      <c r="K230" s="158">
        <f t="shared" si="263"/>
        <v>12.795</v>
      </c>
      <c r="L230" s="158">
        <f t="shared" si="263"/>
        <v>1525.8037499999998</v>
      </c>
      <c r="M230" s="158">
        <f t="shared" si="263"/>
        <v>12.795</v>
      </c>
      <c r="N230" s="158">
        <f t="shared" si="263"/>
        <v>14.5</v>
      </c>
      <c r="O230" s="163">
        <v>31.54</v>
      </c>
      <c r="R230" s="155">
        <v>15</v>
      </c>
      <c r="S230" s="106"/>
      <c r="T230" s="101"/>
      <c r="U230" s="162" t="s">
        <v>533</v>
      </c>
      <c r="V230" s="101"/>
      <c r="W230" s="162" t="s">
        <v>98</v>
      </c>
      <c r="X230" s="162" t="s">
        <v>99</v>
      </c>
      <c r="Y230" s="101"/>
    </row>
    <row r="231" spans="2:25">
      <c r="B231" s="101"/>
      <c r="C231" s="101"/>
      <c r="D231" s="104" t="str">
        <f>[3]COMM!$E$19</f>
        <v>RSDAHT</v>
      </c>
      <c r="E231" s="101"/>
      <c r="F231" s="101"/>
      <c r="G231" s="106"/>
      <c r="H231" s="106">
        <f>1/3</f>
        <v>0.33333333333333331</v>
      </c>
      <c r="I231" s="106"/>
      <c r="J231" s="106"/>
      <c r="K231" s="106"/>
      <c r="L231" s="106"/>
      <c r="M231" s="106"/>
      <c r="N231" s="101"/>
      <c r="O231" s="101"/>
      <c r="S231" s="106"/>
      <c r="T231" s="101"/>
      <c r="U231" s="101" t="s">
        <v>534</v>
      </c>
      <c r="V231" s="101"/>
      <c r="W231" s="162" t="s">
        <v>98</v>
      </c>
      <c r="X231" s="162" t="s">
        <v>99</v>
      </c>
      <c r="Y231" s="101"/>
    </row>
    <row r="232" spans="2:25">
      <c r="B232" s="101" t="str">
        <f>U229</f>
        <v>ICS-SpHeat_HET1</v>
      </c>
      <c r="C232" s="162" t="s">
        <v>244</v>
      </c>
      <c r="D232" s="162"/>
      <c r="E232" s="162" t="s">
        <v>451</v>
      </c>
      <c r="F232" s="101">
        <v>2021</v>
      </c>
      <c r="G232" s="106">
        <v>1</v>
      </c>
      <c r="H232" s="106"/>
      <c r="I232" s="158">
        <f>I230</f>
        <v>1</v>
      </c>
      <c r="J232" s="158">
        <f t="shared" si="263"/>
        <v>1525.8037499999998</v>
      </c>
      <c r="K232" s="158">
        <f t="shared" si="263"/>
        <v>12.795</v>
      </c>
      <c r="L232" s="158">
        <f t="shared" si="263"/>
        <v>1525.8037499999998</v>
      </c>
      <c r="M232" s="158">
        <f t="shared" si="263"/>
        <v>12.795</v>
      </c>
      <c r="N232" s="158">
        <f t="shared" si="263"/>
        <v>14.5</v>
      </c>
      <c r="O232" s="163">
        <v>31.54</v>
      </c>
      <c r="R232" s="155">
        <v>15</v>
      </c>
      <c r="S232" s="106"/>
      <c r="T232" s="101"/>
      <c r="U232" s="101" t="s">
        <v>535</v>
      </c>
      <c r="V232" s="101"/>
      <c r="W232" s="162" t="s">
        <v>98</v>
      </c>
      <c r="X232" s="162" t="s">
        <v>99</v>
      </c>
      <c r="Y232" s="101"/>
    </row>
    <row r="233" spans="2:25">
      <c r="B233" s="101"/>
      <c r="C233" s="101"/>
      <c r="D233" s="104" t="str">
        <f>[3]COMM!$E$19</f>
        <v>RSDAHT</v>
      </c>
      <c r="E233" s="101"/>
      <c r="F233" s="101"/>
      <c r="G233" s="106"/>
      <c r="H233" s="106">
        <f>1/3</f>
        <v>0.33333333333333331</v>
      </c>
      <c r="I233" s="106"/>
      <c r="J233" s="106"/>
      <c r="K233" s="106"/>
      <c r="L233" s="106"/>
      <c r="M233" s="106"/>
      <c r="N233" s="101"/>
      <c r="O233" s="101"/>
      <c r="S233" s="106"/>
      <c r="T233" s="101"/>
      <c r="U233" s="101" t="s">
        <v>536</v>
      </c>
      <c r="V233" s="101"/>
      <c r="W233" s="162" t="s">
        <v>98</v>
      </c>
      <c r="X233" s="162" t="s">
        <v>99</v>
      </c>
      <c r="Y233" s="101"/>
    </row>
    <row r="234" spans="2:25">
      <c r="B234" s="101" t="str">
        <f>U230</f>
        <v>OS-SpHeat_HET1</v>
      </c>
      <c r="C234" s="162" t="s">
        <v>244</v>
      </c>
      <c r="D234" s="162"/>
      <c r="E234" s="162" t="s">
        <v>458</v>
      </c>
      <c r="F234" s="101">
        <v>2021</v>
      </c>
      <c r="G234" s="106">
        <v>1</v>
      </c>
      <c r="H234" s="106"/>
      <c r="I234" s="158">
        <f>I232</f>
        <v>1</v>
      </c>
      <c r="J234" s="158">
        <f t="shared" si="263"/>
        <v>1525.8037499999998</v>
      </c>
      <c r="K234" s="158">
        <f t="shared" si="263"/>
        <v>12.795</v>
      </c>
      <c r="L234" s="158">
        <f t="shared" si="263"/>
        <v>1525.8037499999998</v>
      </c>
      <c r="M234" s="158">
        <f t="shared" si="263"/>
        <v>12.795</v>
      </c>
      <c r="N234" s="158">
        <f t="shared" si="263"/>
        <v>14.5</v>
      </c>
      <c r="O234" s="163">
        <v>31.54</v>
      </c>
      <c r="R234" s="155">
        <v>15</v>
      </c>
      <c r="S234" s="106"/>
      <c r="T234" s="101"/>
      <c r="U234" s="101" t="s">
        <v>537</v>
      </c>
      <c r="V234" s="101"/>
      <c r="W234" s="162" t="s">
        <v>98</v>
      </c>
      <c r="X234" s="162" t="s">
        <v>99</v>
      </c>
      <c r="Y234" s="101"/>
    </row>
    <row r="235" spans="2:25">
      <c r="B235" s="101"/>
      <c r="C235" s="101"/>
      <c r="D235" s="104" t="str">
        <f>[3]COMM!$E$19</f>
        <v>RSDAHT</v>
      </c>
      <c r="E235" s="101"/>
      <c r="F235" s="101"/>
      <c r="G235" s="106"/>
      <c r="H235" s="106">
        <f>1/3</f>
        <v>0.33333333333333331</v>
      </c>
      <c r="I235" s="106"/>
      <c r="J235" s="106"/>
      <c r="K235" s="106"/>
      <c r="L235" s="106"/>
      <c r="M235" s="106"/>
      <c r="N235" s="101"/>
      <c r="O235" s="101"/>
      <c r="S235" s="106"/>
      <c r="T235" s="101"/>
      <c r="U235" s="101" t="s">
        <v>538</v>
      </c>
      <c r="V235" s="101"/>
      <c r="W235" s="162" t="s">
        <v>98</v>
      </c>
      <c r="X235" s="162" t="s">
        <v>99</v>
      </c>
      <c r="Y235" s="101"/>
    </row>
    <row r="236" spans="2:25">
      <c r="B236" s="101" t="str">
        <f>U231</f>
        <v>EDU-SpHeat_HET1</v>
      </c>
      <c r="C236" s="162" t="s">
        <v>244</v>
      </c>
      <c r="D236" s="162"/>
      <c r="E236" s="162" t="s">
        <v>465</v>
      </c>
      <c r="F236" s="101">
        <v>2021</v>
      </c>
      <c r="G236" s="106">
        <v>1</v>
      </c>
      <c r="H236" s="106"/>
      <c r="I236" s="158">
        <f>I234</f>
        <v>1</v>
      </c>
      <c r="J236" s="158">
        <f t="shared" si="263"/>
        <v>1525.8037499999998</v>
      </c>
      <c r="K236" s="158">
        <f t="shared" si="263"/>
        <v>12.795</v>
      </c>
      <c r="L236" s="158">
        <f t="shared" si="263"/>
        <v>1525.8037499999998</v>
      </c>
      <c r="M236" s="158">
        <f t="shared" si="263"/>
        <v>12.795</v>
      </c>
      <c r="N236" s="158">
        <f t="shared" si="263"/>
        <v>14.5</v>
      </c>
      <c r="O236" s="163">
        <v>31.54</v>
      </c>
      <c r="R236" s="155">
        <v>15</v>
      </c>
      <c r="S236" s="106"/>
      <c r="T236" s="101"/>
      <c r="U236" s="162" t="s">
        <v>539</v>
      </c>
      <c r="V236" s="101"/>
      <c r="W236" s="162" t="s">
        <v>98</v>
      </c>
      <c r="X236" s="162" t="s">
        <v>99</v>
      </c>
      <c r="Y236" s="101"/>
    </row>
    <row r="237" spans="2:25">
      <c r="B237" s="101"/>
      <c r="C237" s="101"/>
      <c r="D237" s="104" t="str">
        <f>[3]COMM!$E$19</f>
        <v>RSDAHT</v>
      </c>
      <c r="E237" s="101"/>
      <c r="F237" s="101"/>
      <c r="G237" s="106"/>
      <c r="H237" s="106">
        <f>1/3</f>
        <v>0.33333333333333331</v>
      </c>
      <c r="I237" s="106"/>
      <c r="J237" s="106"/>
      <c r="K237" s="106"/>
      <c r="L237" s="106"/>
      <c r="M237" s="106"/>
      <c r="N237" s="101"/>
      <c r="O237" s="101"/>
      <c r="S237" s="106"/>
      <c r="T237" s="101"/>
      <c r="U237" s="162" t="s">
        <v>540</v>
      </c>
      <c r="V237" s="101"/>
      <c r="W237" s="162" t="s">
        <v>98</v>
      </c>
      <c r="X237" s="162" t="s">
        <v>99</v>
      </c>
      <c r="Y237" s="101"/>
    </row>
    <row r="238" spans="2:25">
      <c r="B238" s="101" t="str">
        <f>U232</f>
        <v>HSS-SpHeat_HET1</v>
      </c>
      <c r="C238" s="162" t="s">
        <v>244</v>
      </c>
      <c r="D238" s="162"/>
      <c r="E238" s="162" t="s">
        <v>472</v>
      </c>
      <c r="F238" s="101">
        <v>2021</v>
      </c>
      <c r="G238" s="106">
        <v>1</v>
      </c>
      <c r="H238" s="106"/>
      <c r="I238" s="158">
        <f>I236</f>
        <v>1</v>
      </c>
      <c r="J238" s="158">
        <f t="shared" si="263"/>
        <v>1525.8037499999998</v>
      </c>
      <c r="K238" s="158">
        <f t="shared" si="263"/>
        <v>12.795</v>
      </c>
      <c r="L238" s="158">
        <f t="shared" si="263"/>
        <v>1525.8037499999998</v>
      </c>
      <c r="M238" s="158">
        <f t="shared" si="263"/>
        <v>12.795</v>
      </c>
      <c r="N238" s="158">
        <f t="shared" si="263"/>
        <v>14.5</v>
      </c>
      <c r="O238" s="163">
        <v>31.54</v>
      </c>
      <c r="R238" s="155">
        <v>15</v>
      </c>
      <c r="S238" s="106"/>
      <c r="T238" s="101"/>
      <c r="U238" s="162" t="s">
        <v>541</v>
      </c>
      <c r="V238" s="101"/>
      <c r="W238" s="162" t="s">
        <v>98</v>
      </c>
      <c r="X238" s="162" t="s">
        <v>99</v>
      </c>
      <c r="Y238" s="101"/>
    </row>
    <row r="239" spans="2:25">
      <c r="B239" s="101"/>
      <c r="C239" s="101"/>
      <c r="D239" s="104" t="str">
        <f>[3]COMM!$E$19</f>
        <v>RSDAHT</v>
      </c>
      <c r="E239" s="101"/>
      <c r="F239" s="101"/>
      <c r="G239" s="106"/>
      <c r="H239" s="106">
        <f>1/3</f>
        <v>0.33333333333333331</v>
      </c>
      <c r="I239" s="106"/>
      <c r="J239" s="106"/>
      <c r="K239" s="106"/>
      <c r="L239" s="106"/>
      <c r="M239" s="106"/>
      <c r="N239" s="101"/>
      <c r="O239" s="101"/>
      <c r="S239" s="106"/>
      <c r="T239" s="101"/>
      <c r="U239" s="162" t="s">
        <v>542</v>
      </c>
      <c r="V239" s="101"/>
      <c r="W239" s="162" t="s">
        <v>98</v>
      </c>
      <c r="X239" s="162" t="s">
        <v>99</v>
      </c>
      <c r="Y239" s="101"/>
    </row>
    <row r="240" spans="2:25">
      <c r="B240" s="101" t="str">
        <f>U233</f>
        <v>ART-SpHeat_HET1</v>
      </c>
      <c r="C240" s="162" t="s">
        <v>244</v>
      </c>
      <c r="D240" s="162"/>
      <c r="E240" s="162" t="s">
        <v>479</v>
      </c>
      <c r="F240" s="101">
        <v>2021</v>
      </c>
      <c r="G240" s="106">
        <v>1</v>
      </c>
      <c r="H240" s="106"/>
      <c r="I240" s="158">
        <f>I238</f>
        <v>1</v>
      </c>
      <c r="J240" s="158">
        <f t="shared" si="263"/>
        <v>1525.8037499999998</v>
      </c>
      <c r="K240" s="158">
        <f t="shared" si="263"/>
        <v>12.795</v>
      </c>
      <c r="L240" s="158">
        <f t="shared" si="263"/>
        <v>1525.8037499999998</v>
      </c>
      <c r="M240" s="158">
        <f t="shared" si="263"/>
        <v>12.795</v>
      </c>
      <c r="N240" s="158">
        <f t="shared" si="263"/>
        <v>14.5</v>
      </c>
      <c r="O240" s="163">
        <v>31.54</v>
      </c>
      <c r="R240" s="155">
        <v>15</v>
      </c>
      <c r="S240" s="106"/>
      <c r="T240" s="101"/>
      <c r="U240" s="162" t="s">
        <v>543</v>
      </c>
      <c r="V240" s="101"/>
      <c r="W240" s="162" t="s">
        <v>98</v>
      </c>
      <c r="X240" s="162" t="s">
        <v>99</v>
      </c>
      <c r="Y240" s="101"/>
    </row>
    <row r="241" spans="2:25">
      <c r="B241" s="101"/>
      <c r="C241" s="101"/>
      <c r="D241" s="104" t="str">
        <f>[3]COMM!$E$19</f>
        <v>RSDAHT</v>
      </c>
      <c r="E241" s="101"/>
      <c r="F241" s="101"/>
      <c r="G241" s="106"/>
      <c r="H241" s="106">
        <f>1/3</f>
        <v>0.33333333333333331</v>
      </c>
      <c r="I241" s="106"/>
      <c r="J241" s="106"/>
      <c r="K241" s="106"/>
      <c r="L241" s="106"/>
      <c r="M241" s="106"/>
      <c r="N241" s="101"/>
      <c r="O241" s="101"/>
      <c r="S241" s="106"/>
      <c r="T241" s="101"/>
      <c r="U241" s="101" t="s">
        <v>544</v>
      </c>
      <c r="V241" s="101"/>
      <c r="W241" s="162" t="s">
        <v>98</v>
      </c>
      <c r="X241" s="162" t="s">
        <v>99</v>
      </c>
      <c r="Y241" s="101"/>
    </row>
    <row r="242" spans="2:25">
      <c r="B242" s="101" t="str">
        <f>U234</f>
        <v>AFM-SpHeat_HET1</v>
      </c>
      <c r="C242" s="162" t="s">
        <v>244</v>
      </c>
      <c r="D242" s="162"/>
      <c r="E242" s="162" t="s">
        <v>486</v>
      </c>
      <c r="F242" s="101">
        <v>2021</v>
      </c>
      <c r="G242" s="106">
        <v>1</v>
      </c>
      <c r="H242" s="106"/>
      <c r="I242" s="158">
        <f>I240</f>
        <v>1</v>
      </c>
      <c r="J242" s="158">
        <f t="shared" si="263"/>
        <v>1525.8037499999998</v>
      </c>
      <c r="K242" s="158">
        <f t="shared" si="263"/>
        <v>12.795</v>
      </c>
      <c r="L242" s="158">
        <f t="shared" si="263"/>
        <v>1525.8037499999998</v>
      </c>
      <c r="M242" s="158">
        <f t="shared" si="263"/>
        <v>12.795</v>
      </c>
      <c r="N242" s="158">
        <f t="shared" si="263"/>
        <v>14.5</v>
      </c>
      <c r="O242" s="163">
        <v>31.54</v>
      </c>
      <c r="R242" s="155">
        <v>15</v>
      </c>
      <c r="S242" s="106"/>
      <c r="T242" s="101"/>
      <c r="U242" s="101" t="s">
        <v>545</v>
      </c>
      <c r="V242" s="101"/>
      <c r="W242" s="162" t="s">
        <v>98</v>
      </c>
      <c r="X242" s="162" t="s">
        <v>99</v>
      </c>
      <c r="Y242" s="101"/>
    </row>
    <row r="243" spans="2:25">
      <c r="B243" s="101"/>
      <c r="C243" s="101"/>
      <c r="D243" s="104" t="str">
        <f>[3]COMM!$E$19</f>
        <v>RSDAHT</v>
      </c>
      <c r="E243" s="101"/>
      <c r="F243" s="101"/>
      <c r="G243" s="106"/>
      <c r="H243" s="106">
        <f>1/3</f>
        <v>0.33333333333333331</v>
      </c>
      <c r="I243" s="106"/>
      <c r="J243" s="106"/>
      <c r="K243" s="106"/>
      <c r="L243" s="106"/>
      <c r="M243" s="106"/>
      <c r="N243" s="101"/>
      <c r="O243" s="101"/>
      <c r="S243" s="106"/>
      <c r="T243" s="101"/>
      <c r="U243" s="101" t="s">
        <v>546</v>
      </c>
      <c r="V243" s="101"/>
      <c r="W243" s="162" t="s">
        <v>98</v>
      </c>
      <c r="X243" s="162" t="s">
        <v>99</v>
      </c>
      <c r="Y243" s="101"/>
    </row>
    <row r="244" spans="2:25">
      <c r="B244" s="101" t="str">
        <f>U235</f>
        <v>OTH-SpHeat_HET1</v>
      </c>
      <c r="C244" s="162" t="s">
        <v>244</v>
      </c>
      <c r="D244" s="162"/>
      <c r="E244" s="162" t="s">
        <v>493</v>
      </c>
      <c r="F244" s="101">
        <v>2021</v>
      </c>
      <c r="G244" s="106">
        <v>1</v>
      </c>
      <c r="H244" s="106"/>
      <c r="I244" s="158">
        <f>I242</f>
        <v>1</v>
      </c>
      <c r="J244" s="158">
        <f t="shared" si="263"/>
        <v>1525.8037499999998</v>
      </c>
      <c r="K244" s="158">
        <f t="shared" si="263"/>
        <v>12.795</v>
      </c>
      <c r="L244" s="158">
        <f t="shared" si="263"/>
        <v>1525.8037499999998</v>
      </c>
      <c r="M244" s="158">
        <f t="shared" si="263"/>
        <v>12.795</v>
      </c>
      <c r="N244" s="158">
        <f t="shared" si="263"/>
        <v>14.5</v>
      </c>
      <c r="O244" s="163">
        <v>31.54</v>
      </c>
      <c r="R244" s="155">
        <v>15</v>
      </c>
      <c r="S244" s="106"/>
      <c r="T244" s="101"/>
      <c r="U244" s="101" t="s">
        <v>547</v>
      </c>
      <c r="V244" s="101"/>
      <c r="W244" s="162" t="s">
        <v>98</v>
      </c>
      <c r="X244" s="162" t="s">
        <v>99</v>
      </c>
      <c r="Y244" s="101"/>
    </row>
    <row r="245" spans="2:25">
      <c r="B245" s="101"/>
      <c r="C245" s="101"/>
      <c r="D245" s="104" t="str">
        <f>[3]COMM!$E$19</f>
        <v>RSDAHT</v>
      </c>
      <c r="E245" s="101"/>
      <c r="F245" s="101"/>
      <c r="G245" s="106"/>
      <c r="H245" s="106">
        <f>1/3</f>
        <v>0.33333333333333331</v>
      </c>
      <c r="I245" s="106"/>
      <c r="J245" s="106"/>
      <c r="K245" s="106"/>
      <c r="L245" s="106"/>
      <c r="M245" s="106"/>
      <c r="N245" s="101"/>
      <c r="O245" s="101"/>
      <c r="S245" s="106"/>
      <c r="T245" s="101"/>
      <c r="U245" s="101" t="s">
        <v>548</v>
      </c>
      <c r="V245" s="101"/>
      <c r="W245" s="162" t="s">
        <v>98</v>
      </c>
      <c r="X245" s="162" t="s">
        <v>99</v>
      </c>
      <c r="Y245" s="101"/>
    </row>
    <row r="246" spans="2:25" s="101" customFormat="1">
      <c r="B246" s="101" t="str">
        <f>U246</f>
        <v>WST-WaterHeat_HET1</v>
      </c>
      <c r="C246" s="162" t="s">
        <v>244</v>
      </c>
      <c r="D246" s="162"/>
      <c r="E246" s="162" t="s">
        <v>360</v>
      </c>
      <c r="F246" s="101">
        <v>2021</v>
      </c>
      <c r="G246" s="158">
        <v>1</v>
      </c>
      <c r="H246" s="158"/>
      <c r="I246" s="158">
        <v>1</v>
      </c>
      <c r="J246" s="158">
        <f>59940/50*1</f>
        <v>1198.8</v>
      </c>
      <c r="K246" s="158">
        <f>120/50*1</f>
        <v>2.4</v>
      </c>
      <c r="L246" s="158">
        <f>J246</f>
        <v>1198.8</v>
      </c>
      <c r="M246" s="158">
        <f>K246</f>
        <v>2.4</v>
      </c>
      <c r="N246" s="158">
        <v>15</v>
      </c>
      <c r="O246" s="164">
        <v>31.54</v>
      </c>
      <c r="R246" s="158">
        <v>15</v>
      </c>
      <c r="S246" s="106"/>
      <c r="U246" s="162" t="s">
        <v>549</v>
      </c>
      <c r="W246" s="162" t="s">
        <v>98</v>
      </c>
      <c r="X246" s="162" t="s">
        <v>99</v>
      </c>
    </row>
    <row r="247" spans="2:25" s="101" customFormat="1">
      <c r="D247" s="104" t="str">
        <f>[3]COMM!$E$19</f>
        <v>RSDAHT</v>
      </c>
      <c r="G247" s="106"/>
      <c r="H247" s="158">
        <f>1/3</f>
        <v>0.33333333333333331</v>
      </c>
      <c r="I247" s="106"/>
      <c r="J247" s="106"/>
      <c r="K247" s="106"/>
      <c r="L247" s="106"/>
      <c r="M247" s="106"/>
      <c r="R247" s="106"/>
      <c r="S247" s="106"/>
      <c r="U247" s="162" t="s">
        <v>550</v>
      </c>
      <c r="W247" s="162" t="s">
        <v>98</v>
      </c>
      <c r="X247" s="162" t="s">
        <v>99</v>
      </c>
    </row>
    <row r="248" spans="2:25">
      <c r="B248" s="101" t="str">
        <f>U247</f>
        <v>RTS-WaterHeat_HET1</v>
      </c>
      <c r="C248" s="162" t="s">
        <v>244</v>
      </c>
      <c r="D248" s="162"/>
      <c r="E248" s="162" t="s">
        <v>367</v>
      </c>
      <c r="F248" s="101">
        <v>2021</v>
      </c>
      <c r="G248" s="158">
        <v>1</v>
      </c>
      <c r="H248" s="158"/>
      <c r="I248" s="158">
        <v>1</v>
      </c>
      <c r="J248" s="158">
        <f>59940/50*1</f>
        <v>1198.8</v>
      </c>
      <c r="K248" s="158">
        <f>120/50*1</f>
        <v>2.4</v>
      </c>
      <c r="L248" s="158">
        <f>J248</f>
        <v>1198.8</v>
      </c>
      <c r="M248" s="158">
        <f>K248</f>
        <v>2.4</v>
      </c>
      <c r="N248" s="158">
        <v>15</v>
      </c>
      <c r="O248" s="164">
        <v>31.54</v>
      </c>
      <c r="P248" s="101"/>
      <c r="Q248" s="101"/>
      <c r="R248" s="158">
        <v>15</v>
      </c>
      <c r="S248" s="106"/>
      <c r="T248" s="101"/>
      <c r="U248" s="162" t="s">
        <v>551</v>
      </c>
      <c r="V248" s="101"/>
      <c r="W248" s="162" t="s">
        <v>98</v>
      </c>
      <c r="X248" s="162" t="s">
        <v>99</v>
      </c>
      <c r="Y248" s="101"/>
    </row>
    <row r="249" spans="2:25">
      <c r="B249" s="101"/>
      <c r="C249" s="101"/>
      <c r="D249" s="104" t="str">
        <f>[3]COMM!$E$19</f>
        <v>RSDAHT</v>
      </c>
      <c r="E249" s="101"/>
      <c r="F249" s="101"/>
      <c r="G249" s="106"/>
      <c r="H249" s="158">
        <f>1/3</f>
        <v>0.33333333333333331</v>
      </c>
      <c r="I249" s="106"/>
      <c r="J249" s="106"/>
      <c r="K249" s="106"/>
      <c r="L249" s="106"/>
      <c r="M249" s="106"/>
      <c r="N249" s="101"/>
      <c r="O249" s="101"/>
      <c r="P249" s="101"/>
      <c r="Q249" s="101"/>
      <c r="R249" s="106"/>
      <c r="S249" s="106"/>
      <c r="T249" s="101"/>
      <c r="U249" s="162" t="s">
        <v>552</v>
      </c>
      <c r="V249" s="101"/>
      <c r="W249" s="162" t="s">
        <v>98</v>
      </c>
      <c r="X249" s="162" t="s">
        <v>99</v>
      </c>
      <c r="Y249" s="101"/>
    </row>
    <row r="250" spans="2:25">
      <c r="B250" s="101" t="str">
        <f>U248</f>
        <v>TWS-WaterHeat_HET1</v>
      </c>
      <c r="C250" s="162" t="s">
        <v>244</v>
      </c>
      <c r="D250" s="162"/>
      <c r="E250" s="162" t="s">
        <v>374</v>
      </c>
      <c r="F250" s="101">
        <v>2021</v>
      </c>
      <c r="G250" s="158">
        <v>1</v>
      </c>
      <c r="H250" s="158"/>
      <c r="I250" s="158">
        <v>1</v>
      </c>
      <c r="J250" s="158">
        <f>59940/50*1</f>
        <v>1198.8</v>
      </c>
      <c r="K250" s="158">
        <f>120/50*1</f>
        <v>2.4</v>
      </c>
      <c r="L250" s="158">
        <f>J250</f>
        <v>1198.8</v>
      </c>
      <c r="M250" s="158">
        <f>K250</f>
        <v>2.4</v>
      </c>
      <c r="N250" s="158">
        <v>15</v>
      </c>
      <c r="O250" s="164">
        <v>31.54</v>
      </c>
      <c r="P250" s="101"/>
      <c r="Q250" s="101"/>
      <c r="R250" s="158">
        <v>15</v>
      </c>
      <c r="S250" s="106"/>
      <c r="T250" s="101"/>
      <c r="U250" s="162" t="s">
        <v>553</v>
      </c>
      <c r="V250" s="101"/>
      <c r="W250" s="162" t="s">
        <v>98</v>
      </c>
      <c r="X250" s="162" t="s">
        <v>99</v>
      </c>
      <c r="Y250" s="101"/>
    </row>
    <row r="251" spans="2:25">
      <c r="B251" s="101"/>
      <c r="C251" s="101"/>
      <c r="D251" s="104" t="str">
        <f>[3]COMM!$E$19</f>
        <v>RSDAHT</v>
      </c>
      <c r="E251" s="101"/>
      <c r="F251" s="101"/>
      <c r="G251" s="106"/>
      <c r="H251" s="158">
        <f>1/3</f>
        <v>0.33333333333333331</v>
      </c>
      <c r="I251" s="106"/>
      <c r="J251" s="106"/>
      <c r="K251" s="106"/>
      <c r="L251" s="106"/>
      <c r="M251" s="106"/>
      <c r="N251" s="101"/>
      <c r="O251" s="101"/>
      <c r="P251" s="101"/>
      <c r="Q251" s="101"/>
      <c r="R251" s="106"/>
      <c r="S251" s="106"/>
      <c r="T251" s="101"/>
      <c r="U251" s="101" t="s">
        <v>554</v>
      </c>
      <c r="V251" s="101"/>
      <c r="W251" s="162" t="s">
        <v>98</v>
      </c>
      <c r="X251" s="162" t="s">
        <v>99</v>
      </c>
      <c r="Y251" s="101"/>
    </row>
    <row r="252" spans="2:25">
      <c r="B252" s="101" t="str">
        <f>U249</f>
        <v>ICS-WaterHeat_HET1</v>
      </c>
      <c r="C252" s="162" t="s">
        <v>244</v>
      </c>
      <c r="D252" s="162"/>
      <c r="E252" s="162" t="s">
        <v>381</v>
      </c>
      <c r="F252" s="101">
        <v>2021</v>
      </c>
      <c r="G252" s="158">
        <v>1</v>
      </c>
      <c r="H252" s="158"/>
      <c r="I252" s="158">
        <v>1</v>
      </c>
      <c r="J252" s="158">
        <f>59940/50*1</f>
        <v>1198.8</v>
      </c>
      <c r="K252" s="158">
        <f>120/50*1</f>
        <v>2.4</v>
      </c>
      <c r="L252" s="158">
        <f>J252</f>
        <v>1198.8</v>
      </c>
      <c r="M252" s="158">
        <f>K252</f>
        <v>2.4</v>
      </c>
      <c r="N252" s="158">
        <v>15</v>
      </c>
      <c r="O252" s="164">
        <v>31.54</v>
      </c>
      <c r="P252" s="101"/>
      <c r="Q252" s="101"/>
      <c r="R252" s="158">
        <v>15</v>
      </c>
      <c r="S252" s="106"/>
      <c r="T252" s="101"/>
      <c r="U252" s="101" t="s">
        <v>555</v>
      </c>
      <c r="V252" s="101"/>
      <c r="W252" s="162" t="s">
        <v>98</v>
      </c>
      <c r="X252" s="162" t="s">
        <v>99</v>
      </c>
      <c r="Y252" s="101"/>
    </row>
    <row r="253" spans="2:25">
      <c r="B253" s="101"/>
      <c r="C253" s="101"/>
      <c r="D253" s="104" t="str">
        <f>[3]COMM!$E$19</f>
        <v>RSDAHT</v>
      </c>
      <c r="E253" s="101"/>
      <c r="F253" s="101"/>
      <c r="G253" s="106"/>
      <c r="H253" s="158">
        <f>1/3</f>
        <v>0.33333333333333331</v>
      </c>
      <c r="I253" s="106"/>
      <c r="J253" s="106"/>
      <c r="K253" s="106"/>
      <c r="L253" s="106"/>
      <c r="M253" s="106"/>
      <c r="N253" s="101"/>
      <c r="O253" s="101"/>
      <c r="P253" s="101"/>
      <c r="Q253" s="101"/>
      <c r="R253" s="106"/>
      <c r="S253" s="106"/>
      <c r="T253" s="101"/>
      <c r="U253" s="101" t="s">
        <v>556</v>
      </c>
      <c r="V253" s="101"/>
      <c r="W253" s="162" t="s">
        <v>98</v>
      </c>
      <c r="X253" s="162" t="s">
        <v>99</v>
      </c>
      <c r="Y253" s="101"/>
    </row>
    <row r="254" spans="2:25">
      <c r="B254" s="101" t="str">
        <f>U250</f>
        <v>OS-WaterHeat_HET1</v>
      </c>
      <c r="C254" s="162" t="s">
        <v>244</v>
      </c>
      <c r="D254" s="162"/>
      <c r="E254" s="162" t="s">
        <v>388</v>
      </c>
      <c r="F254" s="101">
        <v>2021</v>
      </c>
      <c r="G254" s="158">
        <v>1</v>
      </c>
      <c r="H254" s="158"/>
      <c r="I254" s="158">
        <v>1</v>
      </c>
      <c r="J254" s="158">
        <f>59940/50*1</f>
        <v>1198.8</v>
      </c>
      <c r="K254" s="158">
        <f>120/50*1</f>
        <v>2.4</v>
      </c>
      <c r="L254" s="158">
        <f>J254</f>
        <v>1198.8</v>
      </c>
      <c r="M254" s="158">
        <f>K254</f>
        <v>2.4</v>
      </c>
      <c r="N254" s="158">
        <v>15</v>
      </c>
      <c r="O254" s="164">
        <v>31.54</v>
      </c>
      <c r="P254" s="101"/>
      <c r="Q254" s="101"/>
      <c r="R254" s="158">
        <v>15</v>
      </c>
      <c r="S254" s="106"/>
      <c r="T254" s="101"/>
      <c r="U254" s="101" t="s">
        <v>557</v>
      </c>
      <c r="V254" s="101"/>
      <c r="W254" s="162" t="s">
        <v>98</v>
      </c>
      <c r="X254" s="162" t="s">
        <v>99</v>
      </c>
      <c r="Y254" s="101"/>
    </row>
    <row r="255" spans="2:25">
      <c r="B255" s="101"/>
      <c r="C255" s="101"/>
      <c r="D255" s="104" t="str">
        <f>[3]COMM!$E$19</f>
        <v>RSDAHT</v>
      </c>
      <c r="E255" s="101"/>
      <c r="F255" s="101"/>
      <c r="G255" s="106"/>
      <c r="H255" s="158">
        <f>1/3</f>
        <v>0.33333333333333331</v>
      </c>
      <c r="I255" s="106"/>
      <c r="J255" s="106"/>
      <c r="K255" s="106"/>
      <c r="L255" s="106"/>
      <c r="M255" s="106"/>
      <c r="N255" s="101"/>
      <c r="O255" s="101"/>
      <c r="P255" s="101"/>
      <c r="Q255" s="101"/>
      <c r="R255" s="106"/>
      <c r="S255" s="106"/>
      <c r="T255" s="101"/>
      <c r="U255" s="101" t="s">
        <v>558</v>
      </c>
      <c r="V255" s="101"/>
      <c r="W255" s="162" t="s">
        <v>98</v>
      </c>
      <c r="X255" s="162" t="s">
        <v>99</v>
      </c>
      <c r="Y255" s="101"/>
    </row>
    <row r="256" spans="2:25">
      <c r="B256" s="101" t="str">
        <f>U251</f>
        <v>EDU-WaterHeat_HET1</v>
      </c>
      <c r="C256" s="162" t="s">
        <v>244</v>
      </c>
      <c r="D256" s="162"/>
      <c r="E256" s="162" t="s">
        <v>395</v>
      </c>
      <c r="F256" s="101">
        <v>2021</v>
      </c>
      <c r="G256" s="158">
        <v>1</v>
      </c>
      <c r="H256" s="158"/>
      <c r="I256" s="158">
        <v>1</v>
      </c>
      <c r="J256" s="158">
        <f>59940/50*1</f>
        <v>1198.8</v>
      </c>
      <c r="K256" s="158">
        <f>120/50*1</f>
        <v>2.4</v>
      </c>
      <c r="L256" s="158">
        <f>J256</f>
        <v>1198.8</v>
      </c>
      <c r="M256" s="158">
        <f>K256</f>
        <v>2.4</v>
      </c>
      <c r="N256" s="158">
        <v>15</v>
      </c>
      <c r="O256" s="164">
        <v>31.54</v>
      </c>
      <c r="P256" s="101"/>
      <c r="Q256" s="101"/>
      <c r="R256" s="158">
        <v>15</v>
      </c>
      <c r="S256" s="23"/>
    </row>
    <row r="257" spans="2:21">
      <c r="B257" s="101"/>
      <c r="C257" s="101"/>
      <c r="D257" s="104" t="str">
        <f>[3]COMM!$E$19</f>
        <v>RSDAHT</v>
      </c>
      <c r="E257" s="101"/>
      <c r="F257" s="101"/>
      <c r="G257" s="106"/>
      <c r="H257" s="158">
        <f>1/3</f>
        <v>0.33333333333333331</v>
      </c>
      <c r="I257" s="106"/>
      <c r="J257" s="106"/>
      <c r="K257" s="106"/>
      <c r="L257" s="106"/>
      <c r="M257" s="106"/>
      <c r="N257" s="101"/>
      <c r="O257" s="101"/>
      <c r="P257" s="101"/>
      <c r="Q257" s="101"/>
      <c r="R257" s="106"/>
      <c r="S257" s="23"/>
    </row>
    <row r="258" spans="2:21">
      <c r="B258" s="101" t="str">
        <f>U252</f>
        <v>HSS-WaterHeat_HET1</v>
      </c>
      <c r="C258" s="162" t="s">
        <v>244</v>
      </c>
      <c r="D258" s="162"/>
      <c r="E258" s="162" t="s">
        <v>402</v>
      </c>
      <c r="F258" s="101">
        <v>2021</v>
      </c>
      <c r="G258" s="158">
        <v>1</v>
      </c>
      <c r="H258" s="158"/>
      <c r="I258" s="158">
        <v>1</v>
      </c>
      <c r="J258" s="158">
        <f>59940/50*1</f>
        <v>1198.8</v>
      </c>
      <c r="K258" s="158">
        <f>120/50*1</f>
        <v>2.4</v>
      </c>
      <c r="L258" s="158">
        <f>J258</f>
        <v>1198.8</v>
      </c>
      <c r="M258" s="158">
        <f>K258</f>
        <v>2.4</v>
      </c>
      <c r="N258" s="158">
        <v>15</v>
      </c>
      <c r="O258" s="164">
        <v>31.54</v>
      </c>
      <c r="P258" s="101"/>
      <c r="Q258" s="101"/>
      <c r="R258" s="158">
        <v>15</v>
      </c>
      <c r="S258" s="23"/>
    </row>
    <row r="259" spans="2:21">
      <c r="B259" s="101"/>
      <c r="C259" s="101"/>
      <c r="D259" s="104" t="str">
        <f>[3]COMM!$E$19</f>
        <v>RSDAHT</v>
      </c>
      <c r="E259" s="101"/>
      <c r="F259" s="101"/>
      <c r="G259" s="106"/>
      <c r="H259" s="158">
        <f>1/3</f>
        <v>0.33333333333333331</v>
      </c>
      <c r="I259" s="106"/>
      <c r="J259" s="106"/>
      <c r="K259" s="106"/>
      <c r="L259" s="106"/>
      <c r="M259" s="106"/>
      <c r="N259" s="101"/>
      <c r="O259" s="101"/>
      <c r="P259" s="101"/>
      <c r="Q259" s="101"/>
      <c r="R259" s="106"/>
      <c r="S259" s="23"/>
    </row>
    <row r="260" spans="2:21">
      <c r="B260" s="101" t="str">
        <f>U253</f>
        <v>ART-WaterHeat_HET1</v>
      </c>
      <c r="C260" s="162" t="s">
        <v>244</v>
      </c>
      <c r="D260" s="162"/>
      <c r="E260" s="162" t="s">
        <v>409</v>
      </c>
      <c r="F260" s="101">
        <v>2021</v>
      </c>
      <c r="G260" s="158">
        <v>1</v>
      </c>
      <c r="H260" s="158"/>
      <c r="I260" s="158">
        <v>1</v>
      </c>
      <c r="J260" s="158">
        <f>59940/50*1</f>
        <v>1198.8</v>
      </c>
      <c r="K260" s="158">
        <f>120/50*1</f>
        <v>2.4</v>
      </c>
      <c r="L260" s="158">
        <f>J260</f>
        <v>1198.8</v>
      </c>
      <c r="M260" s="158">
        <f>K260</f>
        <v>2.4</v>
      </c>
      <c r="N260" s="158">
        <v>15</v>
      </c>
      <c r="O260" s="164">
        <v>31.54</v>
      </c>
      <c r="P260" s="101"/>
      <c r="Q260" s="101"/>
      <c r="R260" s="158">
        <v>15</v>
      </c>
      <c r="S260" s="23"/>
    </row>
    <row r="261" spans="2:21">
      <c r="B261" s="101"/>
      <c r="C261" s="101"/>
      <c r="D261" s="104" t="str">
        <f>[3]COMM!$E$19</f>
        <v>RSDAHT</v>
      </c>
      <c r="E261" s="101"/>
      <c r="F261" s="101"/>
      <c r="G261" s="106"/>
      <c r="H261" s="158">
        <f>1/3</f>
        <v>0.33333333333333331</v>
      </c>
      <c r="I261" s="106"/>
      <c r="J261" s="106"/>
      <c r="K261" s="106"/>
      <c r="L261" s="106"/>
      <c r="M261" s="106"/>
      <c r="N261" s="101"/>
      <c r="O261" s="101"/>
      <c r="P261" s="101"/>
      <c r="Q261" s="101"/>
      <c r="R261" s="106"/>
      <c r="S261" s="23"/>
    </row>
    <row r="262" spans="2:21">
      <c r="B262" s="101" t="str">
        <f>U254</f>
        <v>AFM-WaterHeat_HET1</v>
      </c>
      <c r="C262" s="162" t="s">
        <v>244</v>
      </c>
      <c r="D262" s="162"/>
      <c r="E262" s="162" t="s">
        <v>416</v>
      </c>
      <c r="F262" s="101">
        <v>2021</v>
      </c>
      <c r="G262" s="158">
        <v>1</v>
      </c>
      <c r="H262" s="158"/>
      <c r="I262" s="158">
        <v>1</v>
      </c>
      <c r="J262" s="158">
        <f>59940/50*1</f>
        <v>1198.8</v>
      </c>
      <c r="K262" s="158">
        <f>120/50*1</f>
        <v>2.4</v>
      </c>
      <c r="L262" s="158">
        <f>J262</f>
        <v>1198.8</v>
      </c>
      <c r="M262" s="158">
        <f>K262</f>
        <v>2.4</v>
      </c>
      <c r="N262" s="158">
        <v>15</v>
      </c>
      <c r="O262" s="164">
        <v>31.54</v>
      </c>
      <c r="P262" s="101"/>
      <c r="Q262" s="101"/>
      <c r="R262" s="158">
        <v>15</v>
      </c>
      <c r="S262" s="23"/>
    </row>
    <row r="263" spans="2:21">
      <c r="B263" s="101"/>
      <c r="C263" s="101"/>
      <c r="D263" s="104" t="str">
        <f>[3]COMM!$E$19</f>
        <v>RSDAHT</v>
      </c>
      <c r="E263" s="101"/>
      <c r="F263" s="101"/>
      <c r="G263" s="106"/>
      <c r="H263" s="158">
        <f>1/3</f>
        <v>0.33333333333333331</v>
      </c>
      <c r="I263" s="106"/>
      <c r="J263" s="106"/>
      <c r="K263" s="106"/>
      <c r="L263" s="106"/>
      <c r="M263" s="106"/>
      <c r="N263" s="101"/>
      <c r="O263" s="101"/>
      <c r="P263" s="101"/>
      <c r="Q263" s="101"/>
      <c r="R263" s="106"/>
      <c r="S263" s="23"/>
    </row>
    <row r="264" spans="2:21">
      <c r="B264" s="101" t="str">
        <f>U255</f>
        <v>OTH-WaterHeat_HET1</v>
      </c>
      <c r="C264" s="162" t="s">
        <v>244</v>
      </c>
      <c r="D264" s="162"/>
      <c r="E264" s="162" t="s">
        <v>423</v>
      </c>
      <c r="F264" s="101">
        <v>2021</v>
      </c>
      <c r="G264" s="158">
        <v>1</v>
      </c>
      <c r="H264" s="158"/>
      <c r="I264" s="158">
        <v>1</v>
      </c>
      <c r="J264" s="158">
        <f>59940/50*1</f>
        <v>1198.8</v>
      </c>
      <c r="K264" s="158">
        <f>120/50*1</f>
        <v>2.4</v>
      </c>
      <c r="L264" s="158">
        <f>J264</f>
        <v>1198.8</v>
      </c>
      <c r="M264" s="158">
        <f>K264</f>
        <v>2.4</v>
      </c>
      <c r="N264" s="158">
        <v>15</v>
      </c>
      <c r="O264" s="164">
        <v>31.54</v>
      </c>
      <c r="P264" s="101"/>
      <c r="Q264" s="101"/>
      <c r="R264" s="158">
        <v>15</v>
      </c>
      <c r="S264" s="23"/>
    </row>
    <row r="265" spans="2:21">
      <c r="B265" s="101"/>
      <c r="C265" s="101"/>
      <c r="D265" s="104" t="str">
        <f>[3]COMM!$E$19</f>
        <v>RSDAHT</v>
      </c>
      <c r="E265" s="101"/>
      <c r="F265" s="101"/>
      <c r="G265" s="106"/>
      <c r="H265" s="158">
        <f>1/3</f>
        <v>0.33333333333333331</v>
      </c>
      <c r="I265" s="106"/>
      <c r="J265" s="106"/>
      <c r="K265" s="106"/>
      <c r="L265" s="106"/>
      <c r="M265" s="106"/>
      <c r="N265" s="101"/>
      <c r="O265" s="101"/>
      <c r="P265" s="101"/>
      <c r="Q265" s="101"/>
      <c r="R265" s="106"/>
      <c r="S265" s="23"/>
    </row>
    <row r="266" spans="2:21">
      <c r="B266" s="101" t="str">
        <f>U266</f>
        <v>WST-SpCool_HET1</v>
      </c>
      <c r="C266" s="162" t="s">
        <v>244</v>
      </c>
      <c r="D266" s="162"/>
      <c r="E266" s="162" t="s">
        <v>500</v>
      </c>
      <c r="F266" s="101">
        <v>2021</v>
      </c>
      <c r="G266" s="106">
        <v>1</v>
      </c>
      <c r="H266" s="106"/>
      <c r="I266" s="158">
        <f>I226</f>
        <v>1</v>
      </c>
      <c r="J266" s="158">
        <f t="shared" ref="J266:O266" si="264">J226</f>
        <v>1525.8037499999998</v>
      </c>
      <c r="K266" s="158">
        <f t="shared" si="264"/>
        <v>12.795</v>
      </c>
      <c r="L266" s="158">
        <f t="shared" si="264"/>
        <v>1525.8037499999998</v>
      </c>
      <c r="M266" s="158">
        <f t="shared" si="264"/>
        <v>12.795</v>
      </c>
      <c r="N266" s="158">
        <f t="shared" si="264"/>
        <v>14.5</v>
      </c>
      <c r="O266" s="158">
        <f t="shared" si="264"/>
        <v>31.54</v>
      </c>
      <c r="P266" s="101"/>
      <c r="R266" s="155">
        <v>10</v>
      </c>
      <c r="S266" s="23"/>
      <c r="U266" s="49" t="str">
        <f>U236</f>
        <v>WST-SpCool_HET1</v>
      </c>
    </row>
    <row r="267" spans="2:21">
      <c r="B267" s="101"/>
      <c r="C267" s="101"/>
      <c r="D267" s="104" t="str">
        <f>[3]COMM!$E$19</f>
        <v>RSDAHT</v>
      </c>
      <c r="E267" s="101"/>
      <c r="F267" s="101"/>
      <c r="G267" s="106"/>
      <c r="H267" s="106">
        <f>1/3</f>
        <v>0.33333333333333331</v>
      </c>
      <c r="I267" s="158"/>
      <c r="J267" s="158"/>
      <c r="K267" s="158"/>
      <c r="L267" s="158"/>
      <c r="M267" s="158"/>
      <c r="N267" s="158"/>
      <c r="O267" s="158"/>
      <c r="P267" s="101"/>
      <c r="S267" s="23"/>
      <c r="U267" s="49" t="str">
        <f t="shared" ref="U267:U275" si="265">U237</f>
        <v>RTS-SpCool_HET1</v>
      </c>
    </row>
    <row r="268" spans="2:21">
      <c r="B268" s="101" t="str">
        <f>U267</f>
        <v>RTS-SpCool_HET1</v>
      </c>
      <c r="C268" s="162" t="s">
        <v>244</v>
      </c>
      <c r="D268" s="162"/>
      <c r="E268" s="162" t="s">
        <v>503</v>
      </c>
      <c r="F268" s="101">
        <v>2021</v>
      </c>
      <c r="G268" s="106">
        <v>1</v>
      </c>
      <c r="H268" s="106"/>
      <c r="I268" s="158">
        <f>I266</f>
        <v>1</v>
      </c>
      <c r="J268" s="158">
        <f t="shared" ref="J268:N268" si="266">J266</f>
        <v>1525.8037499999998</v>
      </c>
      <c r="K268" s="158">
        <f t="shared" si="266"/>
        <v>12.795</v>
      </c>
      <c r="L268" s="158">
        <f t="shared" si="266"/>
        <v>1525.8037499999998</v>
      </c>
      <c r="M268" s="158">
        <f t="shared" si="266"/>
        <v>12.795</v>
      </c>
      <c r="N268" s="158">
        <f t="shared" si="266"/>
        <v>14.5</v>
      </c>
      <c r="O268" s="164">
        <v>31.54</v>
      </c>
      <c r="P268" s="101"/>
      <c r="R268" s="155">
        <v>10</v>
      </c>
      <c r="S268" s="23"/>
      <c r="U268" s="49" t="str">
        <f t="shared" si="265"/>
        <v>TWS-SpCool_HET1</v>
      </c>
    </row>
    <row r="269" spans="2:21">
      <c r="B269" s="101"/>
      <c r="C269" s="101"/>
      <c r="D269" s="104" t="str">
        <f>[3]COMM!$E$19</f>
        <v>RSDAHT</v>
      </c>
      <c r="E269" s="101"/>
      <c r="F269" s="101"/>
      <c r="G269" s="106"/>
      <c r="H269" s="106">
        <f>1/3</f>
        <v>0.33333333333333331</v>
      </c>
      <c r="I269" s="158"/>
      <c r="J269" s="158"/>
      <c r="K269" s="158"/>
      <c r="L269" s="158"/>
      <c r="M269" s="158"/>
      <c r="N269" s="158"/>
      <c r="O269" s="158"/>
      <c r="P269" s="101"/>
      <c r="S269" s="23"/>
      <c r="U269" s="49" t="str">
        <f t="shared" si="265"/>
        <v>ICS-SpCool_HET1</v>
      </c>
    </row>
    <row r="270" spans="2:21">
      <c r="B270" s="101" t="str">
        <f>U268</f>
        <v>TWS-SpCool_HET1</v>
      </c>
      <c r="C270" s="162" t="s">
        <v>244</v>
      </c>
      <c r="D270" s="162"/>
      <c r="E270" s="162" t="s">
        <v>506</v>
      </c>
      <c r="F270" s="101">
        <v>2021</v>
      </c>
      <c r="G270" s="106">
        <v>1</v>
      </c>
      <c r="H270" s="106"/>
      <c r="I270" s="158">
        <f>I268</f>
        <v>1</v>
      </c>
      <c r="J270" s="158">
        <f t="shared" ref="J270:N270" si="267">J268</f>
        <v>1525.8037499999998</v>
      </c>
      <c r="K270" s="158">
        <f t="shared" si="267"/>
        <v>12.795</v>
      </c>
      <c r="L270" s="158">
        <f t="shared" si="267"/>
        <v>1525.8037499999998</v>
      </c>
      <c r="M270" s="158">
        <f t="shared" si="267"/>
        <v>12.795</v>
      </c>
      <c r="N270" s="158">
        <f t="shared" si="267"/>
        <v>14.5</v>
      </c>
      <c r="O270" s="164">
        <v>31.54</v>
      </c>
      <c r="P270" s="101"/>
      <c r="R270" s="155">
        <v>10</v>
      </c>
      <c r="S270" s="23"/>
      <c r="U270" s="49" t="str">
        <f t="shared" si="265"/>
        <v>OS-SpCool_HET1</v>
      </c>
    </row>
    <row r="271" spans="2:21">
      <c r="B271" s="101"/>
      <c r="C271" s="101"/>
      <c r="D271" s="104" t="str">
        <f>[3]COMM!$E$19</f>
        <v>RSDAHT</v>
      </c>
      <c r="E271" s="101"/>
      <c r="F271" s="101"/>
      <c r="G271" s="106"/>
      <c r="H271" s="106">
        <f>1/3</f>
        <v>0.33333333333333331</v>
      </c>
      <c r="I271" s="158"/>
      <c r="J271" s="158"/>
      <c r="K271" s="158"/>
      <c r="L271" s="158"/>
      <c r="M271" s="158"/>
      <c r="N271" s="158"/>
      <c r="O271" s="158"/>
      <c r="P271" s="101"/>
      <c r="S271" s="23"/>
      <c r="U271" s="49" t="str">
        <f t="shared" si="265"/>
        <v>EDU-SpCool_HET1</v>
      </c>
    </row>
    <row r="272" spans="2:21">
      <c r="B272" s="101" t="str">
        <f>U269</f>
        <v>ICS-SpCool_HET1</v>
      </c>
      <c r="C272" s="162" t="s">
        <v>244</v>
      </c>
      <c r="D272" s="162"/>
      <c r="E272" s="162" t="s">
        <v>509</v>
      </c>
      <c r="F272" s="101">
        <v>2021</v>
      </c>
      <c r="G272" s="106">
        <v>1</v>
      </c>
      <c r="H272" s="106"/>
      <c r="I272" s="158">
        <f>I270</f>
        <v>1</v>
      </c>
      <c r="J272" s="158">
        <f t="shared" ref="J272:N272" si="268">J270</f>
        <v>1525.8037499999998</v>
      </c>
      <c r="K272" s="158">
        <f t="shared" si="268"/>
        <v>12.795</v>
      </c>
      <c r="L272" s="158">
        <f t="shared" si="268"/>
        <v>1525.8037499999998</v>
      </c>
      <c r="M272" s="158">
        <f t="shared" si="268"/>
        <v>12.795</v>
      </c>
      <c r="N272" s="158">
        <f t="shared" si="268"/>
        <v>14.5</v>
      </c>
      <c r="O272" s="163">
        <v>31.54</v>
      </c>
      <c r="P272" s="101"/>
      <c r="R272" s="155">
        <v>10</v>
      </c>
      <c r="S272" s="23"/>
      <c r="U272" s="49" t="str">
        <f t="shared" si="265"/>
        <v>HSS-SpCool_HET1</v>
      </c>
    </row>
    <row r="273" spans="2:21">
      <c r="B273" s="101"/>
      <c r="C273" s="101"/>
      <c r="D273" s="104" t="str">
        <f>[3]COMM!$E$19</f>
        <v>RSDAHT</v>
      </c>
      <c r="E273" s="101"/>
      <c r="F273" s="101"/>
      <c r="G273" s="106"/>
      <c r="H273" s="106">
        <f>1/3</f>
        <v>0.33333333333333331</v>
      </c>
      <c r="I273" s="106"/>
      <c r="J273" s="106"/>
      <c r="K273" s="106"/>
      <c r="L273" s="106"/>
      <c r="M273" s="106"/>
      <c r="N273" s="101"/>
      <c r="O273" s="101"/>
      <c r="P273" s="101"/>
      <c r="S273" s="23"/>
      <c r="U273" s="49" t="str">
        <f t="shared" si="265"/>
        <v>ART-SpCool_HET1</v>
      </c>
    </row>
    <row r="274" spans="2:21">
      <c r="B274" s="101" t="str">
        <f>U270</f>
        <v>OS-SpCool_HET1</v>
      </c>
      <c r="C274" s="162" t="s">
        <v>244</v>
      </c>
      <c r="D274" s="162"/>
      <c r="E274" s="162" t="s">
        <v>512</v>
      </c>
      <c r="F274" s="101">
        <v>2021</v>
      </c>
      <c r="G274" s="106">
        <v>1</v>
      </c>
      <c r="H274" s="106"/>
      <c r="I274" s="158">
        <f>I272</f>
        <v>1</v>
      </c>
      <c r="J274" s="158">
        <f t="shared" ref="J274:N274" si="269">J272</f>
        <v>1525.8037499999998</v>
      </c>
      <c r="K274" s="158">
        <f t="shared" si="269"/>
        <v>12.795</v>
      </c>
      <c r="L274" s="158">
        <f t="shared" si="269"/>
        <v>1525.8037499999998</v>
      </c>
      <c r="M274" s="158">
        <f t="shared" si="269"/>
        <v>12.795</v>
      </c>
      <c r="N274" s="158">
        <f t="shared" si="269"/>
        <v>14.5</v>
      </c>
      <c r="O274" s="163">
        <v>31.54</v>
      </c>
      <c r="P274" s="101"/>
      <c r="R274" s="155">
        <v>10</v>
      </c>
      <c r="S274" s="23"/>
      <c r="U274" s="49" t="str">
        <f t="shared" si="265"/>
        <v>AFM-SpCool_HET1</v>
      </c>
    </row>
    <row r="275" spans="2:21">
      <c r="B275" s="101"/>
      <c r="C275" s="101"/>
      <c r="D275" s="104" t="str">
        <f>[3]COMM!$E$19</f>
        <v>RSDAHT</v>
      </c>
      <c r="E275" s="101"/>
      <c r="F275" s="101"/>
      <c r="G275" s="106"/>
      <c r="H275" s="106">
        <f>1/3</f>
        <v>0.33333333333333331</v>
      </c>
      <c r="I275" s="106"/>
      <c r="J275" s="106"/>
      <c r="K275" s="106"/>
      <c r="L275" s="106"/>
      <c r="M275" s="106"/>
      <c r="N275" s="101"/>
      <c r="O275" s="101"/>
      <c r="P275" s="101"/>
      <c r="S275" s="23"/>
      <c r="U275" s="49" t="str">
        <f t="shared" si="265"/>
        <v>OTH-SpCool_HET1</v>
      </c>
    </row>
    <row r="276" spans="2:21">
      <c r="B276" s="101" t="str">
        <f>U271</f>
        <v>EDU-SpCool_HET1</v>
      </c>
      <c r="C276" s="162" t="s">
        <v>244</v>
      </c>
      <c r="D276" s="162"/>
      <c r="E276" s="162" t="s">
        <v>515</v>
      </c>
      <c r="F276" s="101">
        <v>2021</v>
      </c>
      <c r="G276" s="106">
        <v>1</v>
      </c>
      <c r="H276" s="106"/>
      <c r="I276" s="158">
        <f>I274</f>
        <v>1</v>
      </c>
      <c r="J276" s="158">
        <f t="shared" ref="J276:N276" si="270">J274</f>
        <v>1525.8037499999998</v>
      </c>
      <c r="K276" s="158">
        <f t="shared" si="270"/>
        <v>12.795</v>
      </c>
      <c r="L276" s="158">
        <f t="shared" si="270"/>
        <v>1525.8037499999998</v>
      </c>
      <c r="M276" s="158">
        <f t="shared" si="270"/>
        <v>12.795</v>
      </c>
      <c r="N276" s="158">
        <f t="shared" si="270"/>
        <v>14.5</v>
      </c>
      <c r="O276" s="163">
        <v>31.54</v>
      </c>
      <c r="P276" s="101"/>
      <c r="R276" s="155">
        <v>10</v>
      </c>
      <c r="S276" s="23"/>
      <c r="U276" s="49"/>
    </row>
    <row r="277" spans="2:21">
      <c r="B277" s="101"/>
      <c r="C277" s="101"/>
      <c r="D277" s="104" t="str">
        <f>[3]COMM!$E$19</f>
        <v>RSDAHT</v>
      </c>
      <c r="E277" s="101"/>
      <c r="F277" s="101"/>
      <c r="G277" s="106"/>
      <c r="H277" s="106">
        <f>1/3</f>
        <v>0.33333333333333331</v>
      </c>
      <c r="I277" s="106"/>
      <c r="J277" s="106"/>
      <c r="K277" s="106"/>
      <c r="L277" s="106"/>
      <c r="M277" s="106"/>
      <c r="N277" s="101"/>
      <c r="O277" s="101"/>
      <c r="P277" s="101"/>
      <c r="S277" s="23"/>
      <c r="U277" s="49"/>
    </row>
    <row r="278" spans="2:21">
      <c r="B278" s="101" t="str">
        <f>U272</f>
        <v>HSS-SpCool_HET1</v>
      </c>
      <c r="C278" s="162" t="s">
        <v>244</v>
      </c>
      <c r="D278" s="162"/>
      <c r="E278" s="162" t="s">
        <v>518</v>
      </c>
      <c r="F278" s="101">
        <v>2021</v>
      </c>
      <c r="G278" s="106">
        <v>1</v>
      </c>
      <c r="H278" s="106"/>
      <c r="I278" s="158">
        <f>I276</f>
        <v>1</v>
      </c>
      <c r="J278" s="158">
        <f t="shared" ref="J278:N278" si="271">J276</f>
        <v>1525.8037499999998</v>
      </c>
      <c r="K278" s="158">
        <f t="shared" si="271"/>
        <v>12.795</v>
      </c>
      <c r="L278" s="158">
        <f t="shared" si="271"/>
        <v>1525.8037499999998</v>
      </c>
      <c r="M278" s="158">
        <f t="shared" si="271"/>
        <v>12.795</v>
      </c>
      <c r="N278" s="158">
        <f t="shared" si="271"/>
        <v>14.5</v>
      </c>
      <c r="O278" s="163">
        <v>31.54</v>
      </c>
      <c r="P278" s="101"/>
      <c r="R278" s="155">
        <v>10</v>
      </c>
      <c r="S278" s="23"/>
    </row>
    <row r="279" spans="2:21">
      <c r="B279" s="101"/>
      <c r="C279" s="101"/>
      <c r="D279" s="104" t="str">
        <f>[3]COMM!$E$19</f>
        <v>RSDAHT</v>
      </c>
      <c r="E279" s="101"/>
      <c r="F279" s="101"/>
      <c r="G279" s="106"/>
      <c r="H279" s="106">
        <f>1/3</f>
        <v>0.33333333333333331</v>
      </c>
      <c r="I279" s="106"/>
      <c r="J279" s="106"/>
      <c r="K279" s="106"/>
      <c r="L279" s="106"/>
      <c r="M279" s="106"/>
      <c r="N279" s="101"/>
      <c r="O279" s="101"/>
      <c r="P279" s="101"/>
      <c r="S279" s="23"/>
    </row>
    <row r="280" spans="2:21">
      <c r="B280" s="101" t="str">
        <f>U273</f>
        <v>ART-SpCool_HET1</v>
      </c>
      <c r="C280" s="162" t="s">
        <v>244</v>
      </c>
      <c r="D280" s="162"/>
      <c r="E280" s="162" t="s">
        <v>521</v>
      </c>
      <c r="F280" s="101">
        <v>2021</v>
      </c>
      <c r="G280" s="106">
        <v>1</v>
      </c>
      <c r="H280" s="106"/>
      <c r="I280" s="158">
        <f>I278</f>
        <v>1</v>
      </c>
      <c r="J280" s="158">
        <f t="shared" ref="J280:N280" si="272">J278</f>
        <v>1525.8037499999998</v>
      </c>
      <c r="K280" s="158">
        <f t="shared" si="272"/>
        <v>12.795</v>
      </c>
      <c r="L280" s="158">
        <f t="shared" si="272"/>
        <v>1525.8037499999998</v>
      </c>
      <c r="M280" s="158">
        <f t="shared" si="272"/>
        <v>12.795</v>
      </c>
      <c r="N280" s="158">
        <f t="shared" si="272"/>
        <v>14.5</v>
      </c>
      <c r="O280" s="163">
        <v>31.54</v>
      </c>
      <c r="P280" s="101"/>
      <c r="R280" s="155">
        <v>10</v>
      </c>
      <c r="S280" s="23"/>
    </row>
    <row r="281" spans="2:21">
      <c r="B281" s="101"/>
      <c r="C281" s="101"/>
      <c r="D281" s="104" t="str">
        <f>[3]COMM!$E$19</f>
        <v>RSDAHT</v>
      </c>
      <c r="E281" s="101"/>
      <c r="F281" s="101"/>
      <c r="G281" s="106"/>
      <c r="H281" s="106">
        <f>1/3</f>
        <v>0.33333333333333331</v>
      </c>
      <c r="I281" s="106"/>
      <c r="J281" s="106"/>
      <c r="K281" s="106"/>
      <c r="L281" s="106"/>
      <c r="M281" s="106"/>
      <c r="N281" s="101"/>
      <c r="O281" s="101"/>
      <c r="P281" s="101"/>
      <c r="S281" s="23"/>
    </row>
    <row r="282" spans="2:21">
      <c r="B282" s="101" t="str">
        <f>U274</f>
        <v>AFM-SpCool_HET1</v>
      </c>
      <c r="C282" s="162" t="s">
        <v>244</v>
      </c>
      <c r="D282" s="162"/>
      <c r="E282" s="162" t="s">
        <v>524</v>
      </c>
      <c r="F282" s="101">
        <v>2021</v>
      </c>
      <c r="G282" s="106">
        <v>1</v>
      </c>
      <c r="H282" s="106"/>
      <c r="I282" s="158">
        <f>I280</f>
        <v>1</v>
      </c>
      <c r="J282" s="158">
        <f t="shared" ref="J282:N282" si="273">J280</f>
        <v>1525.8037499999998</v>
      </c>
      <c r="K282" s="158">
        <f t="shared" si="273"/>
        <v>12.795</v>
      </c>
      <c r="L282" s="158">
        <f t="shared" si="273"/>
        <v>1525.8037499999998</v>
      </c>
      <c r="M282" s="158">
        <f t="shared" si="273"/>
        <v>12.795</v>
      </c>
      <c r="N282" s="158">
        <f t="shared" si="273"/>
        <v>14.5</v>
      </c>
      <c r="O282" s="163">
        <v>31.54</v>
      </c>
      <c r="P282" s="101"/>
      <c r="R282" s="155">
        <v>10</v>
      </c>
      <c r="S282" s="23"/>
    </row>
    <row r="283" spans="2:21">
      <c r="B283" s="101"/>
      <c r="C283" s="101"/>
      <c r="D283" s="104" t="str">
        <f>[3]COMM!$E$19</f>
        <v>RSDAHT</v>
      </c>
      <c r="E283" s="101"/>
      <c r="F283" s="101"/>
      <c r="G283" s="106"/>
      <c r="H283" s="106">
        <f>1/3</f>
        <v>0.33333333333333331</v>
      </c>
      <c r="I283" s="106"/>
      <c r="J283" s="106"/>
      <c r="K283" s="106"/>
      <c r="L283" s="106"/>
      <c r="M283" s="106"/>
      <c r="N283" s="101"/>
      <c r="O283" s="101"/>
      <c r="P283" s="101"/>
      <c r="S283" s="23"/>
    </row>
    <row r="284" spans="2:21">
      <c r="B284" s="101" t="str">
        <f>U275</f>
        <v>OTH-SpCool_HET1</v>
      </c>
      <c r="C284" s="162" t="s">
        <v>244</v>
      </c>
      <c r="D284" s="162"/>
      <c r="E284" s="162" t="s">
        <v>527</v>
      </c>
      <c r="F284" s="101">
        <v>2021</v>
      </c>
      <c r="G284" s="106">
        <v>1</v>
      </c>
      <c r="H284" s="106"/>
      <c r="I284" s="158">
        <f>I282</f>
        <v>1</v>
      </c>
      <c r="J284" s="158">
        <f t="shared" ref="J284:N284" si="274">J282</f>
        <v>1525.8037499999998</v>
      </c>
      <c r="K284" s="158">
        <f t="shared" si="274"/>
        <v>12.795</v>
      </c>
      <c r="L284" s="158">
        <f t="shared" si="274"/>
        <v>1525.8037499999998</v>
      </c>
      <c r="M284" s="158">
        <f t="shared" si="274"/>
        <v>12.795</v>
      </c>
      <c r="N284" s="158">
        <f t="shared" si="274"/>
        <v>14.5</v>
      </c>
      <c r="O284" s="163">
        <v>31.54</v>
      </c>
      <c r="P284" s="101"/>
      <c r="R284" s="155">
        <v>10</v>
      </c>
      <c r="S284" s="23"/>
    </row>
    <row r="285" spans="2:21">
      <c r="B285" s="101"/>
      <c r="C285" s="101"/>
      <c r="D285" s="104" t="str">
        <f>[3]COMM!$E$19</f>
        <v>RSDAHT</v>
      </c>
      <c r="E285" s="101"/>
      <c r="F285" s="101"/>
      <c r="G285" s="106"/>
      <c r="H285" s="106">
        <f>1/3</f>
        <v>0.33333333333333331</v>
      </c>
      <c r="I285" s="106"/>
      <c r="J285" s="106"/>
      <c r="K285" s="106"/>
      <c r="L285" s="106"/>
      <c r="M285" s="106"/>
      <c r="N285" s="101"/>
      <c r="O285" s="101"/>
      <c r="P285" s="101"/>
      <c r="S285" s="23"/>
    </row>
    <row r="286" spans="2:21">
      <c r="G286" s="106"/>
      <c r="H286" s="106"/>
      <c r="I286" s="106"/>
    </row>
    <row r="287" spans="2:21">
      <c r="G287" s="106"/>
      <c r="H287" s="106"/>
      <c r="I287" s="106"/>
    </row>
    <row r="288" spans="2:21">
      <c r="G288" s="106"/>
      <c r="H288" s="106"/>
      <c r="I288" s="106"/>
    </row>
    <row r="289" spans="7:9">
      <c r="G289" s="106"/>
      <c r="H289" s="106"/>
      <c r="I289" s="106"/>
    </row>
    <row r="290" spans="7:9">
      <c r="G290" s="106"/>
      <c r="H290" s="106"/>
      <c r="I290" s="106"/>
    </row>
    <row r="291" spans="7:9">
      <c r="G291" s="106"/>
      <c r="H291" s="106"/>
      <c r="I291" s="106"/>
    </row>
    <row r="292" spans="7:9">
      <c r="G292" s="106"/>
      <c r="H292" s="106"/>
      <c r="I292" s="106"/>
    </row>
    <row r="293" spans="7:9">
      <c r="G293" s="106"/>
      <c r="H293" s="106"/>
      <c r="I293" s="106"/>
    </row>
    <row r="294" spans="7:9">
      <c r="G294" s="106"/>
      <c r="H294" s="106"/>
      <c r="I294" s="106"/>
    </row>
    <row r="295" spans="7:9">
      <c r="G295" s="106"/>
      <c r="H295" s="106"/>
      <c r="I295" s="106"/>
    </row>
    <row r="296" spans="7:9">
      <c r="G296" s="106"/>
      <c r="H296" s="106"/>
      <c r="I296" s="106"/>
    </row>
    <row r="297" spans="7:9">
      <c r="G297" s="106"/>
      <c r="H297" s="106"/>
      <c r="I297" s="106"/>
    </row>
    <row r="298" spans="7:9">
      <c r="G298" s="106"/>
      <c r="H298" s="106"/>
      <c r="I298" s="106"/>
    </row>
    <row r="299" spans="7:9">
      <c r="G299" s="106"/>
      <c r="H299" s="106"/>
      <c r="I299" s="106"/>
    </row>
    <row r="300" spans="7:9">
      <c r="G300" s="106"/>
      <c r="H300" s="106"/>
      <c r="I300" s="106"/>
    </row>
    <row r="301" spans="7:9">
      <c r="G301" s="106"/>
      <c r="H301" s="106"/>
      <c r="I301" s="106"/>
    </row>
    <row r="302" spans="7:9">
      <c r="G302" s="106"/>
      <c r="H302" s="106"/>
      <c r="I302" s="106"/>
    </row>
    <row r="303" spans="7:9">
      <c r="G303" s="106"/>
      <c r="H303" s="106"/>
      <c r="I303" s="106"/>
    </row>
    <row r="304" spans="7:9">
      <c r="G304" s="106"/>
      <c r="H304" s="106"/>
      <c r="I304" s="106"/>
    </row>
    <row r="305" spans="7:9">
      <c r="G305" s="106"/>
      <c r="H305" s="106"/>
      <c r="I305" s="106"/>
    </row>
    <row r="306" spans="7:9">
      <c r="G306" s="106"/>
      <c r="H306" s="106"/>
      <c r="I306" s="106"/>
    </row>
    <row r="307" spans="7:9">
      <c r="G307" s="106"/>
      <c r="H307" s="106"/>
      <c r="I307" s="106"/>
    </row>
    <row r="308" spans="7:9">
      <c r="G308" s="106"/>
      <c r="H308" s="106"/>
      <c r="I308" s="106"/>
    </row>
    <row r="309" spans="7:9">
      <c r="G309" s="106"/>
      <c r="H309" s="106"/>
      <c r="I309" s="106"/>
    </row>
    <row r="310" spans="7:9">
      <c r="G310" s="106"/>
      <c r="H310" s="106"/>
      <c r="I310" s="106"/>
    </row>
    <row r="311" spans="7:9">
      <c r="G311" s="106"/>
      <c r="H311" s="106"/>
      <c r="I311" s="106"/>
    </row>
    <row r="312" spans="7:9">
      <c r="G312" s="106"/>
      <c r="H312" s="106"/>
      <c r="I312" s="106"/>
    </row>
    <row r="313" spans="7:9">
      <c r="G313" s="106"/>
      <c r="H313" s="106"/>
      <c r="I313" s="106"/>
    </row>
    <row r="314" spans="7:9">
      <c r="G314" s="106"/>
      <c r="H314" s="106"/>
      <c r="I314" s="106"/>
    </row>
    <row r="315" spans="7:9">
      <c r="G315" s="106"/>
      <c r="H315" s="106"/>
      <c r="I315" s="106"/>
    </row>
    <row r="316" spans="7:9">
      <c r="G316" s="106"/>
      <c r="H316" s="106"/>
      <c r="I316" s="106"/>
    </row>
    <row r="317" spans="7:9">
      <c r="G317" s="106"/>
      <c r="H317" s="106"/>
      <c r="I317" s="106"/>
    </row>
    <row r="318" spans="7:9">
      <c r="G318" s="106"/>
      <c r="H318" s="106"/>
      <c r="I318" s="106"/>
    </row>
    <row r="319" spans="7:9">
      <c r="G319" s="106"/>
      <c r="H319" s="106"/>
      <c r="I319" s="106"/>
    </row>
    <row r="320" spans="7:9">
      <c r="G320" s="106"/>
      <c r="H320" s="106"/>
      <c r="I320" s="106"/>
    </row>
    <row r="321" spans="7:9">
      <c r="G321" s="106"/>
      <c r="H321" s="106"/>
      <c r="I321" s="106"/>
    </row>
    <row r="322" spans="7:9">
      <c r="G322" s="106"/>
      <c r="H322" s="106"/>
      <c r="I322" s="106"/>
    </row>
    <row r="323" spans="7:9">
      <c r="G323" s="106"/>
      <c r="H323" s="106"/>
      <c r="I323" s="106"/>
    </row>
    <row r="324" spans="7:9">
      <c r="G324" s="106"/>
      <c r="H324" s="106"/>
      <c r="I324" s="106"/>
    </row>
    <row r="325" spans="7:9">
      <c r="G325" s="106"/>
      <c r="H325" s="106"/>
      <c r="I325" s="106"/>
    </row>
    <row r="326" spans="7:9">
      <c r="G326" s="106"/>
      <c r="H326" s="106"/>
      <c r="I326" s="106"/>
    </row>
    <row r="327" spans="7:9">
      <c r="G327" s="106"/>
      <c r="H327" s="106"/>
      <c r="I327" s="106"/>
    </row>
    <row r="328" spans="7:9">
      <c r="G328" s="106"/>
      <c r="H328" s="106"/>
      <c r="I328" s="106"/>
    </row>
    <row r="329" spans="7:9">
      <c r="G329" s="106"/>
      <c r="H329" s="106"/>
      <c r="I329" s="106"/>
    </row>
    <row r="330" spans="7:9">
      <c r="G330" s="106"/>
      <c r="H330" s="106"/>
      <c r="I330" s="106"/>
    </row>
    <row r="331" spans="7:9">
      <c r="G331" s="106"/>
      <c r="H331" s="106"/>
      <c r="I331" s="106"/>
    </row>
    <row r="332" spans="7:9">
      <c r="G332" s="106"/>
      <c r="H332" s="106"/>
      <c r="I332" s="106"/>
    </row>
    <row r="333" spans="7:9">
      <c r="G333" s="106"/>
      <c r="H333" s="106"/>
      <c r="I333" s="106"/>
    </row>
    <row r="334" spans="7:9">
      <c r="G334" s="106"/>
      <c r="H334" s="106"/>
      <c r="I334" s="106"/>
    </row>
    <row r="335" spans="7:9">
      <c r="G335" s="106"/>
      <c r="H335" s="106"/>
      <c r="I335" s="106"/>
    </row>
    <row r="336" spans="7:9">
      <c r="G336" s="106"/>
      <c r="H336" s="106"/>
      <c r="I336" s="106"/>
    </row>
    <row r="337" spans="7:9">
      <c r="G337" s="106"/>
      <c r="H337" s="106"/>
      <c r="I337" s="106"/>
    </row>
    <row r="338" spans="7:9">
      <c r="G338" s="106"/>
      <c r="H338" s="106"/>
      <c r="I338" s="106"/>
    </row>
    <row r="339" spans="7:9">
      <c r="G339" s="106"/>
      <c r="H339" s="106"/>
      <c r="I339" s="10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AA33"/>
  <sheetViews>
    <sheetView zoomScale="51" zoomScaleNormal="51" workbookViewId="0">
      <selection activeCell="S28" sqref="S28"/>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2" t="s">
        <v>559</v>
      </c>
    </row>
    <row r="2" spans="3:27">
      <c r="H2" s="2" t="s">
        <v>560</v>
      </c>
      <c r="K2" s="23" t="s">
        <v>242</v>
      </c>
    </row>
    <row r="3" spans="3:27" s="1" customFormat="1">
      <c r="E3" s="3" t="s">
        <v>561</v>
      </c>
      <c r="S3" s="28" t="s">
        <v>562</v>
      </c>
      <c r="T3" s="28"/>
      <c r="U3" s="29"/>
      <c r="V3" s="29"/>
      <c r="W3" s="29"/>
      <c r="X3" s="29"/>
      <c r="Y3" s="29"/>
      <c r="Z3" s="29"/>
      <c r="AA3" s="29"/>
    </row>
    <row r="4" spans="3:27" s="1" customFormat="1" ht="26">
      <c r="C4" s="4" t="s">
        <v>7</v>
      </c>
      <c r="D4" s="4" t="s">
        <v>8</v>
      </c>
      <c r="E4" s="4" t="s">
        <v>9</v>
      </c>
      <c r="F4" s="5" t="s">
        <v>10</v>
      </c>
      <c r="G4" s="6" t="s">
        <v>11</v>
      </c>
      <c r="H4" s="6" t="s">
        <v>12</v>
      </c>
      <c r="I4" s="6" t="s">
        <v>13</v>
      </c>
      <c r="J4" s="6"/>
      <c r="K4" s="6" t="s">
        <v>14</v>
      </c>
      <c r="L4" s="6" t="s">
        <v>16</v>
      </c>
      <c r="M4" s="6" t="s">
        <v>20</v>
      </c>
      <c r="N4" s="6" t="s">
        <v>22</v>
      </c>
      <c r="O4" s="24" t="s">
        <v>24</v>
      </c>
      <c r="P4" s="24" t="s">
        <v>23</v>
      </c>
      <c r="S4" s="30" t="s">
        <v>26</v>
      </c>
      <c r="T4" s="31" t="s">
        <v>27</v>
      </c>
      <c r="U4" s="30" t="s">
        <v>7</v>
      </c>
      <c r="V4" s="30" t="s">
        <v>28</v>
      </c>
      <c r="W4" s="30" t="s">
        <v>29</v>
      </c>
      <c r="X4" s="30" t="s">
        <v>30</v>
      </c>
      <c r="Y4" s="30" t="s">
        <v>31</v>
      </c>
      <c r="Z4" s="30" t="s">
        <v>32</v>
      </c>
      <c r="AA4" s="30" t="s">
        <v>33</v>
      </c>
    </row>
    <row r="5" spans="3:27" s="1" customFormat="1" ht="41.5">
      <c r="C5" s="7" t="s">
        <v>563</v>
      </c>
      <c r="D5" s="7" t="s">
        <v>35</v>
      </c>
      <c r="E5" s="7" t="s">
        <v>564</v>
      </c>
      <c r="F5" s="1">
        <v>2021</v>
      </c>
      <c r="G5" s="8">
        <v>0.16919999999999999</v>
      </c>
      <c r="H5" s="1">
        <v>1</v>
      </c>
      <c r="I5" s="1">
        <v>1</v>
      </c>
      <c r="K5" s="25">
        <v>4000</v>
      </c>
      <c r="L5" s="25">
        <f>K5/100</f>
        <v>40</v>
      </c>
      <c r="M5" s="25">
        <v>4000</v>
      </c>
      <c r="N5" s="25">
        <f>M5/100</f>
        <v>40</v>
      </c>
      <c r="O5" s="25">
        <v>30</v>
      </c>
      <c r="P5" s="1">
        <v>1</v>
      </c>
      <c r="S5" s="32" t="s">
        <v>37</v>
      </c>
      <c r="T5" s="32" t="s">
        <v>38</v>
      </c>
      <c r="U5" s="32" t="s">
        <v>39</v>
      </c>
      <c r="V5" s="32" t="s">
        <v>40</v>
      </c>
      <c r="W5" s="32" t="s">
        <v>41</v>
      </c>
      <c r="X5" s="32" t="s">
        <v>42</v>
      </c>
      <c r="Y5" s="32" t="s">
        <v>43</v>
      </c>
      <c r="Z5" s="32" t="s">
        <v>44</v>
      </c>
      <c r="AA5" s="32" t="s">
        <v>45</v>
      </c>
    </row>
    <row r="6" spans="3:27" s="1" customFormat="1">
      <c r="C6" s="7" t="s">
        <v>565</v>
      </c>
      <c r="D6" s="7" t="s">
        <v>566</v>
      </c>
      <c r="E6" s="7" t="s">
        <v>567</v>
      </c>
      <c r="F6" s="1">
        <v>2021</v>
      </c>
      <c r="G6" s="8">
        <v>0.16919999999999999</v>
      </c>
      <c r="H6" s="1">
        <v>1</v>
      </c>
      <c r="I6" s="1">
        <v>1</v>
      </c>
      <c r="K6" s="25">
        <v>4000</v>
      </c>
      <c r="L6" s="25">
        <f t="shared" ref="L6:L12" si="0">K6/100</f>
        <v>40</v>
      </c>
      <c r="M6" s="25">
        <v>4000</v>
      </c>
      <c r="N6" s="25">
        <f t="shared" ref="N6:N9" si="1">M6/100</f>
        <v>40</v>
      </c>
      <c r="O6" s="25">
        <v>30</v>
      </c>
      <c r="P6" s="1">
        <v>1</v>
      </c>
      <c r="S6" s="33" t="s">
        <v>48</v>
      </c>
      <c r="T6" s="34"/>
      <c r="U6" s="34"/>
      <c r="V6" s="34"/>
      <c r="W6" s="34"/>
      <c r="X6" s="34"/>
      <c r="Y6" s="34"/>
      <c r="Z6" s="34"/>
      <c r="AA6" s="34"/>
    </row>
    <row r="7" spans="3:27" s="1" customFormat="1">
      <c r="C7" s="7" t="s">
        <v>568</v>
      </c>
      <c r="D7" s="7" t="s">
        <v>35</v>
      </c>
      <c r="E7" s="7" t="s">
        <v>569</v>
      </c>
      <c r="F7" s="1">
        <v>2021</v>
      </c>
      <c r="G7" s="8">
        <v>0.62509999999999999</v>
      </c>
      <c r="H7" s="1">
        <v>1</v>
      </c>
      <c r="I7" s="1">
        <v>1</v>
      </c>
      <c r="K7" s="25">
        <v>4000</v>
      </c>
      <c r="L7" s="25">
        <f t="shared" si="0"/>
        <v>40</v>
      </c>
      <c r="M7" s="25">
        <v>4000</v>
      </c>
      <c r="N7" s="25">
        <f t="shared" si="1"/>
        <v>40</v>
      </c>
      <c r="O7" s="25">
        <v>30</v>
      </c>
      <c r="P7" s="1">
        <v>1</v>
      </c>
      <c r="S7" s="35" t="s">
        <v>50</v>
      </c>
      <c r="T7" s="29"/>
      <c r="U7" s="7" t="s">
        <v>563</v>
      </c>
      <c r="V7" s="35"/>
      <c r="W7" s="29" t="s">
        <v>51</v>
      </c>
      <c r="X7" s="29" t="s">
        <v>570</v>
      </c>
      <c r="Y7" s="29"/>
      <c r="Z7" s="29" t="s">
        <v>53</v>
      </c>
      <c r="AA7" s="29"/>
    </row>
    <row r="8" spans="3:27" s="1" customFormat="1">
      <c r="C8" s="7" t="s">
        <v>571</v>
      </c>
      <c r="D8" s="7" t="s">
        <v>566</v>
      </c>
      <c r="E8" s="7" t="s">
        <v>572</v>
      </c>
      <c r="F8" s="1">
        <v>2021</v>
      </c>
      <c r="G8" s="8">
        <v>0.62509999999999999</v>
      </c>
      <c r="H8" s="1">
        <v>1</v>
      </c>
      <c r="I8" s="1">
        <v>1</v>
      </c>
      <c r="K8" s="25">
        <v>4000</v>
      </c>
      <c r="L8" s="25">
        <f t="shared" si="0"/>
        <v>40</v>
      </c>
      <c r="M8" s="25">
        <v>4000</v>
      </c>
      <c r="N8" s="25">
        <f t="shared" si="1"/>
        <v>40</v>
      </c>
      <c r="O8" s="25">
        <v>30</v>
      </c>
      <c r="P8" s="1">
        <v>1</v>
      </c>
      <c r="S8" s="29"/>
      <c r="T8" s="29"/>
      <c r="U8" s="7" t="s">
        <v>565</v>
      </c>
      <c r="V8" s="35"/>
      <c r="W8" s="29" t="s">
        <v>51</v>
      </c>
      <c r="X8" s="29" t="s">
        <v>570</v>
      </c>
      <c r="Y8" s="29"/>
      <c r="Z8" s="29" t="s">
        <v>53</v>
      </c>
      <c r="AA8" s="29"/>
    </row>
    <row r="9" spans="3:27" s="1" customFormat="1">
      <c r="C9" s="7" t="s">
        <v>573</v>
      </c>
      <c r="D9" s="7" t="s">
        <v>47</v>
      </c>
      <c r="E9" s="7" t="s">
        <v>574</v>
      </c>
      <c r="F9" s="1">
        <v>2021</v>
      </c>
      <c r="G9" s="1">
        <f>1/0.31</f>
        <v>3.2258064516128999</v>
      </c>
      <c r="H9" s="1">
        <v>1</v>
      </c>
      <c r="I9" s="1">
        <v>1</v>
      </c>
      <c r="K9" s="25">
        <v>4000</v>
      </c>
      <c r="L9" s="25">
        <f t="shared" si="0"/>
        <v>40</v>
      </c>
      <c r="M9" s="25">
        <v>4000</v>
      </c>
      <c r="N9" s="25">
        <f t="shared" si="1"/>
        <v>40</v>
      </c>
      <c r="O9" s="25">
        <v>30</v>
      </c>
      <c r="P9" s="1">
        <v>1</v>
      </c>
      <c r="S9" s="29"/>
      <c r="T9" s="29"/>
      <c r="U9" s="7" t="s">
        <v>568</v>
      </c>
      <c r="V9" s="35"/>
      <c r="W9" s="29" t="s">
        <v>62</v>
      </c>
      <c r="X9" s="29" t="s">
        <v>575</v>
      </c>
      <c r="Y9" s="29"/>
      <c r="Z9" s="29" t="s">
        <v>53</v>
      </c>
      <c r="AA9" s="29"/>
    </row>
    <row r="10" spans="3:27" s="1" customFormat="1">
      <c r="C10" s="7"/>
      <c r="D10" s="7" t="s">
        <v>576</v>
      </c>
      <c r="E10" s="7"/>
      <c r="K10" s="25"/>
      <c r="L10" s="25"/>
      <c r="M10" s="25"/>
      <c r="N10" s="25"/>
      <c r="O10" s="25"/>
      <c r="S10" s="29"/>
      <c r="T10" s="29"/>
      <c r="U10" s="7" t="s">
        <v>571</v>
      </c>
      <c r="V10" s="35"/>
      <c r="W10" s="29" t="s">
        <v>62</v>
      </c>
      <c r="X10" s="29" t="s">
        <v>575</v>
      </c>
      <c r="Y10" s="29"/>
      <c r="Z10" s="29" t="s">
        <v>53</v>
      </c>
      <c r="AA10" s="29"/>
    </row>
    <row r="11" spans="3:27" s="1" customFormat="1">
      <c r="C11" s="7" t="s">
        <v>577</v>
      </c>
      <c r="D11" s="7" t="s">
        <v>47</v>
      </c>
      <c r="E11" s="7" t="s">
        <v>578</v>
      </c>
      <c r="F11" s="1">
        <v>2021</v>
      </c>
      <c r="G11" s="8">
        <v>0.04</v>
      </c>
      <c r="H11" s="1">
        <v>1</v>
      </c>
      <c r="I11" s="1">
        <v>1</v>
      </c>
      <c r="K11" s="25">
        <v>4000</v>
      </c>
      <c r="L11" s="25">
        <f t="shared" si="0"/>
        <v>40</v>
      </c>
      <c r="M11" s="25">
        <v>4000</v>
      </c>
      <c r="N11" s="25">
        <f t="shared" ref="N11:N12" si="2">M11/100</f>
        <v>40</v>
      </c>
      <c r="O11" s="25">
        <v>30</v>
      </c>
      <c r="P11" s="1">
        <v>1</v>
      </c>
      <c r="S11" s="29"/>
      <c r="T11" s="29"/>
      <c r="U11" s="7" t="s">
        <v>573</v>
      </c>
      <c r="V11" s="35"/>
      <c r="W11" s="29" t="s">
        <v>62</v>
      </c>
      <c r="X11" s="29" t="s">
        <v>575</v>
      </c>
      <c r="Y11" s="29"/>
      <c r="Z11" s="29" t="s">
        <v>53</v>
      </c>
      <c r="AA11" s="29"/>
    </row>
    <row r="12" spans="3:27" s="1" customFormat="1">
      <c r="C12" s="7" t="s">
        <v>579</v>
      </c>
      <c r="D12" s="7" t="s">
        <v>47</v>
      </c>
      <c r="E12" s="7" t="s">
        <v>580</v>
      </c>
      <c r="F12" s="1">
        <v>2021</v>
      </c>
      <c r="G12" s="8">
        <v>0.12</v>
      </c>
      <c r="H12" s="1">
        <v>1</v>
      </c>
      <c r="I12" s="1">
        <v>1</v>
      </c>
      <c r="K12" s="25">
        <v>4000</v>
      </c>
      <c r="L12" s="25">
        <f t="shared" si="0"/>
        <v>40</v>
      </c>
      <c r="M12" s="25">
        <v>4000</v>
      </c>
      <c r="N12" s="25">
        <f t="shared" si="2"/>
        <v>40</v>
      </c>
      <c r="O12" s="25">
        <v>30</v>
      </c>
      <c r="P12" s="1">
        <v>1</v>
      </c>
      <c r="S12" s="36"/>
      <c r="T12" s="36"/>
      <c r="U12" s="7" t="s">
        <v>577</v>
      </c>
      <c r="V12" s="37"/>
      <c r="W12" s="29" t="s">
        <v>62</v>
      </c>
      <c r="X12" s="29" t="s">
        <v>575</v>
      </c>
      <c r="Y12" s="29"/>
      <c r="Z12" s="29" t="s">
        <v>53</v>
      </c>
      <c r="AA12" s="36"/>
    </row>
    <row r="13" spans="3:27">
      <c r="C13" s="9"/>
      <c r="D13" s="9"/>
      <c r="H13" s="10"/>
      <c r="K13" s="16"/>
      <c r="L13" s="16"/>
      <c r="M13" s="16"/>
      <c r="N13" s="16"/>
      <c r="O13" s="16"/>
      <c r="T13" s="9"/>
      <c r="U13" s="9" t="s">
        <v>579</v>
      </c>
      <c r="V13" s="38"/>
      <c r="W13" s="39" t="s">
        <v>51</v>
      </c>
      <c r="X13" s="39" t="s">
        <v>570</v>
      </c>
      <c r="Y13" s="39"/>
      <c r="Z13" s="39" t="s">
        <v>53</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3:27">
      <c r="E16" s="11" t="s">
        <v>561</v>
      </c>
      <c r="T16" s="9"/>
      <c r="U16" s="9"/>
      <c r="V16" s="38"/>
      <c r="W16" s="39"/>
      <c r="X16" s="39"/>
      <c r="Y16" s="39"/>
      <c r="Z16" s="39"/>
      <c r="AA16" s="39"/>
    </row>
    <row r="17" spans="3:26" ht="26">
      <c r="C17" s="12" t="s">
        <v>7</v>
      </c>
      <c r="D17" s="12" t="s">
        <v>8</v>
      </c>
      <c r="E17" s="12" t="s">
        <v>9</v>
      </c>
      <c r="F17" s="13" t="s">
        <v>10</v>
      </c>
      <c r="G17" s="14" t="s">
        <v>11</v>
      </c>
      <c r="H17" s="14" t="s">
        <v>14</v>
      </c>
      <c r="I17" s="14" t="s">
        <v>16</v>
      </c>
      <c r="J17" s="14" t="s">
        <v>17</v>
      </c>
      <c r="K17" s="14" t="s">
        <v>20</v>
      </c>
      <c r="L17" s="14" t="s">
        <v>22</v>
      </c>
      <c r="M17" s="26" t="s">
        <v>24</v>
      </c>
      <c r="N17" s="26" t="s">
        <v>23</v>
      </c>
      <c r="Q17" s="39"/>
      <c r="R17" s="39"/>
      <c r="S17" s="9"/>
      <c r="T17" s="38"/>
      <c r="U17" s="39"/>
      <c r="V17" s="39"/>
      <c r="W17" s="39"/>
      <c r="X17" s="39"/>
      <c r="Y17" s="39"/>
    </row>
    <row r="18" spans="3:26">
      <c r="C18" s="9" t="s">
        <v>581</v>
      </c>
      <c r="D18" s="9" t="s">
        <v>71</v>
      </c>
      <c r="E18" s="9" t="s">
        <v>578</v>
      </c>
      <c r="F18">
        <v>2021</v>
      </c>
      <c r="G18" s="15">
        <v>0.04</v>
      </c>
      <c r="H18" s="16">
        <v>4000</v>
      </c>
      <c r="I18" s="16">
        <f>H18/100</f>
        <v>40</v>
      </c>
      <c r="J18" s="16">
        <f>H18*95%</f>
        <v>3800</v>
      </c>
      <c r="K18" s="16">
        <f>H18*90%</f>
        <v>3600</v>
      </c>
      <c r="L18" s="16">
        <f t="shared" ref="L18:L19" si="3">K18/100</f>
        <v>36</v>
      </c>
      <c r="M18" s="16">
        <v>30</v>
      </c>
      <c r="N18">
        <v>1</v>
      </c>
    </row>
    <row r="19" spans="3:26">
      <c r="C19" s="9" t="s">
        <v>582</v>
      </c>
      <c r="D19" s="9" t="s">
        <v>71</v>
      </c>
      <c r="E19" s="9" t="s">
        <v>580</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26">
      <c r="C21" s="9"/>
      <c r="D21" s="9"/>
      <c r="E21" s="9"/>
      <c r="G21" s="17"/>
      <c r="K21" s="16"/>
      <c r="L21" s="16"/>
      <c r="M21" s="16"/>
      <c r="N21" s="16"/>
      <c r="O21" s="16"/>
    </row>
    <row r="22" spans="3:26">
      <c r="C22" s="9"/>
      <c r="D22" s="9"/>
      <c r="E22" s="9"/>
      <c r="K22" s="16"/>
      <c r="L22" s="16"/>
      <c r="M22" s="16"/>
      <c r="N22" s="16"/>
      <c r="O22" s="16"/>
    </row>
    <row r="23" spans="3:26">
      <c r="C23" s="9"/>
      <c r="D23" s="9"/>
      <c r="E23" s="9"/>
      <c r="K23" s="16"/>
      <c r="L23" s="16"/>
      <c r="M23" s="16"/>
      <c r="N23" s="16"/>
      <c r="O23" s="16"/>
    </row>
    <row r="26" spans="3:26">
      <c r="C26" s="9"/>
      <c r="D26" s="9"/>
      <c r="H26" s="10"/>
      <c r="K26" s="16"/>
      <c r="L26" s="16"/>
      <c r="M26" s="16"/>
      <c r="N26" s="16"/>
      <c r="O26" s="16"/>
    </row>
    <row r="30" spans="3:26">
      <c r="C30" s="18" t="s">
        <v>562</v>
      </c>
      <c r="D30" s="19"/>
      <c r="E30" s="20"/>
      <c r="F30" s="20"/>
      <c r="G30" s="20"/>
      <c r="H30" s="20"/>
      <c r="I30" s="20"/>
      <c r="J30" s="20"/>
    </row>
    <row r="31" spans="3:26">
      <c r="C31" s="21" t="s">
        <v>26</v>
      </c>
      <c r="D31" s="21" t="s">
        <v>7</v>
      </c>
      <c r="E31" s="21" t="s">
        <v>28</v>
      </c>
      <c r="F31" s="21" t="s">
        <v>29</v>
      </c>
      <c r="G31" s="21" t="s">
        <v>30</v>
      </c>
      <c r="H31" s="21" t="s">
        <v>31</v>
      </c>
      <c r="I31" s="21" t="s">
        <v>32</v>
      </c>
      <c r="J31" s="27"/>
    </row>
    <row r="32" spans="3:26">
      <c r="C32" s="22" t="s">
        <v>50</v>
      </c>
      <c r="D32" s="9" t="s">
        <v>582</v>
      </c>
      <c r="E32" s="22" t="s">
        <v>583</v>
      </c>
      <c r="F32" s="22" t="s">
        <v>584</v>
      </c>
      <c r="G32" s="22" t="s">
        <v>585</v>
      </c>
      <c r="H32" s="22"/>
      <c r="I32" s="22"/>
      <c r="J32" s="22"/>
    </row>
    <row r="33" spans="3:10">
      <c r="C33" s="22"/>
      <c r="D33" s="9" t="s">
        <v>581</v>
      </c>
      <c r="E33" s="22" t="s">
        <v>586</v>
      </c>
      <c r="F33" s="22" t="s">
        <v>587</v>
      </c>
      <c r="G33" s="22" t="s">
        <v>588</v>
      </c>
      <c r="H33" s="22"/>
      <c r="I33" s="22"/>
      <c r="J33" s="22"/>
    </row>
  </sheetData>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7"/>
  <sheetViews>
    <sheetView workbookViewId="0">
      <selection activeCell="G11" sqref="G11"/>
    </sheetView>
  </sheetViews>
  <sheetFormatPr defaultColWidth="9" defaultRowHeight="14.5"/>
  <sheetData>
    <row r="7" spans="5:5">
      <c r="E7" t="s">
        <v>589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9"/>
  <sheetViews>
    <sheetView zoomScale="69" zoomScaleNormal="69" workbookViewId="0">
      <selection activeCell="N7" sqref="N7"/>
    </sheetView>
  </sheetViews>
  <sheetFormatPr defaultColWidth="9" defaultRowHeight="14.5"/>
  <sheetData>
    <row r="9" spans="5:5">
      <c r="E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2024-09-12T18:42:24Z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1033-12.2.0.18199</vt:lpwstr>
  </property>
</Properties>
</file>