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/>
  </bookViews>
  <sheets>
    <sheet name="ELC_BulkEES_4h" sheetId="25" r:id="rId1"/>
    <sheet name="ELC_BulkEES_4h (2)" sheetId="26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xli9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N7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Will update in Scenario files</t>
        </r>
      </text>
    </comment>
    <comment ref="A9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Li-ion, NMC</t>
        </r>
      </text>
    </comment>
    <comment ref="A10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Li-ion, LFP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8" authorId="3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8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8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8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8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<sst xmlns="http://schemas.openxmlformats.org/spreadsheetml/2006/main" count="562" uniqueCount="132">
  <si>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</si>
  <si>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</si>
  <si>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exclude reservoir construction fee</t>
  </si>
  <si>
    <t>*We change all the Cap2Act to 1 after rechecking the definition for CAP2ACT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</si>
  <si>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</si>
  <si>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</si>
  <si>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</si>
  <si>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</si>
  <si>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</si>
  <si>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</si>
  <si>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</si>
  <si>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</si>
  <si>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</si>
  <si>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</si>
  <si>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</si>
  <si>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</si>
  <si>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</si>
  <si>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</si>
  <si>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</si>
  <si>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</si>
  <si>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</si>
  <si>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</si>
  <si>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FIXOM~2030</t>
  </si>
  <si>
    <t>VAROM~2020</t>
  </si>
  <si>
    <t>Cap2Act</t>
  </si>
  <si>
    <t>FLO_COST</t>
  </si>
  <si>
    <t>FLO_DELIV</t>
  </si>
  <si>
    <t>EFF</t>
  </si>
  <si>
    <t>ACTBND</t>
  </si>
  <si>
    <t>NCAP_AFC</t>
  </si>
  <si>
    <t>NCAP_AFC~2030</t>
  </si>
  <si>
    <t>NCAP_AFC~0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</si>
  <si>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</si>
  <si>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</si>
  <si>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</si>
  <si>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</si>
  <si>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</si>
  <si>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</si>
  <si>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</si>
  <si>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</si>
  <si>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</si>
  <si>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</si>
  <si>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</si>
  <si>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ESTCAESS101_24h</t>
  </si>
  <si>
    <t>ELC</t>
  </si>
  <si>
    <t>ESTHYDPS101_10h</t>
  </si>
  <si>
    <t>ESTBATS101_2h</t>
  </si>
  <si>
    <t>ESTBATS102_2h</t>
  </si>
  <si>
    <t>ESTBATS103_2h</t>
  </si>
  <si>
    <t>DUMSTOR</t>
  </si>
  <si>
    <t>*Because it's shown that all co2 is from DUMDCAES, which is unnormal</t>
  </si>
  <si>
    <t>ELCGAS</t>
  </si>
  <si>
    <t>DUMDCAESS_NEW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</si>
  <si>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</si>
  <si>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</si>
  <si>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</si>
  <si>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</si>
  <si>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</si>
  <si>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</si>
  <si>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</si>
  <si>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</si>
  <si>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</si>
  <si>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</si>
  <si>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</si>
  <si>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</si>
  <si>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</si>
  <si>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</si>
  <si>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</si>
  <si>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</si>
  <si>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</si>
  <si>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r>
      <rPr>
        <sz val="10"/>
        <rFont val="Arial"/>
        <charset val="134"/>
      </rPr>
      <t>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</si>
  <si>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</si>
  <si>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</si>
  <si>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</si>
  <si>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</si>
  <si>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*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</si>
  <si>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</si>
  <si>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</si>
  <si>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Battery (Li-ion) Bulk ELC Storage: DayNite: NMC</t>
  </si>
  <si>
    <t>Battery (Li-ion) Bulk ELC Storage: DayNite: LFP</t>
  </si>
  <si>
    <t>STS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</si>
  <si>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</si>
  <si>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</si>
  <si>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</si>
  <si>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</si>
  <si>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</si>
  <si>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</si>
  <si>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</si>
  <si>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</si>
  <si>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</si>
  <si>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</si>
  <si>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</si>
  <si>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</si>
  <si>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</si>
  <si>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</si>
  <si>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</si>
  <si>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</si>
  <si>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</si>
  <si>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</si>
  <si>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</si>
  <si>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</si>
  <si>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</si>
  <si>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</si>
  <si>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</si>
  <si>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</si>
  <si>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</si>
  <si>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</si>
  <si>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</si>
  <si>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</si>
  <si>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</si>
  <si>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</si>
  <si>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</si>
  <si>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</si>
  <si>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</si>
  <si>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</si>
  <si>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</si>
  <si>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</si>
  <si>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</si>
  <si>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</si>
  <si>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</si>
  <si>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*Use the characteristic for PS with 4-hour capacity to stand for that of seasonal regulation capacity</t>
  </si>
  <si>
    <t>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</si>
  <si>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</si>
  <si>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</si>
  <si>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ESTCAESS102_4h</t>
  </si>
  <si>
    <t>Adiabatic CAES ELC Storage: DayNite</t>
  </si>
  <si>
    <t>ESTHYDPS101_4h</t>
  </si>
  <si>
    <t>ESTBATS101_4h</t>
  </si>
  <si>
    <t>ESTBATS102_4h</t>
  </si>
  <si>
    <t>Battery (Li-ion) Bulk ELC Storage: DayNite: 4hour duration</t>
  </si>
  <si>
    <t>ESTBATS103_4h</t>
  </si>
  <si>
    <t>Battery (NaS) Bulk ELC Storage: DayNite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</si>
</sst>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</numFmts>
  <fonts count="123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2"/>
      <color rgb="FFFF0000"/>
      <name val="Arial"/>
      <charset val="134"/>
    </font>
    <font>
      <b/>
      <sz val="14"/>
      <color rgb="FFFF0000"/>
      <name val="Arial"/>
      <charset val="134"/>
    </font>
    <font>
      <b/>
      <sz val="9"/>
      <name val="Times New Roman"/>
      <charset val="0"/>
    </font>
    <font>
      <sz val="9"/>
      <name val="Tahoma"/>
      <charset val="134"/>
    </font>
    <font>
      <sz val="8"/>
      <name val="Tahoma"/>
      <charset val="134"/>
    </font>
    <font>
      <b/>
      <sz val="9"/>
      <name val="Tahoma"/>
      <charset val="134"/>
    </font>
    <font>
      <sz val="9"/>
      <name val="Times New Roman"/>
      <charset val="0"/>
    </font>
    <font>
      <b/>
      <sz val="8"/>
      <name val="Tahoma"/>
      <charset val="134"/>
    </font>
  </fonts>
  <fills count="7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/>
    <xf numFmtId="0" fontId="27" fillId="2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5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49" fontId="33" fillId="0" borderId="14" applyNumberFormat="0" applyFont="0" applyFill="0" applyBorder="0" applyProtection="0">
      <alignment horizontal="left" vertical="center" indent="2"/>
    </xf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4" borderId="0" applyNumberFormat="0" applyBorder="0" applyAlignment="0" applyProtection="0"/>
    <xf numFmtId="0" fontId="31" fillId="47" borderId="0" applyNumberFormat="0" applyBorder="0" applyAlignment="0" applyProtection="0"/>
    <xf numFmtId="0" fontId="31" fillId="50" borderId="0" applyNumberFormat="0" applyBorder="0" applyAlignment="0" applyProtection="0"/>
    <xf numFmtId="0" fontId="31" fillId="5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4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4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55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4" fillId="56" borderId="0" applyNumberFormat="0" applyBorder="0" applyAlignment="0" applyProtection="0"/>
    <xf numFmtId="0" fontId="34" fillId="51" borderId="0" applyNumberFormat="0" applyBorder="0" applyAlignment="0" applyProtection="0"/>
    <xf numFmtId="0" fontId="34" fillId="54" borderId="0" applyNumberFormat="0" applyBorder="0" applyAlignment="0" applyProtection="0"/>
    <xf numFmtId="0" fontId="34" fillId="57" borderId="0" applyNumberFormat="0" applyBorder="0" applyAlignment="0" applyProtection="0"/>
    <xf numFmtId="0" fontId="34" fillId="58" borderId="0" applyNumberFormat="0" applyBorder="0" applyAlignment="0" applyProtection="0"/>
    <xf numFmtId="0" fontId="34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8" borderId="0" applyNumberFormat="0" applyBorder="0" applyAlignment="0" applyProtection="0"/>
    <xf numFmtId="0" fontId="35" fillId="56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6" borderId="0" applyNumberFormat="0" applyBorder="0" applyAlignment="0" applyProtection="0"/>
    <xf numFmtId="0" fontId="35" fillId="5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1" borderId="0" applyNumberFormat="0" applyBorder="0" applyAlignment="0" applyProtection="0"/>
    <xf numFmtId="0" fontId="35" fillId="5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2" borderId="0" applyNumberFormat="0" applyBorder="0" applyAlignment="0" applyProtection="0"/>
    <xf numFmtId="0" fontId="35" fillId="61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55" borderId="0" applyNumberFormat="0" applyBorder="0" applyAlignment="0" applyProtection="0"/>
    <xf numFmtId="0" fontId="35" fillId="6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5" borderId="0" applyNumberFormat="0" applyBorder="0" applyAlignment="0" applyProtection="0"/>
    <xf numFmtId="0" fontId="35" fillId="57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6" fillId="48" borderId="0" applyBorder="0" applyAlignment="0"/>
    <xf numFmtId="0" fontId="33" fillId="48" borderId="0" applyBorder="0">
      <alignment horizontal="right" vertical="center"/>
    </xf>
    <xf numFmtId="0" fontId="33" fillId="4" borderId="0" applyBorder="0">
      <alignment horizontal="right" vertical="center"/>
    </xf>
    <xf numFmtId="0" fontId="33" fillId="4" borderId="0" applyBorder="0">
      <alignment horizontal="right" vertical="center"/>
    </xf>
    <xf numFmtId="0" fontId="37" fillId="4" borderId="14">
      <alignment horizontal="right" vertical="center"/>
    </xf>
    <xf numFmtId="0" fontId="38" fillId="4" borderId="14">
      <alignment horizontal="right" vertical="center"/>
    </xf>
    <xf numFmtId="0" fontId="37" fillId="49" borderId="14">
      <alignment horizontal="right" vertical="center"/>
    </xf>
    <xf numFmtId="0" fontId="37" fillId="49" borderId="14">
      <alignment horizontal="right" vertical="center"/>
    </xf>
    <xf numFmtId="0" fontId="37" fillId="49" borderId="15">
      <alignment horizontal="right" vertical="center"/>
    </xf>
    <xf numFmtId="0" fontId="37" fillId="49" borderId="16">
      <alignment horizontal="right" vertical="center"/>
    </xf>
    <xf numFmtId="0" fontId="37" fillId="49" borderId="17">
      <alignment horizontal="right" vertical="center"/>
    </xf>
    <xf numFmtId="0" fontId="35" fillId="61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0" borderId="0" applyNumberFormat="0" applyBorder="0" applyAlignment="0" applyProtection="0"/>
    <xf numFmtId="0" fontId="39" fillId="66" borderId="18" applyNumberFormat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6" fillId="2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1" fillId="66" borderId="19" applyNumberFormat="0" applyAlignment="0" applyProtection="0"/>
    <xf numFmtId="0" fontId="42" fillId="49" borderId="19" applyNumberFormat="0" applyAlignment="0" applyProtection="0"/>
    <xf numFmtId="4" fontId="36" fillId="0" borderId="20" applyFill="0" applyBorder="0" applyProtection="0">
      <alignment horizontal="right" vertical="center"/>
    </xf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3" fillId="67" borderId="19" applyNumberFormat="0" applyAlignment="0" applyProtection="0"/>
    <xf numFmtId="0" fontId="41" fillId="66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3" fillId="67" borderId="19" applyNumberFormat="0" applyAlignment="0" applyProtection="0"/>
    <xf numFmtId="0" fontId="43" fillId="67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1" fillId="66" borderId="19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4" fillId="68" borderId="21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8" fillId="0" borderId="0" applyNumberFormat="0" applyFill="0" applyBorder="0" applyAlignment="0" applyProtection="0"/>
    <xf numFmtId="49" fontId="0" fillId="48" borderId="25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9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3" fillId="49" borderId="26">
      <alignment horizontal="left" vertical="center" wrapText="1" indent="2"/>
    </xf>
    <xf numFmtId="0" fontId="33" fillId="0" borderId="26">
      <alignment horizontal="left" vertical="center" wrapText="1" indent="2"/>
    </xf>
    <xf numFmtId="0" fontId="33" fillId="4" borderId="16">
      <alignment horizontal="left" vertical="center"/>
    </xf>
    <xf numFmtId="0" fontId="37" fillId="0" borderId="27">
      <alignment horizontal="left" vertical="top" wrapText="1"/>
    </xf>
    <xf numFmtId="3" fontId="51" fillId="0" borderId="25">
      <alignment horizontal="right" vertical="top"/>
    </xf>
    <xf numFmtId="0" fontId="52" fillId="49" borderId="19" applyNumberFormat="0" applyAlignment="0" applyProtection="0"/>
    <xf numFmtId="0" fontId="53" fillId="68" borderId="21" applyNumberFormat="0" applyAlignment="0" applyProtection="0"/>
    <xf numFmtId="0" fontId="54" fillId="0" borderId="5"/>
    <xf numFmtId="0" fontId="2" fillId="58" borderId="14">
      <alignment horizontal="centerContinuous" vertical="top" wrapText="1"/>
    </xf>
    <xf numFmtId="0" fontId="55" fillId="0" borderId="0">
      <alignment vertical="top" wrapText="1"/>
    </xf>
    <xf numFmtId="0" fontId="56" fillId="0" borderId="28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8" borderId="0" applyNumberFormat="0" applyBorder="0" applyAlignment="0" applyProtection="0"/>
    <xf numFmtId="0" fontId="60" fillId="4" borderId="0" applyNumberFormat="0" applyBorder="0" applyAlignment="0" applyProtection="0"/>
    <xf numFmtId="0" fontId="61" fillId="19" borderId="0" applyNumberFormat="0" applyBorder="0" applyAlignment="0" applyProtection="0"/>
    <xf numFmtId="0" fontId="60" fillId="4" borderId="0" applyNumberFormat="0" applyBorder="0" applyAlignment="0" applyProtection="0"/>
    <xf numFmtId="0" fontId="60" fillId="48" borderId="0" applyNumberFormat="0" applyBorder="0" applyAlignment="0" applyProtection="0"/>
    <xf numFmtId="0" fontId="60" fillId="4" borderId="0" applyNumberFormat="0" applyBorder="0" applyAlignment="0" applyProtection="0"/>
    <xf numFmtId="0" fontId="61" fillId="19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2" fillId="19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2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3" borderId="19" applyNumberFormat="0" applyAlignment="0" applyProtection="0"/>
    <xf numFmtId="0" fontId="52" fillId="49" borderId="19" applyNumberFormat="0" applyAlignment="0" applyProtection="0"/>
    <xf numFmtId="0" fontId="73" fillId="16" borderId="9" applyNumberFormat="0" applyAlignment="0" applyProtection="0"/>
    <xf numFmtId="0" fontId="52" fillId="49" borderId="19" applyNumberFormat="0" applyAlignment="0" applyProtection="0"/>
    <xf numFmtId="0" fontId="52" fillId="3" borderId="19" applyNumberFormat="0" applyAlignment="0" applyProtection="0"/>
    <xf numFmtId="0" fontId="73" fillId="16" borderId="9" applyNumberFormat="0" applyAlignment="0" applyProtection="0"/>
    <xf numFmtId="0" fontId="52" fillId="3" borderId="19" applyNumberFormat="0" applyAlignment="0" applyProtection="0"/>
    <xf numFmtId="0" fontId="52" fillId="49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0" fontId="52" fillId="49" borderId="19" applyNumberFormat="0" applyAlignment="0" applyProtection="0"/>
    <xf numFmtId="4" fontId="33" fillId="0" borderId="0" applyBorder="0">
      <alignment horizontal="right" vertical="center"/>
    </xf>
    <xf numFmtId="0" fontId="33" fillId="0" borderId="14">
      <alignment horizontal="right" vertical="center"/>
    </xf>
    <xf numFmtId="1" fontId="74" fillId="4" borderId="0" applyBorder="0">
      <alignment horizontal="right" vertical="center"/>
    </xf>
    <xf numFmtId="0" fontId="31" fillId="52" borderId="33" applyNumberFormat="0" applyFont="0" applyAlignment="0" applyProtection="0"/>
    <xf numFmtId="0" fontId="34" fillId="6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57" borderId="0" applyNumberFormat="0" applyBorder="0" applyAlignment="0" applyProtection="0"/>
    <xf numFmtId="0" fontId="34" fillId="58" borderId="0" applyNumberFormat="0" applyBorder="0" applyAlignment="0" applyProtection="0"/>
    <xf numFmtId="0" fontId="34" fillId="60" borderId="0" applyNumberFormat="0" applyBorder="0" applyAlignment="0" applyProtection="0"/>
    <xf numFmtId="0" fontId="75" fillId="4" borderId="0" applyNumberFormat="0" applyBorder="0" applyAlignment="0" applyProtection="0"/>
    <xf numFmtId="0" fontId="76" fillId="66" borderId="18" applyNumberFormat="0" applyAlignment="0" applyProtection="0"/>
    <xf numFmtId="0" fontId="69" fillId="0" borderId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9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2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3" fillId="21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21" borderId="0" applyNumberFormat="0" applyBorder="0" applyAlignment="0" applyProtection="0"/>
    <xf numFmtId="0" fontId="80" fillId="3" borderId="0" applyNumberFormat="0" applyBorder="0" applyAlignment="0" applyProtection="0"/>
    <xf numFmtId="0" fontId="84" fillId="21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21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85" fillId="0" borderId="0">
      <alignment vertical="center"/>
    </xf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5" fillId="0" borderId="0">
      <alignment vertical="center"/>
    </xf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86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87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88" fillId="0" borderId="0"/>
    <xf numFmtId="191" fontId="85" fillId="0" borderId="0">
      <alignment vertical="center"/>
    </xf>
    <xf numFmtId="0" fontId="32" fillId="0" borderId="0"/>
    <xf numFmtId="0" fontId="88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89" fillId="0" borderId="0"/>
    <xf numFmtId="0" fontId="89" fillId="0" borderId="0"/>
    <xf numFmtId="0" fontId="0" fillId="0" borderId="0"/>
    <xf numFmtId="0" fontId="8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90" fillId="0" borderId="0"/>
    <xf numFmtId="0" fontId="89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0"/>
    <xf numFmtId="0" fontId="32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87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1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87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4" fontId="33" fillId="0" borderId="1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14" applyNumberFormat="0" applyFill="0" applyAlignment="0" applyProtection="0"/>
    <xf numFmtId="0" fontId="0" fillId="68" borderId="0" applyNumberFormat="0" applyFont="0" applyBorder="0" applyAlignment="0" applyProtection="0"/>
    <xf numFmtId="0" fontId="0" fillId="0" borderId="0"/>
    <xf numFmtId="0" fontId="0" fillId="0" borderId="0"/>
    <xf numFmtId="0" fontId="92" fillId="0" borderId="0"/>
    <xf numFmtId="0" fontId="58" fillId="0" borderId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9" fillId="15" borderId="6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0" fillId="52" borderId="33" applyNumberFormat="0" applyFont="0" applyAlignment="0" applyProtection="0"/>
    <xf numFmtId="0" fontId="32" fillId="52" borderId="33" applyNumberFormat="0" applyFont="0" applyAlignment="0" applyProtection="0"/>
    <xf numFmtId="0" fontId="0" fillId="52" borderId="33" applyNumberFormat="0" applyFont="0" applyAlignment="0" applyProtection="0"/>
    <xf numFmtId="0" fontId="49" fillId="52" borderId="33" applyNumberFormat="0" applyFont="0" applyAlignment="0" applyProtection="0"/>
    <xf numFmtId="0" fontId="0" fillId="52" borderId="33" applyNumberFormat="0" applyFont="0" applyAlignment="0" applyProtection="0"/>
    <xf numFmtId="0" fontId="49" fillId="52" borderId="33" applyNumberFormat="0" applyFont="0" applyAlignment="0" applyProtection="0"/>
    <xf numFmtId="192" fontId="93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4" fillId="0" borderId="28" applyNumberFormat="0" applyFill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7" borderId="18" applyNumberFormat="0" applyAlignment="0" applyProtection="0"/>
    <xf numFmtId="0" fontId="39" fillId="66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7" borderId="18" applyNumberFormat="0" applyAlignment="0" applyProtection="0"/>
    <xf numFmtId="0" fontId="39" fillId="67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194" fontId="33" fillId="69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95" fillId="0" borderId="0" applyFont="0" applyFill="0" applyBorder="0" applyAlignment="0" applyProtection="0"/>
    <xf numFmtId="195" fontId="95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96" fillId="46" borderId="0" applyNumberFormat="0" applyBorder="0" applyAlignment="0" applyProtection="0"/>
    <xf numFmtId="0" fontId="40" fillId="4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3" borderId="0" applyNumberFormat="0" applyBorder="0" applyAlignment="0" applyProtection="0"/>
    <xf numFmtId="0" fontId="33" fillId="68" borderId="14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58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70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70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70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1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70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70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70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61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3" fillId="61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61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0" borderId="14" applyNumberFormat="0" applyProtection="0">
      <alignment horizontal="right"/>
    </xf>
    <xf numFmtId="0" fontId="2" fillId="70" borderId="14" applyNumberFormat="0" applyProtection="0">
      <alignment horizontal="right"/>
    </xf>
    <xf numFmtId="0" fontId="100" fillId="70" borderId="0" applyNumberFormat="0" applyBorder="0" applyProtection="0">
      <alignment horizontal="left"/>
    </xf>
    <xf numFmtId="0" fontId="101" fillId="70" borderId="0" applyNumberFormat="0" applyBorder="0" applyProtection="0">
      <alignment horizontal="left"/>
    </xf>
    <xf numFmtId="0" fontId="99" fillId="70" borderId="14" applyNumberFormat="0" applyProtection="0">
      <alignment horizontal="left"/>
    </xf>
    <xf numFmtId="0" fontId="2" fillId="70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1" borderId="0" applyNumberFormat="0" applyBorder="0" applyProtection="0">
      <alignment horizontal="left"/>
    </xf>
    <xf numFmtId="0" fontId="103" fillId="61" borderId="0" applyNumberFormat="0" applyBorder="0" applyProtection="0">
      <alignment horizontal="left"/>
    </xf>
    <xf numFmtId="0" fontId="104" fillId="71" borderId="0" applyNumberFormat="0" applyBorder="0" applyProtection="0">
      <alignment horizontal="left"/>
    </xf>
    <xf numFmtId="0" fontId="105" fillId="71" borderId="0" applyNumberFormat="0" applyBorder="0" applyProtection="0">
      <alignment horizontal="left"/>
    </xf>
    <xf numFmtId="0" fontId="106" fillId="66" borderId="19" applyNumberFormat="0" applyAlignment="0" applyProtection="0"/>
    <xf numFmtId="197" fontId="107" fillId="72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08" fillId="72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09" fillId="73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4" borderId="36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5" borderId="14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6" borderId="37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77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59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8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63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95" fillId="0" borderId="0" applyFont="0" applyFill="0" applyBorder="0" applyAlignment="0" applyProtection="0"/>
    <xf numFmtId="0" fontId="77" fillId="0" borderId="3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68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11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4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1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14" borderId="0" xfId="0" applyFill="1" applyAlignment="1">
      <alignment vertical="center"/>
    </xf>
    <xf numFmtId="0" fontId="0" fillId="10" borderId="0" xfId="0" applyFont="1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9" fontId="2" fillId="10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0" fillId="12" borderId="0" xfId="0" applyFill="1" applyAlignment="1">
      <alignment horizontal="center" vertical="center"/>
    </xf>
    <xf numFmtId="9" fontId="0" fillId="12" borderId="0" xfId="0" applyNumberFormat="1" applyFill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vertical="center"/>
    </xf>
    <xf numFmtId="199" fontId="1" fillId="13" borderId="2" xfId="0" applyNumberFormat="1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1" fontId="1" fillId="13" borderId="2" xfId="3025" applyNumberFormat="1" applyFont="1" applyFill="1" applyBorder="1" applyAlignment="1">
      <alignment horizontal="center" vertical="center"/>
    </xf>
    <xf numFmtId="0" fontId="0" fillId="13" borderId="0" xfId="0" applyFont="1" applyFill="1" applyAlignment="1">
      <alignment vertical="center"/>
    </xf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Border="1" applyAlignment="1">
      <alignment vertical="center"/>
    </xf>
    <xf numFmtId="1" fontId="0" fillId="13" borderId="0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Border="1" applyAlignment="1">
      <alignment horizontal="center" vertical="center"/>
    </xf>
    <xf numFmtId="199" fontId="0" fillId="14" borderId="0" xfId="3025" applyNumberFormat="1" applyFont="1" applyFill="1" applyAlignment="1">
      <alignment vertical="center"/>
    </xf>
    <xf numFmtId="199" fontId="0" fillId="14" borderId="0" xfId="0" applyNumberFormat="1" applyFont="1" applyFill="1" applyAlignment="1">
      <alignment vertical="center"/>
    </xf>
    <xf numFmtId="199" fontId="0" fillId="14" borderId="0" xfId="0" applyNumberFormat="1" applyFill="1" applyAlignment="1">
      <alignment vertical="center"/>
    </xf>
    <xf numFmtId="199" fontId="0" fillId="14" borderId="0" xfId="0" applyNumberFormat="1" applyFont="1" applyFill="1" applyBorder="1" applyAlignment="1">
      <alignment vertical="center"/>
    </xf>
    <xf numFmtId="199" fontId="0" fillId="14" borderId="0" xfId="0" applyNumberFormat="1" applyFill="1" applyBorder="1" applyAlignment="1">
      <alignment vertical="center"/>
    </xf>
    <xf numFmtId="199" fontId="0" fillId="14" borderId="4" xfId="0" applyNumberFormat="1" applyFont="1" applyFill="1" applyBorder="1" applyAlignment="1">
      <alignment vertical="center"/>
    </xf>
    <xf numFmtId="199" fontId="0" fillId="14" borderId="4" xfId="0" applyNumberFormat="1" applyFill="1" applyBorder="1" applyAlignment="1">
      <alignment vertical="center"/>
    </xf>
    <xf numFmtId="199" fontId="0" fillId="14" borderId="0" xfId="3025" applyNumberFormat="1" applyFont="1" applyFill="1" applyBorder="1" applyAlignment="1">
      <alignment vertical="center"/>
    </xf>
    <xf numFmtId="199" fontId="0" fillId="14" borderId="0" xfId="3649" applyNumberFormat="1" applyFill="1" applyBorder="1"/>
    <xf numFmtId="2" fontId="2" fillId="10" borderId="0" xfId="0" applyNumberFormat="1" applyFont="1" applyFill="1" applyAlignment="1">
      <alignment horizontal="center" vertical="center"/>
    </xf>
    <xf numFmtId="1" fontId="2" fillId="10" borderId="0" xfId="0" applyNumberFormat="1" applyFont="1" applyFill="1" applyAlignment="1">
      <alignment horizontal="center" vertical="center"/>
    </xf>
    <xf numFmtId="200" fontId="2" fillId="10" borderId="1" xfId="0" applyNumberFormat="1" applyFont="1" applyFill="1" applyBorder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1" fontId="2" fillId="11" borderId="0" xfId="0" applyNumberFormat="1" applyFont="1" applyFill="1" applyAlignment="1">
      <alignment horizontal="center" vertical="center"/>
    </xf>
    <xf numFmtId="200" fontId="2" fillId="11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00" fontId="2" fillId="2" borderId="0" xfId="0" applyNumberFormat="1" applyFon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" fontId="2" fillId="12" borderId="0" xfId="0" applyNumberFormat="1" applyFont="1" applyFill="1" applyAlignment="1">
      <alignment horizontal="center" vertical="center"/>
    </xf>
    <xf numFmtId="200" fontId="2" fillId="12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13" borderId="2" xfId="0" applyNumberFormat="1" applyFont="1" applyFill="1" applyBorder="1" applyAlignment="1">
      <alignment vertical="center"/>
    </xf>
    <xf numFmtId="1" fontId="5" fillId="13" borderId="2" xfId="0" applyNumberFormat="1" applyFont="1" applyFill="1" applyBorder="1" applyAlignment="1">
      <alignment horizontal="center" vertical="center"/>
    </xf>
    <xf numFmtId="200" fontId="1" fillId="13" borderId="2" xfId="0" applyNumberFormat="1" applyFont="1" applyFill="1" applyBorder="1" applyAlignment="1">
      <alignment horizontal="center" vertical="center"/>
    </xf>
    <xf numFmtId="2" fontId="0" fillId="13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" fontId="0" fillId="13" borderId="0" xfId="0" applyNumberFormat="1" applyFont="1" applyFill="1" applyAlignment="1">
      <alignment horizontal="center" vertical="center"/>
    </xf>
    <xf numFmtId="2" fontId="0" fillId="13" borderId="0" xfId="0" applyNumberFormat="1" applyFont="1" applyFill="1" applyBorder="1" applyAlignment="1">
      <alignment vertical="center"/>
    </xf>
    <xf numFmtId="1" fontId="0" fillId="13" borderId="0" xfId="0" applyNumberFormat="1" applyFill="1" applyBorder="1" applyAlignment="1">
      <alignment horizontal="center" vertical="center"/>
    </xf>
    <xf numFmtId="200" fontId="0" fillId="13" borderId="0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2" fontId="0" fillId="0" borderId="0" xfId="3" applyNumberFormat="1" applyFont="1" applyFill="1" applyBorder="1" applyAlignment="1">
      <alignment horizontal="center" vertical="center"/>
    </xf>
    <xf numFmtId="2" fontId="0" fillId="14" borderId="0" xfId="0" applyNumberFormat="1" applyFont="1" applyFill="1" applyBorder="1" applyAlignment="1">
      <alignment vertical="center"/>
    </xf>
    <xf numFmtId="0" fontId="0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9" fillId="14" borderId="0" xfId="3025" applyFill="1"/>
    <xf numFmtId="2" fontId="0" fillId="14" borderId="0" xfId="0" applyNumberFormat="1" applyFill="1" applyAlignment="1">
      <alignment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ont="1" applyFill="1" applyAlignment="1">
      <alignment vertical="center"/>
    </xf>
    <xf numFmtId="0" fontId="2" fillId="10" borderId="0" xfId="0" applyFont="1" applyFill="1" applyAlignment="1">
      <alignment horizontal="right" vertical="center"/>
    </xf>
    <xf numFmtId="1" fontId="0" fillId="10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/>
    </xf>
    <xf numFmtId="0" fontId="0" fillId="11" borderId="0" xfId="0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right" vertical="center"/>
    </xf>
    <xf numFmtId="0" fontId="0" fillId="12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vertical="center"/>
    </xf>
    <xf numFmtId="0" fontId="0" fillId="13" borderId="0" xfId="0" applyFill="1" applyBorder="1" applyAlignment="1">
      <alignment horizontal="center" vertical="center"/>
    </xf>
    <xf numFmtId="2" fontId="0" fillId="0" borderId="0" xfId="3025" applyNumberFormat="1" applyFont="1" applyFill="1" applyAlignment="1">
      <alignment horizontal="center" vertical="center"/>
    </xf>
    <xf numFmtId="0" fontId="0" fillId="0" borderId="0" xfId="3025" applyFont="1" applyFill="1" applyBorder="1" applyAlignment="1">
      <alignment horizontal="center" vertical="center" wrapText="1"/>
    </xf>
    <xf numFmtId="0" fontId="7" fillId="0" borderId="0" xfId="2850" applyFont="1" applyFill="1" applyBorder="1" applyAlignment="1">
      <alignment horizontal="center" vertical="center" wrapText="1"/>
    </xf>
    <xf numFmtId="199" fontId="0" fillId="14" borderId="4" xfId="3649" applyNumberFormat="1" applyFill="1" applyBorder="1"/>
    <xf numFmtId="199" fontId="0" fillId="14" borderId="2" xfId="0" applyNumberFormat="1" applyFont="1" applyFill="1" applyBorder="1" applyAlignment="1">
      <alignment vertical="center"/>
    </xf>
    <xf numFmtId="199" fontId="0" fillId="14" borderId="2" xfId="0" applyNumberFormat="1" applyFill="1" applyBorder="1" applyAlignment="1">
      <alignment vertical="center"/>
    </xf>
    <xf numFmtId="199" fontId="1" fillId="14" borderId="2" xfId="0" applyNumberFormat="1" applyFont="1" applyFill="1" applyBorder="1" applyAlignment="1">
      <alignment vertical="center"/>
    </xf>
    <xf numFmtId="2" fontId="0" fillId="14" borderId="0" xfId="0" applyNumberFormat="1" applyFill="1" applyBorder="1" applyAlignment="1">
      <alignment vertical="center"/>
    </xf>
    <xf numFmtId="0" fontId="0" fillId="14" borderId="0" xfId="0" applyFont="1" applyFill="1" applyAlignment="1">
      <alignment vertical="center"/>
    </xf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205740</xdr:colOff>
      <xdr:row>58</xdr:row>
      <xdr:rowOff>26670</xdr:rowOff>
    </xdr:from>
    <xdr:to>
      <xdr:col>25</xdr:col>
      <xdr:colOff>251460</xdr:colOff>
      <xdr:row>60</xdr:row>
      <xdr:rowOff>57150</xdr:rowOff>
    </xdr:to>
    <xdr:sp>
      <xdr:nvSpPr>
        <xdr:cNvPr id="2" name="Rectangle 12"/>
        <xdr:cNvSpPr/>
      </xdr:nvSpPr>
      <xdr:spPr>
        <a:xfrm>
          <a:off x="27828240" y="10402570"/>
          <a:ext cx="494157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56</xdr:row>
      <xdr:rowOff>94380</xdr:rowOff>
    </xdr:from>
    <xdr:to>
      <xdr:col>14</xdr:col>
      <xdr:colOff>466725</xdr:colOff>
      <xdr:row>64</xdr:row>
      <xdr:rowOff>146050</xdr:rowOff>
    </xdr:to>
    <xdr:cxnSp>
      <xdr:nvCxnSpPr>
        <xdr:cNvPr id="3" name="Straight Connector 6"/>
        <xdr:cNvCxnSpPr/>
      </xdr:nvCxnSpPr>
      <xdr:spPr>
        <a:xfrm>
          <a:off x="24244935" y="10101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59</xdr:row>
      <xdr:rowOff>33867</xdr:rowOff>
    </xdr:from>
    <xdr:to>
      <xdr:col>19</xdr:col>
      <xdr:colOff>205740</xdr:colOff>
      <xdr:row>59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260810" y="10593705"/>
          <a:ext cx="35674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59</xdr:row>
      <xdr:rowOff>179070</xdr:rowOff>
    </xdr:from>
    <xdr:to>
      <xdr:col>19</xdr:col>
      <xdr:colOff>198120</xdr:colOff>
      <xdr:row>59</xdr:row>
      <xdr:rowOff>180975</xdr:rowOff>
    </xdr:to>
    <xdr:cxnSp>
      <xdr:nvCxnSpPr>
        <xdr:cNvPr id="5" name="Straight Arrow Connector 4"/>
        <xdr:cNvCxnSpPr/>
      </xdr:nvCxnSpPr>
      <xdr:spPr>
        <a:xfrm flipV="1">
          <a:off x="27184350" y="10739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56</xdr:row>
      <xdr:rowOff>165735</xdr:rowOff>
    </xdr:from>
    <xdr:to>
      <xdr:col>14</xdr:col>
      <xdr:colOff>49530</xdr:colOff>
      <xdr:row>59</xdr:row>
      <xdr:rowOff>5715</xdr:rowOff>
    </xdr:to>
    <xdr:sp>
      <xdr:nvSpPr>
        <xdr:cNvPr id="6" name="Rectangle 23"/>
        <xdr:cNvSpPr/>
      </xdr:nvSpPr>
      <xdr:spPr>
        <a:xfrm>
          <a:off x="22922865" y="10173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57</xdr:row>
      <xdr:rowOff>177800</xdr:rowOff>
    </xdr:from>
    <xdr:to>
      <xdr:col>14</xdr:col>
      <xdr:colOff>440266</xdr:colOff>
      <xdr:row>57</xdr:row>
      <xdr:rowOff>179070</xdr:rowOff>
    </xdr:to>
    <xdr:cxnSp>
      <xdr:nvCxnSpPr>
        <xdr:cNvPr id="7" name="Straight Arrow Connector 26"/>
        <xdr:cNvCxnSpPr/>
      </xdr:nvCxnSpPr>
      <xdr:spPr>
        <a:xfrm flipV="1">
          <a:off x="23836630" y="10369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251460</xdr:colOff>
      <xdr:row>59</xdr:row>
      <xdr:rowOff>7620</xdr:rowOff>
    </xdr:from>
    <xdr:to>
      <xdr:col>26</xdr:col>
      <xdr:colOff>198120</xdr:colOff>
      <xdr:row>59</xdr:row>
      <xdr:rowOff>7620</xdr:rowOff>
    </xdr:to>
    <xdr:cxnSp>
      <xdr:nvCxnSpPr>
        <xdr:cNvPr id="8" name="Straight Arrow Connector 47"/>
        <xdr:cNvCxnSpPr/>
      </xdr:nvCxnSpPr>
      <xdr:spPr>
        <a:xfrm>
          <a:off x="32769810" y="10567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211231</xdr:colOff>
      <xdr:row>56</xdr:row>
      <xdr:rowOff>6128</xdr:rowOff>
    </xdr:from>
    <xdr:to>
      <xdr:col>26</xdr:col>
      <xdr:colOff>215775</xdr:colOff>
      <xdr:row>64</xdr:row>
      <xdr:rowOff>84045</xdr:rowOff>
    </xdr:to>
    <xdr:cxnSp>
      <xdr:nvCxnSpPr>
        <xdr:cNvPr id="9" name="Straight Connector 52"/>
        <xdr:cNvCxnSpPr/>
      </xdr:nvCxnSpPr>
      <xdr:spPr>
        <a:xfrm flipH="1">
          <a:off x="33529270" y="10013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55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517985" y="9894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59</xdr:row>
      <xdr:rowOff>142875</xdr:rowOff>
    </xdr:from>
    <xdr:to>
      <xdr:col>18</xdr:col>
      <xdr:colOff>340995</xdr:colOff>
      <xdr:row>61</xdr:row>
      <xdr:rowOff>173355</xdr:rowOff>
    </xdr:to>
    <xdr:sp>
      <xdr:nvSpPr>
        <xdr:cNvPr id="11" name="Rectangle 24"/>
        <xdr:cNvSpPr/>
      </xdr:nvSpPr>
      <xdr:spPr>
        <a:xfrm>
          <a:off x="25044400" y="10702925"/>
          <a:ext cx="21189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62</xdr:row>
      <xdr:rowOff>0</xdr:rowOff>
    </xdr:from>
    <xdr:to>
      <xdr:col>14</xdr:col>
      <xdr:colOff>94615</xdr:colOff>
      <xdr:row>64</xdr:row>
      <xdr:rowOff>26247</xdr:rowOff>
    </xdr:to>
    <xdr:sp>
      <xdr:nvSpPr>
        <xdr:cNvPr id="12" name="Rectangle 23"/>
        <xdr:cNvSpPr/>
      </xdr:nvSpPr>
      <xdr:spPr>
        <a:xfrm>
          <a:off x="22987000" y="11112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63</xdr:row>
      <xdr:rowOff>8466</xdr:rowOff>
    </xdr:from>
    <xdr:to>
      <xdr:col>15</xdr:col>
      <xdr:colOff>194734</xdr:colOff>
      <xdr:row>63</xdr:row>
      <xdr:rowOff>8467</xdr:rowOff>
    </xdr:to>
    <xdr:cxnSp>
      <xdr:nvCxnSpPr>
        <xdr:cNvPr id="13" name="Straight Arrow Connector 26"/>
        <xdr:cNvCxnSpPr/>
      </xdr:nvCxnSpPr>
      <xdr:spPr>
        <a:xfrm flipV="1">
          <a:off x="23888700" y="11304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56</xdr:row>
      <xdr:rowOff>111314</xdr:rowOff>
    </xdr:from>
    <xdr:to>
      <xdr:col>15</xdr:col>
      <xdr:colOff>204259</xdr:colOff>
      <xdr:row>64</xdr:row>
      <xdr:rowOff>162984</xdr:rowOff>
    </xdr:to>
    <xdr:cxnSp>
      <xdr:nvCxnSpPr>
        <xdr:cNvPr id="14" name="Straight Connector 6"/>
        <xdr:cNvCxnSpPr/>
      </xdr:nvCxnSpPr>
      <xdr:spPr>
        <a:xfrm>
          <a:off x="24630380" y="10118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60</xdr:row>
      <xdr:rowOff>169334</xdr:rowOff>
    </xdr:from>
    <xdr:to>
      <xdr:col>15</xdr:col>
      <xdr:colOff>609600</xdr:colOff>
      <xdr:row>60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629110" y="10913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55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878540" y="9877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26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3318450" y="923925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27</xdr:col>
      <xdr:colOff>0</xdr:colOff>
      <xdr:row>59</xdr:row>
      <xdr:rowOff>179070</xdr:rowOff>
    </xdr:from>
    <xdr:to>
      <xdr:col>27</xdr:col>
      <xdr:colOff>198120</xdr:colOff>
      <xdr:row>59</xdr:row>
      <xdr:rowOff>180975</xdr:rowOff>
    </xdr:to>
    <xdr:cxnSp>
      <xdr:nvCxnSpPr>
        <xdr:cNvPr id="18" name="Straight Arrow Connector 17"/>
        <xdr:cNvCxnSpPr/>
      </xdr:nvCxnSpPr>
      <xdr:spPr>
        <a:xfrm flipV="1">
          <a:off x="34118550" y="10739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782320</xdr:colOff>
      <xdr:row>21</xdr:row>
      <xdr:rowOff>61595</xdr:rowOff>
    </xdr:from>
    <xdr:to>
      <xdr:col>36</xdr:col>
      <xdr:colOff>143510</xdr:colOff>
      <xdr:row>60</xdr:row>
      <xdr:rowOff>125730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405320" y="4103370"/>
          <a:ext cx="9381490" cy="6766560"/>
        </a:xfrm>
        <a:prstGeom prst="rect">
          <a:avLst/>
        </a:prstGeom>
      </xdr:spPr>
    </xdr:pic>
    <xdr:clientData/>
  </xdr:twoCellAnchor>
  <xdr:twoCellAnchor>
    <xdr:from>
      <xdr:col>18</xdr:col>
      <xdr:colOff>279400</xdr:colOff>
      <xdr:row>0</xdr:row>
      <xdr:rowOff>272229</xdr:rowOff>
    </xdr:from>
    <xdr:to>
      <xdr:col>27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7101800" y="271780"/>
          <a:ext cx="7443470" cy="290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74</xdr:row>
      <xdr:rowOff>121920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690330" y="714248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78</xdr:row>
      <xdr:rowOff>80010</xdr:rowOff>
    </xdr:from>
    <xdr:to>
      <xdr:col>22</xdr:col>
      <xdr:colOff>796924</xdr:colOff>
      <xdr:row>118</xdr:row>
      <xdr:rowOff>69215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579205" y="140119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782320</xdr:colOff>
      <xdr:row>21</xdr:row>
      <xdr:rowOff>61595</xdr:rowOff>
    </xdr:from>
    <xdr:to>
      <xdr:col>35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3639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607695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796290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7"/>
  <sheetViews>
    <sheetView tabSelected="1" topLeftCell="P1" workbookViewId="0">
      <selection activeCell="W17" sqref="W17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23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7" width="11.4545454545455" style="7"/>
    <col min="18" max="18" width="11.2727272727273" style="7" customWidth="1"/>
    <col min="19" max="23" width="11.4545454545455" style="7"/>
    <col min="24" max="24" width="11.4545454545455" style="7" customWidth="1"/>
    <col min="25" max="25" width="12.8181818181818" style="7"/>
    <col min="26" max="29" width="11.4545454545455" style="7"/>
    <col min="30" max="30" width="12" style="7" customWidth="1"/>
    <col min="31" max="31" width="11.4545454545455" style="7"/>
    <col min="32" max="34" width="12.8181818181818" style="7"/>
    <col min="35" max="16384" width="11.4545454545455" style="7"/>
  </cols>
  <sheetData>
    <row r="1" ht="23" spans="1:20">
      <c r="A1" s="9" t="s">
        <v>0</v>
      </c>
      <c r="G1" s="1" t="s">
        <v>1</v>
      </c>
      <c r="P1" s="1" t="s">
        <v>2</v>
      </c>
      <c r="Q1" s="1"/>
      <c r="T1" s="1" t="s">
        <v>3</v>
      </c>
    </row>
    <row r="2" ht="15.5" spans="1:17">
      <c r="A2" s="10"/>
      <c r="P2" s="1" t="s">
        <v>4</v>
      </c>
      <c r="Q2" s="1"/>
    </row>
    <row r="3" ht="13" spans="5:28">
      <c r="E3" s="11" t="s">
        <v>5</v>
      </c>
      <c r="H3" s="12"/>
      <c r="I3" s="12"/>
      <c r="J3" s="68"/>
      <c r="K3" s="12"/>
      <c r="L3" s="12"/>
      <c r="M3" s="12"/>
      <c r="N3" s="69"/>
      <c r="O3" s="69"/>
      <c r="AB3" s="163"/>
    </row>
    <row r="4" ht="25" spans="1:37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70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  <c r="U4" s="14" t="s">
        <v>26</v>
      </c>
      <c r="V4" s="116" t="s">
        <v>27</v>
      </c>
      <c r="W4" s="116" t="s">
        <v>28</v>
      </c>
      <c r="X4" s="116" t="s">
        <v>29</v>
      </c>
      <c r="Y4" s="116" t="s">
        <v>30</v>
      </c>
      <c r="Z4" s="116" t="s">
        <v>31</v>
      </c>
      <c r="AA4" s="237"/>
      <c r="AB4" s="237"/>
      <c r="AC4" s="2"/>
      <c r="AD4" s="2"/>
      <c r="AE4" s="2"/>
      <c r="AF4" s="2"/>
      <c r="AG4" s="2"/>
      <c r="AH4" s="2"/>
      <c r="AI4" s="2"/>
      <c r="AJ4" s="2"/>
      <c r="AK4" s="2"/>
    </row>
    <row r="5" ht="38.25" spans="1:37">
      <c r="A5" s="15" t="s">
        <v>32</v>
      </c>
      <c r="B5" s="15" t="s">
        <v>33</v>
      </c>
      <c r="C5" s="15" t="s">
        <v>34</v>
      </c>
      <c r="D5" s="15" t="s">
        <v>35</v>
      </c>
      <c r="E5" s="15" t="s">
        <v>36</v>
      </c>
      <c r="F5" s="16"/>
      <c r="G5" s="16" t="s">
        <v>37</v>
      </c>
      <c r="H5" s="16" t="s">
        <v>38</v>
      </c>
      <c r="I5" s="16"/>
      <c r="J5" s="71"/>
      <c r="K5" s="16"/>
      <c r="L5" s="16"/>
      <c r="M5" s="16" t="s">
        <v>39</v>
      </c>
      <c r="N5" s="16" t="s">
        <v>39</v>
      </c>
      <c r="O5" s="16" t="s">
        <v>39</v>
      </c>
      <c r="P5" s="16" t="s">
        <v>39</v>
      </c>
      <c r="Q5" s="16"/>
      <c r="R5" s="16" t="s">
        <v>40</v>
      </c>
      <c r="S5" s="16"/>
      <c r="T5" s="16" t="s">
        <v>41</v>
      </c>
      <c r="U5" s="16" t="s">
        <v>42</v>
      </c>
      <c r="V5" s="117"/>
      <c r="W5" s="117"/>
      <c r="X5" s="117"/>
      <c r="Y5" s="2"/>
      <c r="Z5" s="238"/>
      <c r="AA5" s="238"/>
      <c r="AB5" s="238"/>
      <c r="AC5" s="2"/>
      <c r="AD5" s="2"/>
      <c r="AE5" s="2"/>
      <c r="AF5" s="2"/>
      <c r="AG5" s="2"/>
      <c r="AH5" s="2"/>
      <c r="AI5" s="2"/>
      <c r="AJ5" s="2"/>
      <c r="AK5" s="2"/>
    </row>
    <row r="6" s="158" customFormat="1" ht="13" spans="1:37">
      <c r="A6" s="165" t="s">
        <v>43</v>
      </c>
      <c r="B6" s="165" t="s">
        <v>44</v>
      </c>
      <c r="C6" s="165"/>
      <c r="D6" s="165" t="s">
        <v>44</v>
      </c>
      <c r="E6" s="165"/>
      <c r="F6" s="166">
        <v>2021</v>
      </c>
      <c r="G6" s="166">
        <v>60</v>
      </c>
      <c r="H6" s="167">
        <v>0.52</v>
      </c>
      <c r="I6" s="167">
        <f>H6</f>
        <v>0.52</v>
      </c>
      <c r="J6" s="193">
        <v>5</v>
      </c>
      <c r="K6" s="193"/>
      <c r="L6" s="193"/>
      <c r="M6" s="194">
        <f>1312*1.35</f>
        <v>1771.2</v>
      </c>
      <c r="N6" s="194">
        <f>M6*0.4</f>
        <v>708.48</v>
      </c>
      <c r="O6" s="194">
        <f>M6*0.25</f>
        <v>442.8</v>
      </c>
      <c r="P6" s="195">
        <f>16.22*1.35</f>
        <v>21.897</v>
      </c>
      <c r="Q6" s="195">
        <f>P6</f>
        <v>21.897</v>
      </c>
      <c r="R6" s="193"/>
      <c r="S6" s="223">
        <v>31.54</v>
      </c>
      <c r="U6" s="224"/>
      <c r="V6" s="224"/>
      <c r="W6" s="224"/>
      <c r="X6" s="225">
        <f>24/24/H6</f>
        <v>1.92307692307692</v>
      </c>
      <c r="Y6" s="2">
        <f>24/24/I6</f>
        <v>1.92307692307692</v>
      </c>
      <c r="Z6" s="23">
        <v>5</v>
      </c>
      <c r="AA6" s="110"/>
      <c r="AB6" s="110"/>
      <c r="AC6" s="2"/>
      <c r="AD6" s="2"/>
      <c r="AE6" s="2"/>
      <c r="AF6" s="2"/>
      <c r="AG6" s="2"/>
      <c r="AH6" s="2"/>
      <c r="AI6" s="2"/>
      <c r="AJ6" s="2"/>
      <c r="AK6" s="2"/>
    </row>
    <row r="7" s="159" customFormat="1" ht="13" spans="1:37">
      <c r="A7" s="168" t="s">
        <v>45</v>
      </c>
      <c r="B7" s="168" t="s">
        <v>44</v>
      </c>
      <c r="C7" s="168"/>
      <c r="D7" s="168" t="str">
        <f>B7</f>
        <v>ELC</v>
      </c>
      <c r="E7" s="168"/>
      <c r="F7" s="169">
        <v>2021</v>
      </c>
      <c r="G7" s="169">
        <v>60</v>
      </c>
      <c r="H7" s="170">
        <v>0.8</v>
      </c>
      <c r="I7" s="170">
        <f>H7</f>
        <v>0.8</v>
      </c>
      <c r="J7" s="196">
        <v>5</v>
      </c>
      <c r="K7" s="169"/>
      <c r="L7" s="169"/>
      <c r="M7" s="197">
        <f>(623+392+551.67)*1.35</f>
        <v>2115.0045</v>
      </c>
      <c r="N7" s="194">
        <f>M7*0.4</f>
        <v>846.0018</v>
      </c>
      <c r="O7" s="194">
        <f>M7*0.25</f>
        <v>528.751125</v>
      </c>
      <c r="P7" s="198">
        <f>15.59*1.35</f>
        <v>21.0465</v>
      </c>
      <c r="Q7" s="198">
        <f>15.59*1.35</f>
        <v>21.0465</v>
      </c>
      <c r="R7" s="226"/>
      <c r="S7" s="227">
        <v>31.54</v>
      </c>
      <c r="T7" s="228"/>
      <c r="U7" s="228"/>
      <c r="V7" s="228"/>
      <c r="W7" s="228"/>
      <c r="X7" s="225">
        <f>10/24/H7</f>
        <v>0.520833333333333</v>
      </c>
      <c r="Y7" s="2">
        <f>10/24/I7</f>
        <v>0.520833333333333</v>
      </c>
      <c r="Z7" s="23">
        <v>5</v>
      </c>
      <c r="AA7" s="110"/>
      <c r="AB7" s="110"/>
      <c r="AC7" s="2"/>
      <c r="AD7" s="2"/>
      <c r="AE7" s="2"/>
      <c r="AF7" s="2"/>
      <c r="AG7" s="2"/>
      <c r="AH7" s="2"/>
      <c r="AI7" s="2"/>
      <c r="AJ7" s="2"/>
      <c r="AK7" s="2"/>
    </row>
    <row r="8" ht="13" spans="1:37">
      <c r="A8" s="22" t="s">
        <v>46</v>
      </c>
      <c r="B8" s="22" t="s">
        <v>44</v>
      </c>
      <c r="C8" s="22"/>
      <c r="D8" s="22" t="s">
        <v>44</v>
      </c>
      <c r="E8" s="22"/>
      <c r="F8" s="18">
        <v>2021</v>
      </c>
      <c r="G8" s="25">
        <v>12</v>
      </c>
      <c r="H8" s="26">
        <v>0.71</v>
      </c>
      <c r="I8" s="26">
        <f>H8</f>
        <v>0.71</v>
      </c>
      <c r="J8" s="79">
        <v>5</v>
      </c>
      <c r="K8" s="25"/>
      <c r="L8" s="25"/>
      <c r="M8" s="199">
        <f>1090*1.35</f>
        <v>1471.5</v>
      </c>
      <c r="N8" s="199">
        <f>M8*0.4</f>
        <v>588.6</v>
      </c>
      <c r="O8" s="199">
        <f>M8*0.25</f>
        <v>367.875</v>
      </c>
      <c r="P8" s="200">
        <f>4.05*1.35</f>
        <v>5.4675</v>
      </c>
      <c r="Q8" s="200">
        <f>3.47*1.35</f>
        <v>4.6845</v>
      </c>
      <c r="R8" s="79"/>
      <c r="S8" s="229">
        <v>31.54</v>
      </c>
      <c r="T8" s="23"/>
      <c r="U8" s="23"/>
      <c r="V8" s="23"/>
      <c r="W8" s="23"/>
      <c r="X8" s="225">
        <f>2/24/H8</f>
        <v>0.117370892018779</v>
      </c>
      <c r="Y8" s="2">
        <f>2/24/I8</f>
        <v>0.117370892018779</v>
      </c>
      <c r="Z8" s="23">
        <v>5</v>
      </c>
      <c r="AA8" s="110"/>
      <c r="AB8" s="110"/>
      <c r="AC8" s="2"/>
      <c r="AD8" s="2"/>
      <c r="AE8" s="2"/>
      <c r="AF8" s="2"/>
      <c r="AG8" s="2"/>
      <c r="AH8" s="2"/>
      <c r="AI8" s="2"/>
      <c r="AJ8" s="2"/>
      <c r="AK8" s="2"/>
    </row>
    <row r="9" s="160" customFormat="1" ht="13" spans="1:37">
      <c r="A9" s="171" t="s">
        <v>47</v>
      </c>
      <c r="B9" s="171" t="s">
        <v>44</v>
      </c>
      <c r="C9" s="171"/>
      <c r="D9" s="171" t="s">
        <v>44</v>
      </c>
      <c r="E9" s="171"/>
      <c r="F9" s="172">
        <v>2021</v>
      </c>
      <c r="G9" s="172">
        <v>13</v>
      </c>
      <c r="H9" s="173">
        <v>0.83</v>
      </c>
      <c r="I9" s="173">
        <v>0.85</v>
      </c>
      <c r="J9" s="201">
        <v>5</v>
      </c>
      <c r="K9" s="172"/>
      <c r="L9" s="172"/>
      <c r="M9" s="202">
        <f>1031*1.35</f>
        <v>1391.85</v>
      </c>
      <c r="N9" s="202">
        <f>M9*0.4</f>
        <v>556.74</v>
      </c>
      <c r="O9" s="202">
        <f>M9*0.25</f>
        <v>347.9625</v>
      </c>
      <c r="P9" s="203">
        <f>3.06*1.35</f>
        <v>4.131</v>
      </c>
      <c r="Q9" s="203">
        <f>2.6*1.35</f>
        <v>3.51</v>
      </c>
      <c r="R9" s="172"/>
      <c r="S9" s="230">
        <v>31.54</v>
      </c>
      <c r="T9" s="231"/>
      <c r="U9" s="231"/>
      <c r="V9" s="231"/>
      <c r="W9" s="231"/>
      <c r="X9" s="225">
        <f>2/24/H9</f>
        <v>0.100401606425703</v>
      </c>
      <c r="Y9" s="2">
        <f>2/24/I9</f>
        <v>0.0980392156862745</v>
      </c>
      <c r="Z9" s="23">
        <v>5</v>
      </c>
      <c r="AA9" s="110"/>
      <c r="AB9" s="110"/>
      <c r="AC9" s="2"/>
      <c r="AD9" s="2"/>
      <c r="AE9" s="2"/>
      <c r="AF9" s="2"/>
      <c r="AG9" s="2"/>
      <c r="AH9" s="2"/>
      <c r="AI9" s="2"/>
      <c r="AJ9" s="2"/>
      <c r="AK9" s="2"/>
    </row>
    <row r="10" s="160" customFormat="1" ht="13" spans="1:37">
      <c r="A10" s="171" t="s">
        <v>48</v>
      </c>
      <c r="B10" s="171" t="s">
        <v>44</v>
      </c>
      <c r="C10" s="171"/>
      <c r="D10" s="171" t="s">
        <v>44</v>
      </c>
      <c r="E10" s="171"/>
      <c r="F10" s="172">
        <v>2021</v>
      </c>
      <c r="G10" s="172">
        <v>16</v>
      </c>
      <c r="H10" s="173">
        <v>0.83</v>
      </c>
      <c r="I10" s="173">
        <v>0.85</v>
      </c>
      <c r="J10" s="201">
        <v>5</v>
      </c>
      <c r="K10" s="172"/>
      <c r="L10" s="172"/>
      <c r="M10" s="202">
        <f>922*1.35</f>
        <v>1244.7</v>
      </c>
      <c r="N10" s="202">
        <f>M10*0.4</f>
        <v>497.88</v>
      </c>
      <c r="O10" s="202">
        <f>M10*0.25</f>
        <v>311.175</v>
      </c>
      <c r="P10" s="203">
        <f>2.79*1.35</f>
        <v>3.7665</v>
      </c>
      <c r="Q10" s="203">
        <f>2.37*1.35</f>
        <v>3.1995</v>
      </c>
      <c r="R10" s="201"/>
      <c r="S10" s="230">
        <v>31.54</v>
      </c>
      <c r="T10" s="172"/>
      <c r="U10" s="172"/>
      <c r="V10" s="172"/>
      <c r="W10" s="172"/>
      <c r="X10" s="225">
        <f>2/24/H10</f>
        <v>0.100401606425703</v>
      </c>
      <c r="Y10" s="2">
        <f>2/24/I10</f>
        <v>0.0980392156862745</v>
      </c>
      <c r="Z10" s="23">
        <v>5</v>
      </c>
      <c r="AA10" s="110"/>
      <c r="AB10" s="110"/>
      <c r="AC10" s="2"/>
      <c r="AD10" s="2"/>
      <c r="AE10" s="2"/>
      <c r="AF10" s="2"/>
      <c r="AG10" s="2"/>
      <c r="AH10" s="2"/>
      <c r="AI10" s="2"/>
      <c r="AJ10" s="2"/>
      <c r="AK10" s="2"/>
    </row>
    <row r="16" s="104" customFormat="1" spans="1:28">
      <c r="A16" s="32"/>
      <c r="B16" s="32"/>
      <c r="C16" s="32"/>
      <c r="D16" s="32"/>
      <c r="E16" s="32"/>
      <c r="F16" s="110"/>
      <c r="G16" s="110"/>
      <c r="H16" s="174"/>
      <c r="I16" s="174"/>
      <c r="J16" s="204"/>
      <c r="K16" s="110"/>
      <c r="L16" s="110"/>
      <c r="M16" s="86"/>
      <c r="N16" s="86"/>
      <c r="O16" s="86"/>
      <c r="P16" s="87"/>
      <c r="Q16" s="87"/>
      <c r="R16" s="204"/>
      <c r="S16" s="232"/>
      <c r="T16" s="110"/>
      <c r="U16" s="110"/>
      <c r="V16" s="110"/>
      <c r="W16" s="110"/>
      <c r="X16" s="110"/>
      <c r="Z16" s="126"/>
      <c r="AA16" s="110"/>
      <c r="AB16" s="110"/>
    </row>
    <row r="17" s="104" customFormat="1" spans="1:28">
      <c r="A17" s="32"/>
      <c r="B17" s="32"/>
      <c r="C17" s="32"/>
      <c r="D17" s="32"/>
      <c r="E17" s="61"/>
      <c r="F17" s="110"/>
      <c r="G17" s="110"/>
      <c r="H17" s="174"/>
      <c r="I17" s="174"/>
      <c r="J17" s="204"/>
      <c r="K17" s="110"/>
      <c r="L17" s="110"/>
      <c r="M17" s="86"/>
      <c r="N17" s="86"/>
      <c r="O17" s="86"/>
      <c r="P17" s="87"/>
      <c r="Q17" s="87"/>
      <c r="R17" s="204"/>
      <c r="S17" s="232"/>
      <c r="T17" s="110"/>
      <c r="U17" s="110"/>
      <c r="V17" s="110"/>
      <c r="W17" s="110"/>
      <c r="X17" s="110"/>
      <c r="Z17" s="110"/>
      <c r="AA17" s="110"/>
      <c r="AB17" s="110"/>
    </row>
    <row r="18" s="104" customFormat="1" spans="1:28">
      <c r="A18" s="32"/>
      <c r="B18" s="32"/>
      <c r="C18" s="32"/>
      <c r="D18" s="32"/>
      <c r="E18" s="32"/>
      <c r="F18" s="33"/>
      <c r="G18" s="33"/>
      <c r="H18" s="175"/>
      <c r="I18" s="175"/>
      <c r="J18" s="85"/>
      <c r="K18" s="32"/>
      <c r="L18" s="32"/>
      <c r="M18" s="86"/>
      <c r="N18" s="86"/>
      <c r="O18" s="86"/>
      <c r="S18" s="110"/>
      <c r="V18" s="126"/>
      <c r="W18" s="126"/>
      <c r="X18" s="126"/>
      <c r="Z18" s="126"/>
      <c r="AA18" s="110"/>
      <c r="AB18" s="110"/>
    </row>
    <row r="19" s="104" customFormat="1" spans="1:28">
      <c r="A19" s="32"/>
      <c r="B19" s="32"/>
      <c r="C19" s="32"/>
      <c r="D19" s="32"/>
      <c r="E19" s="32"/>
      <c r="F19" s="33"/>
      <c r="G19" s="33"/>
      <c r="H19" s="175"/>
      <c r="I19" s="175"/>
      <c r="J19" s="85"/>
      <c r="K19" s="32"/>
      <c r="L19" s="32"/>
      <c r="M19" s="86"/>
      <c r="N19" s="86"/>
      <c r="O19" s="86"/>
      <c r="S19" s="110"/>
      <c r="V19" s="126"/>
      <c r="W19" s="126"/>
      <c r="X19" s="126"/>
      <c r="Z19" s="126"/>
      <c r="AA19" s="110"/>
      <c r="AB19" s="110"/>
    </row>
    <row r="20" s="161" customFormat="1" ht="13" spans="1:32">
      <c r="A20" s="176" t="str">
        <f>B71</f>
        <v>DUMSTOR_TECH</v>
      </c>
      <c r="B20" s="177"/>
      <c r="C20" s="177"/>
      <c r="D20" s="176" t="s">
        <v>49</v>
      </c>
      <c r="E20" s="177"/>
      <c r="F20" s="178">
        <v>2021</v>
      </c>
      <c r="G20" s="178"/>
      <c r="H20" s="177"/>
      <c r="I20" s="177"/>
      <c r="J20" s="205"/>
      <c r="K20" s="177"/>
      <c r="L20" s="177"/>
      <c r="M20" s="206"/>
      <c r="N20" s="206"/>
      <c r="O20" s="206"/>
      <c r="P20" s="207"/>
      <c r="Q20" s="207"/>
      <c r="R20" s="177"/>
      <c r="S20" s="233"/>
      <c r="T20" s="177"/>
      <c r="U20" s="177"/>
      <c r="V20" s="234"/>
      <c r="W20" s="234"/>
      <c r="X20" s="234"/>
      <c r="Y20" s="234"/>
      <c r="AA20" s="233"/>
      <c r="AB20" s="233"/>
      <c r="AD20" s="161">
        <f>M20*1.45</f>
        <v>0</v>
      </c>
      <c r="AF20" s="161">
        <f>O20*1.45</f>
        <v>0</v>
      </c>
    </row>
    <row r="21" s="162" customFormat="1" ht="13" spans="1:32">
      <c r="A21" s="179" t="str">
        <f>B70</f>
        <v>DUMDCAES</v>
      </c>
      <c r="B21" s="179" t="s">
        <v>44</v>
      </c>
      <c r="C21" s="179"/>
      <c r="D21" s="179"/>
      <c r="E21" s="179"/>
      <c r="F21" s="180">
        <v>2021</v>
      </c>
      <c r="G21" s="180"/>
      <c r="H21" s="180"/>
      <c r="I21" s="180"/>
      <c r="J21" s="208"/>
      <c r="K21" s="208">
        <v>0.37</v>
      </c>
      <c r="L21" s="179"/>
      <c r="M21" s="209"/>
      <c r="N21" s="209"/>
      <c r="O21" s="209"/>
      <c r="P21" s="180"/>
      <c r="Q21" s="180"/>
      <c r="R21" s="180"/>
      <c r="S21" s="180">
        <v>1</v>
      </c>
      <c r="T21" s="179"/>
      <c r="U21" s="210"/>
      <c r="V21" s="210"/>
      <c r="W21" s="210"/>
      <c r="X21" s="210"/>
      <c r="Y21" s="210" t="s">
        <v>50</v>
      </c>
      <c r="AA21" s="180"/>
      <c r="AB21" s="180"/>
      <c r="AD21" s="162">
        <f>M21*1.45</f>
        <v>0</v>
      </c>
      <c r="AF21" s="162">
        <f>O21*1.45</f>
        <v>0</v>
      </c>
    </row>
    <row r="22" s="162" customFormat="1" spans="1:28">
      <c r="A22" s="179"/>
      <c r="B22" s="179" t="s">
        <v>51</v>
      </c>
      <c r="C22" s="179"/>
      <c r="D22" s="179"/>
      <c r="E22" s="179"/>
      <c r="F22" s="180"/>
      <c r="G22" s="180"/>
      <c r="H22" s="180"/>
      <c r="I22" s="180"/>
      <c r="J22" s="208"/>
      <c r="K22" s="208">
        <v>0.63</v>
      </c>
      <c r="L22" s="179"/>
      <c r="M22" s="180"/>
      <c r="N22" s="180"/>
      <c r="O22" s="180"/>
      <c r="P22" s="180"/>
      <c r="Q22" s="180"/>
      <c r="R22" s="180"/>
      <c r="S22" s="180"/>
      <c r="T22" s="179"/>
      <c r="U22" s="210"/>
      <c r="V22" s="210"/>
      <c r="W22" s="210"/>
      <c r="X22" s="210"/>
      <c r="Y22" s="210"/>
      <c r="AA22" s="180"/>
      <c r="AB22" s="180"/>
    </row>
    <row r="23" s="162" customFormat="1" spans="1:28">
      <c r="A23" s="179"/>
      <c r="B23" s="179"/>
      <c r="C23" s="179"/>
      <c r="D23" s="179" t="s">
        <v>52</v>
      </c>
      <c r="E23" s="179"/>
      <c r="F23" s="180"/>
      <c r="G23" s="180"/>
      <c r="H23" s="180"/>
      <c r="I23" s="180"/>
      <c r="J23" s="208"/>
      <c r="K23" s="180"/>
      <c r="L23" s="210">
        <v>1</v>
      </c>
      <c r="M23" s="180"/>
      <c r="N23" s="180"/>
      <c r="O23" s="180"/>
      <c r="P23" s="180"/>
      <c r="Q23" s="180"/>
      <c r="R23" s="180"/>
      <c r="S23" s="180"/>
      <c r="T23" s="179"/>
      <c r="U23" s="210"/>
      <c r="V23" s="210"/>
      <c r="W23" s="210"/>
      <c r="X23" s="210"/>
      <c r="Y23" s="210"/>
      <c r="AA23" s="180"/>
      <c r="AB23" s="180"/>
    </row>
    <row r="24" s="162" customFormat="1" spans="1:27">
      <c r="A24" s="179"/>
      <c r="B24" s="181"/>
      <c r="C24" s="181"/>
      <c r="D24" s="181"/>
      <c r="E24" s="182"/>
      <c r="F24" s="182"/>
      <c r="G24" s="181"/>
      <c r="H24" s="181"/>
      <c r="I24" s="181"/>
      <c r="J24" s="211"/>
      <c r="K24" s="181"/>
      <c r="L24" s="212"/>
      <c r="M24" s="212"/>
      <c r="N24" s="212"/>
      <c r="O24" s="213"/>
      <c r="P24" s="214"/>
      <c r="Q24" s="214"/>
      <c r="R24" s="235"/>
      <c r="S24" s="214"/>
      <c r="T24" s="214"/>
      <c r="Z24" s="235"/>
      <c r="AA24" s="235"/>
    </row>
    <row r="25" s="104" customFormat="1" spans="1:28">
      <c r="A25" s="32"/>
      <c r="B25" s="32"/>
      <c r="C25" s="32"/>
      <c r="D25" s="32"/>
      <c r="E25" s="61"/>
      <c r="F25" s="110"/>
      <c r="G25" s="110"/>
      <c r="H25" s="183"/>
      <c r="I25" s="183"/>
      <c r="J25" s="215"/>
      <c r="K25" s="204"/>
      <c r="L25" s="204"/>
      <c r="M25" s="86"/>
      <c r="N25" s="86"/>
      <c r="O25" s="86"/>
      <c r="P25" s="87"/>
      <c r="Q25" s="87"/>
      <c r="R25" s="204"/>
      <c r="S25" s="232"/>
      <c r="U25" s="86"/>
      <c r="V25" s="86"/>
      <c r="W25" s="86"/>
      <c r="X25" s="86"/>
      <c r="Z25" s="110"/>
      <c r="AA25" s="110"/>
      <c r="AB25" s="110"/>
    </row>
    <row r="26" s="104" customFormat="1" spans="1:28">
      <c r="A26" s="32"/>
      <c r="B26" s="32"/>
      <c r="C26" s="32"/>
      <c r="D26" s="32"/>
      <c r="E26" s="32"/>
      <c r="F26" s="110"/>
      <c r="G26" s="110"/>
      <c r="H26" s="174"/>
      <c r="I26" s="174"/>
      <c r="J26" s="204"/>
      <c r="K26" s="110"/>
      <c r="L26" s="110"/>
      <c r="M26" s="86"/>
      <c r="N26" s="86"/>
      <c r="O26" s="86"/>
      <c r="P26" s="87"/>
      <c r="Q26" s="87"/>
      <c r="R26" s="110"/>
      <c r="S26" s="232"/>
      <c r="T26" s="232"/>
      <c r="U26" s="232"/>
      <c r="V26" s="232"/>
      <c r="W26" s="232"/>
      <c r="X26" s="232"/>
      <c r="Z26" s="232"/>
      <c r="AA26" s="110"/>
      <c r="AB26" s="110"/>
    </row>
    <row r="27" s="104" customFormat="1" spans="1:28">
      <c r="A27" s="32"/>
      <c r="B27" s="32"/>
      <c r="C27" s="32"/>
      <c r="D27" s="32"/>
      <c r="E27" s="61"/>
      <c r="F27" s="110"/>
      <c r="G27" s="110"/>
      <c r="H27" s="174"/>
      <c r="I27" s="174"/>
      <c r="J27" s="204"/>
      <c r="K27" s="110"/>
      <c r="L27" s="110"/>
      <c r="M27" s="86"/>
      <c r="N27" s="86"/>
      <c r="O27" s="86"/>
      <c r="P27" s="87"/>
      <c r="Q27" s="87"/>
      <c r="R27" s="110"/>
      <c r="S27" s="232"/>
      <c r="T27" s="232"/>
      <c r="U27" s="232"/>
      <c r="V27" s="232"/>
      <c r="W27" s="232"/>
      <c r="X27" s="232"/>
      <c r="Z27" s="232"/>
      <c r="AA27" s="110"/>
      <c r="AB27" s="110"/>
    </row>
    <row r="28" s="104" customFormat="1" spans="1:28">
      <c r="A28" s="32"/>
      <c r="B28" s="32"/>
      <c r="C28" s="32"/>
      <c r="D28" s="32"/>
      <c r="E28" s="32"/>
      <c r="F28" s="110"/>
      <c r="G28" s="110"/>
      <c r="H28" s="174"/>
      <c r="I28" s="174"/>
      <c r="J28" s="204"/>
      <c r="K28" s="110"/>
      <c r="L28" s="110"/>
      <c r="M28" s="86"/>
      <c r="N28" s="86"/>
      <c r="O28" s="86"/>
      <c r="P28" s="87"/>
      <c r="Q28" s="87"/>
      <c r="R28" s="110"/>
      <c r="S28" s="232"/>
      <c r="T28" s="232"/>
      <c r="U28" s="232"/>
      <c r="V28" s="232"/>
      <c r="W28" s="232"/>
      <c r="X28" s="232"/>
      <c r="Z28" s="110"/>
      <c r="AA28" s="110"/>
      <c r="AB28" s="110"/>
    </row>
    <row r="29" s="2" customFormat="1" spans="1:28">
      <c r="A29" s="22"/>
      <c r="B29" s="22"/>
      <c r="C29" s="22"/>
      <c r="D29" s="22"/>
      <c r="E29" s="57"/>
      <c r="F29" s="23"/>
      <c r="G29" s="23"/>
      <c r="H29" s="40"/>
      <c r="I29" s="40"/>
      <c r="J29" s="95"/>
      <c r="K29" s="23"/>
      <c r="L29" s="23"/>
      <c r="M29" s="77"/>
      <c r="N29" s="77"/>
      <c r="O29" s="77"/>
      <c r="P29" s="78"/>
      <c r="Q29" s="78"/>
      <c r="R29" s="23"/>
      <c r="S29" s="121"/>
      <c r="T29" s="121"/>
      <c r="U29" s="121"/>
      <c r="V29" s="121"/>
      <c r="W29" s="121"/>
      <c r="X29" s="121"/>
      <c r="Z29" s="23"/>
      <c r="AA29" s="23"/>
      <c r="AB29" s="23"/>
    </row>
    <row r="30" s="2" customFormat="1" spans="1:28">
      <c r="A30" s="22"/>
      <c r="B30" s="22"/>
      <c r="C30" s="22"/>
      <c r="D30" s="22"/>
      <c r="E30" s="22"/>
      <c r="F30" s="23"/>
      <c r="G30" s="23"/>
      <c r="H30" s="40"/>
      <c r="I30" s="40"/>
      <c r="J30" s="95"/>
      <c r="K30" s="23"/>
      <c r="L30" s="23"/>
      <c r="M30" s="77"/>
      <c r="N30" s="77"/>
      <c r="O30" s="77"/>
      <c r="P30" s="87"/>
      <c r="Q30" s="87"/>
      <c r="R30" s="23"/>
      <c r="S30" s="121"/>
      <c r="T30" s="121"/>
      <c r="U30" s="121"/>
      <c r="V30" s="121"/>
      <c r="W30" s="121"/>
      <c r="X30" s="121"/>
      <c r="Z30" s="126"/>
      <c r="AA30" s="23"/>
      <c r="AB30" s="23"/>
    </row>
    <row r="31" s="104" customFormat="1" spans="1:28">
      <c r="A31" s="32"/>
      <c r="B31" s="32"/>
      <c r="C31" s="32"/>
      <c r="D31" s="32"/>
      <c r="E31" s="61"/>
      <c r="F31" s="110"/>
      <c r="G31" s="110"/>
      <c r="H31" s="174"/>
      <c r="I31" s="174"/>
      <c r="J31" s="204"/>
      <c r="K31" s="110"/>
      <c r="L31" s="110"/>
      <c r="M31" s="86"/>
      <c r="N31" s="86"/>
      <c r="O31" s="86"/>
      <c r="P31" s="87"/>
      <c r="Q31" s="87"/>
      <c r="R31" s="110"/>
      <c r="S31" s="232"/>
      <c r="T31" s="232"/>
      <c r="U31" s="232"/>
      <c r="V31" s="232"/>
      <c r="W31" s="232"/>
      <c r="X31" s="232"/>
      <c r="Z31" s="232"/>
      <c r="AA31" s="110"/>
      <c r="AB31" s="110"/>
    </row>
    <row r="32" s="104" customFormat="1" spans="1:28">
      <c r="A32" s="32"/>
      <c r="B32" s="32"/>
      <c r="C32" s="32"/>
      <c r="D32" s="32"/>
      <c r="E32" s="32"/>
      <c r="F32" s="33"/>
      <c r="G32" s="33"/>
      <c r="H32" s="175"/>
      <c r="I32" s="174"/>
      <c r="J32" s="85"/>
      <c r="K32" s="32"/>
      <c r="L32" s="32"/>
      <c r="M32" s="86"/>
      <c r="N32" s="86"/>
      <c r="O32" s="86"/>
      <c r="S32" s="110"/>
      <c r="Z32" s="126"/>
      <c r="AA32" s="110"/>
      <c r="AB32" s="110"/>
    </row>
    <row r="33" s="104" customFormat="1" spans="1:28">
      <c r="A33" s="32"/>
      <c r="B33" s="32"/>
      <c r="C33" s="32"/>
      <c r="D33" s="32"/>
      <c r="E33" s="32"/>
      <c r="F33" s="33"/>
      <c r="G33" s="33"/>
      <c r="H33" s="175"/>
      <c r="I33" s="174"/>
      <c r="J33" s="85"/>
      <c r="K33" s="32"/>
      <c r="L33" s="32"/>
      <c r="M33" s="86"/>
      <c r="N33" s="86"/>
      <c r="O33" s="86"/>
      <c r="S33" s="110"/>
      <c r="Z33" s="126"/>
      <c r="AA33" s="110"/>
      <c r="AB33" s="110"/>
    </row>
    <row r="34" s="104" customFormat="1" spans="1:28">
      <c r="A34" s="32"/>
      <c r="B34" s="32"/>
      <c r="C34" s="32"/>
      <c r="D34" s="32"/>
      <c r="E34" s="32"/>
      <c r="F34" s="33"/>
      <c r="G34" s="33"/>
      <c r="H34" s="175"/>
      <c r="I34" s="174"/>
      <c r="J34" s="85"/>
      <c r="K34" s="32"/>
      <c r="L34" s="32"/>
      <c r="M34" s="86"/>
      <c r="N34" s="86"/>
      <c r="O34" s="86"/>
      <c r="S34" s="110"/>
      <c r="Z34" s="126"/>
      <c r="AA34" s="110"/>
      <c r="AB34" s="110"/>
    </row>
    <row r="35" s="104" customFormat="1" spans="1:28">
      <c r="A35" s="32"/>
      <c r="B35" s="32"/>
      <c r="C35" s="32"/>
      <c r="D35" s="32"/>
      <c r="E35" s="32"/>
      <c r="F35" s="33"/>
      <c r="G35" s="33"/>
      <c r="H35" s="175"/>
      <c r="I35" s="174"/>
      <c r="J35" s="85"/>
      <c r="K35" s="32"/>
      <c r="L35" s="32"/>
      <c r="M35" s="86"/>
      <c r="N35" s="86"/>
      <c r="O35" s="86"/>
      <c r="S35" s="110"/>
      <c r="Z35" s="126"/>
      <c r="AA35" s="110"/>
      <c r="AB35" s="110"/>
    </row>
    <row r="36" s="163" customFormat="1" spans="10:10">
      <c r="J36" s="153"/>
    </row>
    <row r="37" s="163" customFormat="1" spans="10:10">
      <c r="J37" s="153"/>
    </row>
    <row r="38" s="163" customFormat="1" spans="10:10">
      <c r="J38" s="153"/>
    </row>
    <row r="41" spans="1:27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04"/>
      <c r="R41" s="110"/>
      <c r="S41" s="121"/>
      <c r="T41" s="121"/>
      <c r="Z41" s="23"/>
      <c r="AA41" s="23"/>
    </row>
    <row r="42" spans="1:17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  <c r="Q42" s="236"/>
    </row>
    <row r="43" spans="1:17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  <c r="Q43" s="236"/>
    </row>
    <row r="44" ht="13" spans="1:34">
      <c r="A44" s="52" t="s">
        <v>53</v>
      </c>
      <c r="B44" s="52"/>
      <c r="C44" s="53"/>
      <c r="D44" s="53"/>
      <c r="E44" s="53"/>
      <c r="F44" s="53"/>
      <c r="G44" s="53"/>
      <c r="H44" s="53"/>
      <c r="I44" s="53"/>
      <c r="P44" s="23"/>
      <c r="Q44" s="23"/>
      <c r="R44" s="51"/>
      <c r="AA44" s="69"/>
      <c r="AB44" s="138"/>
      <c r="AC44" s="138">
        <f>N6+N8</f>
        <v>1297.08</v>
      </c>
      <c r="AD44" s="138">
        <f>O6+O8</f>
        <v>810.675</v>
      </c>
      <c r="AE44" s="139"/>
      <c r="AF44" s="139" t="e">
        <f>AVERAGE(AB44:AB49)</f>
        <v>#DIV/0!</v>
      </c>
      <c r="AG44" s="139">
        <f>AVERAGE(AC44:AC49)</f>
        <v>807.930449999999</v>
      </c>
      <c r="AH44" s="139">
        <f>AVERAGE(AD44:AD49)</f>
        <v>504.956531249999</v>
      </c>
    </row>
    <row r="45" ht="13" spans="1:34">
      <c r="A45" s="54" t="s">
        <v>54</v>
      </c>
      <c r="B45" s="54" t="s">
        <v>6</v>
      </c>
      <c r="C45" s="54" t="s">
        <v>55</v>
      </c>
      <c r="D45" s="54" t="s">
        <v>56</v>
      </c>
      <c r="E45" s="54" t="s">
        <v>57</v>
      </c>
      <c r="F45" s="54" t="s">
        <v>58</v>
      </c>
      <c r="G45" s="54" t="s">
        <v>59</v>
      </c>
      <c r="H45" s="54" t="s">
        <v>60</v>
      </c>
      <c r="I45" s="106"/>
      <c r="J45" s="107"/>
      <c r="P45" s="23"/>
      <c r="Q45" s="23"/>
      <c r="R45" s="51"/>
      <c r="AA45" s="69"/>
      <c r="AB45" s="138"/>
      <c r="AC45" s="138">
        <f>N10+N19</f>
        <v>497.88</v>
      </c>
      <c r="AD45" s="138">
        <f>O10+O19</f>
        <v>311.175</v>
      </c>
      <c r="AE45" s="139"/>
      <c r="AF45" s="139"/>
      <c r="AG45" s="139"/>
      <c r="AH45" s="139"/>
    </row>
    <row r="46" ht="25.75" spans="1:34">
      <c r="A46" s="55" t="s">
        <v>61</v>
      </c>
      <c r="B46" s="55" t="s">
        <v>62</v>
      </c>
      <c r="C46" s="55" t="s">
        <v>63</v>
      </c>
      <c r="D46" s="55" t="s">
        <v>64</v>
      </c>
      <c r="E46" s="55" t="s">
        <v>65</v>
      </c>
      <c r="F46" s="55" t="s">
        <v>66</v>
      </c>
      <c r="G46" s="55" t="s">
        <v>67</v>
      </c>
      <c r="H46" s="55" t="s">
        <v>68</v>
      </c>
      <c r="I46" s="108"/>
      <c r="J46" s="109"/>
      <c r="M46" s="104"/>
      <c r="N46" s="104"/>
      <c r="O46" s="110"/>
      <c r="P46" s="51"/>
      <c r="Q46" s="236"/>
      <c r="AA46" s="69"/>
      <c r="AB46" s="138"/>
      <c r="AC46" s="138">
        <f>N7+N16</f>
        <v>846.0018</v>
      </c>
      <c r="AD46" s="138">
        <f>O7+O16</f>
        <v>528.751125</v>
      </c>
      <c r="AE46" s="139"/>
      <c r="AF46" s="139"/>
      <c r="AG46" s="139"/>
      <c r="AH46" s="139"/>
    </row>
    <row r="47" ht="15.5" spans="1:34">
      <c r="A47" s="56" t="s">
        <v>69</v>
      </c>
      <c r="B47" s="57" t="s">
        <v>43</v>
      </c>
      <c r="C47" s="56" t="s">
        <v>70</v>
      </c>
      <c r="D47" s="58" t="s">
        <v>71</v>
      </c>
      <c r="E47" s="59" t="s">
        <v>72</v>
      </c>
      <c r="F47" s="58" t="s">
        <v>73</v>
      </c>
      <c r="G47" s="58" t="s">
        <v>74</v>
      </c>
      <c r="H47" s="60"/>
      <c r="I47" s="60"/>
      <c r="J47" s="111"/>
      <c r="K47" s="112"/>
      <c r="Z47" s="22"/>
      <c r="AA47" s="22"/>
      <c r="AB47" s="139"/>
      <c r="AC47" s="139"/>
      <c r="AD47" s="139"/>
      <c r="AE47" s="139"/>
      <c r="AF47" s="139"/>
      <c r="AG47" s="139"/>
      <c r="AH47" s="139"/>
    </row>
    <row r="48" ht="13" spans="1:34">
      <c r="A48" s="56"/>
      <c r="B48" s="57" t="s">
        <v>75</v>
      </c>
      <c r="C48" s="56"/>
      <c r="D48" s="58"/>
      <c r="E48" s="59"/>
      <c r="F48" s="58"/>
      <c r="G48" s="58"/>
      <c r="H48" s="57"/>
      <c r="I48" s="57"/>
      <c r="J48" s="113"/>
      <c r="K48" s="22"/>
      <c r="M48" s="104"/>
      <c r="AA48" s="69"/>
      <c r="AB48" s="140"/>
      <c r="AC48" s="140"/>
      <c r="AD48" s="140"/>
      <c r="AE48" s="139"/>
      <c r="AF48" s="139"/>
      <c r="AG48" s="139"/>
      <c r="AH48" s="139"/>
    </row>
    <row r="49" ht="18" spans="1:34">
      <c r="A49" s="56"/>
      <c r="B49" s="57" t="s">
        <v>45</v>
      </c>
      <c r="C49" s="57" t="s">
        <v>76</v>
      </c>
      <c r="D49" s="58" t="s">
        <v>71</v>
      </c>
      <c r="E49" s="59" t="s">
        <v>72</v>
      </c>
      <c r="F49" s="58" t="s">
        <v>73</v>
      </c>
      <c r="G49" s="58" t="s">
        <v>74</v>
      </c>
      <c r="H49" s="57"/>
      <c r="I49" s="57"/>
      <c r="J49" s="113"/>
      <c r="K49" s="22"/>
      <c r="M49" s="104"/>
      <c r="N49" s="114"/>
      <c r="O49" s="110"/>
      <c r="P49" s="51"/>
      <c r="Q49" s="236"/>
      <c r="AA49" s="141"/>
      <c r="AB49" s="140"/>
      <c r="AC49" s="140">
        <v>590.759999999998</v>
      </c>
      <c r="AD49" s="140">
        <v>369.224999999998</v>
      </c>
      <c r="AE49" s="139"/>
      <c r="AF49" s="139"/>
      <c r="AG49" s="139"/>
      <c r="AH49" s="139"/>
    </row>
    <row r="50" ht="15.5" spans="1:29">
      <c r="A50" s="56"/>
      <c r="B50" s="61" t="s">
        <v>46</v>
      </c>
      <c r="C50" s="61" t="s">
        <v>77</v>
      </c>
      <c r="D50" s="62" t="s">
        <v>71</v>
      </c>
      <c r="E50" s="59" t="s">
        <v>72</v>
      </c>
      <c r="F50" s="62" t="s">
        <v>73</v>
      </c>
      <c r="G50" s="58" t="s">
        <v>74</v>
      </c>
      <c r="H50" s="61"/>
      <c r="I50" s="61"/>
      <c r="J50" s="85"/>
      <c r="K50" s="32"/>
      <c r="M50" s="104"/>
      <c r="N50" s="114"/>
      <c r="O50" s="110"/>
      <c r="P50" s="51"/>
      <c r="Q50" s="236"/>
      <c r="AA50" s="115"/>
      <c r="AB50" s="115"/>
      <c r="AC50" s="115"/>
    </row>
    <row r="51" ht="14.5" spans="1:29">
      <c r="A51" s="56"/>
      <c r="B51" s="61" t="s">
        <v>47</v>
      </c>
      <c r="C51" s="61" t="s">
        <v>78</v>
      </c>
      <c r="D51" s="62" t="s">
        <v>71</v>
      </c>
      <c r="E51" s="59" t="s">
        <v>72</v>
      </c>
      <c r="F51" s="62" t="s">
        <v>73</v>
      </c>
      <c r="G51" s="58" t="s">
        <v>74</v>
      </c>
      <c r="H51" s="61"/>
      <c r="I51" s="61"/>
      <c r="J51" s="85"/>
      <c r="K51" s="32"/>
      <c r="M51" s="104"/>
      <c r="N51" s="114"/>
      <c r="O51" s="110"/>
      <c r="P51" s="51"/>
      <c r="Q51" s="236"/>
      <c r="AA51" s="115"/>
      <c r="AB51" s="115"/>
      <c r="AC51" s="115"/>
    </row>
    <row r="52" ht="14.5" spans="1:29">
      <c r="A52" s="56"/>
      <c r="B52" s="63" t="s">
        <v>48</v>
      </c>
      <c r="C52" s="61" t="s">
        <v>79</v>
      </c>
      <c r="D52" s="64" t="s">
        <v>71</v>
      </c>
      <c r="E52" s="59" t="s">
        <v>72</v>
      </c>
      <c r="F52" s="64" t="s">
        <v>73</v>
      </c>
      <c r="G52" s="58" t="s">
        <v>74</v>
      </c>
      <c r="H52" s="63"/>
      <c r="I52" s="61"/>
      <c r="J52" s="85"/>
      <c r="K52" s="32"/>
      <c r="M52" s="104"/>
      <c r="N52" s="114"/>
      <c r="O52" s="110"/>
      <c r="P52" s="51"/>
      <c r="Q52" s="236"/>
      <c r="AA52" s="115"/>
      <c r="AB52" s="115"/>
      <c r="AC52" s="115"/>
    </row>
    <row r="56" s="164" customFormat="1" ht="14.5" spans="1:28">
      <c r="A56" s="184" t="s">
        <v>80</v>
      </c>
      <c r="B56" s="185" t="s">
        <v>81</v>
      </c>
      <c r="C56" s="184" t="s">
        <v>82</v>
      </c>
      <c r="D56" s="186" t="s">
        <v>71</v>
      </c>
      <c r="E56" s="187" t="s">
        <v>72</v>
      </c>
      <c r="F56" s="186" t="s">
        <v>83</v>
      </c>
      <c r="G56" s="186" t="s">
        <v>74</v>
      </c>
      <c r="H56" s="187"/>
      <c r="I56" s="187"/>
      <c r="J56" s="216"/>
      <c r="K56" s="217"/>
      <c r="M56" s="218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</row>
    <row r="57" s="164" customFormat="1" ht="14.5" spans="1:32">
      <c r="A57" s="184" t="s">
        <v>80</v>
      </c>
      <c r="B57" s="185" t="s">
        <v>84</v>
      </c>
      <c r="C57" s="185" t="s">
        <v>85</v>
      </c>
      <c r="D57" s="186" t="s">
        <v>71</v>
      </c>
      <c r="E57" s="187" t="s">
        <v>72</v>
      </c>
      <c r="F57" s="186" t="s">
        <v>83</v>
      </c>
      <c r="G57" s="186" t="s">
        <v>74</v>
      </c>
      <c r="H57" s="187"/>
      <c r="I57" s="187"/>
      <c r="J57" s="216"/>
      <c r="K57" s="217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F57" s="219"/>
    </row>
    <row r="58" s="164" customFormat="1" ht="14.5" spans="1:32">
      <c r="A58" s="184" t="s">
        <v>80</v>
      </c>
      <c r="B58" s="187" t="s">
        <v>86</v>
      </c>
      <c r="C58" s="187" t="s">
        <v>87</v>
      </c>
      <c r="D58" s="188" t="s">
        <v>71</v>
      </c>
      <c r="E58" s="187" t="s">
        <v>72</v>
      </c>
      <c r="F58" s="186" t="s">
        <v>83</v>
      </c>
      <c r="G58" s="186" t="s">
        <v>74</v>
      </c>
      <c r="H58" s="187"/>
      <c r="I58" s="187"/>
      <c r="J58" s="216"/>
      <c r="K58" s="217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F58" s="219"/>
    </row>
    <row r="59" s="164" customFormat="1" ht="14.5" spans="1:32">
      <c r="A59" s="184" t="s">
        <v>80</v>
      </c>
      <c r="B59" s="189" t="s">
        <v>88</v>
      </c>
      <c r="C59" s="189" t="s">
        <v>89</v>
      </c>
      <c r="D59" s="190" t="s">
        <v>71</v>
      </c>
      <c r="E59" s="187" t="s">
        <v>72</v>
      </c>
      <c r="F59" s="186" t="s">
        <v>83</v>
      </c>
      <c r="G59" s="186" t="s">
        <v>74</v>
      </c>
      <c r="H59" s="189"/>
      <c r="I59" s="187"/>
      <c r="J59" s="216"/>
      <c r="K59" s="217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F59" s="219"/>
    </row>
    <row r="60" s="164" customFormat="1" ht="14.5" spans="1:32">
      <c r="A60" s="184" t="s">
        <v>90</v>
      </c>
      <c r="B60" s="185" t="str">
        <f t="shared" ref="B60:B69" si="0">"P_"&amp;B47</f>
        <v>P_ESTCAESS101_24h</v>
      </c>
      <c r="C60" s="184" t="str">
        <f t="shared" ref="C60:C69" si="1">C47&amp;" (accompanying tech to represent power)"</f>
        <v>CAES ELC Storage: DayNite---Compressed Air Energy Storage (accompanying tech to represent power)</v>
      </c>
      <c r="D60" s="186" t="s">
        <v>71</v>
      </c>
      <c r="E60" s="185" t="s">
        <v>72</v>
      </c>
      <c r="F60" s="186" t="s">
        <v>73</v>
      </c>
      <c r="G60" s="186" t="s">
        <v>74</v>
      </c>
      <c r="H60" s="186"/>
      <c r="I60" s="186"/>
      <c r="J60" s="220"/>
      <c r="L60" s="221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F60" s="219"/>
    </row>
    <row r="61" s="164" customFormat="1" ht="14.5" spans="1:32">
      <c r="A61" s="184" t="s">
        <v>90</v>
      </c>
      <c r="B61" s="185" t="str">
        <f t="shared" si="0"/>
        <v>P_*</v>
      </c>
      <c r="C61" s="184" t="str">
        <f t="shared" si="1"/>
        <v> (accompanying tech to represent power)</v>
      </c>
      <c r="D61" s="186" t="s">
        <v>71</v>
      </c>
      <c r="E61" s="185" t="s">
        <v>72</v>
      </c>
      <c r="F61" s="186" t="s">
        <v>73</v>
      </c>
      <c r="G61" s="186" t="s">
        <v>74</v>
      </c>
      <c r="H61" s="185"/>
      <c r="I61" s="185"/>
      <c r="J61" s="222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F61" s="219"/>
    </row>
    <row r="62" s="164" customFormat="1" ht="14.5" spans="1:32">
      <c r="A62" s="184" t="s">
        <v>90</v>
      </c>
      <c r="B62" s="187" t="str">
        <f t="shared" si="0"/>
        <v>P_ESTHYDPS101_10h</v>
      </c>
      <c r="C62" s="191" t="str">
        <f t="shared" si="1"/>
        <v>Pumped Hydro ELC Storage: DayNite (accompanying tech to represent power)</v>
      </c>
      <c r="D62" s="188" t="s">
        <v>71</v>
      </c>
      <c r="E62" s="187" t="s">
        <v>72</v>
      </c>
      <c r="F62" s="188" t="s">
        <v>73</v>
      </c>
      <c r="G62" s="186" t="s">
        <v>74</v>
      </c>
      <c r="H62" s="187"/>
      <c r="I62" s="187"/>
      <c r="J62" s="216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F62" s="219"/>
    </row>
    <row r="63" s="164" customFormat="1" ht="14.5" spans="1:32">
      <c r="A63" s="184" t="s">
        <v>90</v>
      </c>
      <c r="B63" s="192" t="str">
        <f t="shared" si="0"/>
        <v>P_ESTBATS101_2h</v>
      </c>
      <c r="C63" s="192" t="str">
        <f t="shared" si="1"/>
        <v>Battery (Lead-acid) Bulk ELC Storage: DayNite (accompanying tech to represent power)</v>
      </c>
      <c r="D63" s="188" t="s">
        <v>71</v>
      </c>
      <c r="E63" s="187" t="s">
        <v>72</v>
      </c>
      <c r="F63" s="188" t="s">
        <v>73</v>
      </c>
      <c r="G63" s="186" t="s">
        <v>74</v>
      </c>
      <c r="H63" s="187"/>
      <c r="I63" s="187"/>
      <c r="J63" s="216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F63" s="219"/>
    </row>
    <row r="64" s="164" customFormat="1" ht="14.5" spans="1:32">
      <c r="A64" s="184" t="s">
        <v>90</v>
      </c>
      <c r="B64" s="192" t="str">
        <f t="shared" si="0"/>
        <v>P_ESTBATS102_2h</v>
      </c>
      <c r="C64" s="192" t="str">
        <f t="shared" si="1"/>
        <v>Battery (Li-ion) Bulk ELC Storage: DayNite: NMC (accompanying tech to represent power)</v>
      </c>
      <c r="D64" s="188" t="s">
        <v>71</v>
      </c>
      <c r="E64" s="187" t="s">
        <v>72</v>
      </c>
      <c r="F64" s="188" t="s">
        <v>73</v>
      </c>
      <c r="G64" s="186" t="s">
        <v>74</v>
      </c>
      <c r="H64" s="187"/>
      <c r="I64" s="187"/>
      <c r="J64" s="216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F64" s="219"/>
    </row>
    <row r="65" s="164" customFormat="1" ht="14.5" spans="1:32">
      <c r="A65" s="184" t="s">
        <v>90</v>
      </c>
      <c r="B65" s="192" t="str">
        <f t="shared" si="0"/>
        <v>P_ESTBATS103_2h</v>
      </c>
      <c r="C65" s="192" t="str">
        <f t="shared" si="1"/>
        <v>Battery (Li-ion) Bulk ELC Storage: DayNite: LFP (accompanying tech to represent power)</v>
      </c>
      <c r="D65" s="188" t="s">
        <v>71</v>
      </c>
      <c r="E65" s="187" t="s">
        <v>72</v>
      </c>
      <c r="F65" s="188" t="s">
        <v>73</v>
      </c>
      <c r="G65" s="186" t="s">
        <v>74</v>
      </c>
      <c r="H65" s="187"/>
      <c r="I65" s="187"/>
      <c r="J65" s="216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F65" s="219"/>
    </row>
    <row r="66" s="164" customFormat="1" ht="14.5" spans="1:32">
      <c r="A66" s="184" t="s">
        <v>90</v>
      </c>
      <c r="B66" s="185" t="str">
        <f>"P_"&amp;B56</f>
        <v>P_ESTCAESS201</v>
      </c>
      <c r="C66" s="184" t="str">
        <f>C56&amp;" (accompanying tech to represent power)"</f>
        <v>Diabatic CAES ELC Storage: DayNite/Seasonal (accompanying tech to represent power)</v>
      </c>
      <c r="D66" s="186" t="s">
        <v>71</v>
      </c>
      <c r="E66" s="185" t="s">
        <v>72</v>
      </c>
      <c r="F66" s="186" t="s">
        <v>83</v>
      </c>
      <c r="G66" s="186" t="s">
        <v>74</v>
      </c>
      <c r="H66" s="187"/>
      <c r="I66" s="187"/>
      <c r="J66" s="216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F66" s="219"/>
    </row>
    <row r="67" s="164" customFormat="1" ht="14.5" spans="1:32">
      <c r="A67" s="184" t="s">
        <v>90</v>
      </c>
      <c r="B67" s="187" t="str">
        <f>"P_"&amp;B57</f>
        <v>P_ESTHYDPS201</v>
      </c>
      <c r="C67" s="191" t="str">
        <f>C57&amp;" (accompanying tech to represent power)"</f>
        <v>Pumped Hydro ELC Storage: DayNite/Seasonal (accompanying tech to represent power)</v>
      </c>
      <c r="D67" s="188" t="s">
        <v>71</v>
      </c>
      <c r="E67" s="187" t="s">
        <v>72</v>
      </c>
      <c r="F67" s="186" t="s">
        <v>83</v>
      </c>
      <c r="G67" s="186" t="s">
        <v>74</v>
      </c>
      <c r="H67" s="187"/>
      <c r="I67" s="187"/>
      <c r="J67" s="216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F67" s="219"/>
    </row>
    <row r="68" s="164" customFormat="1" ht="14.5" spans="1:32">
      <c r="A68" s="184" t="s">
        <v>90</v>
      </c>
      <c r="B68" s="192" t="str">
        <f>"P_"&amp;B58</f>
        <v>P_ESTBATS201</v>
      </c>
      <c r="C68" s="192" t="str">
        <f>C58&amp;" (accompanying tech to represent power)"</f>
        <v>Battery (Lead-acid) Bulk ELC Storage: DayNite/Seasonal (accompanying tech to represent power)</v>
      </c>
      <c r="D68" s="188" t="s">
        <v>71</v>
      </c>
      <c r="E68" s="187" t="s">
        <v>72</v>
      </c>
      <c r="F68" s="186" t="s">
        <v>83</v>
      </c>
      <c r="G68" s="186" t="s">
        <v>74</v>
      </c>
      <c r="H68" s="187"/>
      <c r="I68" s="187"/>
      <c r="J68" s="216"/>
      <c r="AC68" s="219"/>
      <c r="AF68" s="219"/>
    </row>
    <row r="69" s="164" customFormat="1" ht="14.5" spans="1:32">
      <c r="A69" s="184" t="s">
        <v>90</v>
      </c>
      <c r="B69" s="239" t="str">
        <f>"P_"&amp;B59</f>
        <v>P_ESTBATS202</v>
      </c>
      <c r="C69" s="239" t="str">
        <f>C59&amp;" (accompanying tech to represent power)"</f>
        <v>Battery (Li-ion) Bulk ELC Storage: DayNite/Seasonal (accompanying tech to represent power)</v>
      </c>
      <c r="D69" s="190" t="s">
        <v>71</v>
      </c>
      <c r="E69" s="189" t="s">
        <v>72</v>
      </c>
      <c r="F69" s="186" t="s">
        <v>83</v>
      </c>
      <c r="G69" s="186" t="s">
        <v>74</v>
      </c>
      <c r="H69" s="189"/>
      <c r="I69" s="187"/>
      <c r="J69" s="216"/>
      <c r="AC69" s="219"/>
      <c r="AF69" s="219"/>
    </row>
    <row r="70" s="164" customFormat="1" ht="14.5" spans="1:29">
      <c r="A70" s="240" t="s">
        <v>90</v>
      </c>
      <c r="B70" s="240" t="s">
        <v>91</v>
      </c>
      <c r="C70" s="240" t="s">
        <v>92</v>
      </c>
      <c r="D70" s="241" t="s">
        <v>71</v>
      </c>
      <c r="E70" s="240" t="s">
        <v>93</v>
      </c>
      <c r="F70" s="241" t="s">
        <v>73</v>
      </c>
      <c r="G70" s="186" t="s">
        <v>74</v>
      </c>
      <c r="H70" s="241"/>
      <c r="I70" s="188"/>
      <c r="J70" s="243"/>
      <c r="AC70" s="219"/>
    </row>
    <row r="71" s="164" customFormat="1" ht="14.5" spans="1:29">
      <c r="A71" s="187" t="s">
        <v>94</v>
      </c>
      <c r="B71" s="186" t="s">
        <v>95</v>
      </c>
      <c r="C71" s="186" t="s">
        <v>96</v>
      </c>
      <c r="D71" s="188" t="s">
        <v>71</v>
      </c>
      <c r="E71" s="186"/>
      <c r="F71" s="188" t="s">
        <v>73</v>
      </c>
      <c r="G71" s="186" t="s">
        <v>74</v>
      </c>
      <c r="H71" s="186"/>
      <c r="I71" s="186"/>
      <c r="J71" s="220"/>
      <c r="AC71" s="219"/>
    </row>
    <row r="77" ht="14.5" spans="1:29">
      <c r="A77" s="52" t="s">
        <v>97</v>
      </c>
      <c r="B77" s="146"/>
      <c r="C77" s="146"/>
      <c r="D77" s="146"/>
      <c r="E77" s="146"/>
      <c r="F77" s="146"/>
      <c r="G77" s="146"/>
      <c r="H77" s="146"/>
      <c r="I77" s="146"/>
      <c r="J77" s="154"/>
      <c r="K77" s="22"/>
      <c r="AC77" s="115"/>
    </row>
    <row r="78" ht="14.5" spans="1:29">
      <c r="A78" s="147" t="s">
        <v>98</v>
      </c>
      <c r="B78" s="147" t="s">
        <v>99</v>
      </c>
      <c r="C78" s="147" t="s">
        <v>100</v>
      </c>
      <c r="D78" s="148" t="s">
        <v>101</v>
      </c>
      <c r="E78" s="148" t="s">
        <v>102</v>
      </c>
      <c r="F78" s="148" t="s">
        <v>103</v>
      </c>
      <c r="G78" s="148" t="s">
        <v>104</v>
      </c>
      <c r="H78" s="148" t="s">
        <v>105</v>
      </c>
      <c r="I78" s="155"/>
      <c r="J78" s="156"/>
      <c r="K78" s="22"/>
      <c r="AC78" s="115"/>
    </row>
    <row r="79" ht="25.75" spans="1:29">
      <c r="A79" s="149" t="s">
        <v>106</v>
      </c>
      <c r="B79" s="149" t="s">
        <v>107</v>
      </c>
      <c r="C79" s="149" t="s">
        <v>108</v>
      </c>
      <c r="D79" s="149" t="s">
        <v>101</v>
      </c>
      <c r="E79" s="149" t="s">
        <v>109</v>
      </c>
      <c r="F79" s="149" t="s">
        <v>110</v>
      </c>
      <c r="G79" s="149" t="s">
        <v>111</v>
      </c>
      <c r="H79" s="149" t="s">
        <v>112</v>
      </c>
      <c r="I79" s="108"/>
      <c r="J79" s="109"/>
      <c r="K79" s="22"/>
      <c r="N79" s="22"/>
      <c r="O79" s="22"/>
      <c r="P79" s="22"/>
      <c r="Q79" s="22"/>
      <c r="R79" s="2"/>
      <c r="S79" s="22"/>
      <c r="AC79" s="115"/>
    </row>
    <row r="83" s="164" customFormat="1" ht="14.5" spans="1:29">
      <c r="A83" s="185" t="s">
        <v>113</v>
      </c>
      <c r="B83" s="185" t="str">
        <f t="shared" ref="B83:B92" si="2">"AUX_"&amp;B47</f>
        <v>AUX_ESTCAESS101_24h</v>
      </c>
      <c r="C83" s="185" t="str">
        <f t="shared" ref="C83:C92" si="3">"Auxiliary input for "&amp;C47</f>
        <v>Auxiliary input for CAES ELC Storage: DayNite---Compressed Air Energy Storage</v>
      </c>
      <c r="D83" s="185" t="s">
        <v>71</v>
      </c>
      <c r="E83" s="187" t="s">
        <v>114</v>
      </c>
      <c r="F83" s="185" t="s">
        <v>73</v>
      </c>
      <c r="G83" s="185"/>
      <c r="H83" s="185"/>
      <c r="I83" s="185"/>
      <c r="J83" s="222"/>
      <c r="K83" s="244"/>
      <c r="N83" s="244"/>
      <c r="O83" s="244"/>
      <c r="P83" s="244"/>
      <c r="Q83" s="244"/>
      <c r="S83" s="244"/>
      <c r="AC83" s="219"/>
    </row>
    <row r="84" s="164" customFormat="1" ht="14.5" spans="1:29">
      <c r="A84" s="185"/>
      <c r="B84" s="185" t="str">
        <f t="shared" si="2"/>
        <v>AUX_*</v>
      </c>
      <c r="C84" s="185" t="str">
        <f t="shared" si="3"/>
        <v>Auxiliary input for </v>
      </c>
      <c r="D84" s="185" t="s">
        <v>71</v>
      </c>
      <c r="E84" s="187" t="s">
        <v>114</v>
      </c>
      <c r="F84" s="185" t="s">
        <v>73</v>
      </c>
      <c r="G84" s="185"/>
      <c r="H84" s="185"/>
      <c r="I84" s="185"/>
      <c r="J84" s="222"/>
      <c r="K84" s="244"/>
      <c r="AC84" s="219"/>
    </row>
    <row r="85" s="164" customFormat="1" ht="14.5" spans="1:29">
      <c r="A85" s="185"/>
      <c r="B85" s="185" t="str">
        <f t="shared" si="2"/>
        <v>AUX_ESTHYDPS101_10h</v>
      </c>
      <c r="C85" s="185" t="str">
        <f t="shared" si="3"/>
        <v>Auxiliary input for Pumped Hydro ELC Storage: DayNite</v>
      </c>
      <c r="D85" s="185" t="s">
        <v>71</v>
      </c>
      <c r="E85" s="187" t="s">
        <v>114</v>
      </c>
      <c r="F85" s="185" t="s">
        <v>73</v>
      </c>
      <c r="G85" s="185"/>
      <c r="H85" s="185"/>
      <c r="I85" s="185"/>
      <c r="J85" s="222"/>
      <c r="K85" s="244"/>
      <c r="AC85" s="219"/>
    </row>
    <row r="86" s="164" customFormat="1" ht="14.5" spans="1:29">
      <c r="A86" s="185"/>
      <c r="B86" s="185" t="str">
        <f t="shared" si="2"/>
        <v>AUX_ESTBATS101_2h</v>
      </c>
      <c r="C86" s="185" t="str">
        <f t="shared" si="3"/>
        <v>Auxiliary input for Battery (Lead-acid) Bulk ELC Storage: DayNite</v>
      </c>
      <c r="D86" s="185" t="s">
        <v>71</v>
      </c>
      <c r="E86" s="187" t="s">
        <v>114</v>
      </c>
      <c r="F86" s="185" t="s">
        <v>73</v>
      </c>
      <c r="G86" s="185"/>
      <c r="H86" s="185"/>
      <c r="I86" s="185"/>
      <c r="J86" s="222"/>
      <c r="AC86" s="219"/>
    </row>
    <row r="87" s="164" customFormat="1" ht="14.5" spans="1:29">
      <c r="A87" s="185"/>
      <c r="B87" s="185" t="str">
        <f t="shared" si="2"/>
        <v>AUX_ESTBATS102_2h</v>
      </c>
      <c r="C87" s="185" t="str">
        <f t="shared" si="3"/>
        <v>Auxiliary input for Battery (Li-ion) Bulk ELC Storage: DayNite: NMC</v>
      </c>
      <c r="D87" s="185" t="s">
        <v>71</v>
      </c>
      <c r="E87" s="187" t="s">
        <v>114</v>
      </c>
      <c r="F87" s="185" t="s">
        <v>73</v>
      </c>
      <c r="G87" s="185"/>
      <c r="H87" s="185"/>
      <c r="I87" s="185"/>
      <c r="J87" s="222"/>
      <c r="AC87" s="219"/>
    </row>
    <row r="88" s="164" customFormat="1" ht="14.5" spans="1:29">
      <c r="A88" s="185"/>
      <c r="B88" s="185" t="str">
        <f t="shared" si="2"/>
        <v>AUX_ESTBATS103_2h</v>
      </c>
      <c r="C88" s="185" t="str">
        <f t="shared" si="3"/>
        <v>Auxiliary input for Battery (Li-ion) Bulk ELC Storage: DayNite: LFP</v>
      </c>
      <c r="D88" s="185" t="s">
        <v>71</v>
      </c>
      <c r="E88" s="187" t="s">
        <v>114</v>
      </c>
      <c r="F88" s="185" t="s">
        <v>73</v>
      </c>
      <c r="G88" s="185"/>
      <c r="H88" s="185"/>
      <c r="I88" s="185"/>
      <c r="J88" s="222"/>
      <c r="N88" s="244"/>
      <c r="O88" s="244"/>
      <c r="P88" s="244"/>
      <c r="Q88" s="244"/>
      <c r="S88" s="244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</row>
    <row r="89" s="164" customFormat="1" ht="14.5" spans="1:29">
      <c r="A89" s="185"/>
      <c r="B89" s="185" t="str">
        <f>"AUX_"&amp;B56</f>
        <v>AUX_ESTCAESS201</v>
      </c>
      <c r="C89" s="185" t="str">
        <f>"Auxiliary input for "&amp;C56</f>
        <v>Auxiliary input for Diabatic CAES ELC Storage: DayNite/Seasonal</v>
      </c>
      <c r="D89" s="185" t="s">
        <v>71</v>
      </c>
      <c r="E89" s="187" t="s">
        <v>114</v>
      </c>
      <c r="F89" s="185" t="s">
        <v>73</v>
      </c>
      <c r="G89" s="185"/>
      <c r="H89" s="185"/>
      <c r="I89" s="185"/>
      <c r="J89" s="222"/>
      <c r="N89" s="244"/>
      <c r="O89" s="244"/>
      <c r="P89" s="244"/>
      <c r="Q89" s="244"/>
      <c r="S89" s="244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</row>
    <row r="90" s="164" customFormat="1" ht="14.5" spans="1:26">
      <c r="A90" s="185"/>
      <c r="B90" s="185" t="str">
        <f>"AUX_"&amp;B57</f>
        <v>AUX_ESTHYDPS201</v>
      </c>
      <c r="C90" s="185" t="str">
        <f>"Auxiliary input for "&amp;C57</f>
        <v>Auxiliary input for Pumped Hydro ELC Storage: DayNite/Seasonal</v>
      </c>
      <c r="D90" s="185" t="s">
        <v>71</v>
      </c>
      <c r="E90" s="187" t="s">
        <v>114</v>
      </c>
      <c r="F90" s="185" t="s">
        <v>73</v>
      </c>
      <c r="G90" s="185"/>
      <c r="H90" s="185"/>
      <c r="I90" s="185"/>
      <c r="J90" s="222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</row>
    <row r="91" s="164" customFormat="1" ht="14.5" spans="1:26">
      <c r="A91" s="185"/>
      <c r="B91" s="185" t="str">
        <f>"AUX_"&amp;B58</f>
        <v>AUX_ESTBATS201</v>
      </c>
      <c r="C91" s="185" t="str">
        <f>"Auxiliary input for "&amp;C58</f>
        <v>Auxiliary input for Battery (Lead-acid) Bulk ELC Storage: DayNite/Seasonal</v>
      </c>
      <c r="D91" s="185" t="s">
        <v>71</v>
      </c>
      <c r="E91" s="187" t="s">
        <v>114</v>
      </c>
      <c r="F91" s="185" t="s">
        <v>73</v>
      </c>
      <c r="G91" s="185"/>
      <c r="H91" s="185"/>
      <c r="I91" s="185"/>
      <c r="J91" s="222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</row>
    <row r="92" s="164" customFormat="1" ht="14.5" spans="1:26">
      <c r="A92" s="185"/>
      <c r="B92" s="187" t="str">
        <f>"AUX_"&amp;B59</f>
        <v>AUX_ESTBATS202</v>
      </c>
      <c r="C92" s="187" t="str">
        <f>"Auxiliary input for "&amp;C59</f>
        <v>Auxiliary input for Battery (Li-ion) Bulk ELC Storage: DayNite/Seasonal</v>
      </c>
      <c r="D92" s="187" t="s">
        <v>71</v>
      </c>
      <c r="E92" s="187" t="s">
        <v>114</v>
      </c>
      <c r="F92" s="187" t="s">
        <v>73</v>
      </c>
      <c r="G92" s="188"/>
      <c r="H92" s="188"/>
      <c r="I92" s="188"/>
      <c r="J92" s="243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</row>
    <row r="93" s="164" customFormat="1" ht="14.5" spans="1:26">
      <c r="A93" s="188" t="s">
        <v>74</v>
      </c>
      <c r="B93" s="187" t="s">
        <v>115</v>
      </c>
      <c r="C93" s="187" t="s">
        <v>116</v>
      </c>
      <c r="D93" s="187" t="s">
        <v>71</v>
      </c>
      <c r="E93" s="187" t="s">
        <v>114</v>
      </c>
      <c r="F93" s="187" t="s">
        <v>73</v>
      </c>
      <c r="G93" s="188"/>
      <c r="H93" s="188"/>
      <c r="I93" s="188"/>
      <c r="J93" s="243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</row>
    <row r="94" s="164" customFormat="1" ht="14.5" spans="1:17">
      <c r="A94" s="188" t="s">
        <v>74</v>
      </c>
      <c r="B94" s="189" t="s">
        <v>117</v>
      </c>
      <c r="C94" s="189" t="s">
        <v>118</v>
      </c>
      <c r="D94" s="189" t="s">
        <v>71</v>
      </c>
      <c r="E94" s="190"/>
      <c r="F94" s="189" t="s">
        <v>73</v>
      </c>
      <c r="G94" s="189"/>
      <c r="H94" s="189"/>
      <c r="I94" s="219"/>
      <c r="J94" s="219"/>
      <c r="K94" s="219"/>
      <c r="L94" s="219"/>
      <c r="M94" s="219"/>
      <c r="N94" s="219"/>
      <c r="O94" s="219"/>
      <c r="P94" s="219"/>
      <c r="Q94" s="219"/>
    </row>
    <row r="95" s="164" customFormat="1" spans="1:10">
      <c r="A95" s="188" t="s">
        <v>74</v>
      </c>
      <c r="B95" s="242" t="s">
        <v>49</v>
      </c>
      <c r="D95" s="189" t="s">
        <v>71</v>
      </c>
      <c r="F95" s="189" t="s">
        <v>73</v>
      </c>
      <c r="J95" s="220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6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="5" customFormat="1" ht="15" customHeight="1" spans="1:26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="6" customFormat="1" spans="1:26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="6" customFormat="1" spans="1:26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2" spans="14:26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" spans="14:26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3:26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" spans="1:26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zoomScale="53" zoomScaleNormal="53" workbookViewId="0">
      <selection activeCell="C39" sqref="C39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119</v>
      </c>
      <c r="S1" s="1" t="s">
        <v>3</v>
      </c>
    </row>
    <row r="2" ht="15.5" spans="1:16">
      <c r="A2" s="10"/>
      <c r="G2" s="7" t="s">
        <v>120</v>
      </c>
      <c r="P2" s="1" t="s">
        <v>4</v>
      </c>
    </row>
    <row r="3" ht="13" spans="5:27">
      <c r="E3" s="11"/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70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23</v>
      </c>
      <c r="R4" s="14" t="s">
        <v>24</v>
      </c>
      <c r="S4" s="14" t="s">
        <v>25</v>
      </c>
      <c r="T4" s="14" t="s">
        <v>26</v>
      </c>
      <c r="U4" s="116" t="s">
        <v>27</v>
      </c>
      <c r="V4" s="116" t="s">
        <v>28</v>
      </c>
      <c r="W4" s="116" t="s">
        <v>29</v>
      </c>
      <c r="Y4" s="136"/>
      <c r="Z4" s="137"/>
      <c r="AA4" s="137"/>
    </row>
    <row r="5" ht="38.25" spans="1:27">
      <c r="A5" s="15" t="s">
        <v>32</v>
      </c>
      <c r="B5" s="15" t="s">
        <v>33</v>
      </c>
      <c r="C5" s="15" t="s">
        <v>34</v>
      </c>
      <c r="D5" s="15" t="s">
        <v>35</v>
      </c>
      <c r="E5" s="15" t="s">
        <v>36</v>
      </c>
      <c r="F5" s="16"/>
      <c r="G5" s="16" t="s">
        <v>37</v>
      </c>
      <c r="H5" s="16" t="s">
        <v>38</v>
      </c>
      <c r="I5" s="16"/>
      <c r="J5" s="71"/>
      <c r="K5" s="16"/>
      <c r="L5" s="16"/>
      <c r="M5" s="16" t="s">
        <v>39</v>
      </c>
      <c r="N5" s="16" t="s">
        <v>39</v>
      </c>
      <c r="O5" s="16" t="s">
        <v>39</v>
      </c>
      <c r="P5" s="16" t="s">
        <v>39</v>
      </c>
      <c r="Q5" s="16" t="s">
        <v>40</v>
      </c>
      <c r="R5" s="16"/>
      <c r="S5" s="16" t="s">
        <v>41</v>
      </c>
      <c r="T5" s="16" t="s">
        <v>42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44</v>
      </c>
      <c r="C6" s="17"/>
      <c r="D6" s="17" t="s">
        <v>44</v>
      </c>
      <c r="E6" s="17"/>
      <c r="F6" s="18">
        <v>2021</v>
      </c>
      <c r="G6" s="19">
        <v>60</v>
      </c>
      <c r="H6" s="20">
        <v>0.52</v>
      </c>
      <c r="I6" s="20">
        <f t="shared" ref="I6:I10" si="0">H6</f>
        <v>0.52</v>
      </c>
      <c r="J6" s="72">
        <v>5</v>
      </c>
      <c r="K6" s="72"/>
      <c r="L6" s="72"/>
      <c r="M6" s="73">
        <f>1181*1.35*45/(45+763)</f>
        <v>88.794245049505</v>
      </c>
      <c r="N6" s="73">
        <f>M6*0.4</f>
        <v>35.517698019802</v>
      </c>
      <c r="O6" s="73">
        <f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/>
      <c r="Z6" s="19"/>
      <c r="AA6" s="19"/>
      <c r="AC6" s="7">
        <f t="shared" ref="AC6:AG6" si="1">M6*1.45</f>
        <v>128.751655321782</v>
      </c>
      <c r="AE6" s="7">
        <f t="shared" si="1"/>
        <v>32.1879138304455</v>
      </c>
      <c r="AF6" s="7">
        <f t="shared" si="1"/>
        <v>0.0968832</v>
      </c>
      <c r="AG6" s="7">
        <f t="shared" si="1"/>
        <v>0</v>
      </c>
    </row>
    <row r="7" spans="1:33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15" si="4">Q7*1.45</f>
        <v>0</v>
      </c>
    </row>
    <row r="8" spans="1:33">
      <c r="A8" s="22" t="str">
        <f>B48</f>
        <v>ESTCAESS102_4h</v>
      </c>
      <c r="B8" s="22" t="s">
        <v>44</v>
      </c>
      <c r="C8" s="22"/>
      <c r="D8" s="22" t="s">
        <v>44</v>
      </c>
      <c r="E8" s="22"/>
      <c r="F8" s="18">
        <v>2021</v>
      </c>
      <c r="G8" s="23">
        <v>60</v>
      </c>
      <c r="H8" s="24">
        <v>0.52</v>
      </c>
      <c r="I8" s="24">
        <f t="shared" si="0"/>
        <v>0.52</v>
      </c>
      <c r="J8" s="75">
        <v>5</v>
      </c>
      <c r="K8" s="76"/>
      <c r="L8" s="76"/>
      <c r="M8" s="77">
        <f>M6*66/45</f>
        <v>130.231559405941</v>
      </c>
      <c r="N8" s="73">
        <f>M8*0.4</f>
        <v>52.0926237623762</v>
      </c>
      <c r="O8" s="73">
        <f>M8*0.25</f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/>
      <c r="Z8" s="23"/>
      <c r="AA8" s="23"/>
      <c r="AC8" s="7">
        <f t="shared" ref="AC8:AG8" si="5">M8*1.45</f>
        <v>188.835761138614</v>
      </c>
      <c r="AE8" s="7">
        <f t="shared" si="5"/>
        <v>47.2089402846535</v>
      </c>
      <c r="AF8" s="7">
        <f t="shared" si="5"/>
        <v>0.0968832</v>
      </c>
      <c r="AG8" s="7">
        <f t="shared" si="5"/>
        <v>0</v>
      </c>
    </row>
    <row r="9" spans="1:33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4"/>
        <v>0</v>
      </c>
    </row>
    <row r="10" spans="1:33">
      <c r="A10" s="17" t="str">
        <f>B49</f>
        <v>ESTHYDPS101_4h</v>
      </c>
      <c r="B10" s="17" t="s">
        <v>44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 t="shared" si="0"/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/>
      <c r="Z10" s="19"/>
      <c r="AA10" s="19"/>
      <c r="AC10" s="7">
        <f t="shared" ref="AC10:AC14" si="6">M10*1.45</f>
        <v>453.605123339658</v>
      </c>
      <c r="AE10" s="7">
        <f t="shared" ref="AE10:AE14" si="7">O10*1.45</f>
        <v>453.605123339658</v>
      </c>
      <c r="AG10" s="7">
        <f t="shared" si="4"/>
        <v>0</v>
      </c>
    </row>
    <row r="11" spans="1:33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4"/>
        <v>0</v>
      </c>
    </row>
    <row r="12" spans="1:33">
      <c r="A12" s="22" t="str">
        <f>B50</f>
        <v>ESTBATS101_4h</v>
      </c>
      <c r="B12" s="22" t="s">
        <v>44</v>
      </c>
      <c r="C12" s="22"/>
      <c r="D12" s="22" t="s">
        <v>44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/>
      <c r="Z12" s="23"/>
      <c r="AA12" s="23"/>
      <c r="AC12" s="7">
        <f t="shared" si="6"/>
        <v>1499.55296081277</v>
      </c>
      <c r="AE12" s="7">
        <f t="shared" si="7"/>
        <v>374.888240203193</v>
      </c>
      <c r="AG12" s="7">
        <f t="shared" si="4"/>
        <v>0</v>
      </c>
    </row>
    <row r="13" spans="1:33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4"/>
        <v>0</v>
      </c>
    </row>
    <row r="14" s="1" customFormat="1" spans="1:33">
      <c r="A14" s="27" t="str">
        <f>B51</f>
        <v>ESTBATS102_4h</v>
      </c>
      <c r="B14" s="27" t="s">
        <v>44</v>
      </c>
      <c r="C14" s="27"/>
      <c r="D14" s="27" t="s">
        <v>44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9" si="8">M14*0.4</f>
        <v>706.814579439252</v>
      </c>
      <c r="O14" s="80">
        <f t="shared" ref="O14:O19" si="9">M14*0.25</f>
        <v>441.759112149533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/>
      <c r="Z14" s="25"/>
      <c r="AA14" s="25"/>
      <c r="AC14" s="1">
        <f t="shared" si="6"/>
        <v>2562.20285046729</v>
      </c>
      <c r="AD14" s="1">
        <f>N14*1.45</f>
        <v>1024.88114018692</v>
      </c>
      <c r="AE14" s="1">
        <f t="shared" si="7"/>
        <v>640.550712616822</v>
      </c>
      <c r="AG14" s="1">
        <f t="shared" si="4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4"/>
        <v>0</v>
      </c>
    </row>
    <row r="16" spans="1:27">
      <c r="A16" s="22" t="s">
        <v>75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118"/>
      <c r="R16" s="119"/>
      <c r="S16" s="23"/>
      <c r="T16" s="23"/>
      <c r="U16" s="23"/>
      <c r="V16" s="23"/>
      <c r="W16" s="23"/>
      <c r="Y16" s="129"/>
      <c r="Z16" s="23"/>
      <c r="AA16" s="23"/>
    </row>
    <row r="17" spans="1:27">
      <c r="A17" s="22" t="s">
        <v>75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</row>
    <row r="18" s="2" customFormat="1" spans="1:33">
      <c r="A18" s="29" t="str">
        <f t="shared" ref="A18:A22" si="10">B57</f>
        <v>P_ESTCAESS101_4h</v>
      </c>
      <c r="B18" s="29" t="s">
        <v>49</v>
      </c>
      <c r="C18" s="29"/>
      <c r="D18" s="29" t="str">
        <f t="shared" ref="D18:D23" si="11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si="8"/>
        <v>602.222301980198</v>
      </c>
      <c r="O18" s="77">
        <f t="shared" si="9"/>
        <v>376.388938737624</v>
      </c>
      <c r="P18" s="84">
        <f>16.11*1.35-0.01</f>
        <v>21.7385</v>
      </c>
      <c r="Q18" s="124"/>
      <c r="R18" s="125">
        <v>31.54</v>
      </c>
      <c r="S18" s="124"/>
      <c r="T18" s="124"/>
      <c r="U18" s="126"/>
      <c r="V18" s="126"/>
      <c r="W18" s="126"/>
      <c r="Y18" s="126"/>
      <c r="Z18" s="125"/>
      <c r="AA18" s="125"/>
      <c r="AC18" s="2">
        <f t="shared" ref="AC18:AG18" si="12">M18*1.45</f>
        <v>2183.05584467822</v>
      </c>
      <c r="AE18" s="2">
        <f t="shared" si="12"/>
        <v>545.763961169554</v>
      </c>
      <c r="AF18" s="2">
        <f t="shared" si="12"/>
        <v>31.520825</v>
      </c>
      <c r="AG18" s="2">
        <f t="shared" si="12"/>
        <v>0</v>
      </c>
    </row>
    <row r="19" s="2" customFormat="1" spans="1:33">
      <c r="A19" s="32" t="str">
        <f t="shared" si="10"/>
        <v>P_ESTCAESS102_4h</v>
      </c>
      <c r="B19" s="32" t="s">
        <v>49</v>
      </c>
      <c r="C19" s="32"/>
      <c r="D19" s="32" t="str">
        <f t="shared" si="11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8"/>
        <v>652.736361386139</v>
      </c>
      <c r="O19" s="77">
        <f t="shared" si="9"/>
        <v>407.960225866337</v>
      </c>
      <c r="P19" s="87">
        <f>16.11*1.35-0.01</f>
        <v>21.7385</v>
      </c>
      <c r="Q19" s="104"/>
      <c r="R19" s="110">
        <v>31.54</v>
      </c>
      <c r="S19" s="104"/>
      <c r="T19" s="104"/>
      <c r="U19" s="126"/>
      <c r="V19" s="126"/>
      <c r="W19" s="126"/>
      <c r="Y19" s="126"/>
      <c r="Z19" s="110"/>
      <c r="AA19" s="110"/>
      <c r="AC19" s="2">
        <f t="shared" ref="AC19:AG19" si="13">M19*1.45</f>
        <v>2366.16931002475</v>
      </c>
      <c r="AE19" s="2">
        <f t="shared" si="13"/>
        <v>591.542327506188</v>
      </c>
      <c r="AF19" s="2">
        <f t="shared" si="13"/>
        <v>31.520825</v>
      </c>
      <c r="AG19" s="2">
        <f t="shared" si="13"/>
        <v>0</v>
      </c>
    </row>
    <row r="20" s="2" customFormat="1" spans="1:33">
      <c r="A20" s="32" t="str">
        <f t="shared" si="10"/>
        <v>P_ESTHYDPS101_4h</v>
      </c>
      <c r="B20" s="32" t="s">
        <v>49</v>
      </c>
      <c r="C20" s="32"/>
      <c r="D20" s="32" t="str">
        <f t="shared" si="11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/>
      <c r="V20" s="126"/>
      <c r="W20" s="126"/>
      <c r="Y20" s="126"/>
      <c r="Z20" s="110"/>
      <c r="AA20" s="110"/>
      <c r="AC20" s="2">
        <f t="shared" ref="AC20:AG20" si="14">M20*1.45</f>
        <v>2913.29487666034</v>
      </c>
      <c r="AE20" s="2">
        <f t="shared" si="14"/>
        <v>2913.29487666034</v>
      </c>
      <c r="AF20" s="2">
        <f t="shared" si="14"/>
        <v>55.00575</v>
      </c>
      <c r="AG20" s="2">
        <f t="shared" si="14"/>
        <v>0</v>
      </c>
    </row>
    <row r="21" s="1" customFormat="1" spans="1:33">
      <c r="A21" s="34" t="str">
        <f t="shared" si="10"/>
        <v>P_ESTBATS101_4h</v>
      </c>
      <c r="B21" s="34" t="s">
        <v>49</v>
      </c>
      <c r="C21" s="34"/>
      <c r="D21" s="34" t="str">
        <f t="shared" si="11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ref="N21:N24" si="15">M21*0.4</f>
        <v>708.450217706822</v>
      </c>
      <c r="O21" s="80">
        <f t="shared" ref="O21:O24" si="16">M21*0.25</f>
        <v>442.781386066763</v>
      </c>
      <c r="P21" s="90">
        <f>7.13*1.35</f>
        <v>9.6255</v>
      </c>
      <c r="Q21" s="127"/>
      <c r="R21" s="128">
        <v>31.54</v>
      </c>
      <c r="S21" s="127"/>
      <c r="T21" s="127"/>
      <c r="U21" s="129"/>
      <c r="V21" s="129"/>
      <c r="W21" s="129"/>
      <c r="Y21" s="126"/>
      <c r="Z21" s="128"/>
      <c r="AA21" s="128"/>
      <c r="AC21" s="1">
        <f t="shared" ref="AC21:AG21" si="17">M21*1.45</f>
        <v>2568.13203918723</v>
      </c>
      <c r="AE21" s="1">
        <f t="shared" si="17"/>
        <v>642.033009796807</v>
      </c>
      <c r="AF21" s="1">
        <f t="shared" si="17"/>
        <v>13.956975</v>
      </c>
      <c r="AG21" s="1">
        <f t="shared" si="17"/>
        <v>0</v>
      </c>
    </row>
    <row r="22" s="1" customFormat="1" spans="1:33">
      <c r="A22" s="34" t="str">
        <f t="shared" si="10"/>
        <v>P_ESTBATS102_4h</v>
      </c>
      <c r="B22" s="34" t="s">
        <v>49</v>
      </c>
      <c r="C22" s="34"/>
      <c r="D22" s="34" t="str">
        <f t="shared" si="11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5"/>
        <v>321.615420560748</v>
      </c>
      <c r="O22" s="80">
        <f t="shared" si="16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/>
      <c r="V22" s="129"/>
      <c r="W22" s="129"/>
      <c r="Y22" s="126"/>
      <c r="Z22" s="128"/>
      <c r="AA22" s="128"/>
      <c r="AC22" s="1">
        <f t="shared" ref="AC22:AG22" si="18">M22*1.45</f>
        <v>1165.85589953271</v>
      </c>
      <c r="AE22" s="1">
        <f t="shared" si="18"/>
        <v>291.463974883178</v>
      </c>
      <c r="AF22" s="1">
        <f t="shared" si="18"/>
        <v>10.4236875</v>
      </c>
      <c r="AG22" s="1">
        <f t="shared" si="18"/>
        <v>0</v>
      </c>
    </row>
    <row r="23" s="2" customFormat="1" spans="1:33">
      <c r="A23" s="37" t="s">
        <v>75</v>
      </c>
      <c r="B23" s="37" t="s">
        <v>49</v>
      </c>
      <c r="C23" s="37"/>
      <c r="D23" s="37" t="str">
        <f t="shared" si="11"/>
        <v>AUX_ESTBATS103_4h</v>
      </c>
      <c r="E23" s="37"/>
      <c r="F23" s="38">
        <f>F16</f>
        <v>0</v>
      </c>
      <c r="G23" s="38">
        <f>G16</f>
        <v>0</v>
      </c>
      <c r="H23" s="31"/>
      <c r="I23" s="31"/>
      <c r="J23" s="85"/>
      <c r="K23" s="37"/>
      <c r="L23" s="37"/>
      <c r="M23" s="92">
        <f>1000*1.35*435/(445+435)*M12/(1214*1.35*(254)/(254+435))</f>
        <v>1142.26589411412</v>
      </c>
      <c r="N23" s="77">
        <f t="shared" si="15"/>
        <v>456.906357645649</v>
      </c>
      <c r="O23" s="77">
        <f t="shared" si="16"/>
        <v>285.566473528531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/>
      <c r="V23" s="126"/>
      <c r="W23" s="126"/>
      <c r="Y23" s="126"/>
      <c r="Z23" s="131"/>
      <c r="AA23" s="131"/>
      <c r="AC23" s="2">
        <f t="shared" ref="AC23:AG23" si="19">M23*1.45</f>
        <v>1656.28554646548</v>
      </c>
      <c r="AE23" s="2">
        <f t="shared" si="19"/>
        <v>414.07138661637</v>
      </c>
      <c r="AF23" s="2">
        <f t="shared" si="19"/>
        <v>15.1625755287009</v>
      </c>
      <c r="AG23" s="2">
        <f t="shared" si="19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44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20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5"/>
        <v>35.517698019802</v>
      </c>
      <c r="O24" s="73">
        <f t="shared" si="16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/>
      <c r="Z24" s="23"/>
      <c r="AA24" s="23"/>
      <c r="AC24" s="7">
        <f t="shared" ref="AC24:AG24" si="21">M24*1.45</f>
        <v>128.751655321782</v>
      </c>
      <c r="AE24" s="7">
        <f t="shared" si="21"/>
        <v>32.1879138304455</v>
      </c>
      <c r="AF24" s="7">
        <f t="shared" si="21"/>
        <v>0.0968832</v>
      </c>
      <c r="AG24" s="7">
        <f t="shared" si="21"/>
        <v>0</v>
      </c>
    </row>
    <row r="25" spans="1:33">
      <c r="A25" s="22"/>
      <c r="B25" s="22"/>
      <c r="C25" s="22" t="str">
        <f t="shared" ref="C25:C29" si="22">"AUX_"&amp;A24</f>
        <v>AUX_ESTCAESS201</v>
      </c>
      <c r="D25" s="22"/>
      <c r="E25" s="21" t="str">
        <f t="shared" ref="E25:E29" si="23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ref="AG25:AG28" si="24">Q25*1.45</f>
        <v>0</v>
      </c>
    </row>
    <row r="26" spans="1:33">
      <c r="A26" s="17" t="str">
        <f>B54</f>
        <v>ESTHYDPS201</v>
      </c>
      <c r="B26" s="17" t="s">
        <v>44</v>
      </c>
      <c r="C26" s="17"/>
      <c r="D26" s="17" t="str">
        <f>B26</f>
        <v>ELC</v>
      </c>
      <c r="E26" s="17"/>
      <c r="F26" s="19">
        <v>2021</v>
      </c>
      <c r="G26" s="19">
        <f t="shared" ref="G26:G30" si="25">G10</f>
        <v>60</v>
      </c>
      <c r="H26" s="20">
        <f t="shared" ref="H26:H30" si="26">H10-0.05</f>
        <v>0.75</v>
      </c>
      <c r="I26" s="20">
        <f t="shared" si="20"/>
        <v>0.75</v>
      </c>
      <c r="J26" s="72">
        <v>5</v>
      </c>
      <c r="K26" s="19"/>
      <c r="L26" s="19"/>
      <c r="M26" s="73">
        <f t="shared" ref="M26:M30" si="27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/>
      <c r="Z26" s="19"/>
      <c r="AA26" s="19"/>
      <c r="AC26" s="7">
        <f t="shared" ref="AC26:AG26" si="28">M26*1.45</f>
        <v>453.605123339658</v>
      </c>
      <c r="AE26" s="7">
        <f t="shared" si="28"/>
        <v>453.605123339658</v>
      </c>
      <c r="AG26" s="7">
        <f t="shared" si="28"/>
        <v>0</v>
      </c>
    </row>
    <row r="27" spans="1:33">
      <c r="A27" s="17"/>
      <c r="B27" s="17"/>
      <c r="C27" s="17" t="str">
        <f t="shared" si="22"/>
        <v>AUX_ESTHYDPS201</v>
      </c>
      <c r="D27" s="17"/>
      <c r="E27" s="21" t="str">
        <f t="shared" si="23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24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25"/>
        <v>12</v>
      </c>
      <c r="H28" s="40">
        <f t="shared" si="26"/>
        <v>0.66</v>
      </c>
      <c r="I28" s="20">
        <f t="shared" si="20"/>
        <v>0.66</v>
      </c>
      <c r="J28" s="95">
        <v>5</v>
      </c>
      <c r="K28" s="23"/>
      <c r="L28" s="23"/>
      <c r="M28" s="77">
        <f t="shared" si="27"/>
        <v>1034.17445573295</v>
      </c>
      <c r="N28" s="73">
        <f t="shared" ref="N28:N32" si="29">M28*0.4</f>
        <v>413.669782293179</v>
      </c>
      <c r="O28" s="73">
        <f t="shared" ref="O28:O32" si="30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/>
      <c r="Z28" s="23"/>
      <c r="AA28" s="23"/>
      <c r="AC28" s="7">
        <f>M28*1.45</f>
        <v>1499.55296081277</v>
      </c>
      <c r="AE28" s="7">
        <f>O28*1.45</f>
        <v>374.888240203193</v>
      </c>
      <c r="AG28" s="7">
        <f t="shared" si="24"/>
        <v>0</v>
      </c>
    </row>
    <row r="29" spans="1:27">
      <c r="A29" s="22"/>
      <c r="B29" s="22"/>
      <c r="C29" s="22" t="str">
        <f t="shared" si="22"/>
        <v>AUX_ESTBATS201</v>
      </c>
      <c r="D29" s="22"/>
      <c r="E29" s="21" t="str">
        <f t="shared" si="23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44</v>
      </c>
      <c r="C30" s="17"/>
      <c r="D30" s="17" t="s">
        <v>44</v>
      </c>
      <c r="E30" s="17"/>
      <c r="F30" s="19">
        <v>2021</v>
      </c>
      <c r="G30" s="19">
        <f t="shared" si="25"/>
        <v>15</v>
      </c>
      <c r="H30" s="20">
        <f t="shared" si="26"/>
        <v>0.78</v>
      </c>
      <c r="I30" s="20">
        <f>H30</f>
        <v>0.78</v>
      </c>
      <c r="J30" s="72">
        <v>5</v>
      </c>
      <c r="K30" s="19"/>
      <c r="L30" s="19"/>
      <c r="M30" s="73">
        <f t="shared" si="27"/>
        <v>1767.03644859813</v>
      </c>
      <c r="N30" s="73">
        <f t="shared" si="29"/>
        <v>706.814579439252</v>
      </c>
      <c r="O30" s="73">
        <f t="shared" si="30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/>
      <c r="Z30" s="19"/>
      <c r="AA30" s="19"/>
      <c r="AC30" s="7">
        <f t="shared" ref="AC30:AG30" si="31">M30*1.45</f>
        <v>2562.20285046729</v>
      </c>
      <c r="AE30" s="7">
        <f t="shared" si="31"/>
        <v>640.550712616822</v>
      </c>
      <c r="AG30" s="7">
        <f t="shared" si="31"/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2">B63</f>
        <v>P_ESTCAESS201</v>
      </c>
      <c r="B32" s="27" t="s">
        <v>49</v>
      </c>
      <c r="C32" s="27"/>
      <c r="D32" s="27" t="str">
        <f t="shared" ref="D32:D35" si="33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si="29"/>
        <v>602.222301980198</v>
      </c>
      <c r="O32" s="73">
        <f t="shared" si="30"/>
        <v>376.388938737624</v>
      </c>
      <c r="P32" s="81">
        <f>P18</f>
        <v>21.7385</v>
      </c>
      <c r="R32" s="25">
        <v>31.54</v>
      </c>
      <c r="Y32" s="126"/>
      <c r="Z32" s="25"/>
      <c r="AA32" s="25"/>
      <c r="AC32" s="1">
        <f t="shared" ref="AC32:AG32" si="34">M32*1.45</f>
        <v>2183.05584467822</v>
      </c>
      <c r="AE32" s="1">
        <f t="shared" si="34"/>
        <v>545.763961169554</v>
      </c>
      <c r="AF32" s="1">
        <f t="shared" si="34"/>
        <v>31.520825</v>
      </c>
      <c r="AG32" s="1">
        <f t="shared" si="34"/>
        <v>0</v>
      </c>
    </row>
    <row r="33" s="1" customFormat="1" spans="1:33">
      <c r="A33" s="27" t="str">
        <f t="shared" si="32"/>
        <v>P_ESTHYDPS201</v>
      </c>
      <c r="B33" s="27" t="s">
        <v>49</v>
      </c>
      <c r="C33" s="27"/>
      <c r="D33" s="27" t="str">
        <f t="shared" si="33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5">P20</f>
        <v>37.935</v>
      </c>
      <c r="R33" s="25">
        <v>31.54</v>
      </c>
      <c r="Y33" s="126"/>
      <c r="Z33" s="25"/>
      <c r="AA33" s="25"/>
      <c r="AC33" s="1">
        <f t="shared" ref="AC33:AG33" si="36">M33*1.45</f>
        <v>2913.29487666034</v>
      </c>
      <c r="AE33" s="1">
        <f t="shared" si="36"/>
        <v>2913.29487666034</v>
      </c>
      <c r="AF33" s="1">
        <f t="shared" si="36"/>
        <v>55.00575</v>
      </c>
      <c r="AG33" s="1">
        <f t="shared" si="36"/>
        <v>0</v>
      </c>
    </row>
    <row r="34" s="1" customFormat="1" spans="1:33">
      <c r="A34" s="27" t="str">
        <f t="shared" si="32"/>
        <v>P_ESTBATS201</v>
      </c>
      <c r="B34" s="27" t="s">
        <v>49</v>
      </c>
      <c r="C34" s="27"/>
      <c r="D34" s="27" t="str">
        <f t="shared" si="33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>M34*0.4</f>
        <v>708.450217706822</v>
      </c>
      <c r="O34" s="73">
        <f>M34*0.25</f>
        <v>442.781386066763</v>
      </c>
      <c r="P34" s="81">
        <f t="shared" si="35"/>
        <v>9.6255</v>
      </c>
      <c r="R34" s="25">
        <v>31.54</v>
      </c>
      <c r="Y34" s="126"/>
      <c r="Z34" s="25"/>
      <c r="AA34" s="25"/>
      <c r="AC34" s="1">
        <f t="shared" ref="AC34:AG34" si="37">M34*1.45</f>
        <v>2568.13203918723</v>
      </c>
      <c r="AE34" s="1">
        <f t="shared" si="37"/>
        <v>642.033009796807</v>
      </c>
      <c r="AF34" s="1">
        <f t="shared" si="37"/>
        <v>13.956975</v>
      </c>
      <c r="AG34" s="1">
        <f t="shared" si="37"/>
        <v>0</v>
      </c>
    </row>
    <row r="35" s="1" customFormat="1" spans="1:33">
      <c r="A35" s="42" t="str">
        <f t="shared" si="32"/>
        <v>P_ESTBATS202</v>
      </c>
      <c r="B35" s="42" t="s">
        <v>49</v>
      </c>
      <c r="C35" s="42"/>
      <c r="D35" s="42" t="str">
        <f t="shared" si="33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>M35*0.4</f>
        <v>174</v>
      </c>
      <c r="O35" s="73">
        <f>M35*0.25</f>
        <v>108.75</v>
      </c>
      <c r="P35" s="97">
        <f t="shared" si="35"/>
        <v>7.18875</v>
      </c>
      <c r="Q35" s="132"/>
      <c r="R35" s="133">
        <v>31.54</v>
      </c>
      <c r="S35" s="132"/>
      <c r="T35" s="132"/>
      <c r="Y35" s="126"/>
      <c r="Z35" s="133"/>
      <c r="AA35" s="133"/>
      <c r="AC35" s="1">
        <f t="shared" ref="AC35:AG35" si="38">M35*1.45</f>
        <v>630.75</v>
      </c>
      <c r="AE35" s="1">
        <f t="shared" si="38"/>
        <v>157.6875</v>
      </c>
      <c r="AF35" s="1">
        <f t="shared" si="38"/>
        <v>10.4236875</v>
      </c>
      <c r="AG35" s="1">
        <f t="shared" si="38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49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44</v>
      </c>
      <c r="C37" s="17"/>
      <c r="D37" s="17"/>
      <c r="E37" s="17"/>
      <c r="F37" s="48">
        <v>2021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50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51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52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/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/>
      <c r="AA44" s="138"/>
      <c r="AB44" s="138"/>
      <c r="AC44" s="138"/>
      <c r="AD44" s="139"/>
      <c r="AE44" s="139"/>
      <c r="AF44" s="139"/>
      <c r="AG44" s="139"/>
    </row>
    <row r="45" ht="13" spans="1:33">
      <c r="A45" s="54" t="s">
        <v>54</v>
      </c>
      <c r="B45" s="54" t="s">
        <v>6</v>
      </c>
      <c r="C45" s="54" t="s">
        <v>55</v>
      </c>
      <c r="D45" s="54" t="s">
        <v>56</v>
      </c>
      <c r="E45" s="54" t="s">
        <v>57</v>
      </c>
      <c r="F45" s="54" t="s">
        <v>58</v>
      </c>
      <c r="G45" s="54" t="s">
        <v>59</v>
      </c>
      <c r="H45" s="54" t="s">
        <v>60</v>
      </c>
      <c r="I45" s="106"/>
      <c r="J45" s="107"/>
      <c r="P45" s="23"/>
      <c r="Q45" s="51"/>
      <c r="Z45" s="69"/>
      <c r="AA45" s="138"/>
      <c r="AB45" s="138">
        <f>N8+N19</f>
        <v>704.828985148515</v>
      </c>
      <c r="AC45" s="138">
        <f>O8+O19</f>
        <v>440.518115717822</v>
      </c>
      <c r="AD45" s="139"/>
      <c r="AE45" s="139"/>
      <c r="AF45" s="139"/>
      <c r="AG45" s="139"/>
    </row>
    <row r="46" ht="25.75" spans="1:33">
      <c r="A46" s="55" t="s">
        <v>61</v>
      </c>
      <c r="B46" s="55" t="s">
        <v>62</v>
      </c>
      <c r="C46" s="55" t="s">
        <v>63</v>
      </c>
      <c r="D46" s="55" t="s">
        <v>64</v>
      </c>
      <c r="E46" s="55" t="s">
        <v>65</v>
      </c>
      <c r="F46" s="55" t="s">
        <v>66</v>
      </c>
      <c r="G46" s="55" t="s">
        <v>67</v>
      </c>
      <c r="H46" s="55" t="s">
        <v>68</v>
      </c>
      <c r="I46" s="108"/>
      <c r="J46" s="109"/>
      <c r="M46" s="104"/>
      <c r="N46" s="104"/>
      <c r="O46" s="110"/>
      <c r="P46" s="51"/>
      <c r="Z46" s="69"/>
      <c r="AA46" s="138"/>
      <c r="AB46" s="138">
        <f>N10+N16</f>
        <v>312.831119544592</v>
      </c>
      <c r="AC46" s="138">
        <f>O10+O16</f>
        <v>312.831119544592</v>
      </c>
      <c r="AD46" s="139"/>
      <c r="AE46" s="139"/>
      <c r="AF46" s="139"/>
      <c r="AG46" s="139"/>
    </row>
    <row r="47" ht="15.5" spans="1:33">
      <c r="A47" s="56" t="s">
        <v>121</v>
      </c>
      <c r="B47" s="57" t="s">
        <v>122</v>
      </c>
      <c r="C47" s="56" t="s">
        <v>123</v>
      </c>
      <c r="D47" s="58" t="s">
        <v>71</v>
      </c>
      <c r="E47" s="59" t="s">
        <v>72</v>
      </c>
      <c r="F47" s="58" t="s">
        <v>73</v>
      </c>
      <c r="G47" s="58" t="s">
        <v>74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121</v>
      </c>
      <c r="B48" s="57" t="s">
        <v>124</v>
      </c>
      <c r="C48" s="56" t="s">
        <v>125</v>
      </c>
      <c r="D48" s="58" t="s">
        <v>71</v>
      </c>
      <c r="E48" s="59" t="s">
        <v>72</v>
      </c>
      <c r="F48" s="58" t="s">
        <v>73</v>
      </c>
      <c r="G48" s="58" t="s">
        <v>74</v>
      </c>
      <c r="H48" s="57"/>
      <c r="I48" s="57"/>
      <c r="J48" s="113"/>
      <c r="K48" s="22"/>
      <c r="M48" s="104"/>
      <c r="Z48" s="69"/>
      <c r="AA48" s="140"/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121</v>
      </c>
      <c r="B49" s="57" t="s">
        <v>126</v>
      </c>
      <c r="C49" s="57" t="s">
        <v>76</v>
      </c>
      <c r="D49" s="58" t="s">
        <v>71</v>
      </c>
      <c r="E49" s="59" t="s">
        <v>72</v>
      </c>
      <c r="F49" s="58" t="s">
        <v>73</v>
      </c>
      <c r="G49" s="58" t="s">
        <v>74</v>
      </c>
      <c r="H49" s="57"/>
      <c r="I49" s="57"/>
      <c r="J49" s="113"/>
      <c r="K49" s="22"/>
      <c r="M49" s="104"/>
      <c r="N49" s="114"/>
      <c r="O49" s="110"/>
      <c r="P49" s="51"/>
      <c r="Z49" s="141"/>
      <c r="AA49" s="140"/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121</v>
      </c>
      <c r="B50" s="61" t="s">
        <v>127</v>
      </c>
      <c r="C50" s="61" t="s">
        <v>77</v>
      </c>
      <c r="D50" s="62" t="s">
        <v>71</v>
      </c>
      <c r="E50" s="59" t="s">
        <v>72</v>
      </c>
      <c r="F50" s="62" t="s">
        <v>73</v>
      </c>
      <c r="G50" s="58" t="s">
        <v>74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121</v>
      </c>
      <c r="B51" s="61" t="s">
        <v>128</v>
      </c>
      <c r="C51" s="61" t="s">
        <v>129</v>
      </c>
      <c r="D51" s="62" t="s">
        <v>71</v>
      </c>
      <c r="E51" s="59" t="s">
        <v>72</v>
      </c>
      <c r="F51" s="62" t="s">
        <v>73</v>
      </c>
      <c r="G51" s="58" t="s">
        <v>74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121</v>
      </c>
      <c r="B52" s="63" t="s">
        <v>130</v>
      </c>
      <c r="C52" s="63" t="s">
        <v>131</v>
      </c>
      <c r="D52" s="64" t="s">
        <v>71</v>
      </c>
      <c r="E52" s="59" t="s">
        <v>72</v>
      </c>
      <c r="F52" s="64" t="s">
        <v>73</v>
      </c>
      <c r="G52" s="58" t="s">
        <v>74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121</v>
      </c>
      <c r="B53" s="57" t="s">
        <v>81</v>
      </c>
      <c r="C53" s="56" t="s">
        <v>82</v>
      </c>
      <c r="D53" s="58" t="s">
        <v>71</v>
      </c>
      <c r="E53" s="59" t="s">
        <v>72</v>
      </c>
      <c r="F53" s="58" t="s">
        <v>83</v>
      </c>
      <c r="G53" s="58" t="s">
        <v>74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121</v>
      </c>
      <c r="B54" s="57" t="s">
        <v>84</v>
      </c>
      <c r="C54" s="57" t="s">
        <v>85</v>
      </c>
      <c r="D54" s="58" t="s">
        <v>71</v>
      </c>
      <c r="E54" s="59" t="s">
        <v>72</v>
      </c>
      <c r="F54" s="58" t="s">
        <v>83</v>
      </c>
      <c r="G54" s="58" t="s">
        <v>74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121</v>
      </c>
      <c r="B55" s="61" t="s">
        <v>86</v>
      </c>
      <c r="C55" s="61" t="s">
        <v>87</v>
      </c>
      <c r="D55" s="62" t="s">
        <v>71</v>
      </c>
      <c r="E55" s="59" t="s">
        <v>72</v>
      </c>
      <c r="F55" s="58" t="s">
        <v>83</v>
      </c>
      <c r="G55" s="58" t="s">
        <v>74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121</v>
      </c>
      <c r="B56" s="63" t="s">
        <v>88</v>
      </c>
      <c r="C56" s="63" t="s">
        <v>89</v>
      </c>
      <c r="D56" s="64" t="s">
        <v>71</v>
      </c>
      <c r="E56" s="59" t="s">
        <v>72</v>
      </c>
      <c r="F56" s="58" t="s">
        <v>83</v>
      </c>
      <c r="G56" s="58" t="s">
        <v>74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90</v>
      </c>
      <c r="B57" s="57" t="str">
        <f t="shared" ref="B57:B66" si="39">"P_"&amp;B47</f>
        <v>P_ESTCAESS101_4h</v>
      </c>
      <c r="C57" s="56" t="str">
        <f t="shared" ref="C57:C66" si="40">C47&amp;" (accompanying tech to represent power)"</f>
        <v>Diabatic CAES ELC Storage: DayNite---Compressed Air Energy Storage (accompanying tech to represent power)</v>
      </c>
      <c r="D57" s="58" t="s">
        <v>71</v>
      </c>
      <c r="E57" s="57" t="s">
        <v>72</v>
      </c>
      <c r="F57" s="58" t="s">
        <v>73</v>
      </c>
      <c r="G57" s="58" t="s">
        <v>74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90</v>
      </c>
      <c r="B58" s="57" t="str">
        <f t="shared" si="39"/>
        <v>P_ESTCAESS102_4h</v>
      </c>
      <c r="C58" s="56" t="str">
        <f t="shared" si="40"/>
        <v>Adiabatic CAES ELC Storage: DayNite (accompanying tech to represent power)</v>
      </c>
      <c r="D58" s="58" t="s">
        <v>71</v>
      </c>
      <c r="E58" s="57" t="s">
        <v>72</v>
      </c>
      <c r="F58" s="58" t="s">
        <v>73</v>
      </c>
      <c r="G58" s="58" t="s">
        <v>74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90</v>
      </c>
      <c r="B59" s="61" t="str">
        <f t="shared" si="39"/>
        <v>P_ESTHYDPS101_4h</v>
      </c>
      <c r="C59" s="66" t="str">
        <f t="shared" si="40"/>
        <v>Pumped Hydro ELC Storage: DayNite (accompanying tech to represent power)</v>
      </c>
      <c r="D59" s="62" t="s">
        <v>71</v>
      </c>
      <c r="E59" s="61" t="s">
        <v>72</v>
      </c>
      <c r="F59" s="62" t="s">
        <v>73</v>
      </c>
      <c r="G59" s="58" t="s">
        <v>74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90</v>
      </c>
      <c r="B60" s="67" t="str">
        <f t="shared" si="39"/>
        <v>P_ESTBATS101_4h</v>
      </c>
      <c r="C60" s="67" t="str">
        <f t="shared" si="40"/>
        <v>Battery (Lead-acid) Bulk ELC Storage: DayNite (accompanying tech to represent power)</v>
      </c>
      <c r="D60" s="62" t="s">
        <v>71</v>
      </c>
      <c r="E60" s="61" t="s">
        <v>72</v>
      </c>
      <c r="F60" s="62" t="s">
        <v>73</v>
      </c>
      <c r="G60" s="58" t="s">
        <v>74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90</v>
      </c>
      <c r="B61" s="67" t="str">
        <f t="shared" si="39"/>
        <v>P_ESTBATS102_4h</v>
      </c>
      <c r="C61" s="67" t="str">
        <f t="shared" si="40"/>
        <v>Battery (Li-ion) Bulk ELC Storage: DayNite: 4hour duration (accompanying tech to represent power)</v>
      </c>
      <c r="D61" s="62" t="s">
        <v>71</v>
      </c>
      <c r="E61" s="61" t="s">
        <v>72</v>
      </c>
      <c r="F61" s="62" t="s">
        <v>73</v>
      </c>
      <c r="G61" s="58" t="s">
        <v>74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90</v>
      </c>
      <c r="B62" s="67" t="str">
        <f t="shared" si="39"/>
        <v>P_ESTBATS103_4h</v>
      </c>
      <c r="C62" s="67" t="str">
        <f t="shared" si="40"/>
        <v>Battery (NaS) Bulk ELC Storage: DayNite (accompanying tech to represent power)</v>
      </c>
      <c r="D62" s="62" t="s">
        <v>71</v>
      </c>
      <c r="E62" s="61" t="s">
        <v>72</v>
      </c>
      <c r="F62" s="62" t="s">
        <v>73</v>
      </c>
      <c r="G62" s="58" t="s">
        <v>74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90</v>
      </c>
      <c r="B63" s="57" t="str">
        <f t="shared" si="39"/>
        <v>P_ESTCAESS201</v>
      </c>
      <c r="C63" s="56" t="str">
        <f t="shared" si="40"/>
        <v>Diabatic CAES ELC Storage: DayNite/Seasonal (accompanying tech to represent power)</v>
      </c>
      <c r="D63" s="58" t="s">
        <v>71</v>
      </c>
      <c r="E63" s="57" t="s">
        <v>72</v>
      </c>
      <c r="F63" s="58" t="s">
        <v>83</v>
      </c>
      <c r="G63" s="58" t="s">
        <v>74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90</v>
      </c>
      <c r="B64" s="61" t="str">
        <f t="shared" si="39"/>
        <v>P_ESTHYDPS201</v>
      </c>
      <c r="C64" s="66" t="str">
        <f t="shared" si="40"/>
        <v>Pumped Hydro ELC Storage: DayNite/Seasonal (accompanying tech to represent power)</v>
      </c>
      <c r="D64" s="62" t="s">
        <v>71</v>
      </c>
      <c r="E64" s="61" t="s">
        <v>72</v>
      </c>
      <c r="F64" s="58" t="s">
        <v>83</v>
      </c>
      <c r="G64" s="58" t="s">
        <v>74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90</v>
      </c>
      <c r="B65" s="67" t="str">
        <f t="shared" si="39"/>
        <v>P_ESTBATS201</v>
      </c>
      <c r="C65" s="67" t="str">
        <f t="shared" si="40"/>
        <v>Battery (Lead-acid) Bulk ELC Storage: DayNite/Seasonal (accompanying tech to represent power)</v>
      </c>
      <c r="D65" s="62" t="s">
        <v>71</v>
      </c>
      <c r="E65" s="61" t="s">
        <v>72</v>
      </c>
      <c r="F65" s="58" t="s">
        <v>83</v>
      </c>
      <c r="G65" s="58" t="s">
        <v>74</v>
      </c>
      <c r="H65" s="61"/>
      <c r="I65" s="61"/>
      <c r="J65" s="85"/>
      <c r="AB65" s="115"/>
      <c r="AE65" s="115"/>
    </row>
    <row r="66" ht="14.5" spans="1:31">
      <c r="A66" s="56" t="s">
        <v>90</v>
      </c>
      <c r="B66" s="142" t="str">
        <f t="shared" si="39"/>
        <v>P_ESTBATS202</v>
      </c>
      <c r="C66" s="142" t="str">
        <f t="shared" si="40"/>
        <v>Battery (Li-ion) Bulk ELC Storage: DayNite/Seasonal (accompanying tech to represent power)</v>
      </c>
      <c r="D66" s="64" t="s">
        <v>71</v>
      </c>
      <c r="E66" s="63" t="s">
        <v>72</v>
      </c>
      <c r="F66" s="58" t="s">
        <v>83</v>
      </c>
      <c r="G66" s="58" t="s">
        <v>74</v>
      </c>
      <c r="H66" s="63"/>
      <c r="I66" s="61"/>
      <c r="J66" s="85"/>
      <c r="AB66" s="115"/>
      <c r="AE66" s="115"/>
    </row>
    <row r="67" ht="14.5" spans="1:28">
      <c r="A67" s="143" t="s">
        <v>90</v>
      </c>
      <c r="B67" s="143" t="s">
        <v>91</v>
      </c>
      <c r="C67" s="143" t="s">
        <v>92</v>
      </c>
      <c r="D67" s="144" t="s">
        <v>71</v>
      </c>
      <c r="E67" s="143" t="s">
        <v>93</v>
      </c>
      <c r="F67" s="144" t="s">
        <v>73</v>
      </c>
      <c r="G67" s="58" t="s">
        <v>74</v>
      </c>
      <c r="H67" s="145"/>
      <c r="I67" s="150"/>
      <c r="J67" s="153"/>
      <c r="AB67" s="115"/>
    </row>
    <row r="68" ht="14.5" spans="1:28">
      <c r="A68" s="61" t="s">
        <v>94</v>
      </c>
      <c r="B68" s="53" t="s">
        <v>95</v>
      </c>
      <c r="C68" s="53" t="s">
        <v>96</v>
      </c>
      <c r="D68" s="62" t="s">
        <v>71</v>
      </c>
      <c r="E68" s="53"/>
      <c r="F68" s="62" t="s">
        <v>73</v>
      </c>
      <c r="G68" s="58" t="s">
        <v>74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/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98</v>
      </c>
      <c r="B73" s="147" t="s">
        <v>99</v>
      </c>
      <c r="C73" s="147" t="s">
        <v>100</v>
      </c>
      <c r="D73" s="148" t="s">
        <v>101</v>
      </c>
      <c r="E73" s="148" t="s">
        <v>102</v>
      </c>
      <c r="F73" s="148" t="s">
        <v>103</v>
      </c>
      <c r="G73" s="148" t="s">
        <v>104</v>
      </c>
      <c r="H73" s="148" t="s">
        <v>105</v>
      </c>
      <c r="I73" s="155"/>
      <c r="J73" s="156"/>
      <c r="K73" s="22"/>
      <c r="AB73" s="115"/>
    </row>
    <row r="74" ht="25.75" spans="1:28">
      <c r="A74" s="149" t="s">
        <v>106</v>
      </c>
      <c r="B74" s="149" t="s">
        <v>107</v>
      </c>
      <c r="C74" s="149" t="s">
        <v>108</v>
      </c>
      <c r="D74" s="149" t="s">
        <v>101</v>
      </c>
      <c r="E74" s="149" t="s">
        <v>109</v>
      </c>
      <c r="F74" s="149" t="s">
        <v>110</v>
      </c>
      <c r="G74" s="149" t="s">
        <v>111</v>
      </c>
      <c r="H74" s="149" t="s">
        <v>112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113</v>
      </c>
      <c r="B75" s="57" t="str">
        <f t="shared" ref="B75:B84" si="41">"AUX_"&amp;B47</f>
        <v>AUX_ESTCAESS101_4h</v>
      </c>
      <c r="C75" s="57" t="str">
        <f t="shared" ref="C75:C84" si="42">"Auxiliary input for "&amp;C47</f>
        <v>Auxiliary input for Diabatic CAES ELC Storage: DayNite---Compressed Air Energy Storage</v>
      </c>
      <c r="D75" s="57" t="s">
        <v>71</v>
      </c>
      <c r="E75" s="61" t="s">
        <v>114</v>
      </c>
      <c r="F75" s="57" t="s">
        <v>73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113</v>
      </c>
      <c r="B76" s="57" t="str">
        <f t="shared" si="41"/>
        <v>AUX_ESTCAESS102_4h</v>
      </c>
      <c r="C76" s="57" t="str">
        <f t="shared" si="42"/>
        <v>Auxiliary input for Adiabatic CAES ELC Storage: DayNite</v>
      </c>
      <c r="D76" s="57" t="s">
        <v>71</v>
      </c>
      <c r="E76" s="61" t="s">
        <v>114</v>
      </c>
      <c r="F76" s="57" t="s">
        <v>73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113</v>
      </c>
      <c r="B77" s="57" t="str">
        <f t="shared" si="41"/>
        <v>AUX_ESTHYDPS101_4h</v>
      </c>
      <c r="C77" s="57" t="str">
        <f t="shared" si="42"/>
        <v>Auxiliary input for Pumped Hydro ELC Storage: DayNite</v>
      </c>
      <c r="D77" s="57" t="s">
        <v>71</v>
      </c>
      <c r="E77" s="61" t="s">
        <v>114</v>
      </c>
      <c r="F77" s="57" t="s">
        <v>73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113</v>
      </c>
      <c r="B78" s="57" t="str">
        <f t="shared" si="41"/>
        <v>AUX_ESTBATS101_4h</v>
      </c>
      <c r="C78" s="57" t="str">
        <f t="shared" si="42"/>
        <v>Auxiliary input for Battery (Lead-acid) Bulk ELC Storage: DayNite</v>
      </c>
      <c r="D78" s="57" t="s">
        <v>71</v>
      </c>
      <c r="E78" s="61" t="s">
        <v>114</v>
      </c>
      <c r="F78" s="57" t="s">
        <v>73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113</v>
      </c>
      <c r="B79" s="57" t="str">
        <f t="shared" si="41"/>
        <v>AUX_ESTBATS102_4h</v>
      </c>
      <c r="C79" s="57" t="str">
        <f t="shared" si="42"/>
        <v>Auxiliary input for Battery (Li-ion) Bulk ELC Storage: DayNite: 4hour duration</v>
      </c>
      <c r="D79" s="57" t="s">
        <v>71</v>
      </c>
      <c r="E79" s="61" t="s">
        <v>114</v>
      </c>
      <c r="F79" s="57" t="s">
        <v>73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113</v>
      </c>
      <c r="B80" s="57" t="str">
        <f t="shared" si="41"/>
        <v>AUX_ESTBATS103_4h</v>
      </c>
      <c r="C80" s="57" t="str">
        <f t="shared" si="42"/>
        <v>Auxiliary input for Battery (NaS) Bulk ELC Storage: DayNite</v>
      </c>
      <c r="D80" s="57" t="s">
        <v>71</v>
      </c>
      <c r="E80" s="61" t="s">
        <v>114</v>
      </c>
      <c r="F80" s="57" t="s">
        <v>73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113</v>
      </c>
      <c r="B81" s="57" t="str">
        <f t="shared" si="41"/>
        <v>AUX_ESTCAESS201</v>
      </c>
      <c r="C81" s="57" t="str">
        <f t="shared" si="42"/>
        <v>Auxiliary input for Diabatic CAES ELC Storage: DayNite/Seasonal</v>
      </c>
      <c r="D81" s="57" t="s">
        <v>71</v>
      </c>
      <c r="E81" s="61" t="s">
        <v>114</v>
      </c>
      <c r="F81" s="57" t="s">
        <v>73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113</v>
      </c>
      <c r="B82" s="57" t="str">
        <f t="shared" si="41"/>
        <v>AUX_ESTHYDPS201</v>
      </c>
      <c r="C82" s="57" t="str">
        <f t="shared" si="42"/>
        <v>Auxiliary input for Pumped Hydro ELC Storage: DayNite/Seasonal</v>
      </c>
      <c r="D82" s="57" t="s">
        <v>71</v>
      </c>
      <c r="E82" s="61" t="s">
        <v>114</v>
      </c>
      <c r="F82" s="57" t="s">
        <v>73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113</v>
      </c>
      <c r="B83" s="57" t="str">
        <f t="shared" si="41"/>
        <v>AUX_ESTBATS201</v>
      </c>
      <c r="C83" s="57" t="str">
        <f t="shared" si="42"/>
        <v>Auxiliary input for Battery (Lead-acid) Bulk ELC Storage: DayNite/Seasonal</v>
      </c>
      <c r="D83" s="57" t="s">
        <v>71</v>
      </c>
      <c r="E83" s="61" t="s">
        <v>114</v>
      </c>
      <c r="F83" s="57" t="s">
        <v>73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113</v>
      </c>
      <c r="B84" s="61" t="str">
        <f t="shared" si="41"/>
        <v>AUX_ESTBATS202</v>
      </c>
      <c r="C84" s="61" t="str">
        <f t="shared" si="42"/>
        <v>Auxiliary input for Battery (Li-ion) Bulk ELC Storage: DayNite/Seasonal</v>
      </c>
      <c r="D84" s="61" t="s">
        <v>71</v>
      </c>
      <c r="E84" s="61" t="s">
        <v>114</v>
      </c>
      <c r="F84" s="61" t="s">
        <v>73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113</v>
      </c>
      <c r="B85" s="61" t="s">
        <v>115</v>
      </c>
      <c r="C85" s="61" t="s">
        <v>116</v>
      </c>
      <c r="D85" s="61" t="s">
        <v>71</v>
      </c>
      <c r="E85" s="61" t="s">
        <v>114</v>
      </c>
      <c r="F85" s="61" t="s">
        <v>73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74</v>
      </c>
      <c r="B86" s="151" t="s">
        <v>117</v>
      </c>
      <c r="C86" s="151" t="s">
        <v>118</v>
      </c>
      <c r="D86" s="151" t="s">
        <v>71</v>
      </c>
      <c r="E86" s="152"/>
      <c r="F86" s="151" t="s">
        <v>73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74</v>
      </c>
      <c r="B87" s="44" t="s">
        <v>49</v>
      </c>
      <c r="D87" s="151" t="s">
        <v>71</v>
      </c>
      <c r="F87" s="151" t="s">
        <v>73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ELC_BulkEES_4h</vt:lpstr>
      <vt:lpstr>ELC_BulkEES_4h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xli9</cp:lastModifiedBy>
  <dcterms:created xsi:type="dcterms:W3CDTF">2005-06-03T09:41:00Z</dcterms:created>
  <dcterms:modified xsi:type="dcterms:W3CDTF">2025-01-30T19:07:44Z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1033-12.2.0.19805</vt:lpwstr>
  </property>
</Properties>
</file>