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260" windowWidth="20490" windowHeight="6375" tabRatio="745" firstSheet="1" activeTab="4"/>
  </bookViews>
  <sheets>
    <sheet name="Guidelines" sheetId="48" state="hidden" r:id="rId1"/>
    <sheet name="Top Flash" sheetId="2" r:id="rId2"/>
    <sheet name="Next 3-Months" sheetId="39" r:id="rId3"/>
    <sheet name="Variance Analysis" sheetId="43" r:id="rId4"/>
    <sheet name="TY Actual-Forecast" sheetId="40" r:id="rId5"/>
    <sheet name="TY Budget" sheetId="42" state="hidden" r:id="rId6"/>
    <sheet name="LY Actual" sheetId="41" state="hidden" r:id="rId7"/>
    <sheet name="BS" sheetId="25" state="hidden" r:id="rId8"/>
    <sheet name="CF" sheetId="27" state="hidden" r:id="rId9"/>
    <sheet name="Receivables" sheetId="28" state="hidden" r:id="rId10"/>
    <sheet name="Payables" sheetId="45" state="hidden" r:id="rId11"/>
    <sheet name="Equity" sheetId="47" state="hidden" r:id="rId12"/>
    <sheet name="Sheet1" sheetId="49" state="hidden" r:id="rId13"/>
  </sheets>
  <definedNames>
    <definedName name="_xlnm.Print_Area" localSheetId="7">BS!$A$1:$K$42</definedName>
    <definedName name="_xlnm.Print_Area" localSheetId="8">CF!$A$1:$U$66</definedName>
    <definedName name="_xlnm.Print_Area" localSheetId="6">'LY Actual'!$A$1:$P$89</definedName>
    <definedName name="_xlnm.Print_Area" localSheetId="2">'Next 3-Months'!$A$1:$P$88</definedName>
    <definedName name="_xlnm.Print_Area" localSheetId="10">#REF!</definedName>
    <definedName name="_xlnm.Print_Area" localSheetId="1">'Top Flash'!$A$1:$U$92</definedName>
    <definedName name="_xlnm.Print_Area" localSheetId="4">'TY Actual-Forecast'!$A$1:$O$89</definedName>
    <definedName name="_xlnm.Print_Area" localSheetId="5">'TY Budget'!$A$1:$P$89</definedName>
    <definedName name="_xlnm.Print_Area" localSheetId="3">'Variance Analysis'!$A$1:$L$88</definedName>
    <definedName name="_xlnm.Print_Area">#REF!</definedName>
    <definedName name="_xlnm.Print_Titles" localSheetId="6">'LY Actual'!$1:$7</definedName>
    <definedName name="_xlnm.Print_Titles" localSheetId="2">'Next 3-Months'!$1:$7</definedName>
    <definedName name="_xlnm.Print_Titles" localSheetId="1">'Top Flash'!$1:$7</definedName>
    <definedName name="_xlnm.Print_Titles" localSheetId="4">'TY Actual-Forecast'!$1:$7</definedName>
    <definedName name="_xlnm.Print_Titles" localSheetId="5">'TY Budget'!$1:$7</definedName>
    <definedName name="_xlnm.Print_Titles" localSheetId="3">'Variance Analysis'!$1:$7</definedName>
  </definedNames>
  <calcPr calcId="145621"/>
</workbook>
</file>

<file path=xl/calcChain.xml><?xml version="1.0" encoding="utf-8"?>
<calcChain xmlns="http://schemas.openxmlformats.org/spreadsheetml/2006/main">
  <c r="N32" i="40" l="1"/>
  <c r="N52" i="40"/>
  <c r="N61" i="40"/>
  <c r="M65" i="40" l="1"/>
  <c r="K32" i="40" l="1"/>
  <c r="J32" i="40"/>
  <c r="I32" i="40"/>
  <c r="H32" i="40"/>
  <c r="N19" i="40" l="1"/>
  <c r="N18" i="40" l="1"/>
  <c r="M83" i="40" l="1"/>
  <c r="M22" i="40" l="1"/>
  <c r="M28" i="40"/>
  <c r="M25" i="40"/>
  <c r="M24" i="40" l="1"/>
  <c r="M52" i="40"/>
  <c r="M55" i="40"/>
  <c r="M35" i="40"/>
  <c r="M34" i="40"/>
  <c r="M32" i="40"/>
  <c r="M36" i="40" l="1"/>
  <c r="M33" i="40"/>
  <c r="M12" i="40" l="1"/>
  <c r="M11" i="40"/>
  <c r="M19" i="40"/>
  <c r="M18" i="40"/>
  <c r="M17" i="40" l="1"/>
  <c r="M15" i="40"/>
  <c r="M16" i="40"/>
  <c r="M13" i="40"/>
  <c r="R83" i="42"/>
  <c r="R78" i="42"/>
  <c r="R72" i="42"/>
  <c r="R71" i="42"/>
  <c r="R65" i="42"/>
  <c r="Q65" i="42"/>
  <c r="R61" i="42"/>
  <c r="Q61" i="42"/>
  <c r="R53" i="42"/>
  <c r="R52" i="42"/>
  <c r="R36" i="42"/>
  <c r="R35" i="42"/>
  <c r="R34" i="42"/>
  <c r="R33" i="42"/>
  <c r="R32" i="42"/>
  <c r="R28" i="42"/>
  <c r="R25" i="42"/>
  <c r="R24" i="42"/>
  <c r="R22" i="42"/>
  <c r="R11" i="42"/>
  <c r="R13" i="42"/>
  <c r="R12" i="42"/>
  <c r="R19" i="42"/>
  <c r="R18" i="42"/>
  <c r="R17" i="42"/>
  <c r="R16" i="42"/>
  <c r="R15" i="42"/>
  <c r="L65" i="40" l="1"/>
  <c r="L36" i="40" l="1"/>
  <c r="L34" i="40"/>
  <c r="L32" i="40"/>
  <c r="L25" i="40"/>
  <c r="L33" i="40"/>
  <c r="L22" i="40"/>
  <c r="L35" i="40"/>
  <c r="Q72" i="42" l="1"/>
  <c r="Q53" i="42"/>
  <c r="Q52" i="42"/>
  <c r="Q36" i="42"/>
  <c r="Q35" i="42"/>
  <c r="Q34" i="42"/>
  <c r="Q33" i="42"/>
  <c r="Q32" i="42"/>
  <c r="Q24" i="42"/>
  <c r="Q22" i="42"/>
  <c r="Q19" i="42"/>
  <c r="Q18" i="42"/>
  <c r="Q17" i="42"/>
  <c r="Q16" i="42"/>
  <c r="Q15" i="42"/>
  <c r="Q13" i="42"/>
  <c r="Q12" i="42"/>
  <c r="Q11" i="42"/>
  <c r="L72" i="40" l="1"/>
  <c r="L52" i="40"/>
  <c r="L28" i="40"/>
  <c r="L27" i="40"/>
  <c r="L24" i="40"/>
  <c r="L19" i="40"/>
  <c r="L18" i="40"/>
  <c r="L15" i="40"/>
  <c r="L17" i="40"/>
  <c r="L16" i="40"/>
  <c r="L13" i="40"/>
  <c r="L12" i="40"/>
  <c r="L11" i="40"/>
  <c r="K55" i="40" l="1"/>
  <c r="I55" i="40"/>
  <c r="K33" i="40" l="1"/>
  <c r="K83" i="40" l="1"/>
  <c r="K52" i="40" l="1"/>
  <c r="K24" i="40"/>
  <c r="K15" i="40"/>
  <c r="K16" i="40"/>
  <c r="G34" i="40" l="1"/>
  <c r="F34" i="40"/>
  <c r="E34" i="40"/>
  <c r="D34" i="40"/>
  <c r="C34" i="40"/>
  <c r="H12" i="40" l="1"/>
  <c r="H11" i="40"/>
  <c r="C15" i="45" l="1"/>
  <c r="C10" i="45"/>
  <c r="C19" i="25"/>
  <c r="C14" i="25" l="1"/>
  <c r="C20" i="25"/>
  <c r="C13" i="25"/>
  <c r="P11" i="27"/>
  <c r="I16" i="40" l="1"/>
  <c r="J33" i="40" l="1"/>
  <c r="I33" i="40"/>
  <c r="H33" i="40"/>
  <c r="G32" i="40"/>
  <c r="G33" i="40"/>
  <c r="F32" i="40"/>
  <c r="F33" i="40"/>
  <c r="E32" i="40"/>
  <c r="E33" i="40"/>
  <c r="D32" i="40"/>
  <c r="D33" i="40"/>
  <c r="C32" i="40"/>
  <c r="C33" i="40"/>
  <c r="J19" i="40" l="1"/>
  <c r="J61" i="40"/>
  <c r="J52" i="40"/>
  <c r="J15" i="40" l="1"/>
  <c r="J16" i="40"/>
  <c r="J27" i="40" l="1"/>
  <c r="J24" i="40"/>
  <c r="J13" i="40"/>
  <c r="J12" i="40"/>
  <c r="J11" i="40"/>
  <c r="K61" i="40" l="1"/>
  <c r="I61" i="40" l="1"/>
  <c r="I27" i="40"/>
  <c r="I15" i="40"/>
  <c r="I78" i="40" l="1"/>
  <c r="C48" i="25" l="1"/>
  <c r="C36" i="25" s="1"/>
  <c r="D37" i="25"/>
  <c r="J15" i="28"/>
  <c r="D14" i="25"/>
  <c r="D13" i="25"/>
  <c r="D12" i="25"/>
  <c r="H27" i="25" l="1"/>
  <c r="D27" i="25"/>
  <c r="I15" i="45"/>
  <c r="I10" i="45"/>
  <c r="L32" i="27"/>
  <c r="H15" i="45" l="1"/>
  <c r="H14" i="45"/>
  <c r="M19" i="45"/>
  <c r="M15" i="45"/>
  <c r="C16" i="28"/>
  <c r="N32" i="27"/>
  <c r="M32" i="27"/>
  <c r="K32" i="27"/>
  <c r="J32" i="27"/>
  <c r="I32" i="27"/>
  <c r="D36" i="25"/>
  <c r="C18" i="25"/>
  <c r="D18" i="25"/>
  <c r="D57" i="25" l="1"/>
  <c r="D58" i="25" s="1"/>
  <c r="D56" i="25"/>
  <c r="C57" i="25"/>
  <c r="C58" i="25" s="1"/>
  <c r="C56" i="25"/>
  <c r="D53" i="25"/>
  <c r="C53" i="25"/>
  <c r="D48" i="25"/>
  <c r="H37" i="25"/>
  <c r="H39" i="25" s="1"/>
  <c r="H18" i="25"/>
  <c r="H36" i="25"/>
  <c r="H31" i="25"/>
  <c r="H57" i="25"/>
  <c r="H56" i="25"/>
  <c r="H58" i="25" s="1"/>
  <c r="H53" i="25"/>
  <c r="L9" i="47"/>
  <c r="H48" i="25"/>
  <c r="H41" i="25" l="1"/>
  <c r="H20" i="25" l="1"/>
  <c r="K32" i="42" l="1"/>
  <c r="L32" i="42"/>
  <c r="M32" i="42"/>
  <c r="N32" i="42"/>
  <c r="H15" i="42"/>
  <c r="D20" i="25" l="1"/>
  <c r="D19" i="25"/>
  <c r="N27" i="27"/>
  <c r="H61" i="40" l="1"/>
  <c r="H52" i="40"/>
  <c r="H36" i="40"/>
  <c r="H28" i="40"/>
  <c r="H19" i="40"/>
  <c r="H16" i="40"/>
  <c r="H13" i="40"/>
  <c r="AF75" i="41" l="1"/>
  <c r="AE75" i="41"/>
  <c r="AD75" i="41"/>
  <c r="AC75" i="41"/>
  <c r="AB75" i="41"/>
  <c r="AA75" i="41"/>
  <c r="Z75" i="41"/>
  <c r="Y75" i="41"/>
  <c r="X75" i="41"/>
  <c r="W75" i="41"/>
  <c r="V75" i="41"/>
  <c r="U75" i="41"/>
  <c r="S75" i="41"/>
  <c r="R75" i="41"/>
  <c r="Q75" i="41"/>
  <c r="O75" i="41"/>
  <c r="N75" i="41"/>
  <c r="M75" i="41"/>
  <c r="L75" i="41"/>
  <c r="K75" i="41"/>
  <c r="J75" i="41"/>
  <c r="I75" i="41"/>
  <c r="H75" i="41"/>
  <c r="G75" i="41"/>
  <c r="F75" i="41"/>
  <c r="E75" i="41"/>
  <c r="D75" i="41"/>
  <c r="C75" i="41"/>
  <c r="AF75" i="42"/>
  <c r="AE75" i="42"/>
  <c r="AD75" i="42"/>
  <c r="AC75" i="42"/>
  <c r="AB75" i="42"/>
  <c r="AA75" i="42"/>
  <c r="Z75" i="42"/>
  <c r="Y75" i="42"/>
  <c r="X75" i="42"/>
  <c r="W75" i="42"/>
  <c r="V75" i="42"/>
  <c r="U75" i="42"/>
  <c r="S75" i="42"/>
  <c r="R75" i="42"/>
  <c r="Q75" i="42"/>
  <c r="O75" i="42"/>
  <c r="N75" i="42"/>
  <c r="M75" i="42"/>
  <c r="L75" i="42"/>
  <c r="K75" i="42"/>
  <c r="J75" i="42"/>
  <c r="I75" i="42"/>
  <c r="H75" i="42"/>
  <c r="G75" i="42"/>
  <c r="F75" i="42"/>
  <c r="E75" i="42"/>
  <c r="D75" i="42"/>
  <c r="C75" i="42"/>
  <c r="Y75" i="40"/>
  <c r="X75" i="40"/>
  <c r="W75" i="40"/>
  <c r="V75" i="40"/>
  <c r="U75" i="40"/>
  <c r="S75" i="40"/>
  <c r="R75" i="40"/>
  <c r="Q75" i="40"/>
  <c r="N75" i="40"/>
  <c r="M75" i="40"/>
  <c r="L75" i="40"/>
  <c r="K75" i="40"/>
  <c r="J75" i="40"/>
  <c r="I75" i="40"/>
  <c r="H75" i="40"/>
  <c r="G75" i="40"/>
  <c r="F75" i="40"/>
  <c r="E75" i="40"/>
  <c r="D75" i="40"/>
  <c r="C75" i="40"/>
  <c r="J75" i="43"/>
  <c r="D75" i="43"/>
  <c r="S75" i="2"/>
  <c r="R75" i="2"/>
  <c r="S74" i="2"/>
  <c r="R74" i="2"/>
  <c r="J74" i="43"/>
  <c r="D74" i="43"/>
  <c r="AF74" i="41"/>
  <c r="AE74" i="41"/>
  <c r="AD74" i="41"/>
  <c r="AC74" i="41"/>
  <c r="AB74" i="41"/>
  <c r="AA74" i="41"/>
  <c r="Z74" i="41"/>
  <c r="Y74" i="41"/>
  <c r="X74" i="41"/>
  <c r="W74" i="41"/>
  <c r="V74" i="41"/>
  <c r="U74" i="41"/>
  <c r="O74" i="41"/>
  <c r="N74" i="41"/>
  <c r="M74" i="41"/>
  <c r="L74" i="41"/>
  <c r="K74" i="41"/>
  <c r="J74" i="41"/>
  <c r="I74" i="41"/>
  <c r="H74" i="41"/>
  <c r="G74" i="41"/>
  <c r="F74" i="41"/>
  <c r="E74" i="41"/>
  <c r="D74" i="41"/>
  <c r="C74" i="41"/>
  <c r="AF74" i="42"/>
  <c r="AE74" i="42"/>
  <c r="AD74" i="42"/>
  <c r="AC74" i="42"/>
  <c r="AB74" i="42"/>
  <c r="AA74" i="42"/>
  <c r="Z74" i="42"/>
  <c r="Y74" i="42"/>
  <c r="X74" i="42"/>
  <c r="W74" i="42"/>
  <c r="V74" i="42"/>
  <c r="U74" i="42"/>
  <c r="O74" i="42"/>
  <c r="N74" i="42"/>
  <c r="M74" i="42"/>
  <c r="L74" i="42"/>
  <c r="K74" i="42"/>
  <c r="J74" i="42"/>
  <c r="I74" i="42"/>
  <c r="H74" i="42"/>
  <c r="G74" i="42"/>
  <c r="F74" i="42"/>
  <c r="E74" i="42"/>
  <c r="D74" i="42"/>
  <c r="C74" i="42"/>
  <c r="Y74" i="40"/>
  <c r="X74" i="40"/>
  <c r="W74" i="40"/>
  <c r="V74" i="40"/>
  <c r="U74" i="40"/>
  <c r="N74" i="40"/>
  <c r="M74" i="40"/>
  <c r="L74" i="40"/>
  <c r="K74" i="40"/>
  <c r="J74" i="40"/>
  <c r="I74" i="40"/>
  <c r="H74" i="40"/>
  <c r="G74" i="40"/>
  <c r="F74" i="40"/>
  <c r="E74" i="40"/>
  <c r="D74" i="40"/>
  <c r="C74" i="40"/>
  <c r="H15" i="40" l="1"/>
  <c r="M21" i="27" l="1"/>
  <c r="M25" i="27"/>
  <c r="M27" i="27" l="1"/>
  <c r="G61" i="40" l="1"/>
  <c r="G35" i="40"/>
  <c r="G83" i="40"/>
  <c r="G22" i="40"/>
  <c r="G25" i="40"/>
  <c r="G36" i="40" l="1"/>
  <c r="G52" i="40" l="1"/>
  <c r="G28" i="40" l="1"/>
  <c r="G15" i="40"/>
  <c r="G16" i="40"/>
  <c r="G12" i="40"/>
  <c r="G11" i="40"/>
  <c r="N32" i="41" l="1"/>
  <c r="M32" i="41"/>
  <c r="L32" i="41"/>
  <c r="K32" i="41"/>
  <c r="J32" i="41"/>
  <c r="I32" i="41"/>
  <c r="H32" i="41"/>
  <c r="G32" i="41"/>
  <c r="F32" i="41"/>
  <c r="E32" i="41"/>
  <c r="D32" i="41"/>
  <c r="C32" i="41"/>
  <c r="J32" i="42"/>
  <c r="I32" i="42"/>
  <c r="H32" i="42"/>
  <c r="G32" i="42"/>
  <c r="F32" i="42"/>
  <c r="E32" i="42"/>
  <c r="D32" i="42"/>
  <c r="C32" i="42"/>
  <c r="L45" i="43" l="1"/>
  <c r="U54" i="2"/>
  <c r="T54" i="2"/>
  <c r="U53" i="2"/>
  <c r="T53" i="2"/>
  <c r="U51" i="2"/>
  <c r="T51" i="2"/>
  <c r="U45" i="2"/>
  <c r="T45" i="2"/>
  <c r="Q65" i="2" l="1"/>
  <c r="H22" i="27" l="1"/>
  <c r="H18" i="27"/>
  <c r="J27" i="27" l="1"/>
  <c r="J25" i="27"/>
  <c r="I25" i="27"/>
  <c r="J23" i="27"/>
  <c r="J22" i="27"/>
  <c r="I22" i="27"/>
  <c r="J21" i="27"/>
  <c r="I21" i="27"/>
  <c r="J20" i="27"/>
  <c r="I20" i="27"/>
  <c r="J19" i="27"/>
  <c r="I19" i="27"/>
  <c r="L27" i="27"/>
  <c r="L23" i="27"/>
  <c r="L22" i="27"/>
  <c r="L21" i="27"/>
  <c r="L20" i="27"/>
  <c r="L19" i="27"/>
  <c r="J18" i="27"/>
  <c r="I18" i="27"/>
  <c r="N28" i="41" l="1"/>
  <c r="N25" i="41"/>
  <c r="L25" i="41"/>
  <c r="K25" i="41"/>
  <c r="N61" i="41"/>
  <c r="N36" i="41"/>
  <c r="N35" i="41"/>
  <c r="N34" i="41"/>
  <c r="N22" i="41"/>
  <c r="F83" i="40" l="1"/>
  <c r="F61" i="40"/>
  <c r="F52" i="40"/>
  <c r="F36" i="40"/>
  <c r="F35" i="40"/>
  <c r="F28" i="40"/>
  <c r="F25" i="40"/>
  <c r="F22" i="40"/>
  <c r="F17" i="40"/>
  <c r="C83" i="40"/>
  <c r="C35" i="40"/>
  <c r="C28" i="40"/>
  <c r="C25" i="40"/>
  <c r="C22" i="40"/>
  <c r="C16" i="40"/>
  <c r="C15" i="40"/>
  <c r="AF5" i="40" l="1"/>
  <c r="AE5" i="40"/>
  <c r="AD5" i="40"/>
  <c r="AC5" i="40"/>
  <c r="AB5" i="40"/>
  <c r="AA5" i="40"/>
  <c r="Z5" i="40"/>
  <c r="Y5" i="40"/>
  <c r="X5" i="40"/>
  <c r="W5" i="40"/>
  <c r="V5" i="40"/>
  <c r="U5" i="40"/>
  <c r="C14" i="41"/>
  <c r="C10" i="42"/>
  <c r="U13" i="27" l="1"/>
  <c r="A3" i="25"/>
  <c r="U78" i="40" l="1"/>
  <c r="V78" i="40" s="1"/>
  <c r="O87" i="41"/>
  <c r="AF87" i="41"/>
  <c r="AE87" i="41"/>
  <c r="AD87" i="41"/>
  <c r="AC87" i="41"/>
  <c r="AB87" i="41"/>
  <c r="AA87" i="41"/>
  <c r="Z87" i="41"/>
  <c r="Y87" i="41"/>
  <c r="X87" i="41"/>
  <c r="W87" i="41"/>
  <c r="V87" i="41"/>
  <c r="U87" i="41"/>
  <c r="AF86" i="41"/>
  <c r="AE86" i="41"/>
  <c r="AD86" i="41"/>
  <c r="AC86" i="41"/>
  <c r="AB86" i="41"/>
  <c r="AA86" i="41"/>
  <c r="Z86" i="41"/>
  <c r="Y86" i="41"/>
  <c r="X86" i="41"/>
  <c r="W86" i="41"/>
  <c r="V86" i="41"/>
  <c r="U86" i="41"/>
  <c r="AF87" i="42"/>
  <c r="AE87" i="42"/>
  <c r="AD87" i="42"/>
  <c r="AC87" i="42"/>
  <c r="AB87" i="42"/>
  <c r="AA87" i="42"/>
  <c r="Z87" i="42"/>
  <c r="Y87" i="42"/>
  <c r="X87" i="42"/>
  <c r="W87" i="42"/>
  <c r="V87" i="42"/>
  <c r="U87" i="42"/>
  <c r="AF86" i="42"/>
  <c r="AE86" i="42"/>
  <c r="AD86" i="42"/>
  <c r="AC86" i="42"/>
  <c r="AB86" i="42"/>
  <c r="AA86" i="42"/>
  <c r="Z86" i="42"/>
  <c r="Y86" i="42"/>
  <c r="X86" i="42"/>
  <c r="W86" i="42"/>
  <c r="V86" i="42"/>
  <c r="U86" i="42"/>
  <c r="AF87" i="40"/>
  <c r="AE87" i="40"/>
  <c r="AD87" i="40"/>
  <c r="AC87" i="40"/>
  <c r="AB87" i="40"/>
  <c r="AA87" i="40"/>
  <c r="Z87" i="40"/>
  <c r="Y87" i="40"/>
  <c r="X87" i="40"/>
  <c r="W87" i="40"/>
  <c r="V87" i="40"/>
  <c r="U87" i="40"/>
  <c r="AF86" i="40"/>
  <c r="AE86" i="40"/>
  <c r="AD86" i="40"/>
  <c r="AC86" i="40"/>
  <c r="AB86" i="40"/>
  <c r="AA86" i="40"/>
  <c r="Z86" i="40"/>
  <c r="Y86" i="40"/>
  <c r="X86" i="40"/>
  <c r="W86" i="40"/>
  <c r="V86" i="40"/>
  <c r="U86" i="40"/>
  <c r="A4" i="47"/>
  <c r="A3" i="47"/>
  <c r="A1" i="47"/>
  <c r="I37" i="25" l="1"/>
  <c r="J37" i="25" s="1"/>
  <c r="I36" i="25"/>
  <c r="J36" i="25" s="1"/>
  <c r="I35" i="25"/>
  <c r="J35" i="25" s="1"/>
  <c r="E37" i="25"/>
  <c r="F37" i="25" s="1"/>
  <c r="E36" i="25"/>
  <c r="F36" i="25" s="1"/>
  <c r="E35" i="25"/>
  <c r="F35" i="25" s="1"/>
  <c r="C39" i="25"/>
  <c r="H21" i="25"/>
  <c r="D21" i="25"/>
  <c r="C21" i="25"/>
  <c r="I18" i="25"/>
  <c r="J18" i="25" s="1"/>
  <c r="E18" i="25"/>
  <c r="F18" i="25" s="1"/>
  <c r="E19" i="25"/>
  <c r="F19" i="25" s="1"/>
  <c r="AG87" i="41"/>
  <c r="O86" i="41"/>
  <c r="AG86" i="41" s="1"/>
  <c r="O87" i="42"/>
  <c r="AG87" i="42" s="1"/>
  <c r="O86" i="42"/>
  <c r="O87" i="40"/>
  <c r="AG87" i="40" s="1"/>
  <c r="O86" i="40"/>
  <c r="S87" i="41"/>
  <c r="R87" i="41"/>
  <c r="Q87" i="41"/>
  <c r="S86" i="41"/>
  <c r="R86" i="41"/>
  <c r="Q86" i="41"/>
  <c r="S83" i="41"/>
  <c r="R83" i="41"/>
  <c r="Q83" i="41"/>
  <c r="S78" i="41"/>
  <c r="R78" i="41"/>
  <c r="Q78" i="41"/>
  <c r="S72" i="41"/>
  <c r="R72" i="41"/>
  <c r="Q72" i="41"/>
  <c r="S71" i="41"/>
  <c r="R71" i="41"/>
  <c r="Q71" i="41"/>
  <c r="S61" i="41"/>
  <c r="R61" i="41"/>
  <c r="Q61" i="41"/>
  <c r="S55" i="41"/>
  <c r="R55" i="41"/>
  <c r="Q55" i="41"/>
  <c r="S54" i="41"/>
  <c r="R54" i="41"/>
  <c r="Q54" i="41"/>
  <c r="S53" i="41"/>
  <c r="R53" i="41"/>
  <c r="Q53" i="41"/>
  <c r="S52" i="41"/>
  <c r="R52" i="41"/>
  <c r="Q52" i="41"/>
  <c r="S51" i="41"/>
  <c r="R51" i="41"/>
  <c r="Q51" i="41"/>
  <c r="S45" i="41"/>
  <c r="R45" i="41"/>
  <c r="Q45" i="41"/>
  <c r="S36" i="41"/>
  <c r="R36" i="41"/>
  <c r="Q36" i="41"/>
  <c r="S35" i="41"/>
  <c r="R35" i="41"/>
  <c r="Q35" i="41"/>
  <c r="S34" i="41"/>
  <c r="R34" i="41"/>
  <c r="Q34" i="41"/>
  <c r="S33" i="41"/>
  <c r="R33" i="41"/>
  <c r="Q33" i="41"/>
  <c r="S32" i="41"/>
  <c r="R32" i="41"/>
  <c r="Q32" i="41"/>
  <c r="S28" i="41"/>
  <c r="R28" i="41"/>
  <c r="Q28" i="41"/>
  <c r="S27" i="41"/>
  <c r="R27" i="41"/>
  <c r="R26" i="41" s="1"/>
  <c r="Q27" i="41"/>
  <c r="S25" i="41"/>
  <c r="R25" i="41"/>
  <c r="R23" i="41" s="1"/>
  <c r="Q25" i="41"/>
  <c r="S24" i="41"/>
  <c r="R24" i="41"/>
  <c r="Q24" i="41"/>
  <c r="S22" i="41"/>
  <c r="R22" i="41"/>
  <c r="Q22" i="41"/>
  <c r="S19" i="41"/>
  <c r="R19" i="41"/>
  <c r="Q19" i="41"/>
  <c r="S18" i="41"/>
  <c r="R18" i="41"/>
  <c r="Q18" i="41"/>
  <c r="S17" i="41"/>
  <c r="R17" i="41"/>
  <c r="Q17" i="41"/>
  <c r="S16" i="41"/>
  <c r="R16" i="41"/>
  <c r="Q16" i="41"/>
  <c r="S15" i="41"/>
  <c r="R15" i="41"/>
  <c r="Q15" i="41"/>
  <c r="S13" i="41"/>
  <c r="R13" i="41"/>
  <c r="Q13" i="41"/>
  <c r="S12" i="41"/>
  <c r="R12" i="41"/>
  <c r="Q12" i="41"/>
  <c r="S11" i="41"/>
  <c r="R11" i="41"/>
  <c r="Q11" i="41"/>
  <c r="S85" i="42"/>
  <c r="R85" i="42"/>
  <c r="Q85" i="42"/>
  <c r="S82" i="42"/>
  <c r="R82" i="42"/>
  <c r="Q82" i="42"/>
  <c r="S79" i="42"/>
  <c r="R79" i="42"/>
  <c r="Q79" i="42"/>
  <c r="S73" i="42"/>
  <c r="R73" i="42"/>
  <c r="Q73" i="42"/>
  <c r="S56" i="42"/>
  <c r="R56" i="42"/>
  <c r="Q56" i="42"/>
  <c r="S37" i="42"/>
  <c r="R37" i="42"/>
  <c r="Q37" i="42"/>
  <c r="S26" i="42"/>
  <c r="R26" i="42"/>
  <c r="Q26" i="42"/>
  <c r="S23" i="42"/>
  <c r="R23" i="42"/>
  <c r="Q23" i="42"/>
  <c r="S14" i="42"/>
  <c r="R14" i="42"/>
  <c r="Q14" i="42"/>
  <c r="S10" i="42"/>
  <c r="S74" i="42" s="1"/>
  <c r="R10" i="42"/>
  <c r="R74" i="42" s="1"/>
  <c r="Q10" i="42"/>
  <c r="S85" i="40"/>
  <c r="R85" i="40"/>
  <c r="Q85" i="40"/>
  <c r="S82" i="40"/>
  <c r="R82" i="40"/>
  <c r="Q82" i="40"/>
  <c r="S79" i="40"/>
  <c r="R79" i="40"/>
  <c r="Q79" i="40"/>
  <c r="S73" i="40"/>
  <c r="R73" i="40"/>
  <c r="Q73" i="40"/>
  <c r="S56" i="40"/>
  <c r="R56" i="40"/>
  <c r="Q56" i="40"/>
  <c r="S37" i="40"/>
  <c r="R37" i="40"/>
  <c r="Q37" i="40"/>
  <c r="S26" i="40"/>
  <c r="R26" i="40"/>
  <c r="Q26" i="40"/>
  <c r="S23" i="40"/>
  <c r="S29" i="40" s="1"/>
  <c r="R23" i="40"/>
  <c r="Q23" i="40"/>
  <c r="S14" i="40"/>
  <c r="R14" i="40"/>
  <c r="Q14" i="40"/>
  <c r="S10" i="40"/>
  <c r="R10" i="40"/>
  <c r="R76" i="40" s="1"/>
  <c r="R77" i="40" s="1"/>
  <c r="Q10" i="40"/>
  <c r="S39" i="40" l="1"/>
  <c r="S80" i="40"/>
  <c r="S81" i="40" s="1"/>
  <c r="S80" i="42"/>
  <c r="S81" i="42" s="1"/>
  <c r="R29" i="40"/>
  <c r="R39" i="40" s="1"/>
  <c r="R80" i="40"/>
  <c r="R81" i="40" s="1"/>
  <c r="R80" i="42"/>
  <c r="R81" i="42" s="1"/>
  <c r="E21" i="25"/>
  <c r="F21" i="25" s="1"/>
  <c r="S73" i="41"/>
  <c r="R14" i="41"/>
  <c r="R80" i="41" s="1"/>
  <c r="R81" i="41" s="1"/>
  <c r="Q29" i="40"/>
  <c r="Q39" i="40" s="1"/>
  <c r="Q80" i="40"/>
  <c r="Q81" i="40" s="1"/>
  <c r="O85" i="42"/>
  <c r="Q73" i="41"/>
  <c r="Q10" i="41"/>
  <c r="Q76" i="41" s="1"/>
  <c r="Q77" i="41" s="1"/>
  <c r="S23" i="41"/>
  <c r="Q23" i="41"/>
  <c r="Q37" i="41"/>
  <c r="S56" i="41"/>
  <c r="R56" i="41"/>
  <c r="S26" i="41"/>
  <c r="Q56" i="41"/>
  <c r="R73" i="41"/>
  <c r="R85" i="41"/>
  <c r="AG86" i="42"/>
  <c r="S85" i="41"/>
  <c r="Q85" i="41"/>
  <c r="S10" i="41"/>
  <c r="S76" i="41" s="1"/>
  <c r="S77" i="41" s="1"/>
  <c r="Q29" i="42"/>
  <c r="Q39" i="42" s="1"/>
  <c r="S8" i="42"/>
  <c r="Q80" i="42"/>
  <c r="Q81" i="42" s="1"/>
  <c r="S29" i="42"/>
  <c r="S39" i="42" s="1"/>
  <c r="S76" i="40"/>
  <c r="S77" i="40" s="1"/>
  <c r="O85" i="40"/>
  <c r="R37" i="41"/>
  <c r="S37" i="41"/>
  <c r="Q26" i="41"/>
  <c r="R79" i="41"/>
  <c r="R82" i="41"/>
  <c r="S79" i="41"/>
  <c r="S76" i="42"/>
  <c r="S77" i="42" s="1"/>
  <c r="Q74" i="42"/>
  <c r="Q76" i="42"/>
  <c r="Q77" i="42" s="1"/>
  <c r="Q8" i="42"/>
  <c r="Q84" i="42" s="1"/>
  <c r="R29" i="41"/>
  <c r="Q82" i="41"/>
  <c r="S14" i="41"/>
  <c r="S82" i="41"/>
  <c r="Q14" i="41"/>
  <c r="Q79" i="41"/>
  <c r="R10" i="41"/>
  <c r="R74" i="41" s="1"/>
  <c r="R76" i="42"/>
  <c r="R77" i="42" s="1"/>
  <c r="R29" i="42"/>
  <c r="R39" i="42" s="1"/>
  <c r="R8" i="42"/>
  <c r="Q8" i="40"/>
  <c r="Q74" i="40"/>
  <c r="Q76" i="40"/>
  <c r="Q77" i="40" s="1"/>
  <c r="R8" i="40"/>
  <c r="R74" i="40"/>
  <c r="S8" i="40"/>
  <c r="S40" i="40" s="1"/>
  <c r="S74" i="40"/>
  <c r="S40" i="42" l="1"/>
  <c r="S84" i="42"/>
  <c r="S42" i="42"/>
  <c r="S47" i="42" s="1"/>
  <c r="Q42" i="40"/>
  <c r="Q43" i="40" s="1"/>
  <c r="R39" i="41"/>
  <c r="S80" i="41"/>
  <c r="S81" i="41" s="1"/>
  <c r="Q29" i="41"/>
  <c r="Q39" i="41" s="1"/>
  <c r="Q80" i="41"/>
  <c r="Q81" i="41" s="1"/>
  <c r="Q74" i="41"/>
  <c r="S29" i="41"/>
  <c r="S39" i="41" s="1"/>
  <c r="S74" i="41"/>
  <c r="Q8" i="41"/>
  <c r="Q84" i="41" s="1"/>
  <c r="R40" i="42"/>
  <c r="Q42" i="42"/>
  <c r="Q43" i="42" s="1"/>
  <c r="Q40" i="42"/>
  <c r="R8" i="41"/>
  <c r="R40" i="41" s="1"/>
  <c r="R76" i="41"/>
  <c r="R77" i="41" s="1"/>
  <c r="S8" i="41"/>
  <c r="R84" i="42"/>
  <c r="R42" i="42"/>
  <c r="Q40" i="40"/>
  <c r="Q84" i="40"/>
  <c r="R84" i="40"/>
  <c r="R42" i="40"/>
  <c r="S84" i="40"/>
  <c r="S42" i="40"/>
  <c r="R40" i="40"/>
  <c r="A3" i="39"/>
  <c r="S43" i="42" l="1"/>
  <c r="Q47" i="40"/>
  <c r="Q48" i="40" s="1"/>
  <c r="Q47" i="42"/>
  <c r="Q58" i="42" s="1"/>
  <c r="S40" i="41"/>
  <c r="Q40" i="41"/>
  <c r="Q42" i="41"/>
  <c r="Q47" i="41" s="1"/>
  <c r="Q58" i="41" s="1"/>
  <c r="S42" i="41"/>
  <c r="S47" i="41" s="1"/>
  <c r="R42" i="41"/>
  <c r="R43" i="41" s="1"/>
  <c r="R84" i="41"/>
  <c r="S84" i="41"/>
  <c r="S58" i="42"/>
  <c r="S48" i="42"/>
  <c r="Q48" i="42"/>
  <c r="R43" i="42"/>
  <c r="R47" i="42"/>
  <c r="S43" i="40"/>
  <c r="S47" i="40"/>
  <c r="R43" i="40"/>
  <c r="R47" i="40"/>
  <c r="Q88" i="2"/>
  <c r="Q87" i="2"/>
  <c r="Q86" i="2"/>
  <c r="Q83" i="2"/>
  <c r="Q78" i="2"/>
  <c r="Q72" i="2"/>
  <c r="Q71" i="2"/>
  <c r="Q61" i="2"/>
  <c r="Q55" i="2"/>
  <c r="Q54" i="2"/>
  <c r="Q53" i="2"/>
  <c r="Q52" i="2"/>
  <c r="Q51" i="2"/>
  <c r="Q45" i="2"/>
  <c r="Q36" i="2"/>
  <c r="Q35" i="2"/>
  <c r="Q34" i="2"/>
  <c r="Q33" i="2"/>
  <c r="Q32" i="2"/>
  <c r="Q28" i="2"/>
  <c r="Q27" i="2"/>
  <c r="Q25" i="2"/>
  <c r="Q24" i="2"/>
  <c r="Q22" i="2"/>
  <c r="Q19" i="2"/>
  <c r="Q18" i="2"/>
  <c r="Q17" i="2"/>
  <c r="Q16" i="2"/>
  <c r="Q15" i="2"/>
  <c r="Q13" i="2"/>
  <c r="Q12" i="2"/>
  <c r="Q11" i="2"/>
  <c r="J85" i="43"/>
  <c r="J10" i="43"/>
  <c r="J76" i="43" s="1"/>
  <c r="J77" i="43" s="1"/>
  <c r="J14" i="43"/>
  <c r="J82" i="43"/>
  <c r="J23" i="43"/>
  <c r="J79" i="43"/>
  <c r="J73" i="43"/>
  <c r="J26" i="43"/>
  <c r="J37" i="43"/>
  <c r="J56" i="43"/>
  <c r="S87" i="2"/>
  <c r="S86" i="2"/>
  <c r="P87" i="2"/>
  <c r="D14" i="43"/>
  <c r="U63" i="27"/>
  <c r="H10" i="27"/>
  <c r="H16" i="27"/>
  <c r="H40" i="27"/>
  <c r="H55" i="27"/>
  <c r="A3" i="27"/>
  <c r="I10" i="27"/>
  <c r="I16" i="27"/>
  <c r="I40" i="27"/>
  <c r="I55" i="27"/>
  <c r="J10" i="27"/>
  <c r="J16" i="27"/>
  <c r="J40" i="27"/>
  <c r="J55" i="27"/>
  <c r="K16" i="27"/>
  <c r="K40" i="27"/>
  <c r="K55" i="27"/>
  <c r="L40" i="27"/>
  <c r="L55" i="27"/>
  <c r="M10" i="27"/>
  <c r="M16" i="27"/>
  <c r="M40" i="27"/>
  <c r="M55" i="27"/>
  <c r="N10" i="27"/>
  <c r="N16" i="27"/>
  <c r="N40" i="27"/>
  <c r="N55" i="27"/>
  <c r="O10" i="27"/>
  <c r="O16" i="27"/>
  <c r="O40" i="27"/>
  <c r="O55" i="27"/>
  <c r="P10" i="27"/>
  <c r="P16" i="27"/>
  <c r="Q10" i="27"/>
  <c r="Q16" i="27"/>
  <c r="Q40" i="27"/>
  <c r="Q55" i="27"/>
  <c r="R10" i="27"/>
  <c r="R16" i="27"/>
  <c r="R40" i="27"/>
  <c r="R55" i="27"/>
  <c r="S10" i="27"/>
  <c r="S16" i="27"/>
  <c r="S40" i="27"/>
  <c r="S55" i="27"/>
  <c r="T10" i="27"/>
  <c r="T16" i="27"/>
  <c r="T40" i="27"/>
  <c r="T55" i="27"/>
  <c r="U85" i="42"/>
  <c r="U83" i="42"/>
  <c r="V83" i="42" s="1"/>
  <c r="U11" i="42"/>
  <c r="V11" i="42" s="1"/>
  <c r="U12" i="42"/>
  <c r="V12" i="42" s="1"/>
  <c r="W12" i="42" s="1"/>
  <c r="X12" i="42" s="1"/>
  <c r="Y12" i="42" s="1"/>
  <c r="Z12" i="42" s="1"/>
  <c r="AA12" i="42" s="1"/>
  <c r="AB12" i="42" s="1"/>
  <c r="AC12" i="42" s="1"/>
  <c r="AD12" i="42" s="1"/>
  <c r="AE12" i="42" s="1"/>
  <c r="AF12" i="42" s="1"/>
  <c r="U13" i="42"/>
  <c r="V13" i="42" s="1"/>
  <c r="W13" i="42" s="1"/>
  <c r="X13" i="42" s="1"/>
  <c r="Y13" i="42" s="1"/>
  <c r="Z13" i="42" s="1"/>
  <c r="AA13" i="42" s="1"/>
  <c r="AB13" i="42" s="1"/>
  <c r="AC13" i="42" s="1"/>
  <c r="AD13" i="42" s="1"/>
  <c r="AE13" i="42" s="1"/>
  <c r="AF13" i="42" s="1"/>
  <c r="U15" i="42"/>
  <c r="V15" i="42" s="1"/>
  <c r="U16" i="42"/>
  <c r="V16" i="42" s="1"/>
  <c r="U17" i="42"/>
  <c r="V17" i="42" s="1"/>
  <c r="W17" i="42" s="1"/>
  <c r="X17" i="42" s="1"/>
  <c r="Y17" i="42" s="1"/>
  <c r="Z17" i="42" s="1"/>
  <c r="AA17" i="42" s="1"/>
  <c r="AB17" i="42" s="1"/>
  <c r="AC17" i="42" s="1"/>
  <c r="AD17" i="42" s="1"/>
  <c r="AE17" i="42" s="1"/>
  <c r="AF17" i="42" s="1"/>
  <c r="U18" i="42"/>
  <c r="V18" i="42" s="1"/>
  <c r="W18" i="42" s="1"/>
  <c r="X18" i="42" s="1"/>
  <c r="Y18" i="42" s="1"/>
  <c r="Z18" i="42" s="1"/>
  <c r="AA18" i="42" s="1"/>
  <c r="AB18" i="42" s="1"/>
  <c r="AC18" i="42" s="1"/>
  <c r="AD18" i="42" s="1"/>
  <c r="AE18" i="42" s="1"/>
  <c r="AF18" i="42" s="1"/>
  <c r="U19" i="42"/>
  <c r="V19" i="42" s="1"/>
  <c r="W19" i="42" s="1"/>
  <c r="X19" i="42" s="1"/>
  <c r="Y19" i="42" s="1"/>
  <c r="Z19" i="42" s="1"/>
  <c r="AA19" i="42" s="1"/>
  <c r="AB19" i="42" s="1"/>
  <c r="AC19" i="42" s="1"/>
  <c r="AD19" i="42" s="1"/>
  <c r="AE19" i="42" s="1"/>
  <c r="AF19" i="42" s="1"/>
  <c r="U24" i="42"/>
  <c r="V24" i="42" s="1"/>
  <c r="U25" i="42"/>
  <c r="V25" i="42" s="1"/>
  <c r="W25" i="42" s="1"/>
  <c r="X25" i="42" s="1"/>
  <c r="Y25" i="42" s="1"/>
  <c r="Z25" i="42" s="1"/>
  <c r="AA25" i="42" s="1"/>
  <c r="AB25" i="42" s="1"/>
  <c r="AC25" i="42" s="1"/>
  <c r="AD25" i="42" s="1"/>
  <c r="AE25" i="42" s="1"/>
  <c r="AF25" i="42" s="1"/>
  <c r="U78" i="42"/>
  <c r="V78" i="42" s="1"/>
  <c r="W78" i="42" s="1"/>
  <c r="X78" i="42" s="1"/>
  <c r="Y78" i="42" s="1"/>
  <c r="Z78" i="42" s="1"/>
  <c r="AA78" i="42" s="1"/>
  <c r="AB78" i="42" s="1"/>
  <c r="AC78" i="42" s="1"/>
  <c r="AD78" i="42" s="1"/>
  <c r="AE78" i="42" s="1"/>
  <c r="AF78" i="42" s="1"/>
  <c r="U22" i="42"/>
  <c r="V22" i="42" s="1"/>
  <c r="U71" i="42"/>
  <c r="V71" i="42" s="1"/>
  <c r="W71" i="42" s="1"/>
  <c r="U72" i="42"/>
  <c r="U27" i="42"/>
  <c r="V27" i="42" s="1"/>
  <c r="U28" i="42"/>
  <c r="V28" i="42" s="1"/>
  <c r="W28" i="42" s="1"/>
  <c r="X28" i="42" s="1"/>
  <c r="Y28" i="42" s="1"/>
  <c r="Z28" i="42" s="1"/>
  <c r="AA28" i="42" s="1"/>
  <c r="AB28" i="42" s="1"/>
  <c r="AC28" i="42" s="1"/>
  <c r="AD28" i="42" s="1"/>
  <c r="AE28" i="42" s="1"/>
  <c r="AF28" i="42" s="1"/>
  <c r="U32" i="42"/>
  <c r="V32" i="42" s="1"/>
  <c r="W32" i="42" s="1"/>
  <c r="X32" i="42" s="1"/>
  <c r="Y32" i="42" s="1"/>
  <c r="Z32" i="42" s="1"/>
  <c r="AA32" i="42" s="1"/>
  <c r="U33" i="42"/>
  <c r="V33" i="42"/>
  <c r="W33" i="42" s="1"/>
  <c r="U34" i="42"/>
  <c r="V34" i="42" s="1"/>
  <c r="W34" i="42" s="1"/>
  <c r="X34" i="42" s="1"/>
  <c r="Y34" i="42" s="1"/>
  <c r="Z34" i="42" s="1"/>
  <c r="AA34" i="42" s="1"/>
  <c r="AB34" i="42" s="1"/>
  <c r="AC34" i="42" s="1"/>
  <c r="AD34" i="42" s="1"/>
  <c r="AE34" i="42" s="1"/>
  <c r="AF34" i="42" s="1"/>
  <c r="U35" i="42"/>
  <c r="V35" i="42" s="1"/>
  <c r="W35" i="42" s="1"/>
  <c r="X35" i="42" s="1"/>
  <c r="Y35" i="42" s="1"/>
  <c r="Z35" i="42" s="1"/>
  <c r="AA35" i="42" s="1"/>
  <c r="AB35" i="42" s="1"/>
  <c r="AC35" i="42" s="1"/>
  <c r="AD35" i="42" s="1"/>
  <c r="AE35" i="42" s="1"/>
  <c r="AF35" i="42" s="1"/>
  <c r="U36" i="42"/>
  <c r="V36" i="42" s="1"/>
  <c r="W36" i="42" s="1"/>
  <c r="X36" i="42" s="1"/>
  <c r="Y36" i="42" s="1"/>
  <c r="Z36" i="42" s="1"/>
  <c r="AA36" i="42" s="1"/>
  <c r="AB36" i="42" s="1"/>
  <c r="AC36" i="42" s="1"/>
  <c r="AD36" i="42" s="1"/>
  <c r="AE36" i="42" s="1"/>
  <c r="AF36" i="42" s="1"/>
  <c r="U45" i="42"/>
  <c r="V45" i="42" s="1"/>
  <c r="W45" i="42" s="1"/>
  <c r="X45" i="42" s="1"/>
  <c r="Y45" i="42" s="1"/>
  <c r="Z45" i="42" s="1"/>
  <c r="AA45" i="42" s="1"/>
  <c r="AB45" i="42" s="1"/>
  <c r="AC45" i="42" s="1"/>
  <c r="AD45" i="42" s="1"/>
  <c r="AE45" i="42" s="1"/>
  <c r="AF45" i="42" s="1"/>
  <c r="U51" i="42"/>
  <c r="V51" i="42" s="1"/>
  <c r="W51" i="42" s="1"/>
  <c r="X51" i="42" s="1"/>
  <c r="Y51" i="42" s="1"/>
  <c r="Z51" i="42" s="1"/>
  <c r="AA51" i="42" s="1"/>
  <c r="AB51" i="42" s="1"/>
  <c r="AC51" i="42" s="1"/>
  <c r="U52" i="42"/>
  <c r="V52" i="42" s="1"/>
  <c r="W52" i="42" s="1"/>
  <c r="X52" i="42" s="1"/>
  <c r="Y52" i="42" s="1"/>
  <c r="U53" i="42"/>
  <c r="V53" i="42" s="1"/>
  <c r="W53" i="42" s="1"/>
  <c r="X53" i="42" s="1"/>
  <c r="Y53" i="42" s="1"/>
  <c r="Z53" i="42" s="1"/>
  <c r="AA53" i="42" s="1"/>
  <c r="AB53" i="42" s="1"/>
  <c r="AC53" i="42" s="1"/>
  <c r="AD53" i="42" s="1"/>
  <c r="AE53" i="42" s="1"/>
  <c r="AF53" i="42" s="1"/>
  <c r="U54" i="42"/>
  <c r="V54" i="42" s="1"/>
  <c r="W54" i="42" s="1"/>
  <c r="X54" i="42" s="1"/>
  <c r="Y54" i="42" s="1"/>
  <c r="Z54" i="42" s="1"/>
  <c r="AA54" i="42" s="1"/>
  <c r="AB54" i="42" s="1"/>
  <c r="AC54" i="42" s="1"/>
  <c r="AD54" i="42" s="1"/>
  <c r="AE54" i="42" s="1"/>
  <c r="AF54" i="42" s="1"/>
  <c r="U55" i="42"/>
  <c r="V55" i="42" s="1"/>
  <c r="W55" i="42" s="1"/>
  <c r="X55" i="42" s="1"/>
  <c r="Y55" i="42" s="1"/>
  <c r="Z55" i="42" s="1"/>
  <c r="AA55" i="42" s="1"/>
  <c r="AB55" i="42" s="1"/>
  <c r="AC55" i="42" s="1"/>
  <c r="AD55" i="42" s="1"/>
  <c r="AE55" i="42" s="1"/>
  <c r="AF55" i="42" s="1"/>
  <c r="U61" i="42"/>
  <c r="V61" i="42"/>
  <c r="W61" i="42" s="1"/>
  <c r="X61" i="42" s="1"/>
  <c r="Y61" i="42" s="1"/>
  <c r="Z61" i="42" s="1"/>
  <c r="AA61" i="42" s="1"/>
  <c r="AB61" i="42" s="1"/>
  <c r="AC61" i="42" s="1"/>
  <c r="AD61" i="42" s="1"/>
  <c r="AE61" i="42" s="1"/>
  <c r="AF61" i="42" s="1"/>
  <c r="U83" i="41"/>
  <c r="V83" i="41" s="1"/>
  <c r="U11" i="41"/>
  <c r="V11" i="41" s="1"/>
  <c r="U12" i="41"/>
  <c r="V12" i="41" s="1"/>
  <c r="W12" i="41" s="1"/>
  <c r="X12" i="41" s="1"/>
  <c r="Y12" i="41" s="1"/>
  <c r="Z12" i="41" s="1"/>
  <c r="AA12" i="41" s="1"/>
  <c r="AB12" i="41" s="1"/>
  <c r="AC12" i="41" s="1"/>
  <c r="AD12" i="41" s="1"/>
  <c r="AE12" i="41" s="1"/>
  <c r="AF12" i="41" s="1"/>
  <c r="U13" i="41"/>
  <c r="V13" i="41" s="1"/>
  <c r="W13" i="41" s="1"/>
  <c r="X13" i="41" s="1"/>
  <c r="Y13" i="41" s="1"/>
  <c r="Z13" i="41" s="1"/>
  <c r="AA13" i="41" s="1"/>
  <c r="AB13" i="41" s="1"/>
  <c r="AC13" i="41" s="1"/>
  <c r="AD13" i="41" s="1"/>
  <c r="AE13" i="41" s="1"/>
  <c r="AF13" i="41" s="1"/>
  <c r="U15" i="41"/>
  <c r="V15" i="41" s="1"/>
  <c r="W15" i="41" s="1"/>
  <c r="X15" i="41" s="1"/>
  <c r="Y15" i="41" s="1"/>
  <c r="Z15" i="41" s="1"/>
  <c r="U16" i="41"/>
  <c r="V16" i="41" s="1"/>
  <c r="U17" i="41"/>
  <c r="V17" i="41" s="1"/>
  <c r="W17" i="41" s="1"/>
  <c r="X17" i="41" s="1"/>
  <c r="Y17" i="41" s="1"/>
  <c r="Z17" i="41" s="1"/>
  <c r="AA17" i="41" s="1"/>
  <c r="AB17" i="41" s="1"/>
  <c r="AC17" i="41" s="1"/>
  <c r="AD17" i="41" s="1"/>
  <c r="AE17" i="41" s="1"/>
  <c r="AF17" i="41" s="1"/>
  <c r="U18" i="41"/>
  <c r="V18" i="41" s="1"/>
  <c r="W18" i="41" s="1"/>
  <c r="X18" i="41" s="1"/>
  <c r="Y18" i="41" s="1"/>
  <c r="Z18" i="41" s="1"/>
  <c r="AA18" i="41" s="1"/>
  <c r="AB18" i="41" s="1"/>
  <c r="AC18" i="41" s="1"/>
  <c r="AD18" i="41" s="1"/>
  <c r="AE18" i="41" s="1"/>
  <c r="AF18" i="41" s="1"/>
  <c r="U19" i="41"/>
  <c r="V19" i="41" s="1"/>
  <c r="W19" i="41" s="1"/>
  <c r="X19" i="41" s="1"/>
  <c r="Y19" i="41" s="1"/>
  <c r="Z19" i="41" s="1"/>
  <c r="AA19" i="41" s="1"/>
  <c r="AB19" i="41" s="1"/>
  <c r="AC19" i="41" s="1"/>
  <c r="AD19" i="41" s="1"/>
  <c r="AE19" i="41" s="1"/>
  <c r="AF19" i="41" s="1"/>
  <c r="U24" i="41"/>
  <c r="V24" i="41" s="1"/>
  <c r="U25" i="41"/>
  <c r="V25" i="41" s="1"/>
  <c r="W25" i="41" s="1"/>
  <c r="X25" i="41" s="1"/>
  <c r="Y25" i="41" s="1"/>
  <c r="Z25" i="41" s="1"/>
  <c r="AA25" i="41" s="1"/>
  <c r="AB25" i="41" s="1"/>
  <c r="AC25" i="41" s="1"/>
  <c r="AD25" i="41" s="1"/>
  <c r="AE25" i="41" s="1"/>
  <c r="AF25" i="41" s="1"/>
  <c r="U78" i="41"/>
  <c r="V78" i="41" s="1"/>
  <c r="U22" i="41"/>
  <c r="V22" i="41" s="1"/>
  <c r="W22" i="41" s="1"/>
  <c r="X22" i="41" s="1"/>
  <c r="U71" i="41"/>
  <c r="V71" i="41" s="1"/>
  <c r="W71" i="41" s="1"/>
  <c r="X71" i="41" s="1"/>
  <c r="Y71" i="41" s="1"/>
  <c r="Z71" i="41" s="1"/>
  <c r="AA71" i="41" s="1"/>
  <c r="AB71" i="41" s="1"/>
  <c r="AC71" i="41" s="1"/>
  <c r="AD71" i="41" s="1"/>
  <c r="AE71" i="41" s="1"/>
  <c r="AF71" i="41" s="1"/>
  <c r="U72" i="41"/>
  <c r="V72" i="41" s="1"/>
  <c r="U27" i="41"/>
  <c r="V27" i="41" s="1"/>
  <c r="W27" i="41" s="1"/>
  <c r="U28" i="41"/>
  <c r="V28" i="41" s="1"/>
  <c r="W28" i="41" s="1"/>
  <c r="X28" i="41" s="1"/>
  <c r="Y28" i="41" s="1"/>
  <c r="Z28" i="41" s="1"/>
  <c r="AA28" i="41" s="1"/>
  <c r="AB28" i="41" s="1"/>
  <c r="AC28" i="41" s="1"/>
  <c r="AD28" i="41" s="1"/>
  <c r="AE28" i="41" s="1"/>
  <c r="AF28" i="41" s="1"/>
  <c r="U32" i="41"/>
  <c r="V32" i="41" s="1"/>
  <c r="W32" i="41" s="1"/>
  <c r="X32" i="41" s="1"/>
  <c r="Y32" i="41" s="1"/>
  <c r="U33" i="41"/>
  <c r="V33" i="41" s="1"/>
  <c r="W33" i="41" s="1"/>
  <c r="X33" i="41" s="1"/>
  <c r="Y33" i="41" s="1"/>
  <c r="Z33" i="41" s="1"/>
  <c r="AA33" i="41" s="1"/>
  <c r="AB33" i="41" s="1"/>
  <c r="AC33" i="41" s="1"/>
  <c r="AD33" i="41" s="1"/>
  <c r="AE33" i="41" s="1"/>
  <c r="AF33" i="41" s="1"/>
  <c r="U34" i="41"/>
  <c r="V34" i="41" s="1"/>
  <c r="W34" i="41" s="1"/>
  <c r="X34" i="41" s="1"/>
  <c r="Y34" i="41" s="1"/>
  <c r="Z34" i="41" s="1"/>
  <c r="AA34" i="41" s="1"/>
  <c r="AB34" i="41" s="1"/>
  <c r="AC34" i="41" s="1"/>
  <c r="AD34" i="41" s="1"/>
  <c r="AE34" i="41" s="1"/>
  <c r="AF34" i="41" s="1"/>
  <c r="U35" i="41"/>
  <c r="V35" i="41" s="1"/>
  <c r="W35" i="41" s="1"/>
  <c r="X35" i="41" s="1"/>
  <c r="Y35" i="41" s="1"/>
  <c r="Z35" i="41" s="1"/>
  <c r="AA35" i="41" s="1"/>
  <c r="AB35" i="41" s="1"/>
  <c r="AC35" i="41" s="1"/>
  <c r="AD35" i="41" s="1"/>
  <c r="AE35" i="41" s="1"/>
  <c r="AF35" i="41" s="1"/>
  <c r="U36" i="41"/>
  <c r="V36" i="41" s="1"/>
  <c r="W36" i="41" s="1"/>
  <c r="X36" i="41" s="1"/>
  <c r="Y36" i="41" s="1"/>
  <c r="Z36" i="41" s="1"/>
  <c r="AA36" i="41" s="1"/>
  <c r="AB36" i="41" s="1"/>
  <c r="AC36" i="41" s="1"/>
  <c r="AD36" i="41" s="1"/>
  <c r="AE36" i="41" s="1"/>
  <c r="AF36" i="41" s="1"/>
  <c r="U45" i="41"/>
  <c r="V45" i="41" s="1"/>
  <c r="W45" i="41" s="1"/>
  <c r="X45" i="41" s="1"/>
  <c r="Y45" i="41" s="1"/>
  <c r="Z45" i="41" s="1"/>
  <c r="AA45" i="41" s="1"/>
  <c r="AB45" i="41" s="1"/>
  <c r="AC45" i="41" s="1"/>
  <c r="AD45" i="41" s="1"/>
  <c r="AE45" i="41" s="1"/>
  <c r="AF45" i="41" s="1"/>
  <c r="U51" i="41"/>
  <c r="V51" i="41"/>
  <c r="W51" i="41"/>
  <c r="X51" i="41" s="1"/>
  <c r="Y51" i="41" s="1"/>
  <c r="Z51" i="41" s="1"/>
  <c r="U52" i="41"/>
  <c r="V52" i="41" s="1"/>
  <c r="W52" i="41" s="1"/>
  <c r="U53" i="41"/>
  <c r="V53" i="41" s="1"/>
  <c r="W53" i="41" s="1"/>
  <c r="X53" i="41" s="1"/>
  <c r="Y53" i="41" s="1"/>
  <c r="Z53" i="41" s="1"/>
  <c r="AA53" i="41" s="1"/>
  <c r="AB53" i="41" s="1"/>
  <c r="AC53" i="41" s="1"/>
  <c r="AD53" i="41" s="1"/>
  <c r="AE53" i="41" s="1"/>
  <c r="AF53" i="41" s="1"/>
  <c r="U54" i="41"/>
  <c r="U55" i="41"/>
  <c r="V55" i="41" s="1"/>
  <c r="W55" i="41" s="1"/>
  <c r="X55" i="41" s="1"/>
  <c r="Y55" i="41" s="1"/>
  <c r="Z55" i="41" s="1"/>
  <c r="AA55" i="41" s="1"/>
  <c r="AB55" i="41" s="1"/>
  <c r="AC55" i="41" s="1"/>
  <c r="AD55" i="41" s="1"/>
  <c r="AE55" i="41" s="1"/>
  <c r="AF55" i="41" s="1"/>
  <c r="U61" i="41"/>
  <c r="V61" i="41" s="1"/>
  <c r="W61" i="41" s="1"/>
  <c r="X61" i="41" s="1"/>
  <c r="Y61" i="41" s="1"/>
  <c r="Z61" i="41" s="1"/>
  <c r="AA61" i="41" s="1"/>
  <c r="AB61" i="41" s="1"/>
  <c r="AC61" i="41" s="1"/>
  <c r="AD61" i="41" s="1"/>
  <c r="AE61" i="41" s="1"/>
  <c r="AF61" i="41" s="1"/>
  <c r="U83" i="40"/>
  <c r="V83" i="40" s="1"/>
  <c r="W83" i="40" s="1"/>
  <c r="X83" i="40" s="1"/>
  <c r="Y83" i="40" s="1"/>
  <c r="Z83" i="40" s="1"/>
  <c r="W78" i="40"/>
  <c r="X78" i="40" s="1"/>
  <c r="Y78" i="40" s="1"/>
  <c r="Z78" i="40" s="1"/>
  <c r="AA78" i="40" s="1"/>
  <c r="AB78" i="40" s="1"/>
  <c r="AC78" i="40" s="1"/>
  <c r="AD78" i="40" s="1"/>
  <c r="AE78" i="40" s="1"/>
  <c r="AF78" i="40" s="1"/>
  <c r="U72" i="40"/>
  <c r="V72" i="40" s="1"/>
  <c r="W72" i="40" s="1"/>
  <c r="X72" i="40" s="1"/>
  <c r="Y72" i="40" s="1"/>
  <c r="Z72" i="40" s="1"/>
  <c r="AA72" i="40" s="1"/>
  <c r="AB72" i="40" s="1"/>
  <c r="AC72" i="40" s="1"/>
  <c r="U71" i="40"/>
  <c r="V71" i="40" s="1"/>
  <c r="U61" i="40"/>
  <c r="V61" i="40" s="1"/>
  <c r="W61" i="40" s="1"/>
  <c r="X61" i="40" s="1"/>
  <c r="Y61" i="40" s="1"/>
  <c r="Z61" i="40" s="1"/>
  <c r="AA61" i="40" s="1"/>
  <c r="AB61" i="40" s="1"/>
  <c r="AC61" i="40" s="1"/>
  <c r="AD61" i="40" s="1"/>
  <c r="AE61" i="40" s="1"/>
  <c r="AF61" i="40" s="1"/>
  <c r="U55" i="40"/>
  <c r="V55" i="40"/>
  <c r="W55" i="40" s="1"/>
  <c r="X55" i="40" s="1"/>
  <c r="Y55" i="40" s="1"/>
  <c r="Z55" i="40" s="1"/>
  <c r="AA55" i="40" s="1"/>
  <c r="AB55" i="40" s="1"/>
  <c r="AC55" i="40" s="1"/>
  <c r="AD55" i="40" s="1"/>
  <c r="AE55" i="40" s="1"/>
  <c r="AF55" i="40" s="1"/>
  <c r="U54" i="40"/>
  <c r="V54" i="40" s="1"/>
  <c r="U53" i="40"/>
  <c r="V53" i="40" s="1"/>
  <c r="W53" i="40" s="1"/>
  <c r="X53" i="40" s="1"/>
  <c r="Y53" i="40" s="1"/>
  <c r="Z53" i="40" s="1"/>
  <c r="AA53" i="40" s="1"/>
  <c r="AB53" i="40" s="1"/>
  <c r="AC53" i="40" s="1"/>
  <c r="AD53" i="40" s="1"/>
  <c r="AE53" i="40" s="1"/>
  <c r="AF53" i="40" s="1"/>
  <c r="U52" i="40"/>
  <c r="V52" i="40" s="1"/>
  <c r="W52" i="40" s="1"/>
  <c r="X52" i="40" s="1"/>
  <c r="Y52" i="40" s="1"/>
  <c r="Z52" i="40" s="1"/>
  <c r="AA52" i="40" s="1"/>
  <c r="AB52" i="40" s="1"/>
  <c r="AC52" i="40" s="1"/>
  <c r="AD52" i="40" s="1"/>
  <c r="AE52" i="40" s="1"/>
  <c r="AF52" i="40" s="1"/>
  <c r="U51" i="40"/>
  <c r="V51" i="40" s="1"/>
  <c r="W51" i="40" s="1"/>
  <c r="X51" i="40" s="1"/>
  <c r="Y51" i="40" s="1"/>
  <c r="Z51" i="40" s="1"/>
  <c r="AA51" i="40" s="1"/>
  <c r="AB51" i="40" s="1"/>
  <c r="AC51" i="40" s="1"/>
  <c r="AD51" i="40" s="1"/>
  <c r="AE51" i="40" s="1"/>
  <c r="AF51" i="40" s="1"/>
  <c r="U45" i="40"/>
  <c r="V45" i="40" s="1"/>
  <c r="W45" i="40" s="1"/>
  <c r="X45" i="40" s="1"/>
  <c r="Y45" i="40" s="1"/>
  <c r="Z45" i="40" s="1"/>
  <c r="AA45" i="40" s="1"/>
  <c r="AB45" i="40" s="1"/>
  <c r="AC45" i="40" s="1"/>
  <c r="AD45" i="40" s="1"/>
  <c r="AE45" i="40" s="1"/>
  <c r="AF45" i="40" s="1"/>
  <c r="U36" i="40"/>
  <c r="V36" i="40" s="1"/>
  <c r="W36" i="40" s="1"/>
  <c r="X36" i="40" s="1"/>
  <c r="Y36" i="40" s="1"/>
  <c r="Z36" i="40" s="1"/>
  <c r="AA36" i="40" s="1"/>
  <c r="AB36" i="40" s="1"/>
  <c r="AC36" i="40" s="1"/>
  <c r="AD36" i="40" s="1"/>
  <c r="AE36" i="40" s="1"/>
  <c r="AF36" i="40" s="1"/>
  <c r="U35" i="40"/>
  <c r="V35" i="40" s="1"/>
  <c r="W35" i="40" s="1"/>
  <c r="X35" i="40" s="1"/>
  <c r="Y35" i="40" s="1"/>
  <c r="Z35" i="40" s="1"/>
  <c r="AA35" i="40" s="1"/>
  <c r="AB35" i="40" s="1"/>
  <c r="AC35" i="40" s="1"/>
  <c r="AD35" i="40" s="1"/>
  <c r="AE35" i="40" s="1"/>
  <c r="AF35" i="40" s="1"/>
  <c r="U34" i="40"/>
  <c r="V34" i="40" s="1"/>
  <c r="W34" i="40" s="1"/>
  <c r="X34" i="40" s="1"/>
  <c r="Y34" i="40" s="1"/>
  <c r="Z34" i="40" s="1"/>
  <c r="AA34" i="40" s="1"/>
  <c r="AB34" i="40" s="1"/>
  <c r="AC34" i="40" s="1"/>
  <c r="AD34" i="40" s="1"/>
  <c r="AE34" i="40" s="1"/>
  <c r="AF34" i="40" s="1"/>
  <c r="U33" i="40"/>
  <c r="V33" i="40" s="1"/>
  <c r="W33" i="40" s="1"/>
  <c r="X33" i="40" s="1"/>
  <c r="Y33" i="40" s="1"/>
  <c r="Z33" i="40" s="1"/>
  <c r="AA33" i="40" s="1"/>
  <c r="AB33" i="40" s="1"/>
  <c r="AC33" i="40" s="1"/>
  <c r="AD33" i="40" s="1"/>
  <c r="AE33" i="40" s="1"/>
  <c r="AF33" i="40" s="1"/>
  <c r="U32" i="40"/>
  <c r="V32" i="40" s="1"/>
  <c r="U28" i="40"/>
  <c r="V28" i="40"/>
  <c r="W28" i="40" s="1"/>
  <c r="U27" i="40"/>
  <c r="V27" i="40" s="1"/>
  <c r="U25" i="40"/>
  <c r="V25" i="40" s="1"/>
  <c r="W25" i="40" s="1"/>
  <c r="X25" i="40" s="1"/>
  <c r="Y25" i="40" s="1"/>
  <c r="Z25" i="40" s="1"/>
  <c r="AA25" i="40" s="1"/>
  <c r="AB25" i="40" s="1"/>
  <c r="AC25" i="40" s="1"/>
  <c r="AD25" i="40" s="1"/>
  <c r="AE25" i="40" s="1"/>
  <c r="AF25" i="40" s="1"/>
  <c r="U24" i="40"/>
  <c r="U22" i="40"/>
  <c r="V22" i="40" s="1"/>
  <c r="W22" i="40" s="1"/>
  <c r="X22" i="40" s="1"/>
  <c r="U19" i="40"/>
  <c r="V19" i="40" s="1"/>
  <c r="W19" i="40" s="1"/>
  <c r="X19" i="40" s="1"/>
  <c r="Y19" i="40" s="1"/>
  <c r="Z19" i="40" s="1"/>
  <c r="AA19" i="40" s="1"/>
  <c r="AB19" i="40" s="1"/>
  <c r="AC19" i="40" s="1"/>
  <c r="AD19" i="40" s="1"/>
  <c r="AE19" i="40" s="1"/>
  <c r="AF19" i="40" s="1"/>
  <c r="U18" i="40"/>
  <c r="V18" i="40" s="1"/>
  <c r="W18" i="40" s="1"/>
  <c r="X18" i="40" s="1"/>
  <c r="Y18" i="40" s="1"/>
  <c r="Z18" i="40" s="1"/>
  <c r="AA18" i="40" s="1"/>
  <c r="AB18" i="40" s="1"/>
  <c r="AC18" i="40" s="1"/>
  <c r="AD18" i="40" s="1"/>
  <c r="AE18" i="40" s="1"/>
  <c r="AF18" i="40" s="1"/>
  <c r="U17" i="40"/>
  <c r="V17" i="40" s="1"/>
  <c r="W17" i="40" s="1"/>
  <c r="X17" i="40" s="1"/>
  <c r="Y17" i="40" s="1"/>
  <c r="Z17" i="40" s="1"/>
  <c r="AA17" i="40" s="1"/>
  <c r="AB17" i="40" s="1"/>
  <c r="AC17" i="40" s="1"/>
  <c r="AD17" i="40" s="1"/>
  <c r="AE17" i="40" s="1"/>
  <c r="AF17" i="40" s="1"/>
  <c r="U16" i="40"/>
  <c r="V16" i="40" s="1"/>
  <c r="U15" i="40"/>
  <c r="V15" i="40" s="1"/>
  <c r="U13" i="40"/>
  <c r="V13" i="40" s="1"/>
  <c r="W13" i="40" s="1"/>
  <c r="X13" i="40" s="1"/>
  <c r="Y13" i="40" s="1"/>
  <c r="Z13" i="40" s="1"/>
  <c r="AA13" i="40" s="1"/>
  <c r="AB13" i="40" s="1"/>
  <c r="AC13" i="40" s="1"/>
  <c r="AD13" i="40" s="1"/>
  <c r="AE13" i="40" s="1"/>
  <c r="AF13" i="40" s="1"/>
  <c r="U12" i="40"/>
  <c r="V12" i="40" s="1"/>
  <c r="U11" i="40"/>
  <c r="V11" i="40" s="1"/>
  <c r="W11" i="40" s="1"/>
  <c r="X11" i="40" s="1"/>
  <c r="Y11" i="40" s="1"/>
  <c r="U85" i="40"/>
  <c r="A1" i="40"/>
  <c r="A3" i="40"/>
  <c r="N26" i="40"/>
  <c r="H9" i="45"/>
  <c r="H10" i="45"/>
  <c r="M11" i="45"/>
  <c r="M16" i="45"/>
  <c r="M18" i="45" s="1"/>
  <c r="M22" i="45"/>
  <c r="M23" i="45"/>
  <c r="M24" i="45" s="1"/>
  <c r="I11" i="45"/>
  <c r="I16" i="45"/>
  <c r="I18" i="45" s="1"/>
  <c r="I19" i="45" s="1"/>
  <c r="I22" i="45"/>
  <c r="I23" i="45"/>
  <c r="G11" i="45"/>
  <c r="G16" i="45"/>
  <c r="G22" i="45"/>
  <c r="G23" i="45"/>
  <c r="F11" i="45"/>
  <c r="F16" i="45"/>
  <c r="F18" i="45" s="1"/>
  <c r="F22" i="45"/>
  <c r="F23" i="45"/>
  <c r="E11" i="45"/>
  <c r="E16" i="45"/>
  <c r="E22" i="45"/>
  <c r="E23" i="45"/>
  <c r="D11" i="45"/>
  <c r="D16" i="45"/>
  <c r="D22" i="45"/>
  <c r="D24" i="45" s="1"/>
  <c r="D23" i="45"/>
  <c r="C11" i="45"/>
  <c r="C16" i="45"/>
  <c r="C22" i="45"/>
  <c r="C23" i="45"/>
  <c r="C24" i="45" s="1"/>
  <c r="A3" i="45"/>
  <c r="A1" i="45"/>
  <c r="I23" i="28"/>
  <c r="I22" i="28"/>
  <c r="I16" i="28"/>
  <c r="I11" i="28"/>
  <c r="I14" i="25"/>
  <c r="J14" i="25" s="1"/>
  <c r="I13" i="25"/>
  <c r="J13" i="25" s="1"/>
  <c r="H9" i="28"/>
  <c r="H10" i="28"/>
  <c r="J10" i="28" s="1"/>
  <c r="J23" i="28" s="1"/>
  <c r="H15" i="28"/>
  <c r="N15" i="28" s="1"/>
  <c r="O15" i="28" s="1"/>
  <c r="A3" i="42"/>
  <c r="D88" i="2"/>
  <c r="D87" i="2"/>
  <c r="D86" i="2"/>
  <c r="D83" i="2"/>
  <c r="D78" i="2"/>
  <c r="D72" i="2"/>
  <c r="D71" i="2"/>
  <c r="D55" i="2"/>
  <c r="D54" i="2"/>
  <c r="D53" i="2"/>
  <c r="D52" i="2"/>
  <c r="D51" i="2"/>
  <c r="D45" i="2"/>
  <c r="D36" i="2"/>
  <c r="D35" i="2"/>
  <c r="D34" i="2"/>
  <c r="D33" i="2"/>
  <c r="D32" i="2"/>
  <c r="D28" i="2"/>
  <c r="D27" i="2"/>
  <c r="D25" i="2"/>
  <c r="D22" i="2"/>
  <c r="D19" i="2"/>
  <c r="D18" i="2"/>
  <c r="D17" i="2"/>
  <c r="D16" i="2"/>
  <c r="D15" i="2"/>
  <c r="D85" i="43"/>
  <c r="D79" i="43"/>
  <c r="D73" i="43"/>
  <c r="D56" i="43"/>
  <c r="D26" i="43"/>
  <c r="D37" i="43"/>
  <c r="A3" i="43"/>
  <c r="A1" i="43"/>
  <c r="R87" i="2"/>
  <c r="N85" i="42"/>
  <c r="M85" i="42"/>
  <c r="L85" i="42"/>
  <c r="K85" i="42"/>
  <c r="J85" i="42"/>
  <c r="I85" i="42"/>
  <c r="H85" i="42"/>
  <c r="G85" i="42"/>
  <c r="F85" i="42"/>
  <c r="E85" i="42"/>
  <c r="D85" i="42"/>
  <c r="C85" i="42"/>
  <c r="O83" i="42"/>
  <c r="R83" i="2" s="1"/>
  <c r="C14" i="42"/>
  <c r="D10" i="42"/>
  <c r="D14" i="42"/>
  <c r="E10" i="42"/>
  <c r="E14" i="42"/>
  <c r="F10" i="42"/>
  <c r="F14" i="42"/>
  <c r="G10" i="42"/>
  <c r="G14" i="42"/>
  <c r="H10" i="42"/>
  <c r="H14" i="42"/>
  <c r="I10" i="42"/>
  <c r="I14" i="42"/>
  <c r="J10" i="42"/>
  <c r="J14" i="42"/>
  <c r="K10" i="42"/>
  <c r="K76" i="42" s="1"/>
  <c r="K77" i="42" s="1"/>
  <c r="K14" i="42"/>
  <c r="L10" i="42"/>
  <c r="L76" i="42" s="1"/>
  <c r="L77" i="42" s="1"/>
  <c r="L14" i="42"/>
  <c r="M10" i="42"/>
  <c r="M14" i="42"/>
  <c r="N10" i="42"/>
  <c r="N14" i="42"/>
  <c r="O24" i="42"/>
  <c r="O15" i="42"/>
  <c r="O16" i="42"/>
  <c r="N82" i="42"/>
  <c r="M82" i="42"/>
  <c r="L82" i="42"/>
  <c r="K82" i="42"/>
  <c r="J82" i="42"/>
  <c r="I82" i="42"/>
  <c r="H82" i="42"/>
  <c r="G82" i="42"/>
  <c r="F82" i="42"/>
  <c r="E82" i="42"/>
  <c r="D82" i="42"/>
  <c r="C82" i="42"/>
  <c r="C23" i="42"/>
  <c r="D23" i="42"/>
  <c r="E23" i="42"/>
  <c r="F23" i="42"/>
  <c r="G23" i="42"/>
  <c r="H23" i="42"/>
  <c r="I23" i="42"/>
  <c r="J23" i="42"/>
  <c r="K23" i="42"/>
  <c r="L23" i="42"/>
  <c r="M23" i="42"/>
  <c r="N23" i="42"/>
  <c r="O78" i="42"/>
  <c r="N79" i="42"/>
  <c r="M79" i="42"/>
  <c r="L79" i="42"/>
  <c r="K79" i="42"/>
  <c r="J79" i="42"/>
  <c r="I79" i="42"/>
  <c r="H79" i="42"/>
  <c r="G79" i="42"/>
  <c r="F79" i="42"/>
  <c r="E79" i="42"/>
  <c r="D79" i="42"/>
  <c r="C79" i="42"/>
  <c r="O22" i="42"/>
  <c r="G76" i="42"/>
  <c r="G77" i="42" s="1"/>
  <c r="E76" i="42"/>
  <c r="E77" i="42" s="1"/>
  <c r="C76" i="42"/>
  <c r="C77" i="42" s="1"/>
  <c r="O71" i="42"/>
  <c r="O72" i="42"/>
  <c r="N73" i="42"/>
  <c r="M73" i="42"/>
  <c r="L73" i="42"/>
  <c r="K73" i="42"/>
  <c r="J73" i="42"/>
  <c r="I73" i="42"/>
  <c r="H73" i="42"/>
  <c r="G73" i="42"/>
  <c r="F73" i="42"/>
  <c r="E73" i="42"/>
  <c r="D73" i="42"/>
  <c r="C73" i="42"/>
  <c r="C26" i="42"/>
  <c r="C37" i="42"/>
  <c r="C56" i="42"/>
  <c r="D26" i="42"/>
  <c r="D37" i="42"/>
  <c r="D56" i="42"/>
  <c r="E26" i="42"/>
  <c r="E37" i="42"/>
  <c r="E56" i="42"/>
  <c r="F26" i="42"/>
  <c r="F37" i="42"/>
  <c r="F56" i="42"/>
  <c r="G26" i="42"/>
  <c r="G37" i="42"/>
  <c r="G56" i="42"/>
  <c r="H26" i="42"/>
  <c r="H37" i="42"/>
  <c r="H56" i="42"/>
  <c r="I26" i="42"/>
  <c r="I37" i="42"/>
  <c r="I56" i="42"/>
  <c r="J26" i="42"/>
  <c r="J37" i="42"/>
  <c r="J56" i="42"/>
  <c r="K26" i="42"/>
  <c r="K37" i="42"/>
  <c r="K56" i="42"/>
  <c r="L26" i="42"/>
  <c r="L37" i="42"/>
  <c r="L56" i="42"/>
  <c r="M26" i="42"/>
  <c r="M37" i="42"/>
  <c r="M56" i="42"/>
  <c r="N26" i="42"/>
  <c r="N37" i="42"/>
  <c r="N56" i="42"/>
  <c r="O61" i="42"/>
  <c r="O55" i="42"/>
  <c r="O54" i="42"/>
  <c r="O53" i="42"/>
  <c r="O52" i="42"/>
  <c r="R52" i="2" s="1"/>
  <c r="O51" i="42"/>
  <c r="O45" i="42"/>
  <c r="O36" i="42"/>
  <c r="O35" i="42"/>
  <c r="O34" i="42"/>
  <c r="O33" i="42"/>
  <c r="O32" i="42"/>
  <c r="O28" i="42"/>
  <c r="O27" i="42"/>
  <c r="O25" i="42"/>
  <c r="O19" i="42"/>
  <c r="O18" i="42"/>
  <c r="O17" i="42"/>
  <c r="O13" i="42"/>
  <c r="O12" i="42"/>
  <c r="O11" i="42"/>
  <c r="A1" i="42"/>
  <c r="O85" i="41"/>
  <c r="N85" i="41"/>
  <c r="M85" i="41"/>
  <c r="L85" i="41"/>
  <c r="K85" i="41"/>
  <c r="J85" i="41"/>
  <c r="I85" i="41"/>
  <c r="H85" i="41"/>
  <c r="G85" i="41"/>
  <c r="F85" i="41"/>
  <c r="E85" i="41"/>
  <c r="D85" i="41"/>
  <c r="C85" i="41"/>
  <c r="O83" i="41"/>
  <c r="C10" i="41"/>
  <c r="D10" i="41"/>
  <c r="D14" i="41"/>
  <c r="E10" i="41"/>
  <c r="E14" i="41"/>
  <c r="F10" i="41"/>
  <c r="F14" i="41"/>
  <c r="G10" i="41"/>
  <c r="G14" i="41"/>
  <c r="H10" i="41"/>
  <c r="H14" i="41"/>
  <c r="I10" i="41"/>
  <c r="I14" i="41"/>
  <c r="J10" i="41"/>
  <c r="J14" i="41"/>
  <c r="K10" i="41"/>
  <c r="K14" i="41"/>
  <c r="L10" i="41"/>
  <c r="L76" i="41" s="1"/>
  <c r="L77" i="41" s="1"/>
  <c r="L14" i="41"/>
  <c r="M10" i="41"/>
  <c r="M14" i="41"/>
  <c r="N10" i="41"/>
  <c r="N14" i="41"/>
  <c r="O24" i="41"/>
  <c r="O15" i="41"/>
  <c r="O16" i="41"/>
  <c r="N82" i="41"/>
  <c r="M82" i="41"/>
  <c r="L82" i="41"/>
  <c r="K82" i="41"/>
  <c r="J82" i="41"/>
  <c r="I82" i="41"/>
  <c r="H82" i="41"/>
  <c r="G82" i="41"/>
  <c r="F82" i="41"/>
  <c r="E82" i="41"/>
  <c r="D82" i="41"/>
  <c r="C82" i="41"/>
  <c r="C23" i="41"/>
  <c r="D23" i="41"/>
  <c r="E23" i="41"/>
  <c r="F23" i="41"/>
  <c r="G23" i="41"/>
  <c r="H23" i="41"/>
  <c r="I23" i="41"/>
  <c r="J23" i="41"/>
  <c r="K23" i="41"/>
  <c r="L23" i="41"/>
  <c r="M23" i="41"/>
  <c r="N23" i="41"/>
  <c r="O78" i="41"/>
  <c r="N79" i="41"/>
  <c r="M79" i="41"/>
  <c r="L79" i="41"/>
  <c r="K79" i="41"/>
  <c r="J79" i="41"/>
  <c r="I79" i="41"/>
  <c r="H79" i="41"/>
  <c r="G79" i="41"/>
  <c r="F79" i="41"/>
  <c r="E79" i="41"/>
  <c r="D79" i="41"/>
  <c r="C79" i="41"/>
  <c r="O22" i="41"/>
  <c r="D76" i="41"/>
  <c r="D77" i="41" s="1"/>
  <c r="O71" i="41"/>
  <c r="O72" i="41"/>
  <c r="O73" i="41" s="1"/>
  <c r="N73" i="41"/>
  <c r="M73" i="41"/>
  <c r="L73" i="41"/>
  <c r="K73" i="41"/>
  <c r="J73" i="41"/>
  <c r="I73" i="41"/>
  <c r="H73" i="41"/>
  <c r="G73" i="41"/>
  <c r="F73" i="41"/>
  <c r="E73" i="41"/>
  <c r="D73" i="41"/>
  <c r="C73" i="41"/>
  <c r="C26" i="41"/>
  <c r="C37" i="41"/>
  <c r="C56" i="41"/>
  <c r="D26" i="41"/>
  <c r="D37" i="41"/>
  <c r="D56" i="41"/>
  <c r="E26" i="41"/>
  <c r="E37" i="41"/>
  <c r="E56" i="41"/>
  <c r="F26" i="41"/>
  <c r="F37" i="41"/>
  <c r="F56" i="41"/>
  <c r="G26" i="41"/>
  <c r="G37" i="41"/>
  <c r="G56" i="41"/>
  <c r="H26" i="41"/>
  <c r="H37" i="41"/>
  <c r="H56" i="41"/>
  <c r="I26" i="41"/>
  <c r="I37" i="41"/>
  <c r="I56" i="41"/>
  <c r="J26" i="41"/>
  <c r="J37" i="41"/>
  <c r="J56" i="41"/>
  <c r="K26" i="41"/>
  <c r="K37" i="41"/>
  <c r="K56" i="41"/>
  <c r="L26" i="41"/>
  <c r="L37" i="41"/>
  <c r="L56" i="41"/>
  <c r="M26" i="41"/>
  <c r="M37" i="41"/>
  <c r="M56" i="41"/>
  <c r="N26" i="41"/>
  <c r="N37" i="41"/>
  <c r="N56" i="41"/>
  <c r="O61" i="41"/>
  <c r="O55" i="41"/>
  <c r="S55" i="2" s="1"/>
  <c r="O54" i="41"/>
  <c r="O53" i="41"/>
  <c r="AG53" i="41" s="1"/>
  <c r="O52" i="41"/>
  <c r="O51" i="41"/>
  <c r="O45" i="41"/>
  <c r="O36" i="41"/>
  <c r="O35" i="41"/>
  <c r="O34" i="41"/>
  <c r="O33" i="41"/>
  <c r="O32" i="41"/>
  <c r="O28" i="41"/>
  <c r="O27" i="41"/>
  <c r="O25" i="41"/>
  <c r="O19" i="41"/>
  <c r="O18" i="41"/>
  <c r="O17" i="41"/>
  <c r="O13" i="41"/>
  <c r="O12" i="41"/>
  <c r="O11" i="41"/>
  <c r="A3" i="41"/>
  <c r="A1" i="41"/>
  <c r="P86" i="2"/>
  <c r="O83" i="40"/>
  <c r="P83" i="2" s="1"/>
  <c r="I83" i="43" s="1"/>
  <c r="N82" i="40"/>
  <c r="M82" i="40"/>
  <c r="L82" i="40"/>
  <c r="K82" i="40"/>
  <c r="J82" i="40"/>
  <c r="I82" i="40"/>
  <c r="H82" i="40"/>
  <c r="G82" i="40"/>
  <c r="F82" i="40"/>
  <c r="E82" i="40"/>
  <c r="D82" i="40"/>
  <c r="C82" i="40"/>
  <c r="O78" i="40"/>
  <c r="P78" i="2" s="1"/>
  <c r="O72" i="40"/>
  <c r="O71" i="40"/>
  <c r="O61" i="40"/>
  <c r="O55" i="40"/>
  <c r="O54" i="40"/>
  <c r="O53" i="40"/>
  <c r="O52" i="40"/>
  <c r="O51" i="40"/>
  <c r="O45" i="40"/>
  <c r="O36" i="40"/>
  <c r="O35" i="40"/>
  <c r="O34" i="40"/>
  <c r="O33" i="40"/>
  <c r="O32" i="40"/>
  <c r="O28" i="40"/>
  <c r="O27" i="40"/>
  <c r="O25" i="40"/>
  <c r="O24" i="40"/>
  <c r="O22" i="40"/>
  <c r="O19" i="40"/>
  <c r="O18" i="40"/>
  <c r="O17" i="40"/>
  <c r="O16" i="40"/>
  <c r="O15" i="40"/>
  <c r="O13" i="40"/>
  <c r="O12" i="40"/>
  <c r="O11" i="40"/>
  <c r="N85" i="40"/>
  <c r="N79" i="40"/>
  <c r="N73" i="40"/>
  <c r="N56" i="40"/>
  <c r="N37" i="40"/>
  <c r="N23" i="40"/>
  <c r="N14" i="40"/>
  <c r="N10" i="40"/>
  <c r="N76" i="40" s="1"/>
  <c r="N77" i="40" s="1"/>
  <c r="M85" i="40"/>
  <c r="M79" i="40"/>
  <c r="M73" i="40"/>
  <c r="M56" i="40"/>
  <c r="M37" i="40"/>
  <c r="M26" i="40"/>
  <c r="M23" i="40"/>
  <c r="M14" i="40"/>
  <c r="M10" i="40"/>
  <c r="L85" i="40"/>
  <c r="L79" i="40"/>
  <c r="L73" i="40"/>
  <c r="L56" i="40"/>
  <c r="L37" i="40"/>
  <c r="L26" i="40"/>
  <c r="L23" i="40"/>
  <c r="L14" i="40"/>
  <c r="L10" i="40"/>
  <c r="K85" i="40"/>
  <c r="K79" i="40"/>
  <c r="K73" i="40"/>
  <c r="K56" i="40"/>
  <c r="K37" i="40"/>
  <c r="K26" i="40"/>
  <c r="K23" i="40"/>
  <c r="K14" i="40"/>
  <c r="K10" i="40"/>
  <c r="J85" i="40"/>
  <c r="J79" i="40"/>
  <c r="J73" i="40"/>
  <c r="J56" i="40"/>
  <c r="J37" i="40"/>
  <c r="J26" i="40"/>
  <c r="J23" i="40"/>
  <c r="J14" i="40"/>
  <c r="J10" i="40"/>
  <c r="I85" i="40"/>
  <c r="I79" i="40"/>
  <c r="I73" i="40"/>
  <c r="I56" i="40"/>
  <c r="I37" i="40"/>
  <c r="I26" i="40"/>
  <c r="I23" i="40"/>
  <c r="I14" i="40"/>
  <c r="I10" i="40"/>
  <c r="H85" i="40"/>
  <c r="H79" i="40"/>
  <c r="H73" i="40"/>
  <c r="H56" i="40"/>
  <c r="H37" i="40"/>
  <c r="H26" i="40"/>
  <c r="H23" i="40"/>
  <c r="H14" i="40"/>
  <c r="H10" i="40"/>
  <c r="G85" i="40"/>
  <c r="G79" i="40"/>
  <c r="G73" i="40"/>
  <c r="G56" i="40"/>
  <c r="G37" i="40"/>
  <c r="G26" i="40"/>
  <c r="G23" i="40"/>
  <c r="G14" i="40"/>
  <c r="G10" i="40"/>
  <c r="F85" i="40"/>
  <c r="F79" i="40"/>
  <c r="F73" i="40"/>
  <c r="F56" i="40"/>
  <c r="F37" i="40"/>
  <c r="F26" i="40"/>
  <c r="F23" i="40"/>
  <c r="F14" i="40"/>
  <c r="F10" i="40"/>
  <c r="E85" i="40"/>
  <c r="D85" i="40"/>
  <c r="C85" i="40"/>
  <c r="E79" i="40"/>
  <c r="D79" i="40"/>
  <c r="C79" i="40"/>
  <c r="E73" i="40"/>
  <c r="D73" i="40"/>
  <c r="C73" i="40"/>
  <c r="E56" i="40"/>
  <c r="D56" i="40"/>
  <c r="C56" i="40"/>
  <c r="E37" i="40"/>
  <c r="D37" i="40"/>
  <c r="C37" i="40"/>
  <c r="E26" i="40"/>
  <c r="D26" i="40"/>
  <c r="C26" i="40"/>
  <c r="E23" i="40"/>
  <c r="D23" i="40"/>
  <c r="C23" i="40"/>
  <c r="E14" i="40"/>
  <c r="D14" i="40"/>
  <c r="C14" i="40"/>
  <c r="E10" i="40"/>
  <c r="D10" i="40"/>
  <c r="D76" i="40" s="1"/>
  <c r="D77" i="40" s="1"/>
  <c r="C10" i="40"/>
  <c r="K4" i="39"/>
  <c r="A1" i="39"/>
  <c r="G4" i="39"/>
  <c r="C4" i="39"/>
  <c r="U14" i="27"/>
  <c r="A1" i="27"/>
  <c r="G23" i="28"/>
  <c r="F23" i="28"/>
  <c r="E23" i="28"/>
  <c r="D23" i="28"/>
  <c r="C23" i="28"/>
  <c r="G22" i="28"/>
  <c r="F22" i="28"/>
  <c r="E22" i="28"/>
  <c r="D22" i="28"/>
  <c r="C22" i="28"/>
  <c r="G16" i="28"/>
  <c r="F16" i="28"/>
  <c r="E16" i="28"/>
  <c r="D16" i="28"/>
  <c r="H14" i="28"/>
  <c r="J14" i="28" s="1"/>
  <c r="G11" i="28"/>
  <c r="F11" i="28"/>
  <c r="E11" i="28"/>
  <c r="D11" i="28"/>
  <c r="D18" i="28" s="1"/>
  <c r="C11" i="28"/>
  <c r="C18" i="28" s="1"/>
  <c r="A3" i="28"/>
  <c r="A1" i="28"/>
  <c r="I38" i="25"/>
  <c r="J38" i="25" s="1"/>
  <c r="E38" i="25"/>
  <c r="F38" i="25" s="1"/>
  <c r="D39" i="25"/>
  <c r="I29" i="25"/>
  <c r="J29" i="25" s="1"/>
  <c r="E29" i="25"/>
  <c r="F29" i="25" s="1"/>
  <c r="I28" i="25"/>
  <c r="J28" i="25" s="1"/>
  <c r="E28" i="25"/>
  <c r="F28" i="25" s="1"/>
  <c r="I20" i="25"/>
  <c r="J20" i="25" s="1"/>
  <c r="E20" i="25"/>
  <c r="F20" i="25" s="1"/>
  <c r="I19" i="25"/>
  <c r="J19" i="25" s="1"/>
  <c r="E14" i="25"/>
  <c r="F14" i="25" s="1"/>
  <c r="E13" i="25"/>
  <c r="F13" i="25" s="1"/>
  <c r="A1" i="25"/>
  <c r="M11" i="28"/>
  <c r="M23" i="28"/>
  <c r="M22" i="28"/>
  <c r="M16" i="28"/>
  <c r="K15" i="28"/>
  <c r="I21" i="25"/>
  <c r="J21" i="25" s="1"/>
  <c r="U29" i="27"/>
  <c r="U26" i="27"/>
  <c r="U12" i="27"/>
  <c r="U22" i="27"/>
  <c r="U28" i="27"/>
  <c r="U27" i="27"/>
  <c r="U31" i="27"/>
  <c r="U25" i="27"/>
  <c r="U30" i="27"/>
  <c r="U21" i="27"/>
  <c r="U24" i="27"/>
  <c r="U19" i="27"/>
  <c r="U20" i="27"/>
  <c r="U23" i="27"/>
  <c r="U17" i="27"/>
  <c r="U32" i="27"/>
  <c r="E34" i="25"/>
  <c r="F34" i="25" s="1"/>
  <c r="I34" i="25"/>
  <c r="J34" i="25" s="1"/>
  <c r="E30" i="25"/>
  <c r="F30" i="25" s="1"/>
  <c r="I30" i="25"/>
  <c r="J30" i="25" s="1"/>
  <c r="D11" i="2"/>
  <c r="D12" i="2"/>
  <c r="D13" i="2"/>
  <c r="D10" i="43"/>
  <c r="D61" i="2"/>
  <c r="Q58" i="40" l="1"/>
  <c r="Q56" i="2"/>
  <c r="Q26" i="2"/>
  <c r="Q79" i="2"/>
  <c r="N9" i="28"/>
  <c r="O9" i="28" s="1"/>
  <c r="J9" i="28"/>
  <c r="J22" i="28" s="1"/>
  <c r="J24" i="28" s="1"/>
  <c r="D75" i="2"/>
  <c r="D74" i="2"/>
  <c r="Q75" i="2"/>
  <c r="Q74" i="2"/>
  <c r="E18" i="28"/>
  <c r="H23" i="28"/>
  <c r="F18" i="28"/>
  <c r="G24" i="45"/>
  <c r="M18" i="28"/>
  <c r="H12" i="25" s="1"/>
  <c r="M19" i="28" s="1"/>
  <c r="N14" i="28"/>
  <c r="O14" i="28" s="1"/>
  <c r="H16" i="28"/>
  <c r="J16" i="28" s="1"/>
  <c r="K14" i="28"/>
  <c r="O74" i="40"/>
  <c r="O75" i="40"/>
  <c r="J29" i="43"/>
  <c r="J39" i="43" s="1"/>
  <c r="D10" i="2"/>
  <c r="H16" i="45"/>
  <c r="N14" i="45"/>
  <c r="O14" i="45" s="1"/>
  <c r="G18" i="45"/>
  <c r="G25" i="45" s="1"/>
  <c r="F24" i="28"/>
  <c r="D24" i="28"/>
  <c r="D25" i="28" s="1"/>
  <c r="I18" i="28"/>
  <c r="I19" i="28" s="1"/>
  <c r="I24" i="28"/>
  <c r="I80" i="40"/>
  <c r="I81" i="40" s="1"/>
  <c r="J8" i="40"/>
  <c r="J84" i="40" s="1"/>
  <c r="L80" i="40"/>
  <c r="L81" i="40" s="1"/>
  <c r="Q73" i="2"/>
  <c r="D85" i="2"/>
  <c r="C11" i="2"/>
  <c r="E18" i="45"/>
  <c r="C18" i="45"/>
  <c r="C25" i="45" s="1"/>
  <c r="E24" i="45"/>
  <c r="F24" i="45"/>
  <c r="F25" i="45" s="1"/>
  <c r="J14" i="45"/>
  <c r="K14" i="45" s="1"/>
  <c r="D18" i="45"/>
  <c r="D25" i="45" s="1"/>
  <c r="I24" i="45"/>
  <c r="G24" i="28"/>
  <c r="H22" i="28"/>
  <c r="G18" i="28"/>
  <c r="E24" i="28"/>
  <c r="H76" i="41"/>
  <c r="H77" i="41" s="1"/>
  <c r="L76" i="40"/>
  <c r="L77" i="40" s="1"/>
  <c r="D73" i="2"/>
  <c r="H34" i="27"/>
  <c r="H57" i="27" s="1"/>
  <c r="H11" i="45"/>
  <c r="M24" i="28"/>
  <c r="M25" i="28" s="1"/>
  <c r="N10" i="28"/>
  <c r="K10" i="28"/>
  <c r="C24" i="28"/>
  <c r="H11" i="28"/>
  <c r="J11" i="28" s="1"/>
  <c r="O34" i="27"/>
  <c r="O57" i="27" s="1"/>
  <c r="T34" i="27"/>
  <c r="T57" i="27" s="1"/>
  <c r="S34" i="27"/>
  <c r="S57" i="27" s="1"/>
  <c r="R34" i="27"/>
  <c r="R57" i="27" s="1"/>
  <c r="M34" i="27"/>
  <c r="M57" i="27" s="1"/>
  <c r="I34" i="27"/>
  <c r="I57" i="27" s="1"/>
  <c r="U37" i="42"/>
  <c r="U10" i="41"/>
  <c r="M80" i="40"/>
  <c r="M81" i="40" s="1"/>
  <c r="J80" i="40"/>
  <c r="J81" i="40" s="1"/>
  <c r="H80" i="40"/>
  <c r="H81" i="40" s="1"/>
  <c r="H76" i="40"/>
  <c r="H77" i="40" s="1"/>
  <c r="O10" i="40"/>
  <c r="U14" i="41"/>
  <c r="W27" i="40"/>
  <c r="X27" i="40" s="1"/>
  <c r="Y27" i="40" s="1"/>
  <c r="Z27" i="40" s="1"/>
  <c r="AA27" i="40" s="1"/>
  <c r="AB27" i="40" s="1"/>
  <c r="AC27" i="40" s="1"/>
  <c r="AD27" i="40" s="1"/>
  <c r="AE27" i="40" s="1"/>
  <c r="V26" i="40"/>
  <c r="U79" i="40"/>
  <c r="C13" i="27"/>
  <c r="D13" i="27"/>
  <c r="C71" i="2"/>
  <c r="C71" i="43" s="1"/>
  <c r="E71" i="43" s="1"/>
  <c r="F71" i="43" s="1"/>
  <c r="S53" i="2"/>
  <c r="U26" i="41"/>
  <c r="E8" i="41"/>
  <c r="E84" i="41" s="1"/>
  <c r="M8" i="41"/>
  <c r="M84" i="41" s="1"/>
  <c r="U73" i="42"/>
  <c r="M76" i="42"/>
  <c r="M77" i="42" s="1"/>
  <c r="AG78" i="40"/>
  <c r="P72" i="2"/>
  <c r="O73" i="40"/>
  <c r="P61" i="2"/>
  <c r="AG61" i="40"/>
  <c r="P53" i="2"/>
  <c r="AG53" i="40"/>
  <c r="U56" i="40"/>
  <c r="P54" i="2"/>
  <c r="P51" i="2"/>
  <c r="AG51" i="40"/>
  <c r="P55" i="2"/>
  <c r="AG55" i="40"/>
  <c r="P52" i="2"/>
  <c r="AG52" i="40"/>
  <c r="P45" i="2"/>
  <c r="I45" i="43" s="1"/>
  <c r="K45" i="43" s="1"/>
  <c r="AG45" i="40"/>
  <c r="P35" i="2"/>
  <c r="AG35" i="40"/>
  <c r="P32" i="2"/>
  <c r="P36" i="2"/>
  <c r="AG36" i="40"/>
  <c r="P34" i="2"/>
  <c r="AG34" i="40"/>
  <c r="P33" i="2"/>
  <c r="AG33" i="40"/>
  <c r="U26" i="40"/>
  <c r="P28" i="2"/>
  <c r="E29" i="40"/>
  <c r="E39" i="40" s="1"/>
  <c r="N29" i="40"/>
  <c r="N39" i="40" s="1"/>
  <c r="P27" i="2"/>
  <c r="X28" i="40"/>
  <c r="Y28" i="40" s="1"/>
  <c r="Z28" i="40" s="1"/>
  <c r="AA28" i="40" s="1"/>
  <c r="AB28" i="40" s="1"/>
  <c r="AC28" i="40" s="1"/>
  <c r="AD28" i="40" s="1"/>
  <c r="AE28" i="40" s="1"/>
  <c r="AF28" i="40" s="1"/>
  <c r="AG28" i="40" s="1"/>
  <c r="P25" i="2"/>
  <c r="AG25" i="40"/>
  <c r="V24" i="40"/>
  <c r="V23" i="40" s="1"/>
  <c r="U23" i="40"/>
  <c r="N80" i="40"/>
  <c r="N81" i="40" s="1"/>
  <c r="P22" i="2"/>
  <c r="P15" i="2"/>
  <c r="U14" i="40"/>
  <c r="P16" i="2"/>
  <c r="I16" i="43" s="1"/>
  <c r="K16" i="43" s="1"/>
  <c r="L16" i="43" s="1"/>
  <c r="P18" i="2"/>
  <c r="I18" i="43" s="1"/>
  <c r="K18" i="43" s="1"/>
  <c r="L18" i="43" s="1"/>
  <c r="AG18" i="40"/>
  <c r="P19" i="2"/>
  <c r="I19" i="43" s="1"/>
  <c r="K19" i="43" s="1"/>
  <c r="L19" i="43" s="1"/>
  <c r="AG19" i="40"/>
  <c r="P17" i="2"/>
  <c r="I17" i="43" s="1"/>
  <c r="K17" i="43" s="1"/>
  <c r="L17" i="43" s="1"/>
  <c r="AG17" i="40"/>
  <c r="P11" i="2"/>
  <c r="P13" i="2"/>
  <c r="I13" i="43" s="1"/>
  <c r="K13" i="43" s="1"/>
  <c r="L13" i="43" s="1"/>
  <c r="AG13" i="40"/>
  <c r="E76" i="40"/>
  <c r="E77" i="40" s="1"/>
  <c r="E8" i="40"/>
  <c r="J76" i="40"/>
  <c r="J77" i="40" s="1"/>
  <c r="P12" i="2"/>
  <c r="I12" i="43" s="1"/>
  <c r="K12" i="43" s="1"/>
  <c r="L12" i="43" s="1"/>
  <c r="H22" i="45"/>
  <c r="J15" i="45"/>
  <c r="K15" i="45" s="1"/>
  <c r="J9" i="45"/>
  <c r="N15" i="45"/>
  <c r="O15" i="45" s="1"/>
  <c r="N9" i="45"/>
  <c r="H23" i="45"/>
  <c r="J10" i="45"/>
  <c r="N10" i="45"/>
  <c r="P34" i="27"/>
  <c r="Q34" i="27"/>
  <c r="Q57" i="27" s="1"/>
  <c r="N34" i="27"/>
  <c r="N57" i="27" s="1"/>
  <c r="J34" i="27"/>
  <c r="J57" i="27" s="1"/>
  <c r="C21" i="27"/>
  <c r="S27" i="2"/>
  <c r="S78" i="2"/>
  <c r="U78" i="2" s="1"/>
  <c r="S18" i="2"/>
  <c r="AG18" i="41"/>
  <c r="S52" i="2"/>
  <c r="S12" i="2"/>
  <c r="AG12" i="41"/>
  <c r="S19" i="2"/>
  <c r="AG19" i="41"/>
  <c r="S32" i="2"/>
  <c r="S36" i="2"/>
  <c r="AG36" i="41"/>
  <c r="K29" i="41"/>
  <c r="K39" i="41" s="1"/>
  <c r="G29" i="41"/>
  <c r="G39" i="41" s="1"/>
  <c r="E76" i="41"/>
  <c r="E77" i="41" s="1"/>
  <c r="M76" i="41"/>
  <c r="M77" i="41" s="1"/>
  <c r="S83" i="2"/>
  <c r="U83" i="2" s="1"/>
  <c r="U73" i="41"/>
  <c r="U23" i="41"/>
  <c r="S17" i="2"/>
  <c r="AG17" i="41"/>
  <c r="S34" i="2"/>
  <c r="AG34" i="41"/>
  <c r="AG55" i="41"/>
  <c r="S51" i="2"/>
  <c r="S11" i="2"/>
  <c r="S28" i="2"/>
  <c r="AG28" i="41"/>
  <c r="S35" i="2"/>
  <c r="AG35" i="41"/>
  <c r="S61" i="2"/>
  <c r="AG61" i="41"/>
  <c r="N80" i="41"/>
  <c r="N81" i="41" s="1"/>
  <c r="S16" i="2"/>
  <c r="S13" i="2"/>
  <c r="AG13" i="41"/>
  <c r="S25" i="2"/>
  <c r="AG25" i="41"/>
  <c r="S33" i="2"/>
  <c r="AG33" i="41"/>
  <c r="S45" i="2"/>
  <c r="AG45" i="41"/>
  <c r="S54" i="2"/>
  <c r="S72" i="2"/>
  <c r="S71" i="2"/>
  <c r="AG71" i="41"/>
  <c r="S22" i="2"/>
  <c r="S24" i="2"/>
  <c r="K80" i="41"/>
  <c r="K81" i="41" s="1"/>
  <c r="G80" i="41"/>
  <c r="G81" i="41" s="1"/>
  <c r="R17" i="2"/>
  <c r="AG17" i="42"/>
  <c r="R34" i="2"/>
  <c r="AG34" i="42"/>
  <c r="R55" i="2"/>
  <c r="AG55" i="42"/>
  <c r="R12" i="2"/>
  <c r="AG12" i="42"/>
  <c r="R19" i="2"/>
  <c r="AG19" i="42"/>
  <c r="R32" i="2"/>
  <c r="R36" i="2"/>
  <c r="AG36" i="42"/>
  <c r="R53" i="2"/>
  <c r="AG53" i="42"/>
  <c r="R78" i="2"/>
  <c r="T78" i="2" s="1"/>
  <c r="AG78" i="42"/>
  <c r="G29" i="42"/>
  <c r="G39" i="42" s="1"/>
  <c r="R13" i="2"/>
  <c r="AG13" i="42"/>
  <c r="R25" i="2"/>
  <c r="AG25" i="42"/>
  <c r="R33" i="2"/>
  <c r="R45" i="2"/>
  <c r="AG45" i="42"/>
  <c r="R54" i="2"/>
  <c r="AG54" i="42"/>
  <c r="R71" i="2"/>
  <c r="R16" i="2"/>
  <c r="U26" i="42"/>
  <c r="V72" i="42"/>
  <c r="R27" i="2"/>
  <c r="R26" i="2" s="1"/>
  <c r="R51" i="2"/>
  <c r="R72" i="2"/>
  <c r="I29" i="42"/>
  <c r="I39" i="42" s="1"/>
  <c r="R15" i="2"/>
  <c r="R11" i="2"/>
  <c r="R18" i="2"/>
  <c r="AG18" i="42"/>
  <c r="R28" i="2"/>
  <c r="AG28" i="42"/>
  <c r="R35" i="2"/>
  <c r="AG35" i="42"/>
  <c r="R61" i="2"/>
  <c r="AG61" i="42"/>
  <c r="R22" i="2"/>
  <c r="L80" i="42"/>
  <c r="L81" i="42" s="1"/>
  <c r="R24" i="2"/>
  <c r="U56" i="42"/>
  <c r="U23" i="42"/>
  <c r="U10" i="42"/>
  <c r="D37" i="2"/>
  <c r="Q10" i="2"/>
  <c r="Q76" i="2" s="1"/>
  <c r="Q77" i="2" s="1"/>
  <c r="Q85" i="2"/>
  <c r="Q37" i="2"/>
  <c r="J80" i="43"/>
  <c r="J81" i="43" s="1"/>
  <c r="Q14" i="2"/>
  <c r="Q82" i="2"/>
  <c r="D56" i="2"/>
  <c r="D26" i="2"/>
  <c r="U85" i="41"/>
  <c r="U56" i="41"/>
  <c r="V54" i="41"/>
  <c r="W54" i="41" s="1"/>
  <c r="X54" i="41" s="1"/>
  <c r="Y54" i="41" s="1"/>
  <c r="Z54" i="41" s="1"/>
  <c r="AA54" i="41" s="1"/>
  <c r="AB54" i="41" s="1"/>
  <c r="AC54" i="41" s="1"/>
  <c r="AD54" i="41" s="1"/>
  <c r="AE54" i="41" s="1"/>
  <c r="AF54" i="41" s="1"/>
  <c r="AG54" i="41" s="1"/>
  <c r="U37" i="41"/>
  <c r="Z32" i="41"/>
  <c r="Z37" i="41" s="1"/>
  <c r="Y37" i="41"/>
  <c r="O37" i="41"/>
  <c r="V37" i="41"/>
  <c r="W26" i="41"/>
  <c r="D29" i="41"/>
  <c r="D39" i="41" s="1"/>
  <c r="X27" i="41"/>
  <c r="X26" i="41" s="1"/>
  <c r="L29" i="41"/>
  <c r="L39" i="41" s="1"/>
  <c r="H29" i="41"/>
  <c r="H39" i="41" s="1"/>
  <c r="V26" i="41"/>
  <c r="J29" i="41"/>
  <c r="J39" i="41" s="1"/>
  <c r="F29" i="41"/>
  <c r="F39" i="41" s="1"/>
  <c r="L80" i="41"/>
  <c r="L81" i="41" s="1"/>
  <c r="J80" i="41"/>
  <c r="J81" i="41" s="1"/>
  <c r="H80" i="41"/>
  <c r="H81" i="41" s="1"/>
  <c r="F80" i="41"/>
  <c r="F81" i="41" s="1"/>
  <c r="D80" i="41"/>
  <c r="D81" i="41" s="1"/>
  <c r="O23" i="41"/>
  <c r="N29" i="41"/>
  <c r="N39" i="41" s="1"/>
  <c r="I8" i="41"/>
  <c r="I84" i="41" s="1"/>
  <c r="D8" i="41"/>
  <c r="D84" i="41" s="1"/>
  <c r="H8" i="41"/>
  <c r="L25" i="2"/>
  <c r="W16" i="41"/>
  <c r="X16" i="41" s="1"/>
  <c r="V14" i="41"/>
  <c r="O82" i="41"/>
  <c r="U79" i="41"/>
  <c r="U82" i="41"/>
  <c r="L8" i="41"/>
  <c r="L84" i="41" s="1"/>
  <c r="S15" i="2"/>
  <c r="I76" i="41"/>
  <c r="I77" i="41" s="1"/>
  <c r="O73" i="42"/>
  <c r="X56" i="42"/>
  <c r="V56" i="42"/>
  <c r="W27" i="42"/>
  <c r="V26" i="42"/>
  <c r="N29" i="42"/>
  <c r="N39" i="42" s="1"/>
  <c r="J29" i="42"/>
  <c r="J39" i="42" s="1"/>
  <c r="F29" i="42"/>
  <c r="F39" i="42" s="1"/>
  <c r="K29" i="42"/>
  <c r="K39" i="42" s="1"/>
  <c r="K80" i="42"/>
  <c r="K81" i="42" s="1"/>
  <c r="G80" i="42"/>
  <c r="G81" i="42" s="1"/>
  <c r="C80" i="42"/>
  <c r="C81" i="42" s="1"/>
  <c r="C29" i="42"/>
  <c r="C39" i="42" s="1"/>
  <c r="W24" i="42"/>
  <c r="W23" i="42" s="1"/>
  <c r="V23" i="42"/>
  <c r="J80" i="42"/>
  <c r="J81" i="42" s="1"/>
  <c r="W22" i="42"/>
  <c r="X22" i="42" s="1"/>
  <c r="Y22" i="42" s="1"/>
  <c r="Z22" i="42" s="1"/>
  <c r="AA22" i="42" s="1"/>
  <c r="AB22" i="42" s="1"/>
  <c r="AC22" i="42" s="1"/>
  <c r="AD22" i="42" s="1"/>
  <c r="H80" i="42"/>
  <c r="H81" i="42" s="1"/>
  <c r="D80" i="42"/>
  <c r="D81" i="42" s="1"/>
  <c r="K8" i="42"/>
  <c r="K84" i="42" s="1"/>
  <c r="C8" i="42"/>
  <c r="C84" i="42" s="1"/>
  <c r="U14" i="42"/>
  <c r="H8" i="42"/>
  <c r="H84" i="42" s="1"/>
  <c r="W15" i="42"/>
  <c r="X15" i="42" s="1"/>
  <c r="V82" i="42"/>
  <c r="V79" i="42"/>
  <c r="U82" i="42"/>
  <c r="U79" i="42"/>
  <c r="W85" i="40"/>
  <c r="V85" i="40"/>
  <c r="T83" i="2"/>
  <c r="O79" i="40"/>
  <c r="W71" i="40"/>
  <c r="V73" i="40"/>
  <c r="U73" i="40"/>
  <c r="W54" i="40"/>
  <c r="V56" i="40"/>
  <c r="U37" i="40"/>
  <c r="W32" i="40"/>
  <c r="X32" i="40" s="1"/>
  <c r="V37" i="40"/>
  <c r="Q48" i="41"/>
  <c r="O37" i="40"/>
  <c r="C29" i="40"/>
  <c r="C39" i="40" s="1"/>
  <c r="D29" i="40"/>
  <c r="D39" i="40" s="1"/>
  <c r="C80" i="40"/>
  <c r="C81" i="40" s="1"/>
  <c r="L29" i="40"/>
  <c r="L39" i="40" s="1"/>
  <c r="D80" i="40"/>
  <c r="D81" i="40" s="1"/>
  <c r="J29" i="40"/>
  <c r="J39" i="40" s="1"/>
  <c r="H29" i="40"/>
  <c r="H39" i="40" s="1"/>
  <c r="F29" i="40"/>
  <c r="F39" i="40" s="1"/>
  <c r="Q43" i="41"/>
  <c r="L8" i="40"/>
  <c r="L84" i="40" s="1"/>
  <c r="W16" i="40"/>
  <c r="X16" i="40" s="1"/>
  <c r="Y16" i="40" s="1"/>
  <c r="Z16" i="40" s="1"/>
  <c r="AA16" i="40" s="1"/>
  <c r="AB16" i="40" s="1"/>
  <c r="AC16" i="40" s="1"/>
  <c r="AD16" i="40" s="1"/>
  <c r="AE16" i="40" s="1"/>
  <c r="AF16" i="40" s="1"/>
  <c r="AG16" i="40" s="1"/>
  <c r="V79" i="40"/>
  <c r="U82" i="40"/>
  <c r="C8" i="40"/>
  <c r="C84" i="40" s="1"/>
  <c r="O82" i="40"/>
  <c r="H8" i="40"/>
  <c r="H84" i="40" s="1"/>
  <c r="S43" i="41"/>
  <c r="G76" i="40"/>
  <c r="G77" i="40" s="1"/>
  <c r="I76" i="40"/>
  <c r="I77" i="40" s="1"/>
  <c r="K76" i="40"/>
  <c r="K77" i="40" s="1"/>
  <c r="M76" i="40"/>
  <c r="M77" i="40" s="1"/>
  <c r="I8" i="40"/>
  <c r="I84" i="40" s="1"/>
  <c r="M8" i="40"/>
  <c r="M84" i="40" s="1"/>
  <c r="R47" i="41"/>
  <c r="R58" i="41" s="1"/>
  <c r="Q23" i="2"/>
  <c r="J8" i="43"/>
  <c r="D79" i="2"/>
  <c r="D14" i="2"/>
  <c r="D76" i="43"/>
  <c r="D77" i="43" s="1"/>
  <c r="D8" i="43"/>
  <c r="E39" i="25"/>
  <c r="F39" i="25" s="1"/>
  <c r="I39" i="25"/>
  <c r="J39" i="25" s="1"/>
  <c r="O79" i="41"/>
  <c r="S85" i="2"/>
  <c r="R86" i="2"/>
  <c r="T86" i="2" s="1"/>
  <c r="O79" i="42"/>
  <c r="N80" i="42"/>
  <c r="N81" i="42" s="1"/>
  <c r="O82" i="42"/>
  <c r="H76" i="42"/>
  <c r="H77" i="42" s="1"/>
  <c r="U76" i="42"/>
  <c r="U77" i="42" s="1"/>
  <c r="D76" i="42"/>
  <c r="D77" i="42" s="1"/>
  <c r="I86" i="43"/>
  <c r="K86" i="43" s="1"/>
  <c r="L86" i="43" s="1"/>
  <c r="I78" i="43"/>
  <c r="K78" i="43" s="1"/>
  <c r="L78" i="43" s="1"/>
  <c r="P71" i="2"/>
  <c r="O56" i="40"/>
  <c r="P24" i="2"/>
  <c r="F76" i="40"/>
  <c r="F77" i="40" s="1"/>
  <c r="I27" i="39"/>
  <c r="I19" i="39"/>
  <c r="I15" i="39"/>
  <c r="I87" i="39"/>
  <c r="I72" i="39"/>
  <c r="I55" i="39"/>
  <c r="I51" i="39"/>
  <c r="I34" i="39"/>
  <c r="H86" i="39"/>
  <c r="H71" i="39"/>
  <c r="H54" i="39"/>
  <c r="H45" i="39"/>
  <c r="H33" i="39"/>
  <c r="H25" i="39"/>
  <c r="H18" i="39"/>
  <c r="H13" i="39"/>
  <c r="I22" i="39"/>
  <c r="I13" i="39"/>
  <c r="I78" i="39"/>
  <c r="I54" i="39"/>
  <c r="I36" i="39"/>
  <c r="H78" i="39"/>
  <c r="H55" i="39"/>
  <c r="H36" i="39"/>
  <c r="H28" i="39"/>
  <c r="H19" i="39"/>
  <c r="H12" i="39"/>
  <c r="I28" i="39"/>
  <c r="I18" i="39"/>
  <c r="I12" i="39"/>
  <c r="I71" i="39"/>
  <c r="I53" i="39"/>
  <c r="I35" i="39"/>
  <c r="H72" i="39"/>
  <c r="H53" i="39"/>
  <c r="H35" i="39"/>
  <c r="H27" i="39"/>
  <c r="H17" i="39"/>
  <c r="H11" i="39"/>
  <c r="I25" i="39"/>
  <c r="I17" i="39"/>
  <c r="I11" i="39"/>
  <c r="I86" i="39"/>
  <c r="I52" i="39"/>
  <c r="I33" i="39"/>
  <c r="H87" i="39"/>
  <c r="H52" i="39"/>
  <c r="H34" i="39"/>
  <c r="H24" i="39"/>
  <c r="H16" i="39"/>
  <c r="I32" i="39"/>
  <c r="H83" i="39"/>
  <c r="H22" i="39"/>
  <c r="I83" i="39"/>
  <c r="H61" i="39"/>
  <c r="H15" i="39"/>
  <c r="I24" i="39"/>
  <c r="I61" i="39"/>
  <c r="H51" i="39"/>
  <c r="I16" i="39"/>
  <c r="I45" i="39"/>
  <c r="H32" i="39"/>
  <c r="M86" i="39"/>
  <c r="M78" i="39"/>
  <c r="M71" i="39"/>
  <c r="M61" i="39"/>
  <c r="M54" i="39"/>
  <c r="M52" i="39"/>
  <c r="M45" i="39"/>
  <c r="M35" i="39"/>
  <c r="M33" i="39"/>
  <c r="M28" i="39"/>
  <c r="M25" i="39"/>
  <c r="M22" i="39"/>
  <c r="M18" i="39"/>
  <c r="M16" i="39"/>
  <c r="M13" i="39"/>
  <c r="L11" i="39"/>
  <c r="M87" i="39"/>
  <c r="L83" i="39"/>
  <c r="L71" i="39"/>
  <c r="M55" i="39"/>
  <c r="L53" i="39"/>
  <c r="L45" i="39"/>
  <c r="M34" i="39"/>
  <c r="L32" i="39"/>
  <c r="L25" i="39"/>
  <c r="M19" i="39"/>
  <c r="L17" i="39"/>
  <c r="L13" i="39"/>
  <c r="L87" i="39"/>
  <c r="L78" i="39"/>
  <c r="L55" i="39"/>
  <c r="L52" i="39"/>
  <c r="M36" i="39"/>
  <c r="L34" i="39"/>
  <c r="L28" i="39"/>
  <c r="M24" i="39"/>
  <c r="L19" i="39"/>
  <c r="L16" i="39"/>
  <c r="M12" i="39"/>
  <c r="L86" i="39"/>
  <c r="M72" i="39"/>
  <c r="L54" i="39"/>
  <c r="M51" i="39"/>
  <c r="L36" i="39"/>
  <c r="L33" i="39"/>
  <c r="M27" i="39"/>
  <c r="L24" i="39"/>
  <c r="L18" i="39"/>
  <c r="M15" i="39"/>
  <c r="L12" i="39"/>
  <c r="M83" i="39"/>
  <c r="L72" i="39"/>
  <c r="L61" i="39"/>
  <c r="M53" i="39"/>
  <c r="L51" i="39"/>
  <c r="L35" i="39"/>
  <c r="M32" i="39"/>
  <c r="L15" i="39"/>
  <c r="L27" i="39"/>
  <c r="M11" i="39"/>
  <c r="L22" i="39"/>
  <c r="M17" i="39"/>
  <c r="E86" i="39"/>
  <c r="E71" i="39"/>
  <c r="E54" i="39"/>
  <c r="E45" i="39"/>
  <c r="E33" i="39"/>
  <c r="E25" i="39"/>
  <c r="E18" i="39"/>
  <c r="E13" i="39"/>
  <c r="E83" i="39"/>
  <c r="E61" i="39"/>
  <c r="E51" i="39"/>
  <c r="E32" i="39"/>
  <c r="E22" i="39"/>
  <c r="E15" i="39"/>
  <c r="E78" i="39"/>
  <c r="E55" i="39"/>
  <c r="E36" i="39"/>
  <c r="E28" i="39"/>
  <c r="E19" i="39"/>
  <c r="E12" i="39"/>
  <c r="E72" i="39"/>
  <c r="E53" i="39"/>
  <c r="E35" i="39"/>
  <c r="E27" i="39"/>
  <c r="E17" i="39"/>
  <c r="E11" i="39"/>
  <c r="D11" i="39"/>
  <c r="E34" i="39"/>
  <c r="E87" i="39"/>
  <c r="E24" i="39"/>
  <c r="E16" i="39"/>
  <c r="E52" i="39"/>
  <c r="U10" i="40"/>
  <c r="U76" i="40" s="1"/>
  <c r="G86" i="39"/>
  <c r="G71" i="39"/>
  <c r="G54" i="39"/>
  <c r="G45" i="39"/>
  <c r="G33" i="39"/>
  <c r="G25" i="39"/>
  <c r="G18" i="39"/>
  <c r="G13" i="39"/>
  <c r="G61" i="39"/>
  <c r="G35" i="39"/>
  <c r="G22" i="39"/>
  <c r="G11" i="39"/>
  <c r="G72" i="39"/>
  <c r="G51" i="39"/>
  <c r="G27" i="39"/>
  <c r="G15" i="39"/>
  <c r="G83" i="39"/>
  <c r="G53" i="39"/>
  <c r="G36" i="39"/>
  <c r="G32" i="39"/>
  <c r="G24" i="39"/>
  <c r="G17" i="39"/>
  <c r="G12" i="39"/>
  <c r="G78" i="39"/>
  <c r="G52" i="39"/>
  <c r="G28" i="39"/>
  <c r="G16" i="39"/>
  <c r="G87" i="39"/>
  <c r="G55" i="39"/>
  <c r="G34" i="39"/>
  <c r="G19" i="39"/>
  <c r="D87" i="39"/>
  <c r="D72" i="39"/>
  <c r="D55" i="39"/>
  <c r="D51" i="39"/>
  <c r="D34" i="39"/>
  <c r="D27" i="39"/>
  <c r="D19" i="39"/>
  <c r="D15" i="39"/>
  <c r="C16" i="39"/>
  <c r="C86" i="39"/>
  <c r="C71" i="39"/>
  <c r="C54" i="39"/>
  <c r="C45" i="39"/>
  <c r="C33" i="39"/>
  <c r="C25" i="39"/>
  <c r="C18" i="39"/>
  <c r="D83" i="39"/>
  <c r="D53" i="39"/>
  <c r="D36" i="39"/>
  <c r="D32" i="39"/>
  <c r="D24" i="39"/>
  <c r="D12" i="39"/>
  <c r="C61" i="39"/>
  <c r="C35" i="39"/>
  <c r="C22" i="39"/>
  <c r="D61" i="39"/>
  <c r="D52" i="39"/>
  <c r="D28" i="39"/>
  <c r="D16" i="39"/>
  <c r="C12" i="39"/>
  <c r="C87" i="39"/>
  <c r="C55" i="39"/>
  <c r="C34" i="39"/>
  <c r="C19" i="39"/>
  <c r="D86" i="39"/>
  <c r="D71" i="39"/>
  <c r="D54" i="39"/>
  <c r="D45" i="39"/>
  <c r="D33" i="39"/>
  <c r="D25" i="39"/>
  <c r="D18" i="39"/>
  <c r="D13" i="39"/>
  <c r="C15" i="39"/>
  <c r="C83" i="39"/>
  <c r="C53" i="39"/>
  <c r="C36" i="39"/>
  <c r="C32" i="39"/>
  <c r="C24" i="39"/>
  <c r="D17" i="39"/>
  <c r="C13" i="39"/>
  <c r="C78" i="39"/>
  <c r="C52" i="39"/>
  <c r="C28" i="39"/>
  <c r="D78" i="39"/>
  <c r="D35" i="39"/>
  <c r="D22" i="39"/>
  <c r="C11" i="39"/>
  <c r="C17" i="39"/>
  <c r="C72" i="39"/>
  <c r="C51" i="39"/>
  <c r="C27" i="39"/>
  <c r="K86" i="39"/>
  <c r="K71" i="39"/>
  <c r="K54" i="39"/>
  <c r="K45" i="39"/>
  <c r="K33" i="39"/>
  <c r="K25" i="39"/>
  <c r="K18" i="39"/>
  <c r="K13" i="39"/>
  <c r="K78" i="39"/>
  <c r="K52" i="39"/>
  <c r="K28" i="39"/>
  <c r="K16" i="39"/>
  <c r="K87" i="39"/>
  <c r="K55" i="39"/>
  <c r="K34" i="39"/>
  <c r="K19" i="39"/>
  <c r="K83" i="39"/>
  <c r="K53" i="39"/>
  <c r="K36" i="39"/>
  <c r="K32" i="39"/>
  <c r="K24" i="39"/>
  <c r="K17" i="39"/>
  <c r="K12" i="39"/>
  <c r="K61" i="39"/>
  <c r="K35" i="39"/>
  <c r="K22" i="39"/>
  <c r="K11" i="39"/>
  <c r="K72" i="39"/>
  <c r="K51" i="39"/>
  <c r="K27" i="39"/>
  <c r="K15" i="39"/>
  <c r="D26" i="27"/>
  <c r="H84" i="41"/>
  <c r="O14" i="41"/>
  <c r="C80" i="41"/>
  <c r="C81" i="41" s="1"/>
  <c r="J8" i="41"/>
  <c r="J76" i="41"/>
  <c r="J77" i="41" s="1"/>
  <c r="G8" i="41"/>
  <c r="O56" i="41"/>
  <c r="C29" i="41"/>
  <c r="O26" i="41"/>
  <c r="M29" i="41"/>
  <c r="M39" i="41" s="1"/>
  <c r="M80" i="41"/>
  <c r="M81" i="41" s="1"/>
  <c r="I29" i="41"/>
  <c r="I39" i="41" s="1"/>
  <c r="I80" i="41"/>
  <c r="I81" i="41" s="1"/>
  <c r="E29" i="41"/>
  <c r="E39" i="41" s="1"/>
  <c r="E80" i="41"/>
  <c r="E81" i="41" s="1"/>
  <c r="N8" i="41"/>
  <c r="N76" i="41"/>
  <c r="N77" i="41" s="1"/>
  <c r="K8" i="41"/>
  <c r="F76" i="41"/>
  <c r="F77" i="41" s="1"/>
  <c r="F8" i="41"/>
  <c r="O10" i="41"/>
  <c r="C8" i="41"/>
  <c r="Q59" i="41"/>
  <c r="Q63" i="41"/>
  <c r="X52" i="41"/>
  <c r="W56" i="41"/>
  <c r="V56" i="41"/>
  <c r="AA51" i="41"/>
  <c r="U86" i="2"/>
  <c r="C76" i="41"/>
  <c r="C77" i="41" s="1"/>
  <c r="G76" i="41"/>
  <c r="G77" i="41" s="1"/>
  <c r="K76" i="41"/>
  <c r="K77" i="41" s="1"/>
  <c r="X37" i="41"/>
  <c r="W37" i="41"/>
  <c r="W72" i="41"/>
  <c r="V73" i="41"/>
  <c r="Y22" i="41"/>
  <c r="W78" i="41"/>
  <c r="X78" i="41" s="1"/>
  <c r="Y78" i="41" s="1"/>
  <c r="Z78" i="41" s="1"/>
  <c r="AA78" i="41" s="1"/>
  <c r="AB78" i="41" s="1"/>
  <c r="AC78" i="41" s="1"/>
  <c r="AD78" i="41" s="1"/>
  <c r="AE78" i="41" s="1"/>
  <c r="AF78" i="41" s="1"/>
  <c r="L78" i="2" s="1"/>
  <c r="V79" i="41"/>
  <c r="AA15" i="41"/>
  <c r="S58" i="41"/>
  <c r="S48" i="41"/>
  <c r="W24" i="41"/>
  <c r="V82" i="41"/>
  <c r="V23" i="41"/>
  <c r="V80" i="41" s="1"/>
  <c r="V81" i="41" s="1"/>
  <c r="W83" i="41"/>
  <c r="W11" i="41"/>
  <c r="V10" i="41"/>
  <c r="V85" i="41"/>
  <c r="F80" i="42"/>
  <c r="F81" i="42" s="1"/>
  <c r="L8" i="42"/>
  <c r="L84" i="42" s="1"/>
  <c r="D8" i="42"/>
  <c r="D84" i="42" s="1"/>
  <c r="Q59" i="42"/>
  <c r="Q63" i="42"/>
  <c r="Q67" i="42" s="1"/>
  <c r="Q68" i="42" s="1"/>
  <c r="L29" i="42"/>
  <c r="L39" i="42" s="1"/>
  <c r="D29" i="42"/>
  <c r="D39" i="42" s="1"/>
  <c r="G8" i="42"/>
  <c r="O37" i="42"/>
  <c r="R48" i="42"/>
  <c r="R58" i="42"/>
  <c r="H29" i="42"/>
  <c r="H39" i="42" s="1"/>
  <c r="M29" i="42"/>
  <c r="M39" i="42" s="1"/>
  <c r="E29" i="42"/>
  <c r="E39" i="42" s="1"/>
  <c r="S59" i="42"/>
  <c r="S63" i="42"/>
  <c r="S67" i="42" s="1"/>
  <c r="S68" i="42" s="1"/>
  <c r="I8" i="42"/>
  <c r="F8" i="42"/>
  <c r="F76" i="42"/>
  <c r="F77" i="42" s="1"/>
  <c r="Z52" i="42"/>
  <c r="Y56" i="42"/>
  <c r="T87" i="2"/>
  <c r="O56" i="42"/>
  <c r="M80" i="42"/>
  <c r="M81" i="42" s="1"/>
  <c r="X33" i="42"/>
  <c r="W37" i="42"/>
  <c r="E16" i="2"/>
  <c r="E13" i="2"/>
  <c r="O26" i="42"/>
  <c r="M8" i="42"/>
  <c r="J8" i="42"/>
  <c r="J76" i="42"/>
  <c r="J77" i="42" s="1"/>
  <c r="E8" i="42"/>
  <c r="O10" i="42"/>
  <c r="O23" i="42"/>
  <c r="E80" i="42"/>
  <c r="E81" i="42" s="1"/>
  <c r="N8" i="42"/>
  <c r="N76" i="42"/>
  <c r="N77" i="42" s="1"/>
  <c r="I76" i="42"/>
  <c r="I77" i="42" s="1"/>
  <c r="O14" i="42"/>
  <c r="I80" i="42"/>
  <c r="I81" i="42" s="1"/>
  <c r="V37" i="42"/>
  <c r="AD51" i="42"/>
  <c r="AB32" i="42"/>
  <c r="W16" i="42"/>
  <c r="X16" i="42" s="1"/>
  <c r="Y16" i="42" s="1"/>
  <c r="Z16" i="42" s="1"/>
  <c r="AA16" i="42" s="1"/>
  <c r="AB16" i="42" s="1"/>
  <c r="AC16" i="42" s="1"/>
  <c r="AD16" i="42" s="1"/>
  <c r="AE16" i="42" s="1"/>
  <c r="AF16" i="42" s="1"/>
  <c r="AG16" i="42" s="1"/>
  <c r="V14" i="42"/>
  <c r="V80" i="42" s="1"/>
  <c r="V81" i="42" s="1"/>
  <c r="W11" i="42"/>
  <c r="V10" i="42"/>
  <c r="W83" i="42"/>
  <c r="V85" i="42"/>
  <c r="X71" i="42"/>
  <c r="Y71" i="42" s="1"/>
  <c r="Z71" i="42" s="1"/>
  <c r="AA71" i="42" s="1"/>
  <c r="AB71" i="42" s="1"/>
  <c r="AC71" i="42" s="1"/>
  <c r="AD71" i="42" s="1"/>
  <c r="AE71" i="42" s="1"/>
  <c r="AF71" i="42" s="1"/>
  <c r="AG71" i="42" s="1"/>
  <c r="K28" i="2"/>
  <c r="W56" i="42"/>
  <c r="G80" i="40"/>
  <c r="G81" i="40" s="1"/>
  <c r="G8" i="40"/>
  <c r="G84" i="40" s="1"/>
  <c r="K80" i="40"/>
  <c r="K81" i="40" s="1"/>
  <c r="K8" i="40"/>
  <c r="K84" i="40" s="1"/>
  <c r="S58" i="40"/>
  <c r="S48" i="40"/>
  <c r="U87" i="2"/>
  <c r="P85" i="2"/>
  <c r="I87" i="43"/>
  <c r="G29" i="40"/>
  <c r="G39" i="40" s="1"/>
  <c r="I29" i="40"/>
  <c r="I39" i="40" s="1"/>
  <c r="K29" i="40"/>
  <c r="K39" i="40" s="1"/>
  <c r="M29" i="40"/>
  <c r="M39" i="40" s="1"/>
  <c r="R48" i="40"/>
  <c r="R58" i="40"/>
  <c r="Q59" i="40"/>
  <c r="Q63" i="40"/>
  <c r="O26" i="40"/>
  <c r="E80" i="40"/>
  <c r="E81" i="40" s="1"/>
  <c r="W12" i="40"/>
  <c r="X12" i="40" s="1"/>
  <c r="V10" i="40"/>
  <c r="V76" i="40" s="1"/>
  <c r="AD72" i="40"/>
  <c r="O14" i="40"/>
  <c r="C76" i="40"/>
  <c r="C77" i="40" s="1"/>
  <c r="W15" i="40"/>
  <c r="V14" i="40"/>
  <c r="N8" i="40"/>
  <c r="O23" i="40"/>
  <c r="F80" i="40"/>
  <c r="F81" i="40" s="1"/>
  <c r="F8" i="40"/>
  <c r="C12" i="2"/>
  <c r="C12" i="43" s="1"/>
  <c r="E12" i="43" s="1"/>
  <c r="F12" i="43" s="1"/>
  <c r="Z11" i="40"/>
  <c r="Y22" i="40"/>
  <c r="K83" i="43"/>
  <c r="L83" i="43" s="1"/>
  <c r="D8" i="40"/>
  <c r="AA83" i="40"/>
  <c r="W10" i="40"/>
  <c r="X85" i="40"/>
  <c r="C16" i="2"/>
  <c r="C32" i="2"/>
  <c r="C52" i="2"/>
  <c r="C35" i="2"/>
  <c r="C78" i="2"/>
  <c r="C78" i="43" s="1"/>
  <c r="E78" i="43" s="1"/>
  <c r="F78" i="43" s="1"/>
  <c r="C25" i="2"/>
  <c r="C36" i="2"/>
  <c r="C55" i="2"/>
  <c r="C86" i="2"/>
  <c r="C86" i="43" s="1"/>
  <c r="E86" i="43" s="1"/>
  <c r="F86" i="43" s="1"/>
  <c r="C19" i="2"/>
  <c r="C19" i="43" s="1"/>
  <c r="E19" i="43" s="1"/>
  <c r="F19" i="43" s="1"/>
  <c r="C54" i="2"/>
  <c r="J33" i="2"/>
  <c r="C15" i="2"/>
  <c r="C15" i="43" s="1"/>
  <c r="E15" i="43" s="1"/>
  <c r="F15" i="43" s="1"/>
  <c r="C27" i="2"/>
  <c r="F18" i="2"/>
  <c r="K78" i="2"/>
  <c r="E17" i="2"/>
  <c r="E53" i="2"/>
  <c r="E52" i="2"/>
  <c r="D23" i="27"/>
  <c r="C17" i="2"/>
  <c r="C22" i="2"/>
  <c r="C33" i="2"/>
  <c r="C45" i="2"/>
  <c r="C53" i="2"/>
  <c r="C72" i="2"/>
  <c r="C72" i="43" s="1"/>
  <c r="E72" i="43" s="1"/>
  <c r="F72" i="43" s="1"/>
  <c r="C83" i="2"/>
  <c r="C83" i="43" s="1"/>
  <c r="E83" i="43" s="1"/>
  <c r="F83" i="43" s="1"/>
  <c r="C87" i="2"/>
  <c r="C87" i="43" s="1"/>
  <c r="E87" i="43" s="1"/>
  <c r="F87" i="43" s="1"/>
  <c r="E28" i="2"/>
  <c r="E78" i="2"/>
  <c r="F54" i="2"/>
  <c r="F36" i="2"/>
  <c r="J34" i="2"/>
  <c r="J87" i="2"/>
  <c r="L71" i="2"/>
  <c r="C13" i="2"/>
  <c r="C13" i="43" s="1"/>
  <c r="E13" i="43" s="1"/>
  <c r="F13" i="43" s="1"/>
  <c r="C18" i="2"/>
  <c r="C24" i="2"/>
  <c r="C28" i="2"/>
  <c r="C34" i="2"/>
  <c r="C51" i="2"/>
  <c r="C61" i="2"/>
  <c r="E32" i="2"/>
  <c r="E83" i="2"/>
  <c r="F12" i="2"/>
  <c r="J19" i="2"/>
  <c r="J55" i="2"/>
  <c r="D53" i="27"/>
  <c r="D49" i="27"/>
  <c r="D44" i="27"/>
  <c r="D32" i="27"/>
  <c r="D29" i="27"/>
  <c r="D25" i="27"/>
  <c r="D21" i="27"/>
  <c r="D17" i="27"/>
  <c r="C27" i="27"/>
  <c r="C23" i="27"/>
  <c r="C19" i="27"/>
  <c r="C12" i="27"/>
  <c r="D63" i="27"/>
  <c r="D52" i="27"/>
  <c r="F52" i="27" s="1"/>
  <c r="D48" i="27"/>
  <c r="D39" i="27"/>
  <c r="D31" i="27"/>
  <c r="D28" i="27"/>
  <c r="D24" i="27"/>
  <c r="D20" i="27"/>
  <c r="D14" i="27"/>
  <c r="C30" i="27"/>
  <c r="C26" i="27"/>
  <c r="C22" i="27"/>
  <c r="D54" i="27"/>
  <c r="D45" i="27"/>
  <c r="D30" i="27"/>
  <c r="D22" i="27"/>
  <c r="C32" i="27"/>
  <c r="C25" i="27"/>
  <c r="C17" i="27"/>
  <c r="D51" i="27"/>
  <c r="D38" i="27"/>
  <c r="D27" i="27"/>
  <c r="D19" i="27"/>
  <c r="C31" i="27"/>
  <c r="C24" i="27"/>
  <c r="C14" i="27"/>
  <c r="D37" i="27"/>
  <c r="D18" i="27"/>
  <c r="C63" i="27"/>
  <c r="C20" i="27"/>
  <c r="D12" i="27"/>
  <c r="C29" i="27"/>
  <c r="D47" i="27"/>
  <c r="C28" i="27"/>
  <c r="D50" i="27"/>
  <c r="L61" i="2"/>
  <c r="L35" i="2"/>
  <c r="L28" i="2"/>
  <c r="F78" i="2"/>
  <c r="F61" i="2"/>
  <c r="F52" i="2"/>
  <c r="F35" i="2"/>
  <c r="F28" i="2"/>
  <c r="F22" i="2"/>
  <c r="F16" i="2"/>
  <c r="F11" i="2"/>
  <c r="L87" i="2"/>
  <c r="L55" i="2"/>
  <c r="L34" i="2"/>
  <c r="L19" i="2"/>
  <c r="F87" i="2"/>
  <c r="F72" i="2"/>
  <c r="F55" i="2"/>
  <c r="F51" i="2"/>
  <c r="F34" i="2"/>
  <c r="F27" i="2"/>
  <c r="F19" i="2"/>
  <c r="F15" i="2"/>
  <c r="L54" i="2"/>
  <c r="L33" i="2"/>
  <c r="F83" i="2"/>
  <c r="F53" i="2"/>
  <c r="F32" i="2"/>
  <c r="F17" i="2"/>
  <c r="L53" i="2"/>
  <c r="L17" i="2"/>
  <c r="F71" i="2"/>
  <c r="F45" i="2"/>
  <c r="F25" i="2"/>
  <c r="F13" i="2"/>
  <c r="K71" i="2"/>
  <c r="K54" i="2"/>
  <c r="K45" i="2"/>
  <c r="K25" i="2"/>
  <c r="K13" i="2"/>
  <c r="E11" i="2"/>
  <c r="K53" i="2"/>
  <c r="K36" i="2"/>
  <c r="K17" i="2"/>
  <c r="K12" i="2"/>
  <c r="K61" i="2"/>
  <c r="K35" i="2"/>
  <c r="E87" i="2"/>
  <c r="E72" i="2"/>
  <c r="E55" i="2"/>
  <c r="E51" i="2"/>
  <c r="E34" i="2"/>
  <c r="E27" i="2"/>
  <c r="E19" i="2"/>
  <c r="E15" i="2"/>
  <c r="K87" i="2"/>
  <c r="K55" i="2"/>
  <c r="K34" i="2"/>
  <c r="K19" i="2"/>
  <c r="E86" i="2"/>
  <c r="E71" i="2"/>
  <c r="E54" i="2"/>
  <c r="E45" i="2"/>
  <c r="E33" i="2"/>
  <c r="E25" i="2"/>
  <c r="E18" i="2"/>
  <c r="E22" i="2"/>
  <c r="E35" i="2"/>
  <c r="E61" i="2"/>
  <c r="F24" i="2"/>
  <c r="L12" i="2"/>
  <c r="L36" i="2"/>
  <c r="E12" i="2"/>
  <c r="E24" i="2"/>
  <c r="E36" i="2"/>
  <c r="F33" i="2"/>
  <c r="F86" i="2"/>
  <c r="L13" i="2"/>
  <c r="L45" i="2"/>
  <c r="J13" i="2"/>
  <c r="J25" i="2"/>
  <c r="J45" i="2"/>
  <c r="J53" i="2"/>
  <c r="J36" i="2"/>
  <c r="J17" i="2"/>
  <c r="J78" i="2"/>
  <c r="J61" i="2"/>
  <c r="J52" i="2"/>
  <c r="J35" i="2"/>
  <c r="J51" i="2"/>
  <c r="Q65" i="40" l="1"/>
  <c r="Q67" i="40" s="1"/>
  <c r="Q68" i="40" s="1"/>
  <c r="Q29" i="2"/>
  <c r="Q39" i="2" s="1"/>
  <c r="E25" i="28"/>
  <c r="H24" i="28"/>
  <c r="I25" i="28"/>
  <c r="K16" i="28"/>
  <c r="H18" i="28"/>
  <c r="J18" i="28" s="1"/>
  <c r="J25" i="28" s="1"/>
  <c r="H59" i="27"/>
  <c r="H62" i="27" s="1"/>
  <c r="H64" i="27" s="1"/>
  <c r="N22" i="28"/>
  <c r="O22" i="28" s="1"/>
  <c r="G25" i="28"/>
  <c r="F25" i="28"/>
  <c r="E25" i="45"/>
  <c r="D31" i="25"/>
  <c r="D41" i="25" s="1"/>
  <c r="M25" i="45"/>
  <c r="H18" i="45"/>
  <c r="N16" i="45"/>
  <c r="O16" i="45" s="1"/>
  <c r="J16" i="45"/>
  <c r="K16" i="45" s="1"/>
  <c r="N16" i="28"/>
  <c r="O16" i="28" s="1"/>
  <c r="P75" i="2"/>
  <c r="P74" i="2"/>
  <c r="E74" i="39"/>
  <c r="E75" i="39"/>
  <c r="M74" i="39"/>
  <c r="M75" i="39"/>
  <c r="I75" i="39"/>
  <c r="I74" i="39"/>
  <c r="F74" i="2"/>
  <c r="F75" i="2"/>
  <c r="L74" i="39"/>
  <c r="L75" i="39"/>
  <c r="D74" i="39"/>
  <c r="D75" i="39"/>
  <c r="H75" i="39"/>
  <c r="H74" i="39"/>
  <c r="E75" i="2"/>
  <c r="E74" i="2"/>
  <c r="K74" i="39"/>
  <c r="K75" i="39"/>
  <c r="C75" i="39"/>
  <c r="C74" i="39"/>
  <c r="G75" i="39"/>
  <c r="G74" i="39"/>
  <c r="C74" i="2"/>
  <c r="C75" i="2"/>
  <c r="U55" i="2"/>
  <c r="T55" i="2"/>
  <c r="I25" i="45"/>
  <c r="J40" i="40"/>
  <c r="U61" i="2"/>
  <c r="T61" i="2"/>
  <c r="U52" i="2"/>
  <c r="T52" i="2"/>
  <c r="G40" i="40"/>
  <c r="W37" i="40"/>
  <c r="D40" i="27"/>
  <c r="E21" i="27"/>
  <c r="F21" i="27" s="1"/>
  <c r="D55" i="27"/>
  <c r="N61" i="2"/>
  <c r="M61" i="2"/>
  <c r="H51" i="2"/>
  <c r="G51" i="2"/>
  <c r="N55" i="2"/>
  <c r="M55" i="2"/>
  <c r="G54" i="2"/>
  <c r="H54" i="2"/>
  <c r="G52" i="2"/>
  <c r="H52" i="2"/>
  <c r="N53" i="2"/>
  <c r="M53" i="2"/>
  <c r="H53" i="2"/>
  <c r="G53" i="2"/>
  <c r="N45" i="2"/>
  <c r="M45" i="2"/>
  <c r="H45" i="2"/>
  <c r="G45" i="2"/>
  <c r="H55" i="2"/>
  <c r="G55" i="2"/>
  <c r="G61" i="2"/>
  <c r="H61" i="2"/>
  <c r="J11" i="45"/>
  <c r="K11" i="45" s="1"/>
  <c r="I58" i="27"/>
  <c r="I59" i="27" s="1"/>
  <c r="P53" i="39"/>
  <c r="P25" i="39"/>
  <c r="U8" i="41"/>
  <c r="O52" i="39"/>
  <c r="P32" i="39"/>
  <c r="P45" i="39"/>
  <c r="U76" i="41"/>
  <c r="U77" i="41" s="1"/>
  <c r="X24" i="42"/>
  <c r="R10" i="2"/>
  <c r="R14" i="2"/>
  <c r="R23" i="2"/>
  <c r="R29" i="2" s="1"/>
  <c r="O22" i="39"/>
  <c r="O61" i="39"/>
  <c r="R73" i="2"/>
  <c r="M36" i="2"/>
  <c r="N36" i="2"/>
  <c r="M25" i="2"/>
  <c r="N25" i="2"/>
  <c r="M34" i="2"/>
  <c r="N34" i="2"/>
  <c r="C22" i="43"/>
  <c r="G22" i="2"/>
  <c r="H22" i="2"/>
  <c r="C54" i="43"/>
  <c r="C36" i="43"/>
  <c r="G36" i="2"/>
  <c r="H36" i="2"/>
  <c r="C52" i="43"/>
  <c r="O51" i="39"/>
  <c r="O24" i="39"/>
  <c r="O34" i="39"/>
  <c r="O33" i="39"/>
  <c r="P24" i="39"/>
  <c r="P28" i="39"/>
  <c r="P61" i="39"/>
  <c r="I24" i="43"/>
  <c r="K24" i="43" s="1"/>
  <c r="L24" i="43" s="1"/>
  <c r="T24" i="2"/>
  <c r="U24" i="2"/>
  <c r="I27" i="43"/>
  <c r="K27" i="43" s="1"/>
  <c r="L27" i="43" s="1"/>
  <c r="U27" i="2"/>
  <c r="T27" i="2"/>
  <c r="I34" i="43"/>
  <c r="K34" i="43" s="1"/>
  <c r="L34" i="43" s="1"/>
  <c r="T34" i="2"/>
  <c r="U34" i="2"/>
  <c r="C34" i="43"/>
  <c r="G34" i="2"/>
  <c r="H34" i="2"/>
  <c r="C53" i="43"/>
  <c r="C27" i="43"/>
  <c r="E27" i="43" s="1"/>
  <c r="F27" i="43" s="1"/>
  <c r="G27" i="2"/>
  <c r="H27" i="2"/>
  <c r="C25" i="43"/>
  <c r="E25" i="43" s="1"/>
  <c r="F25" i="43" s="1"/>
  <c r="G25" i="2"/>
  <c r="H25" i="2"/>
  <c r="C32" i="43"/>
  <c r="G32" i="2"/>
  <c r="H32" i="2"/>
  <c r="O32" i="39"/>
  <c r="O55" i="39"/>
  <c r="O35" i="39"/>
  <c r="O45" i="39"/>
  <c r="P36" i="39"/>
  <c r="P22" i="39"/>
  <c r="P33" i="39"/>
  <c r="I22" i="43"/>
  <c r="K22" i="43" s="1"/>
  <c r="L22" i="43" s="1"/>
  <c r="T22" i="2"/>
  <c r="U22" i="2"/>
  <c r="I35" i="43"/>
  <c r="K35" i="43" s="1"/>
  <c r="L35" i="43" s="1"/>
  <c r="U35" i="2"/>
  <c r="T35" i="2"/>
  <c r="G28" i="2"/>
  <c r="H28" i="2"/>
  <c r="C45" i="43"/>
  <c r="O36" i="39"/>
  <c r="O54" i="39"/>
  <c r="P52" i="39"/>
  <c r="P34" i="39"/>
  <c r="P27" i="39"/>
  <c r="P55" i="39"/>
  <c r="T25" i="2"/>
  <c r="U25" i="2"/>
  <c r="I33" i="43"/>
  <c r="K33" i="43" s="1"/>
  <c r="L33" i="43" s="1"/>
  <c r="U33" i="2"/>
  <c r="T33" i="2"/>
  <c r="I36" i="43"/>
  <c r="K36" i="43" s="1"/>
  <c r="L36" i="43" s="1"/>
  <c r="T36" i="2"/>
  <c r="U36" i="2"/>
  <c r="I54" i="43"/>
  <c r="K54" i="43" s="1"/>
  <c r="L54" i="43" s="1"/>
  <c r="M35" i="2"/>
  <c r="N35" i="2"/>
  <c r="C61" i="43"/>
  <c r="C24" i="43"/>
  <c r="E24" i="43" s="1"/>
  <c r="G24" i="2"/>
  <c r="H24" i="2"/>
  <c r="C33" i="43"/>
  <c r="G33" i="2"/>
  <c r="H33" i="2"/>
  <c r="N33" i="2"/>
  <c r="C55" i="43"/>
  <c r="C35" i="43"/>
  <c r="G35" i="2"/>
  <c r="H35" i="2"/>
  <c r="W24" i="40"/>
  <c r="O27" i="39"/>
  <c r="O28" i="39"/>
  <c r="O53" i="39"/>
  <c r="O25" i="39"/>
  <c r="P35" i="39"/>
  <c r="P51" i="39"/>
  <c r="P54" i="39"/>
  <c r="T28" i="2"/>
  <c r="U28" i="2"/>
  <c r="T32" i="2"/>
  <c r="U32" i="2"/>
  <c r="I55" i="43"/>
  <c r="K55" i="43" s="1"/>
  <c r="L55" i="43" s="1"/>
  <c r="N11" i="45"/>
  <c r="O11" i="45" s="1"/>
  <c r="C25" i="28"/>
  <c r="K23" i="28"/>
  <c r="O10" i="28"/>
  <c r="N23" i="28"/>
  <c r="O23" i="28" s="1"/>
  <c r="K11" i="28"/>
  <c r="N11" i="28"/>
  <c r="O11" i="28" s="1"/>
  <c r="L16" i="27"/>
  <c r="U18" i="27"/>
  <c r="U16" i="27" s="1"/>
  <c r="C18" i="27"/>
  <c r="E18" i="27" s="1"/>
  <c r="F18" i="27" s="1"/>
  <c r="K10" i="27"/>
  <c r="K34" i="27" s="1"/>
  <c r="K57" i="27" s="1"/>
  <c r="D11" i="27"/>
  <c r="T72" i="2"/>
  <c r="U80" i="42"/>
  <c r="U81" i="42" s="1"/>
  <c r="I40" i="42"/>
  <c r="W79" i="42"/>
  <c r="R79" i="2"/>
  <c r="U29" i="41"/>
  <c r="U39" i="41" s="1"/>
  <c r="S23" i="2"/>
  <c r="L40" i="41"/>
  <c r="U11" i="2"/>
  <c r="T12" i="2"/>
  <c r="H40" i="40"/>
  <c r="P73" i="2"/>
  <c r="T73" i="2" s="1"/>
  <c r="J28" i="2"/>
  <c r="D76" i="2"/>
  <c r="D77" i="2" s="1"/>
  <c r="P26" i="2"/>
  <c r="I11" i="43"/>
  <c r="E40" i="40"/>
  <c r="K9" i="28"/>
  <c r="S82" i="2"/>
  <c r="U15" i="2"/>
  <c r="S10" i="2"/>
  <c r="S76" i="2" s="1"/>
  <c r="S77" i="2" s="1"/>
  <c r="U12" i="2"/>
  <c r="V29" i="40"/>
  <c r="V39" i="40" s="1"/>
  <c r="U72" i="2"/>
  <c r="I72" i="43"/>
  <c r="K72" i="43" s="1"/>
  <c r="L72" i="43" s="1"/>
  <c r="I61" i="43"/>
  <c r="K61" i="43" s="1"/>
  <c r="L61" i="43" s="1"/>
  <c r="AD26" i="40"/>
  <c r="I28" i="43"/>
  <c r="K28" i="43" s="1"/>
  <c r="L28" i="43" s="1"/>
  <c r="AB26" i="40"/>
  <c r="W26" i="40"/>
  <c r="U29" i="40"/>
  <c r="U39" i="40" s="1"/>
  <c r="I15" i="43"/>
  <c r="K15" i="43" s="1"/>
  <c r="L15" i="43" s="1"/>
  <c r="T15" i="2"/>
  <c r="E25" i="27"/>
  <c r="F25" i="27" s="1"/>
  <c r="E26" i="27"/>
  <c r="F26" i="27" s="1"/>
  <c r="E13" i="27"/>
  <c r="H71" i="2"/>
  <c r="G71" i="2"/>
  <c r="I25" i="43"/>
  <c r="K25" i="43" s="1"/>
  <c r="L25" i="43" s="1"/>
  <c r="P10" i="2"/>
  <c r="P76" i="2" s="1"/>
  <c r="I51" i="43"/>
  <c r="K51" i="43" s="1"/>
  <c r="L51" i="43" s="1"/>
  <c r="T13" i="2"/>
  <c r="T17" i="2"/>
  <c r="I52" i="43"/>
  <c r="K52" i="43" s="1"/>
  <c r="L52" i="43" s="1"/>
  <c r="I53" i="43"/>
  <c r="K53" i="43" s="1"/>
  <c r="L53" i="43" s="1"/>
  <c r="U17" i="2"/>
  <c r="R48" i="41"/>
  <c r="T18" i="2"/>
  <c r="U13" i="2"/>
  <c r="U18" i="2"/>
  <c r="P37" i="2"/>
  <c r="T11" i="2"/>
  <c r="S56" i="2"/>
  <c r="S37" i="2"/>
  <c r="U80" i="41"/>
  <c r="U81" i="41" s="1"/>
  <c r="R85" i="2"/>
  <c r="R56" i="2"/>
  <c r="R37" i="2"/>
  <c r="U29" i="42"/>
  <c r="U39" i="42" s="1"/>
  <c r="G42" i="42"/>
  <c r="G43" i="42" s="1"/>
  <c r="W82" i="42"/>
  <c r="R82" i="2"/>
  <c r="K16" i="2"/>
  <c r="H40" i="42"/>
  <c r="P56" i="2"/>
  <c r="I32" i="43"/>
  <c r="K32" i="43" s="1"/>
  <c r="L32" i="43" s="1"/>
  <c r="AA26" i="40"/>
  <c r="AC26" i="40"/>
  <c r="Y26" i="40"/>
  <c r="Z26" i="40"/>
  <c r="X26" i="40"/>
  <c r="J42" i="40"/>
  <c r="J47" i="40" s="1"/>
  <c r="V82" i="40"/>
  <c r="V80" i="40"/>
  <c r="V81" i="40" s="1"/>
  <c r="U80" i="40"/>
  <c r="U81" i="40" s="1"/>
  <c r="N40" i="40"/>
  <c r="P79" i="2"/>
  <c r="T16" i="2"/>
  <c r="U16" i="2"/>
  <c r="T19" i="2"/>
  <c r="P82" i="2"/>
  <c r="P14" i="2"/>
  <c r="L40" i="40"/>
  <c r="U19" i="2"/>
  <c r="L73" i="39"/>
  <c r="O10" i="45"/>
  <c r="N23" i="45"/>
  <c r="O23" i="45" s="1"/>
  <c r="O9" i="45"/>
  <c r="N22" i="45"/>
  <c r="H24" i="45"/>
  <c r="K10" i="45"/>
  <c r="J23" i="45"/>
  <c r="K23" i="45" s="1"/>
  <c r="K9" i="45"/>
  <c r="J22" i="45"/>
  <c r="E20" i="27"/>
  <c r="F20" i="27" s="1"/>
  <c r="I85" i="39"/>
  <c r="W14" i="41"/>
  <c r="Y27" i="41"/>
  <c r="Z27" i="41" s="1"/>
  <c r="S79" i="2"/>
  <c r="H40" i="41"/>
  <c r="S73" i="2"/>
  <c r="AG78" i="41"/>
  <c r="S26" i="2"/>
  <c r="V29" i="42"/>
  <c r="V39" i="42" s="1"/>
  <c r="R76" i="2"/>
  <c r="R77" i="2" s="1"/>
  <c r="U8" i="42"/>
  <c r="W14" i="42"/>
  <c r="W80" i="42" s="1"/>
  <c r="W81" i="42" s="1"/>
  <c r="M40" i="42"/>
  <c r="K40" i="42"/>
  <c r="V73" i="42"/>
  <c r="W72" i="42"/>
  <c r="H73" i="39"/>
  <c r="Q8" i="2"/>
  <c r="Q84" i="2" s="1"/>
  <c r="X79" i="41"/>
  <c r="G40" i="41"/>
  <c r="AA32" i="41"/>
  <c r="AB32" i="41" s="1"/>
  <c r="V29" i="41"/>
  <c r="V39" i="41" s="1"/>
  <c r="L42" i="41"/>
  <c r="L43" i="41" s="1"/>
  <c r="O80" i="41"/>
  <c r="D42" i="41"/>
  <c r="D47" i="41" s="1"/>
  <c r="D40" i="41"/>
  <c r="S14" i="2"/>
  <c r="J40" i="41"/>
  <c r="U84" i="41"/>
  <c r="X27" i="42"/>
  <c r="W26" i="42"/>
  <c r="W29" i="42" s="1"/>
  <c r="W39" i="42" s="1"/>
  <c r="O80" i="42"/>
  <c r="O29" i="42"/>
  <c r="K42" i="42"/>
  <c r="K47" i="42" s="1"/>
  <c r="L40" i="42"/>
  <c r="D42" i="42"/>
  <c r="D47" i="42" s="1"/>
  <c r="G40" i="42"/>
  <c r="G84" i="42"/>
  <c r="E40" i="42"/>
  <c r="X71" i="40"/>
  <c r="W73" i="40"/>
  <c r="X54" i="40"/>
  <c r="J54" i="2" s="1"/>
  <c r="W56" i="40"/>
  <c r="Y32" i="40"/>
  <c r="X37" i="40"/>
  <c r="L42" i="40"/>
  <c r="L43" i="40" s="1"/>
  <c r="O80" i="40"/>
  <c r="O81" i="40" s="1"/>
  <c r="H42" i="40"/>
  <c r="H43" i="40" s="1"/>
  <c r="M42" i="40"/>
  <c r="M47" i="40" s="1"/>
  <c r="J16" i="2"/>
  <c r="E84" i="40"/>
  <c r="I40" i="40"/>
  <c r="I42" i="40"/>
  <c r="I43" i="40" s="1"/>
  <c r="M40" i="40"/>
  <c r="G42" i="40"/>
  <c r="G47" i="40" s="1"/>
  <c r="K40" i="40"/>
  <c r="Q80" i="2"/>
  <c r="Q81" i="2" s="1"/>
  <c r="J42" i="43"/>
  <c r="J84" i="43"/>
  <c r="J40" i="43"/>
  <c r="D8" i="2"/>
  <c r="D84" i="2" s="1"/>
  <c r="D84" i="43"/>
  <c r="E26" i="39"/>
  <c r="M73" i="39"/>
  <c r="I37" i="39"/>
  <c r="I10" i="39"/>
  <c r="I76" i="39" s="1"/>
  <c r="I77" i="39" s="1"/>
  <c r="I56" i="39"/>
  <c r="L85" i="39"/>
  <c r="H26" i="39"/>
  <c r="H37" i="39"/>
  <c r="H56" i="39"/>
  <c r="H85" i="39"/>
  <c r="I71" i="43"/>
  <c r="K71" i="43" s="1"/>
  <c r="L71" i="43" s="1"/>
  <c r="U71" i="2"/>
  <c r="T71" i="2"/>
  <c r="P23" i="2"/>
  <c r="M37" i="39"/>
  <c r="E42" i="40"/>
  <c r="E47" i="40" s="1"/>
  <c r="P17" i="39"/>
  <c r="O17" i="39"/>
  <c r="P13" i="39"/>
  <c r="O13" i="39"/>
  <c r="E79" i="39"/>
  <c r="E14" i="39"/>
  <c r="P15" i="39"/>
  <c r="O15" i="39"/>
  <c r="O18" i="39"/>
  <c r="P18" i="39"/>
  <c r="P16" i="39"/>
  <c r="O16" i="39"/>
  <c r="L23" i="39"/>
  <c r="L37" i="39"/>
  <c r="I14" i="39"/>
  <c r="I79" i="39"/>
  <c r="C73" i="39"/>
  <c r="P72" i="39"/>
  <c r="O72" i="39"/>
  <c r="P87" i="39"/>
  <c r="O87" i="39"/>
  <c r="P71" i="39"/>
  <c r="O71" i="39"/>
  <c r="E82" i="39"/>
  <c r="E23" i="39"/>
  <c r="E10" i="39"/>
  <c r="E37" i="39"/>
  <c r="E85" i="39"/>
  <c r="M10" i="39"/>
  <c r="M26" i="39"/>
  <c r="L10" i="39"/>
  <c r="I82" i="39"/>
  <c r="I23" i="39"/>
  <c r="I73" i="39"/>
  <c r="L82" i="39"/>
  <c r="L14" i="39"/>
  <c r="L79" i="39"/>
  <c r="P11" i="39"/>
  <c r="O11" i="39"/>
  <c r="M56" i="39"/>
  <c r="M85" i="39"/>
  <c r="P78" i="39"/>
  <c r="O78" i="39"/>
  <c r="P83" i="39"/>
  <c r="O83" i="39"/>
  <c r="P19" i="39"/>
  <c r="O19" i="39"/>
  <c r="P12" i="39"/>
  <c r="O12" i="39"/>
  <c r="P86" i="39"/>
  <c r="O86" i="39"/>
  <c r="G73" i="39"/>
  <c r="E73" i="39"/>
  <c r="E56" i="39"/>
  <c r="L26" i="39"/>
  <c r="L56" i="39"/>
  <c r="M79" i="39"/>
  <c r="M14" i="39"/>
  <c r="M82" i="39"/>
  <c r="M23" i="39"/>
  <c r="H14" i="39"/>
  <c r="H79" i="39"/>
  <c r="H82" i="39"/>
  <c r="H23" i="39"/>
  <c r="H10" i="39"/>
  <c r="I26" i="39"/>
  <c r="K23" i="39"/>
  <c r="C26" i="39"/>
  <c r="H78" i="2"/>
  <c r="O76" i="40"/>
  <c r="U8" i="40"/>
  <c r="U77" i="40"/>
  <c r="H12" i="2"/>
  <c r="G87" i="2"/>
  <c r="K10" i="39"/>
  <c r="K76" i="39" s="1"/>
  <c r="K77" i="39" s="1"/>
  <c r="C56" i="39"/>
  <c r="D85" i="39"/>
  <c r="K26" i="39"/>
  <c r="C10" i="39"/>
  <c r="C14" i="39"/>
  <c r="C79" i="39"/>
  <c r="D73" i="39"/>
  <c r="K56" i="39"/>
  <c r="K85" i="39"/>
  <c r="C82" i="39"/>
  <c r="C23" i="39"/>
  <c r="D82" i="39"/>
  <c r="D23" i="39"/>
  <c r="D10" i="39"/>
  <c r="G82" i="39"/>
  <c r="G23" i="39"/>
  <c r="G26" i="39"/>
  <c r="G10" i="39"/>
  <c r="G85" i="39"/>
  <c r="K79" i="39"/>
  <c r="K14" i="39"/>
  <c r="K37" i="39"/>
  <c r="D26" i="39"/>
  <c r="G14" i="39"/>
  <c r="G79" i="39"/>
  <c r="G12" i="2"/>
  <c r="E23" i="27"/>
  <c r="F23" i="27" s="1"/>
  <c r="C10" i="2"/>
  <c r="K73" i="39"/>
  <c r="K82" i="39"/>
  <c r="C37" i="39"/>
  <c r="D37" i="39"/>
  <c r="C85" i="39"/>
  <c r="D79" i="39"/>
  <c r="D14" i="39"/>
  <c r="D56" i="39"/>
  <c r="G37" i="39"/>
  <c r="G56" i="39"/>
  <c r="F26" i="2"/>
  <c r="F84" i="41"/>
  <c r="F42" i="41"/>
  <c r="AB15" i="41"/>
  <c r="X72" i="41"/>
  <c r="W73" i="41"/>
  <c r="S59" i="41"/>
  <c r="S63" i="41"/>
  <c r="I40" i="41"/>
  <c r="I42" i="41"/>
  <c r="C39" i="41"/>
  <c r="C42" i="41" s="1"/>
  <c r="O29" i="41"/>
  <c r="J84" i="41"/>
  <c r="J42" i="41"/>
  <c r="F40" i="41"/>
  <c r="V8" i="41"/>
  <c r="V76" i="41"/>
  <c r="V77" i="41" s="1"/>
  <c r="W82" i="41"/>
  <c r="W23" i="41"/>
  <c r="W29" i="41" s="1"/>
  <c r="W39" i="41" s="1"/>
  <c r="X24" i="41"/>
  <c r="O8" i="41"/>
  <c r="C84" i="41"/>
  <c r="K42" i="41"/>
  <c r="K84" i="41"/>
  <c r="N84" i="41"/>
  <c r="N42" i="41"/>
  <c r="E40" i="41"/>
  <c r="E42" i="41"/>
  <c r="M40" i="41"/>
  <c r="M42" i="41"/>
  <c r="H42" i="41"/>
  <c r="W10" i="41"/>
  <c r="X11" i="41"/>
  <c r="W79" i="41"/>
  <c r="Y52" i="41"/>
  <c r="X56" i="41"/>
  <c r="K40" i="41"/>
  <c r="W85" i="41"/>
  <c r="X83" i="41"/>
  <c r="R63" i="41"/>
  <c r="R59" i="41"/>
  <c r="Z22" i="41"/>
  <c r="AB51" i="41"/>
  <c r="X14" i="41"/>
  <c r="Y16" i="41"/>
  <c r="O76" i="41"/>
  <c r="G84" i="41"/>
  <c r="G42" i="41"/>
  <c r="N40" i="41"/>
  <c r="L42" i="42"/>
  <c r="L43" i="42" s="1"/>
  <c r="R63" i="42"/>
  <c r="R67" i="42" s="1"/>
  <c r="R68" i="42" s="1"/>
  <c r="R59" i="42"/>
  <c r="H42" i="42"/>
  <c r="H47" i="42" s="1"/>
  <c r="D40" i="42"/>
  <c r="Y24" i="42"/>
  <c r="X82" i="42"/>
  <c r="X23" i="42"/>
  <c r="V8" i="42"/>
  <c r="V76" i="42"/>
  <c r="V77" i="42" s="1"/>
  <c r="AE22" i="42"/>
  <c r="O76" i="42"/>
  <c r="O39" i="42"/>
  <c r="C40" i="42"/>
  <c r="C42" i="42"/>
  <c r="G16" i="2"/>
  <c r="X14" i="42"/>
  <c r="Y15" i="42"/>
  <c r="X79" i="42"/>
  <c r="W85" i="42"/>
  <c r="W10" i="42"/>
  <c r="X11" i="42"/>
  <c r="AE51" i="42"/>
  <c r="E84" i="42"/>
  <c r="E42" i="42"/>
  <c r="J42" i="42"/>
  <c r="J84" i="42"/>
  <c r="M84" i="42"/>
  <c r="M42" i="42"/>
  <c r="AA52" i="42"/>
  <c r="Z56" i="42"/>
  <c r="F42" i="42"/>
  <c r="F84" i="42"/>
  <c r="F40" i="42"/>
  <c r="X83" i="42"/>
  <c r="AC32" i="42"/>
  <c r="N42" i="42"/>
  <c r="N84" i="42"/>
  <c r="N40" i="42"/>
  <c r="O8" i="42"/>
  <c r="Y33" i="42"/>
  <c r="X37" i="42"/>
  <c r="I84" i="42"/>
  <c r="I42" i="42"/>
  <c r="J40" i="42"/>
  <c r="U85" i="2"/>
  <c r="T85" i="2"/>
  <c r="S59" i="40"/>
  <c r="S63" i="40"/>
  <c r="C16" i="43"/>
  <c r="C79" i="43" s="1"/>
  <c r="E79" i="43" s="1"/>
  <c r="F79" i="43" s="1"/>
  <c r="O29" i="40"/>
  <c r="R59" i="40"/>
  <c r="R63" i="40"/>
  <c r="I85" i="43"/>
  <c r="K85" i="43" s="1"/>
  <c r="L85" i="43" s="1"/>
  <c r="K87" i="43"/>
  <c r="L87" i="43" s="1"/>
  <c r="K42" i="40"/>
  <c r="K47" i="40" s="1"/>
  <c r="D84" i="40"/>
  <c r="D42" i="40"/>
  <c r="O8" i="40"/>
  <c r="G13" i="2"/>
  <c r="V77" i="40"/>
  <c r="V8" i="40"/>
  <c r="D40" i="40"/>
  <c r="G78" i="2"/>
  <c r="AB83" i="40"/>
  <c r="Y12" i="40"/>
  <c r="X10" i="40"/>
  <c r="W76" i="40"/>
  <c r="W77" i="40" s="1"/>
  <c r="AA11" i="40"/>
  <c r="F42" i="40"/>
  <c r="F84" i="40"/>
  <c r="F40" i="40"/>
  <c r="AE72" i="40"/>
  <c r="W82" i="40"/>
  <c r="X24" i="40"/>
  <c r="W23" i="40"/>
  <c r="H16" i="2"/>
  <c r="C79" i="2"/>
  <c r="C14" i="2"/>
  <c r="Y85" i="40"/>
  <c r="Z22" i="40"/>
  <c r="N84" i="40"/>
  <c r="N42" i="40"/>
  <c r="X15" i="40"/>
  <c r="W79" i="40"/>
  <c r="W14" i="40"/>
  <c r="C40" i="40"/>
  <c r="O39" i="40"/>
  <c r="C42" i="40"/>
  <c r="AF27" i="40"/>
  <c r="AG27" i="40" s="1"/>
  <c r="AE26" i="40"/>
  <c r="C82" i="2"/>
  <c r="H87" i="2"/>
  <c r="N19" i="2"/>
  <c r="G19" i="2"/>
  <c r="H17" i="2"/>
  <c r="C26" i="2"/>
  <c r="H19" i="2"/>
  <c r="E30" i="27"/>
  <c r="F30" i="27" s="1"/>
  <c r="C85" i="2"/>
  <c r="G18" i="2"/>
  <c r="E29" i="27"/>
  <c r="F29" i="27" s="1"/>
  <c r="M87" i="2"/>
  <c r="H13" i="2"/>
  <c r="E63" i="27"/>
  <c r="F63" i="27" s="1"/>
  <c r="E14" i="27"/>
  <c r="F14" i="27" s="1"/>
  <c r="C28" i="43"/>
  <c r="G83" i="2"/>
  <c r="C73" i="2"/>
  <c r="E31" i="27"/>
  <c r="F31" i="27" s="1"/>
  <c r="C37" i="2"/>
  <c r="C51" i="43"/>
  <c r="E51" i="43" s="1"/>
  <c r="F51" i="43" s="1"/>
  <c r="C56" i="2"/>
  <c r="C18" i="43"/>
  <c r="E18" i="43" s="1"/>
  <c r="F18" i="43" s="1"/>
  <c r="H18" i="2"/>
  <c r="C17" i="43"/>
  <c r="G17" i="2"/>
  <c r="C85" i="43"/>
  <c r="E85" i="43" s="1"/>
  <c r="F85" i="43" s="1"/>
  <c r="N87" i="2"/>
  <c r="M19" i="2"/>
  <c r="C23" i="2"/>
  <c r="E19" i="27"/>
  <c r="F19" i="27" s="1"/>
  <c r="F82" i="2"/>
  <c r="F23" i="2"/>
  <c r="E26" i="2"/>
  <c r="F37" i="2"/>
  <c r="N78" i="2"/>
  <c r="M78" i="2"/>
  <c r="G86" i="2"/>
  <c r="E85" i="2"/>
  <c r="E17" i="27"/>
  <c r="F17" i="27" s="1"/>
  <c r="C11" i="43"/>
  <c r="H11" i="2"/>
  <c r="G11" i="2"/>
  <c r="M13" i="2"/>
  <c r="N13" i="2"/>
  <c r="E14" i="2"/>
  <c r="G15" i="2"/>
  <c r="E79" i="2"/>
  <c r="E56" i="2"/>
  <c r="H83" i="2"/>
  <c r="E24" i="27"/>
  <c r="F24" i="27" s="1"/>
  <c r="E27" i="27"/>
  <c r="F27" i="27" s="1"/>
  <c r="N17" i="2"/>
  <c r="M17" i="2"/>
  <c r="E73" i="2"/>
  <c r="G72" i="2"/>
  <c r="D16" i="27"/>
  <c r="E37" i="2"/>
  <c r="F73" i="2"/>
  <c r="H72" i="2"/>
  <c r="C73" i="43"/>
  <c r="E73" i="43" s="1"/>
  <c r="F73" i="43" s="1"/>
  <c r="H86" i="2"/>
  <c r="F85" i="2"/>
  <c r="E23" i="2"/>
  <c r="E82" i="2"/>
  <c r="E10" i="2"/>
  <c r="F79" i="2"/>
  <c r="H15" i="2"/>
  <c r="F14" i="2"/>
  <c r="F56" i="2"/>
  <c r="F10" i="2"/>
  <c r="E28" i="27"/>
  <c r="F28" i="27" s="1"/>
  <c r="E32" i="27"/>
  <c r="F32" i="27" s="1"/>
  <c r="E22" i="27"/>
  <c r="F22" i="27" s="1"/>
  <c r="E12" i="27"/>
  <c r="F12" i="27" s="1"/>
  <c r="R65" i="40" l="1"/>
  <c r="R67" i="40" s="1"/>
  <c r="R68" i="40" s="1"/>
  <c r="S65" i="40"/>
  <c r="S67" i="40" s="1"/>
  <c r="S68" i="40" s="1"/>
  <c r="C27" i="25"/>
  <c r="H19" i="45" s="1"/>
  <c r="J18" i="45"/>
  <c r="K18" i="45" s="1"/>
  <c r="H11" i="25"/>
  <c r="H25" i="45"/>
  <c r="N18" i="45"/>
  <c r="O18" i="45" s="1"/>
  <c r="U58" i="27"/>
  <c r="R80" i="2"/>
  <c r="R81" i="2" s="1"/>
  <c r="I10" i="43"/>
  <c r="K10" i="43" s="1"/>
  <c r="L10" i="43" s="1"/>
  <c r="I75" i="43"/>
  <c r="K75" i="43" s="1"/>
  <c r="L75" i="43" s="1"/>
  <c r="I74" i="43"/>
  <c r="K74" i="43" s="1"/>
  <c r="L74" i="43" s="1"/>
  <c r="C74" i="43"/>
  <c r="C75" i="43"/>
  <c r="E75" i="43" s="1"/>
  <c r="T79" i="2"/>
  <c r="U56" i="2"/>
  <c r="T56" i="2"/>
  <c r="AA37" i="41"/>
  <c r="R39" i="2"/>
  <c r="C16" i="27"/>
  <c r="E16" i="27" s="1"/>
  <c r="F16" i="27" s="1"/>
  <c r="J56" i="2"/>
  <c r="M54" i="2"/>
  <c r="N54" i="2"/>
  <c r="G56" i="2"/>
  <c r="H56" i="2"/>
  <c r="C23" i="43"/>
  <c r="U40" i="41"/>
  <c r="C37" i="43"/>
  <c r="E37" i="43" s="1"/>
  <c r="F37" i="43" s="1"/>
  <c r="O23" i="39"/>
  <c r="O56" i="39"/>
  <c r="R8" i="2"/>
  <c r="R84" i="2" s="1"/>
  <c r="P56" i="39"/>
  <c r="O37" i="39"/>
  <c r="O26" i="39"/>
  <c r="T26" i="2"/>
  <c r="U26" i="2"/>
  <c r="E61" i="43"/>
  <c r="F61" i="43" s="1"/>
  <c r="E45" i="43"/>
  <c r="F45" i="43" s="1"/>
  <c r="E52" i="43"/>
  <c r="F52" i="43" s="1"/>
  <c r="G23" i="2"/>
  <c r="H23" i="2"/>
  <c r="G26" i="2"/>
  <c r="H26" i="2"/>
  <c r="P37" i="39"/>
  <c r="U37" i="2"/>
  <c r="T37" i="2"/>
  <c r="E55" i="43"/>
  <c r="F55" i="43" s="1"/>
  <c r="E32" i="43"/>
  <c r="F32" i="43" s="1"/>
  <c r="E34" i="43"/>
  <c r="F34" i="43" s="1"/>
  <c r="E22" i="43"/>
  <c r="F22" i="43" s="1"/>
  <c r="T23" i="2"/>
  <c r="U23" i="2"/>
  <c r="M28" i="2"/>
  <c r="N28" i="2"/>
  <c r="E35" i="43"/>
  <c r="F35" i="43" s="1"/>
  <c r="E33" i="43"/>
  <c r="F33" i="43" s="1"/>
  <c r="E53" i="43"/>
  <c r="F53" i="43" s="1"/>
  <c r="E54" i="43"/>
  <c r="F54" i="43" s="1"/>
  <c r="G37" i="2"/>
  <c r="H37" i="2"/>
  <c r="E28" i="43"/>
  <c r="F28" i="43" s="1"/>
  <c r="P23" i="39"/>
  <c r="P26" i="39"/>
  <c r="E36" i="43"/>
  <c r="F36" i="43" s="1"/>
  <c r="N24" i="28"/>
  <c r="O24" i="28" s="1"/>
  <c r="C12" i="25"/>
  <c r="K18" i="28"/>
  <c r="H25" i="28"/>
  <c r="N18" i="28"/>
  <c r="D10" i="27"/>
  <c r="D34" i="27" s="1"/>
  <c r="D57" i="27" s="1"/>
  <c r="U42" i="42"/>
  <c r="U43" i="42" s="1"/>
  <c r="S29" i="2"/>
  <c r="S39" i="2" s="1"/>
  <c r="U82" i="2"/>
  <c r="S8" i="2"/>
  <c r="S84" i="2" s="1"/>
  <c r="K11" i="43"/>
  <c r="L11" i="43" s="1"/>
  <c r="P29" i="2"/>
  <c r="I26" i="43"/>
  <c r="K26" i="43" s="1"/>
  <c r="L26" i="43" s="1"/>
  <c r="U73" i="2"/>
  <c r="I79" i="43"/>
  <c r="K79" i="43" s="1"/>
  <c r="L79" i="43" s="1"/>
  <c r="T75" i="2"/>
  <c r="T89" i="2"/>
  <c r="U89" i="2"/>
  <c r="K22" i="28"/>
  <c r="T76" i="2"/>
  <c r="U10" i="2"/>
  <c r="I82" i="43"/>
  <c r="K82" i="43" s="1"/>
  <c r="L82" i="43" s="1"/>
  <c r="W29" i="40"/>
  <c r="W39" i="40" s="1"/>
  <c r="T10" i="2"/>
  <c r="T74" i="2"/>
  <c r="I14" i="43"/>
  <c r="P8" i="2"/>
  <c r="T14" i="2"/>
  <c r="U14" i="2"/>
  <c r="I23" i="43"/>
  <c r="K23" i="43" s="1"/>
  <c r="L23" i="43" s="1"/>
  <c r="I37" i="43"/>
  <c r="K37" i="43" s="1"/>
  <c r="L37" i="43" s="1"/>
  <c r="I56" i="43"/>
  <c r="K56" i="43" s="1"/>
  <c r="L56" i="43" s="1"/>
  <c r="T82" i="2"/>
  <c r="U79" i="2"/>
  <c r="Y26" i="41"/>
  <c r="U42" i="41"/>
  <c r="U47" i="41" s="1"/>
  <c r="G47" i="42"/>
  <c r="G48" i="42" s="1"/>
  <c r="M16" i="2"/>
  <c r="U40" i="42"/>
  <c r="U84" i="42"/>
  <c r="J43" i="40"/>
  <c r="V40" i="40"/>
  <c r="L47" i="40"/>
  <c r="L48" i="40" s="1"/>
  <c r="W80" i="40"/>
  <c r="W81" i="40" s="1"/>
  <c r="O77" i="40"/>
  <c r="O84" i="40"/>
  <c r="Q42" i="2"/>
  <c r="Q47" i="2" s="1"/>
  <c r="E27" i="25"/>
  <c r="F27" i="25" s="1"/>
  <c r="K22" i="45"/>
  <c r="J24" i="45"/>
  <c r="K24" i="45" s="1"/>
  <c r="O22" i="45"/>
  <c r="N24" i="45"/>
  <c r="O24" i="45" s="1"/>
  <c r="O77" i="41"/>
  <c r="O84" i="41"/>
  <c r="O81" i="41"/>
  <c r="S80" i="2"/>
  <c r="O84" i="42"/>
  <c r="O77" i="42"/>
  <c r="O81" i="42"/>
  <c r="X72" i="42"/>
  <c r="W73" i="42"/>
  <c r="C8" i="2"/>
  <c r="I73" i="43"/>
  <c r="K73" i="43" s="1"/>
  <c r="L73" i="43" s="1"/>
  <c r="Q40" i="2"/>
  <c r="V40" i="41"/>
  <c r="L47" i="41"/>
  <c r="L58" i="41" s="1"/>
  <c r="D43" i="41"/>
  <c r="E29" i="39"/>
  <c r="K43" i="42"/>
  <c r="Y27" i="42"/>
  <c r="X26" i="42"/>
  <c r="X29" i="42" s="1"/>
  <c r="X39" i="42" s="1"/>
  <c r="X80" i="42"/>
  <c r="X81" i="42" s="1"/>
  <c r="D43" i="42"/>
  <c r="H43" i="42"/>
  <c r="Y71" i="40"/>
  <c r="X73" i="40"/>
  <c r="Y54" i="40"/>
  <c r="X56" i="40"/>
  <c r="G43" i="40"/>
  <c r="M43" i="40"/>
  <c r="Z32" i="40"/>
  <c r="Y37" i="40"/>
  <c r="H47" i="40"/>
  <c r="I47" i="40"/>
  <c r="I58" i="40" s="1"/>
  <c r="U76" i="2"/>
  <c r="P77" i="2"/>
  <c r="T77" i="2" s="1"/>
  <c r="E43" i="40"/>
  <c r="J47" i="43"/>
  <c r="J43" i="43"/>
  <c r="J58" i="27"/>
  <c r="J59" i="27" s="1"/>
  <c r="I62" i="27"/>
  <c r="I64" i="27" s="1"/>
  <c r="M29" i="39"/>
  <c r="M39" i="39" s="1"/>
  <c r="H29" i="39"/>
  <c r="H39" i="39" s="1"/>
  <c r="L29" i="39"/>
  <c r="L39" i="39" s="1"/>
  <c r="L47" i="42"/>
  <c r="L48" i="42" s="1"/>
  <c r="D80" i="39"/>
  <c r="D81" i="39" s="1"/>
  <c r="H80" i="39"/>
  <c r="H81" i="39" s="1"/>
  <c r="L80" i="39"/>
  <c r="L81" i="39" s="1"/>
  <c r="P80" i="2"/>
  <c r="U90" i="2" s="1"/>
  <c r="K29" i="39"/>
  <c r="K39" i="39" s="1"/>
  <c r="I29" i="39"/>
  <c r="I39" i="39" s="1"/>
  <c r="M80" i="39"/>
  <c r="M81" i="39" s="1"/>
  <c r="I80" i="39"/>
  <c r="I81" i="39" s="1"/>
  <c r="M76" i="39"/>
  <c r="M77" i="39" s="1"/>
  <c r="M8" i="39"/>
  <c r="C29" i="39"/>
  <c r="I8" i="39"/>
  <c r="L76" i="39"/>
  <c r="L77" i="39" s="1"/>
  <c r="L8" i="39"/>
  <c r="E80" i="39"/>
  <c r="E81" i="39" s="1"/>
  <c r="P10" i="39"/>
  <c r="O10" i="39"/>
  <c r="H76" i="39"/>
  <c r="H77" i="39" s="1"/>
  <c r="H8" i="39"/>
  <c r="P85" i="39"/>
  <c r="O85" i="39"/>
  <c r="P14" i="39"/>
  <c r="O14" i="39"/>
  <c r="E76" i="39"/>
  <c r="E77" i="39" s="1"/>
  <c r="E8" i="39"/>
  <c r="H79" i="2"/>
  <c r="C80" i="2"/>
  <c r="C81" i="2" s="1"/>
  <c r="U84" i="40"/>
  <c r="U42" i="40"/>
  <c r="U40" i="40"/>
  <c r="G80" i="39"/>
  <c r="G81" i="39" s="1"/>
  <c r="K8" i="39"/>
  <c r="K84" i="39" s="1"/>
  <c r="D29" i="39"/>
  <c r="C82" i="43"/>
  <c r="G79" i="2"/>
  <c r="G29" i="39"/>
  <c r="G39" i="39" s="1"/>
  <c r="C80" i="39"/>
  <c r="C76" i="39"/>
  <c r="C8" i="39"/>
  <c r="K80" i="39"/>
  <c r="K81" i="39" s="1"/>
  <c r="G76" i="39"/>
  <c r="G77" i="39" s="1"/>
  <c r="G8" i="39"/>
  <c r="D8" i="39"/>
  <c r="D84" i="39" s="1"/>
  <c r="D76" i="39"/>
  <c r="C47" i="41"/>
  <c r="C43" i="41"/>
  <c r="O42" i="41"/>
  <c r="X85" i="41"/>
  <c r="W8" i="41"/>
  <c r="W40" i="41" s="1"/>
  <c r="W76" i="41"/>
  <c r="W77" i="41" s="1"/>
  <c r="M47" i="41"/>
  <c r="M43" i="41"/>
  <c r="N43" i="41"/>
  <c r="N47" i="41"/>
  <c r="Y72" i="41"/>
  <c r="X73" i="41"/>
  <c r="F43" i="41"/>
  <c r="F47" i="41"/>
  <c r="G47" i="41"/>
  <c r="G43" i="41"/>
  <c r="AC51" i="41"/>
  <c r="Z52" i="41"/>
  <c r="Y56" i="41"/>
  <c r="V42" i="41"/>
  <c r="V84" i="41"/>
  <c r="Z16" i="41"/>
  <c r="Y14" i="41"/>
  <c r="Y79" i="41"/>
  <c r="E47" i="41"/>
  <c r="E43" i="41"/>
  <c r="C40" i="41"/>
  <c r="O39" i="41"/>
  <c r="AA27" i="41"/>
  <c r="Z26" i="41"/>
  <c r="D58" i="41"/>
  <c r="D48" i="41"/>
  <c r="AC32" i="41"/>
  <c r="AB37" i="41"/>
  <c r="AA22" i="41"/>
  <c r="Y83" i="41"/>
  <c r="Y11" i="41"/>
  <c r="X10" i="41"/>
  <c r="H47" i="41"/>
  <c r="H43" i="41"/>
  <c r="K47" i="41"/>
  <c r="K43" i="41"/>
  <c r="Y24" i="41"/>
  <c r="X82" i="41"/>
  <c r="X23" i="41"/>
  <c r="X29" i="41" s="1"/>
  <c r="X39" i="41" s="1"/>
  <c r="J43" i="41"/>
  <c r="J47" i="41"/>
  <c r="I47" i="41"/>
  <c r="I43" i="41"/>
  <c r="W80" i="41"/>
  <c r="W81" i="41" s="1"/>
  <c r="AC15" i="41"/>
  <c r="O40" i="42"/>
  <c r="F43" i="42"/>
  <c r="F47" i="42"/>
  <c r="Y11" i="42"/>
  <c r="X10" i="42"/>
  <c r="C43" i="42"/>
  <c r="O42" i="42"/>
  <c r="C47" i="42"/>
  <c r="J43" i="42"/>
  <c r="J47" i="42"/>
  <c r="W76" i="42"/>
  <c r="W77" i="42" s="1"/>
  <c r="W8" i="42"/>
  <c r="Z15" i="42"/>
  <c r="Y79" i="42"/>
  <c r="Y14" i="42"/>
  <c r="Z33" i="42"/>
  <c r="Y37" i="42"/>
  <c r="N43" i="42"/>
  <c r="N47" i="42"/>
  <c r="AD32" i="42"/>
  <c r="K48" i="42"/>
  <c r="K58" i="42"/>
  <c r="AB52" i="42"/>
  <c r="AA56" i="42"/>
  <c r="E43" i="42"/>
  <c r="E47" i="42"/>
  <c r="X85" i="42"/>
  <c r="V42" i="42"/>
  <c r="V84" i="42"/>
  <c r="Y82" i="42"/>
  <c r="Z24" i="42"/>
  <c r="Y23" i="42"/>
  <c r="I43" i="42"/>
  <c r="I47" i="42"/>
  <c r="Y83" i="42"/>
  <c r="M43" i="42"/>
  <c r="M47" i="42"/>
  <c r="H58" i="42"/>
  <c r="H48" i="42"/>
  <c r="AF51" i="42"/>
  <c r="AG51" i="42" s="1"/>
  <c r="AF22" i="42"/>
  <c r="AG22" i="42" s="1"/>
  <c r="D58" i="42"/>
  <c r="D48" i="42"/>
  <c r="V40" i="42"/>
  <c r="K43" i="40"/>
  <c r="E16" i="43"/>
  <c r="F16" i="43" s="1"/>
  <c r="AB11" i="40"/>
  <c r="Z12" i="40"/>
  <c r="Y10" i="40"/>
  <c r="AF26" i="40"/>
  <c r="J27" i="2"/>
  <c r="C47" i="40"/>
  <c r="C58" i="40" s="1"/>
  <c r="O42" i="40"/>
  <c r="C43" i="40"/>
  <c r="V84" i="40"/>
  <c r="V42" i="40"/>
  <c r="O40" i="40"/>
  <c r="X14" i="40"/>
  <c r="Y15" i="40"/>
  <c r="X79" i="40"/>
  <c r="AA22" i="40"/>
  <c r="AF72" i="40"/>
  <c r="AG72" i="40" s="1"/>
  <c r="F43" i="40"/>
  <c r="F47" i="40"/>
  <c r="E58" i="40"/>
  <c r="E48" i="40"/>
  <c r="M48" i="40"/>
  <c r="M58" i="40"/>
  <c r="J48" i="40"/>
  <c r="J58" i="40"/>
  <c r="W8" i="40"/>
  <c r="AC83" i="40"/>
  <c r="Z85" i="40"/>
  <c r="K48" i="40"/>
  <c r="K58" i="40"/>
  <c r="G48" i="40"/>
  <c r="G58" i="40"/>
  <c r="D47" i="40"/>
  <c r="D43" i="40"/>
  <c r="N47" i="40"/>
  <c r="N43" i="40"/>
  <c r="Y24" i="40"/>
  <c r="X23" i="40"/>
  <c r="X29" i="40" s="1"/>
  <c r="X39" i="40" s="1"/>
  <c r="X82" i="40"/>
  <c r="X76" i="40"/>
  <c r="X77" i="40" s="1"/>
  <c r="G82" i="2"/>
  <c r="H85" i="2"/>
  <c r="G85" i="2"/>
  <c r="E29" i="2"/>
  <c r="E39" i="2" s="1"/>
  <c r="C26" i="43"/>
  <c r="H82" i="2"/>
  <c r="E80" i="2"/>
  <c r="E81" i="2" s="1"/>
  <c r="C29" i="2"/>
  <c r="F80" i="2"/>
  <c r="F81" i="2" s="1"/>
  <c r="G73" i="2"/>
  <c r="E17" i="43"/>
  <c r="F17" i="43" s="1"/>
  <c r="C14" i="43"/>
  <c r="C56" i="43"/>
  <c r="H73" i="2"/>
  <c r="H14" i="2"/>
  <c r="G14" i="2"/>
  <c r="G10" i="2"/>
  <c r="H10" i="2"/>
  <c r="C76" i="2"/>
  <c r="F29" i="2"/>
  <c r="F39" i="2" s="1"/>
  <c r="C10" i="43"/>
  <c r="E11" i="43"/>
  <c r="F11" i="43" s="1"/>
  <c r="E8" i="2"/>
  <c r="E76" i="2"/>
  <c r="E77" i="2" s="1"/>
  <c r="F8" i="2"/>
  <c r="F76" i="2"/>
  <c r="F77" i="2" s="1"/>
  <c r="C31" i="25" l="1"/>
  <c r="E31" i="25" s="1"/>
  <c r="F31" i="25" s="1"/>
  <c r="I27" i="25"/>
  <c r="J27" i="25" s="1"/>
  <c r="I76" i="43"/>
  <c r="I77" i="43" s="1"/>
  <c r="K77" i="43" s="1"/>
  <c r="L77" i="43" s="1"/>
  <c r="H15" i="25"/>
  <c r="H60" i="27"/>
  <c r="Z75" i="40"/>
  <c r="Z74" i="40"/>
  <c r="Q43" i="2"/>
  <c r="R42" i="2"/>
  <c r="R43" i="2" s="1"/>
  <c r="R40" i="2"/>
  <c r="E26" i="43"/>
  <c r="F26" i="43" s="1"/>
  <c r="C39" i="39"/>
  <c r="C42" i="39" s="1"/>
  <c r="O29" i="39"/>
  <c r="P39" i="2"/>
  <c r="P42" i="2" s="1"/>
  <c r="U29" i="2"/>
  <c r="T29" i="2"/>
  <c r="E56" i="43"/>
  <c r="F56" i="43" s="1"/>
  <c r="E39" i="39"/>
  <c r="E42" i="39" s="1"/>
  <c r="P29" i="39"/>
  <c r="G29" i="2"/>
  <c r="H29" i="2"/>
  <c r="W40" i="40"/>
  <c r="O18" i="28"/>
  <c r="N25" i="28"/>
  <c r="I12" i="25"/>
  <c r="J12" i="25" s="1"/>
  <c r="E12" i="25"/>
  <c r="F12" i="25" s="1"/>
  <c r="H19" i="28"/>
  <c r="L10" i="27"/>
  <c r="L34" i="27" s="1"/>
  <c r="L57" i="27" s="1"/>
  <c r="C11" i="27"/>
  <c r="U11" i="27"/>
  <c r="U10" i="27" s="1"/>
  <c r="U34" i="27" s="1"/>
  <c r="U47" i="42"/>
  <c r="U58" i="42" s="1"/>
  <c r="U59" i="42" s="1"/>
  <c r="G58" i="42"/>
  <c r="G63" i="42" s="1"/>
  <c r="S40" i="2"/>
  <c r="G89" i="2"/>
  <c r="U75" i="2"/>
  <c r="I29" i="43"/>
  <c r="K29" i="43" s="1"/>
  <c r="L29" i="43" s="1"/>
  <c r="T90" i="2"/>
  <c r="U8" i="2"/>
  <c r="G90" i="2"/>
  <c r="K24" i="28"/>
  <c r="N25" i="45"/>
  <c r="X80" i="40"/>
  <c r="X81" i="40" s="1"/>
  <c r="I80" i="43"/>
  <c r="K80" i="43" s="1"/>
  <c r="L80" i="43" s="1"/>
  <c r="I8" i="43"/>
  <c r="I84" i="43" s="1"/>
  <c r="K84" i="43" s="1"/>
  <c r="L84" i="43" s="1"/>
  <c r="T8" i="2"/>
  <c r="U74" i="2"/>
  <c r="K14" i="43"/>
  <c r="L14" i="43" s="1"/>
  <c r="P84" i="2"/>
  <c r="U84" i="2" s="1"/>
  <c r="S81" i="2"/>
  <c r="S42" i="2"/>
  <c r="S43" i="2" s="1"/>
  <c r="H89" i="2"/>
  <c r="H90" i="2"/>
  <c r="U43" i="41"/>
  <c r="L48" i="41"/>
  <c r="J18" i="2"/>
  <c r="AG26" i="40"/>
  <c r="L58" i="40"/>
  <c r="L59" i="40" s="1"/>
  <c r="I48" i="40"/>
  <c r="U77" i="2"/>
  <c r="O43" i="40"/>
  <c r="J25" i="45"/>
  <c r="C41" i="25"/>
  <c r="I31" i="25"/>
  <c r="J31" i="25" s="1"/>
  <c r="O40" i="41"/>
  <c r="O43" i="41"/>
  <c r="Y72" i="42"/>
  <c r="X73" i="42"/>
  <c r="O43" i="42"/>
  <c r="U58" i="41"/>
  <c r="U48" i="41"/>
  <c r="Z27" i="42"/>
  <c r="Y26" i="42"/>
  <c r="Y29" i="42" s="1"/>
  <c r="Y39" i="42" s="1"/>
  <c r="Y80" i="42"/>
  <c r="Y81" i="42" s="1"/>
  <c r="L58" i="42"/>
  <c r="L63" i="42" s="1"/>
  <c r="Z71" i="40"/>
  <c r="Y73" i="40"/>
  <c r="Z54" i="40"/>
  <c r="Y56" i="40"/>
  <c r="AA32" i="40"/>
  <c r="Z37" i="40"/>
  <c r="H48" i="40"/>
  <c r="H58" i="40"/>
  <c r="X8" i="40"/>
  <c r="X42" i="40" s="1"/>
  <c r="J58" i="43"/>
  <c r="J48" i="43"/>
  <c r="Q58" i="2"/>
  <c r="Q48" i="2"/>
  <c r="K58" i="27"/>
  <c r="K59" i="27" s="1"/>
  <c r="J62" i="27"/>
  <c r="J64" i="27" s="1"/>
  <c r="U80" i="2"/>
  <c r="T80" i="2"/>
  <c r="P81" i="2"/>
  <c r="H42" i="39"/>
  <c r="H40" i="39"/>
  <c r="H84" i="39"/>
  <c r="I42" i="39"/>
  <c r="I84" i="39"/>
  <c r="M84" i="39"/>
  <c r="M40" i="39"/>
  <c r="M42" i="39"/>
  <c r="O8" i="39"/>
  <c r="O84" i="39" s="1"/>
  <c r="P8" i="39"/>
  <c r="P84" i="39" s="1"/>
  <c r="I40" i="39"/>
  <c r="C77" i="39"/>
  <c r="P76" i="39"/>
  <c r="P77" i="39" s="1"/>
  <c r="O76" i="39"/>
  <c r="O77" i="39" s="1"/>
  <c r="E84" i="39"/>
  <c r="C81" i="39"/>
  <c r="P80" i="39"/>
  <c r="P81" i="39" s="1"/>
  <c r="O80" i="39"/>
  <c r="O81" i="39" s="1"/>
  <c r="K42" i="39"/>
  <c r="K47" i="39" s="1"/>
  <c r="L42" i="39"/>
  <c r="L84" i="39"/>
  <c r="L40" i="39"/>
  <c r="P73" i="39"/>
  <c r="U47" i="40"/>
  <c r="U43" i="40"/>
  <c r="K40" i="39"/>
  <c r="O73" i="39"/>
  <c r="P82" i="39"/>
  <c r="P74" i="39"/>
  <c r="P75" i="39"/>
  <c r="O79" i="39"/>
  <c r="G40" i="39"/>
  <c r="O75" i="39"/>
  <c r="O74" i="39"/>
  <c r="O82" i="39"/>
  <c r="G42" i="39"/>
  <c r="G84" i="39"/>
  <c r="D77" i="39"/>
  <c r="P79" i="39"/>
  <c r="C84" i="39"/>
  <c r="D39" i="39"/>
  <c r="J58" i="41"/>
  <c r="J48" i="41"/>
  <c r="Z24" i="41"/>
  <c r="Y82" i="41"/>
  <c r="Y23" i="41"/>
  <c r="Y29" i="41" s="1"/>
  <c r="Y39" i="41" s="1"/>
  <c r="H58" i="41"/>
  <c r="H48" i="41"/>
  <c r="Z83" i="41"/>
  <c r="AA16" i="41"/>
  <c r="Z79" i="41"/>
  <c r="Z14" i="41"/>
  <c r="AD51" i="41"/>
  <c r="L59" i="41"/>
  <c r="L63" i="41"/>
  <c r="X8" i="41"/>
  <c r="X76" i="41"/>
  <c r="X77" i="41" s="1"/>
  <c r="AC37" i="41"/>
  <c r="AD32" i="41"/>
  <c r="AB27" i="41"/>
  <c r="AA26" i="41"/>
  <c r="E58" i="41"/>
  <c r="E48" i="41"/>
  <c r="M58" i="41"/>
  <c r="M48" i="41"/>
  <c r="W42" i="41"/>
  <c r="W84" i="41"/>
  <c r="AD15" i="41"/>
  <c r="K58" i="41"/>
  <c r="K48" i="41"/>
  <c r="Y10" i="41"/>
  <c r="Z11" i="41"/>
  <c r="AB22" i="41"/>
  <c r="V47" i="41"/>
  <c r="V43" i="41"/>
  <c r="AA52" i="41"/>
  <c r="Z56" i="41"/>
  <c r="G58" i="41"/>
  <c r="G48" i="41"/>
  <c r="Z72" i="41"/>
  <c r="Y73" i="41"/>
  <c r="N58" i="41"/>
  <c r="N48" i="41"/>
  <c r="O47" i="41"/>
  <c r="C58" i="41"/>
  <c r="C48" i="41"/>
  <c r="I58" i="41"/>
  <c r="I48" i="41"/>
  <c r="X80" i="41"/>
  <c r="X81" i="41" s="1"/>
  <c r="D59" i="41"/>
  <c r="D63" i="41"/>
  <c r="Y80" i="41"/>
  <c r="Y81" i="41" s="1"/>
  <c r="F58" i="41"/>
  <c r="F48" i="41"/>
  <c r="Y85" i="41"/>
  <c r="D63" i="42"/>
  <c r="D59" i="42"/>
  <c r="K51" i="2"/>
  <c r="M51" i="2" s="1"/>
  <c r="Z82" i="42"/>
  <c r="Z23" i="42"/>
  <c r="AA24" i="42"/>
  <c r="X76" i="42"/>
  <c r="X77" i="42" s="1"/>
  <c r="X8" i="42"/>
  <c r="M58" i="42"/>
  <c r="M48" i="42"/>
  <c r="I58" i="42"/>
  <c r="I48" i="42"/>
  <c r="Y85" i="42"/>
  <c r="AC52" i="42"/>
  <c r="AB56" i="42"/>
  <c r="AE32" i="42"/>
  <c r="AA33" i="42"/>
  <c r="Z37" i="42"/>
  <c r="J48" i="42"/>
  <c r="J58" i="42"/>
  <c r="C48" i="42"/>
  <c r="C58" i="42"/>
  <c r="O47" i="42"/>
  <c r="Z11" i="42"/>
  <c r="Y10" i="42"/>
  <c r="K22" i="2"/>
  <c r="H63" i="42"/>
  <c r="H59" i="42"/>
  <c r="E58" i="42"/>
  <c r="E48" i="42"/>
  <c r="K59" i="42"/>
  <c r="K63" i="42"/>
  <c r="N48" i="42"/>
  <c r="N58" i="42"/>
  <c r="Z14" i="42"/>
  <c r="Z79" i="42"/>
  <c r="AA15" i="42"/>
  <c r="F48" i="42"/>
  <c r="F58" i="42"/>
  <c r="Z83" i="42"/>
  <c r="V43" i="42"/>
  <c r="V47" i="42"/>
  <c r="W42" i="42"/>
  <c r="W84" i="42"/>
  <c r="W40" i="42"/>
  <c r="E63" i="40"/>
  <c r="E65" i="40" s="1"/>
  <c r="E59" i="40"/>
  <c r="I63" i="40"/>
  <c r="I65" i="40" s="1"/>
  <c r="I59" i="40"/>
  <c r="N48" i="40"/>
  <c r="N58" i="40"/>
  <c r="M63" i="40"/>
  <c r="M59" i="40"/>
  <c r="AB22" i="40"/>
  <c r="C48" i="40"/>
  <c r="O47" i="40"/>
  <c r="K63" i="40"/>
  <c r="K65" i="40" s="1"/>
  <c r="K59" i="40"/>
  <c r="AA85" i="40"/>
  <c r="W84" i="40"/>
  <c r="W42" i="40"/>
  <c r="J72" i="2"/>
  <c r="V47" i="40"/>
  <c r="V43" i="40"/>
  <c r="J26" i="2"/>
  <c r="Y76" i="40"/>
  <c r="Y77" i="40" s="1"/>
  <c r="G63" i="40"/>
  <c r="G65" i="40" s="1"/>
  <c r="G59" i="40"/>
  <c r="AD83" i="40"/>
  <c r="AC11" i="40"/>
  <c r="Y82" i="40"/>
  <c r="Z24" i="40"/>
  <c r="Y23" i="40"/>
  <c r="Y29" i="40" s="1"/>
  <c r="Y39" i="40" s="1"/>
  <c r="D58" i="40"/>
  <c r="D48" i="40"/>
  <c r="J63" i="40"/>
  <c r="J65" i="40" s="1"/>
  <c r="J59" i="40"/>
  <c r="F48" i="40"/>
  <c r="F58" i="40"/>
  <c r="Y79" i="40"/>
  <c r="Y14" i="40"/>
  <c r="Z15" i="40"/>
  <c r="AA12" i="40"/>
  <c r="Z10" i="40"/>
  <c r="H80" i="2"/>
  <c r="C29" i="43"/>
  <c r="C39" i="2"/>
  <c r="G80" i="2"/>
  <c r="F40" i="2"/>
  <c r="E14" i="43"/>
  <c r="F14" i="43" s="1"/>
  <c r="C80" i="43"/>
  <c r="G74" i="2"/>
  <c r="H74" i="2"/>
  <c r="H81" i="2"/>
  <c r="G81" i="2"/>
  <c r="H76" i="2"/>
  <c r="C77" i="2"/>
  <c r="G76" i="2"/>
  <c r="F42" i="2"/>
  <c r="F84" i="2"/>
  <c r="C84" i="2"/>
  <c r="H8" i="2"/>
  <c r="G8" i="2"/>
  <c r="E40" i="2"/>
  <c r="C8" i="43"/>
  <c r="F75" i="43"/>
  <c r="C76" i="43"/>
  <c r="E74" i="43"/>
  <c r="F74" i="43" s="1"/>
  <c r="E10" i="43"/>
  <c r="F10" i="43" s="1"/>
  <c r="E42" i="2"/>
  <c r="E84" i="2"/>
  <c r="G75" i="2"/>
  <c r="H75" i="2"/>
  <c r="K76" i="43" l="1"/>
  <c r="L76" i="43" s="1"/>
  <c r="H23" i="25"/>
  <c r="H42" i="25" s="1"/>
  <c r="U48" i="42"/>
  <c r="AA74" i="40"/>
  <c r="AA75" i="40"/>
  <c r="C40" i="39"/>
  <c r="R47" i="2"/>
  <c r="R58" i="2" s="1"/>
  <c r="R63" i="2" s="1"/>
  <c r="P40" i="2"/>
  <c r="T42" i="2"/>
  <c r="U42" i="2"/>
  <c r="E40" i="39"/>
  <c r="K65" i="42"/>
  <c r="K67" i="42" s="1"/>
  <c r="G65" i="42"/>
  <c r="H65" i="42"/>
  <c r="D65" i="42"/>
  <c r="D67" i="42" s="1"/>
  <c r="L65" i="42"/>
  <c r="L67" i="42" s="1"/>
  <c r="L68" i="42" s="1"/>
  <c r="O39" i="39"/>
  <c r="T91" i="2"/>
  <c r="S65" i="41"/>
  <c r="G39" i="2"/>
  <c r="H39" i="2"/>
  <c r="K67" i="40"/>
  <c r="K68" i="40" s="1"/>
  <c r="P39" i="39"/>
  <c r="J67" i="40"/>
  <c r="P42" i="39"/>
  <c r="T39" i="2"/>
  <c r="U39" i="2"/>
  <c r="C10" i="27"/>
  <c r="E11" i="27"/>
  <c r="F11" i="27" s="1"/>
  <c r="U63" i="42"/>
  <c r="G59" i="42"/>
  <c r="D65" i="41"/>
  <c r="D67" i="41" s="1"/>
  <c r="L65" i="41"/>
  <c r="L67" i="41" s="1"/>
  <c r="M67" i="40"/>
  <c r="I81" i="43"/>
  <c r="K81" i="43" s="1"/>
  <c r="L81" i="43" s="1"/>
  <c r="I39" i="43"/>
  <c r="K39" i="43" s="1"/>
  <c r="L39" i="43" s="1"/>
  <c r="U91" i="2"/>
  <c r="X84" i="40"/>
  <c r="Y80" i="40"/>
  <c r="Y81" i="40" s="1"/>
  <c r="K8" i="43"/>
  <c r="L8" i="43" s="1"/>
  <c r="X40" i="40"/>
  <c r="T84" i="2"/>
  <c r="S47" i="2"/>
  <c r="S58" i="2" s="1"/>
  <c r="S63" i="2" s="1"/>
  <c r="L63" i="40"/>
  <c r="O48" i="40"/>
  <c r="E41" i="25"/>
  <c r="F41" i="25" s="1"/>
  <c r="I41" i="25"/>
  <c r="J41" i="25" s="1"/>
  <c r="O48" i="41"/>
  <c r="O48" i="42"/>
  <c r="Z72" i="42"/>
  <c r="Y73" i="42"/>
  <c r="U63" i="41"/>
  <c r="U59" i="41"/>
  <c r="L59" i="42"/>
  <c r="AA27" i="42"/>
  <c r="Z26" i="42"/>
  <c r="Z29" i="42" s="1"/>
  <c r="Z39" i="42" s="1"/>
  <c r="Z73" i="40"/>
  <c r="AA71" i="40"/>
  <c r="AA54" i="40"/>
  <c r="Z56" i="40"/>
  <c r="AB32" i="40"/>
  <c r="AA37" i="40"/>
  <c r="H63" i="40"/>
  <c r="H65" i="40" s="1"/>
  <c r="H59" i="40"/>
  <c r="J59" i="43"/>
  <c r="J63" i="43"/>
  <c r="Q59" i="2"/>
  <c r="K62" i="27"/>
  <c r="K64" i="27" s="1"/>
  <c r="L58" i="27"/>
  <c r="L59" i="27" s="1"/>
  <c r="U81" i="2"/>
  <c r="T81" i="2"/>
  <c r="E43" i="39"/>
  <c r="E47" i="39"/>
  <c r="H43" i="39"/>
  <c r="H47" i="39"/>
  <c r="K43" i="39"/>
  <c r="M47" i="39"/>
  <c r="M43" i="39"/>
  <c r="I43" i="39"/>
  <c r="I47" i="39"/>
  <c r="L47" i="39"/>
  <c r="L43" i="39"/>
  <c r="U58" i="40"/>
  <c r="U48" i="40"/>
  <c r="C40" i="2"/>
  <c r="D42" i="39"/>
  <c r="O42" i="39" s="1"/>
  <c r="D40" i="39"/>
  <c r="C43" i="39"/>
  <c r="C47" i="39"/>
  <c r="G43" i="39"/>
  <c r="G47" i="39"/>
  <c r="K48" i="39"/>
  <c r="K58" i="39"/>
  <c r="N59" i="41"/>
  <c r="N63" i="41"/>
  <c r="N67" i="41" s="1"/>
  <c r="G59" i="41"/>
  <c r="G63" i="41"/>
  <c r="V58" i="41"/>
  <c r="V48" i="41"/>
  <c r="Y8" i="41"/>
  <c r="Y40" i="41" s="1"/>
  <c r="Y76" i="41"/>
  <c r="Y77" i="41" s="1"/>
  <c r="W47" i="41"/>
  <c r="W43" i="41"/>
  <c r="E59" i="41"/>
  <c r="E63" i="41"/>
  <c r="X42" i="41"/>
  <c r="X84" i="41"/>
  <c r="AE51" i="41"/>
  <c r="AA24" i="41"/>
  <c r="Z82" i="41"/>
  <c r="Z23" i="41"/>
  <c r="Z29" i="41" s="1"/>
  <c r="Z39" i="41" s="1"/>
  <c r="F63" i="41"/>
  <c r="F59" i="41"/>
  <c r="O58" i="41"/>
  <c r="C59" i="41"/>
  <c r="C63" i="41"/>
  <c r="C65" i="41" s="1"/>
  <c r="AC22" i="41"/>
  <c r="AB16" i="41"/>
  <c r="AA79" i="41"/>
  <c r="AA14" i="41"/>
  <c r="H59" i="41"/>
  <c r="H63" i="41"/>
  <c r="Z85" i="41"/>
  <c r="AA72" i="41"/>
  <c r="Z73" i="41"/>
  <c r="AB52" i="41"/>
  <c r="AA56" i="41"/>
  <c r="K59" i="41"/>
  <c r="K63" i="41"/>
  <c r="K67" i="41" s="1"/>
  <c r="AE15" i="41"/>
  <c r="M59" i="41"/>
  <c r="M63" i="41"/>
  <c r="AB26" i="41"/>
  <c r="AC27" i="41"/>
  <c r="J63" i="41"/>
  <c r="J67" i="41" s="1"/>
  <c r="J59" i="41"/>
  <c r="I63" i="41"/>
  <c r="I67" i="41" s="1"/>
  <c r="I59" i="41"/>
  <c r="AA11" i="41"/>
  <c r="Z10" i="41"/>
  <c r="X40" i="41"/>
  <c r="AE32" i="41"/>
  <c r="AD37" i="41"/>
  <c r="AA83" i="41"/>
  <c r="AA83" i="42"/>
  <c r="N63" i="42"/>
  <c r="N59" i="42"/>
  <c r="V58" i="42"/>
  <c r="V48" i="42"/>
  <c r="AA14" i="42"/>
  <c r="AA79" i="42"/>
  <c r="AB15" i="42"/>
  <c r="E59" i="42"/>
  <c r="E63" i="42"/>
  <c r="C59" i="42"/>
  <c r="O58" i="42"/>
  <c r="C63" i="42"/>
  <c r="C65" i="42" s="1"/>
  <c r="AF32" i="42"/>
  <c r="AG32" i="42" s="1"/>
  <c r="Z85" i="42"/>
  <c r="M59" i="42"/>
  <c r="M63" i="42"/>
  <c r="W43" i="42"/>
  <c r="W47" i="42"/>
  <c r="Y76" i="42"/>
  <c r="Y77" i="42" s="1"/>
  <c r="Y8" i="42"/>
  <c r="Y40" i="42" s="1"/>
  <c r="AB33" i="42"/>
  <c r="AA37" i="42"/>
  <c r="AD52" i="42"/>
  <c r="AC56" i="42"/>
  <c r="I63" i="42"/>
  <c r="I59" i="42"/>
  <c r="X42" i="42"/>
  <c r="X40" i="42"/>
  <c r="X84" i="42"/>
  <c r="F63" i="42"/>
  <c r="F59" i="42"/>
  <c r="Z80" i="42"/>
  <c r="Z81" i="42" s="1"/>
  <c r="AA11" i="42"/>
  <c r="Z10" i="42"/>
  <c r="J63" i="42"/>
  <c r="J59" i="42"/>
  <c r="AB24" i="42"/>
  <c r="AA23" i="42"/>
  <c r="AA82" i="42"/>
  <c r="P43" i="2"/>
  <c r="P47" i="2"/>
  <c r="Z76" i="40"/>
  <c r="Z77" i="40" s="1"/>
  <c r="AA15" i="40"/>
  <c r="Z14" i="40"/>
  <c r="Z79" i="40"/>
  <c r="D63" i="40"/>
  <c r="D65" i="40" s="1"/>
  <c r="D59" i="40"/>
  <c r="AE83" i="40"/>
  <c r="V58" i="40"/>
  <c r="V48" i="40"/>
  <c r="AC22" i="40"/>
  <c r="N59" i="40"/>
  <c r="N63" i="40"/>
  <c r="N65" i="40" s="1"/>
  <c r="W47" i="40"/>
  <c r="W43" i="40"/>
  <c r="C63" i="40"/>
  <c r="C65" i="40" s="1"/>
  <c r="C59" i="40"/>
  <c r="O58" i="40"/>
  <c r="C39" i="43"/>
  <c r="AA24" i="40"/>
  <c r="Z23" i="40"/>
  <c r="Z29" i="40" s="1"/>
  <c r="Z39" i="40" s="1"/>
  <c r="Z82" i="40"/>
  <c r="AD11" i="40"/>
  <c r="Y8" i="40"/>
  <c r="Y40" i="40" s="1"/>
  <c r="AB85" i="40"/>
  <c r="AB12" i="40"/>
  <c r="AA10" i="40"/>
  <c r="F63" i="40"/>
  <c r="F65" i="40" s="1"/>
  <c r="F59" i="40"/>
  <c r="X47" i="40"/>
  <c r="X43" i="40"/>
  <c r="C42" i="2"/>
  <c r="C81" i="43"/>
  <c r="H84" i="2"/>
  <c r="G84" i="2"/>
  <c r="F43" i="2"/>
  <c r="F47" i="2"/>
  <c r="E43" i="2"/>
  <c r="E47" i="2"/>
  <c r="E8" i="43"/>
  <c r="F8" i="43" s="1"/>
  <c r="C84" i="43"/>
  <c r="E84" i="43" s="1"/>
  <c r="F84" i="43" s="1"/>
  <c r="G77" i="2"/>
  <c r="H77" i="2"/>
  <c r="C77" i="43"/>
  <c r="E77" i="43" s="1"/>
  <c r="F77" i="43" s="1"/>
  <c r="E76" i="43"/>
  <c r="F76" i="43" s="1"/>
  <c r="S67" i="41" l="1"/>
  <c r="S68" i="41" s="1"/>
  <c r="M65" i="39"/>
  <c r="AB74" i="40"/>
  <c r="AB75" i="40"/>
  <c r="R48" i="2"/>
  <c r="R59" i="2"/>
  <c r="H17" i="47"/>
  <c r="K68" i="42"/>
  <c r="H18" i="47"/>
  <c r="H65" i="39"/>
  <c r="H67" i="42"/>
  <c r="E67" i="40"/>
  <c r="K65" i="39"/>
  <c r="J67" i="43"/>
  <c r="J68" i="43" s="1"/>
  <c r="Q63" i="2"/>
  <c r="G67" i="40"/>
  <c r="T47" i="2"/>
  <c r="U47" i="2"/>
  <c r="G91" i="2"/>
  <c r="G42" i="2"/>
  <c r="H42" i="2"/>
  <c r="D68" i="42"/>
  <c r="H10" i="47"/>
  <c r="M65" i="42"/>
  <c r="M67" i="42" s="1"/>
  <c r="M68" i="42" s="1"/>
  <c r="U65" i="42"/>
  <c r="V65" i="42" s="1"/>
  <c r="G67" i="42"/>
  <c r="J65" i="42"/>
  <c r="J67" i="42" s="1"/>
  <c r="I65" i="42"/>
  <c r="L65" i="39" s="1"/>
  <c r="E65" i="42"/>
  <c r="N65" i="42"/>
  <c r="N67" i="42" s="1"/>
  <c r="N68" i="42" s="1"/>
  <c r="F65" i="42"/>
  <c r="E65" i="2" s="1"/>
  <c r="J68" i="40"/>
  <c r="C16" i="47"/>
  <c r="Q65" i="41"/>
  <c r="Q67" i="41" s="1"/>
  <c r="Q68" i="41" s="1"/>
  <c r="U65" i="40"/>
  <c r="V65" i="40" s="1"/>
  <c r="W65" i="40" s="1"/>
  <c r="P47" i="39"/>
  <c r="L67" i="40"/>
  <c r="C17" i="47"/>
  <c r="D67" i="40"/>
  <c r="D68" i="40" s="1"/>
  <c r="R65" i="41"/>
  <c r="R67" i="41" s="1"/>
  <c r="R68" i="41" s="1"/>
  <c r="N67" i="40"/>
  <c r="C34" i="27"/>
  <c r="E34" i="27" s="1"/>
  <c r="F34" i="27" s="1"/>
  <c r="E10" i="27"/>
  <c r="F10" i="27" s="1"/>
  <c r="L68" i="41"/>
  <c r="M18" i="47"/>
  <c r="M10" i="47"/>
  <c r="D68" i="41"/>
  <c r="F65" i="41"/>
  <c r="F65" i="2" s="1"/>
  <c r="H65" i="41"/>
  <c r="E65" i="41"/>
  <c r="E67" i="41" s="1"/>
  <c r="E68" i="41" s="1"/>
  <c r="M65" i="41"/>
  <c r="M67" i="41" s="1"/>
  <c r="U65" i="41"/>
  <c r="V65" i="41" s="1"/>
  <c r="W65" i="41" s="1"/>
  <c r="G65" i="41"/>
  <c r="E65" i="39" s="1"/>
  <c r="M68" i="40"/>
  <c r="C19" i="47"/>
  <c r="I67" i="40"/>
  <c r="I42" i="43"/>
  <c r="C65" i="39"/>
  <c r="I40" i="43"/>
  <c r="C47" i="2"/>
  <c r="H91" i="2"/>
  <c r="S59" i="2"/>
  <c r="S48" i="2"/>
  <c r="Z80" i="41"/>
  <c r="Z81" i="41" s="1"/>
  <c r="Z80" i="40"/>
  <c r="Z81" i="40" s="1"/>
  <c r="O59" i="40"/>
  <c r="O59" i="41"/>
  <c r="Z73" i="42"/>
  <c r="AA72" i="42"/>
  <c r="O59" i="42"/>
  <c r="J68" i="41"/>
  <c r="M16" i="47"/>
  <c r="K68" i="41"/>
  <c r="M17" i="47"/>
  <c r="I68" i="41"/>
  <c r="M15" i="47"/>
  <c r="N68" i="41"/>
  <c r="M20" i="47"/>
  <c r="AB27" i="42"/>
  <c r="AA26" i="42"/>
  <c r="AA29" i="42" s="1"/>
  <c r="AA39" i="42" s="1"/>
  <c r="AB71" i="40"/>
  <c r="AA73" i="40"/>
  <c r="AB54" i="40"/>
  <c r="AA56" i="40"/>
  <c r="AB37" i="40"/>
  <c r="AC32" i="40"/>
  <c r="M58" i="27"/>
  <c r="M59" i="27" s="1"/>
  <c r="N58" i="27" s="1"/>
  <c r="N59" i="27" s="1"/>
  <c r="L62" i="27"/>
  <c r="L64" i="27" s="1"/>
  <c r="L48" i="39"/>
  <c r="L58" i="39"/>
  <c r="M48" i="39"/>
  <c r="M58" i="39"/>
  <c r="H58" i="39"/>
  <c r="H48" i="39"/>
  <c r="I58" i="39"/>
  <c r="I48" i="39"/>
  <c r="E48" i="39"/>
  <c r="E58" i="39"/>
  <c r="U59" i="40"/>
  <c r="U63" i="40"/>
  <c r="C58" i="39"/>
  <c r="C48" i="39"/>
  <c r="D47" i="39"/>
  <c r="O47" i="39" s="1"/>
  <c r="D43" i="39"/>
  <c r="G58" i="39"/>
  <c r="G48" i="39"/>
  <c r="K59" i="39"/>
  <c r="K63" i="39"/>
  <c r="AF32" i="41"/>
  <c r="AG32" i="41" s="1"/>
  <c r="AE37" i="41"/>
  <c r="AF15" i="41"/>
  <c r="AG15" i="41" s="1"/>
  <c r="AD22" i="41"/>
  <c r="AA23" i="41"/>
  <c r="AA29" i="41" s="1"/>
  <c r="AA39" i="41" s="1"/>
  <c r="AA82" i="41"/>
  <c r="AB24" i="41"/>
  <c r="X43" i="41"/>
  <c r="X47" i="41"/>
  <c r="W58" i="41"/>
  <c r="W48" i="41"/>
  <c r="Y42" i="41"/>
  <c r="Y84" i="41"/>
  <c r="AB83" i="41"/>
  <c r="AC52" i="41"/>
  <c r="AB56" i="41"/>
  <c r="AA85" i="41"/>
  <c r="C67" i="41"/>
  <c r="O63" i="41"/>
  <c r="AF51" i="41"/>
  <c r="AG51" i="41" s="1"/>
  <c r="Z8" i="41"/>
  <c r="Z40" i="41" s="1"/>
  <c r="Z76" i="41"/>
  <c r="Z77" i="41" s="1"/>
  <c r="AC16" i="41"/>
  <c r="AB14" i="41"/>
  <c r="AB79" i="41"/>
  <c r="V59" i="41"/>
  <c r="V63" i="41"/>
  <c r="AA10" i="41"/>
  <c r="AB11" i="41"/>
  <c r="AC26" i="41"/>
  <c r="AD27" i="41"/>
  <c r="AB72" i="41"/>
  <c r="AA73" i="41"/>
  <c r="AC33" i="42"/>
  <c r="AB37" i="42"/>
  <c r="Z8" i="42"/>
  <c r="Z76" i="42"/>
  <c r="Z77" i="42" s="1"/>
  <c r="X47" i="42"/>
  <c r="X43" i="42"/>
  <c r="AE52" i="42"/>
  <c r="AD56" i="42"/>
  <c r="O63" i="42"/>
  <c r="C67" i="42"/>
  <c r="AB23" i="42"/>
  <c r="AC24" i="42"/>
  <c r="AB82" i="42"/>
  <c r="AB11" i="42"/>
  <c r="AA10" i="42"/>
  <c r="AA85" i="42"/>
  <c r="AC15" i="42"/>
  <c r="AB14" i="42"/>
  <c r="AB79" i="42"/>
  <c r="V63" i="42"/>
  <c r="V59" i="42"/>
  <c r="Y42" i="42"/>
  <c r="Y84" i="42"/>
  <c r="W48" i="42"/>
  <c r="W58" i="42"/>
  <c r="K32" i="2"/>
  <c r="AA80" i="42"/>
  <c r="AA81" i="42" s="1"/>
  <c r="AB83" i="42"/>
  <c r="P58" i="2"/>
  <c r="P48" i="2"/>
  <c r="C40" i="43"/>
  <c r="V59" i="40"/>
  <c r="V63" i="40"/>
  <c r="X58" i="40"/>
  <c r="X48" i="40"/>
  <c r="AE11" i="40"/>
  <c r="AB24" i="40"/>
  <c r="AA82" i="40"/>
  <c r="AA23" i="40"/>
  <c r="AA29" i="40" s="1"/>
  <c r="AA39" i="40" s="1"/>
  <c r="W48" i="40"/>
  <c r="W58" i="40"/>
  <c r="C42" i="43"/>
  <c r="AA76" i="40"/>
  <c r="AA77" i="40" s="1"/>
  <c r="AC85" i="40"/>
  <c r="J71" i="2"/>
  <c r="AF83" i="40"/>
  <c r="AG83" i="40" s="1"/>
  <c r="Z8" i="40"/>
  <c r="Y84" i="40"/>
  <c r="Y42" i="40"/>
  <c r="AD22" i="40"/>
  <c r="AC12" i="40"/>
  <c r="AB10" i="40"/>
  <c r="C67" i="40"/>
  <c r="C9" i="47" s="1"/>
  <c r="O63" i="40"/>
  <c r="AA14" i="40"/>
  <c r="AA79" i="40"/>
  <c r="AB15" i="40"/>
  <c r="C43" i="2"/>
  <c r="E58" i="2"/>
  <c r="E48" i="2"/>
  <c r="F58" i="2"/>
  <c r="F48" i="2"/>
  <c r="I65" i="39" l="1"/>
  <c r="D65" i="39"/>
  <c r="AC74" i="40"/>
  <c r="AC75" i="40"/>
  <c r="C65" i="2"/>
  <c r="G65" i="2" s="1"/>
  <c r="H16" i="47"/>
  <c r="J68" i="42"/>
  <c r="U67" i="42"/>
  <c r="U68" i="42" s="1"/>
  <c r="O65" i="42"/>
  <c r="R65" i="2" s="1"/>
  <c r="R67" i="2" s="1"/>
  <c r="R68" i="2" s="1"/>
  <c r="H68" i="42"/>
  <c r="H14" i="47"/>
  <c r="C11" i="47"/>
  <c r="E68" i="40"/>
  <c r="K67" i="39"/>
  <c r="K68" i="39" s="1"/>
  <c r="U67" i="40"/>
  <c r="U68" i="40" s="1"/>
  <c r="F67" i="40"/>
  <c r="X65" i="40"/>
  <c r="Y65" i="40" s="1"/>
  <c r="Q67" i="2"/>
  <c r="Q68" i="2" s="1"/>
  <c r="G47" i="2"/>
  <c r="H47" i="2"/>
  <c r="U58" i="2"/>
  <c r="T58" i="2"/>
  <c r="K42" i="43"/>
  <c r="L42" i="43" s="1"/>
  <c r="I47" i="43"/>
  <c r="K47" i="43" s="1"/>
  <c r="C13" i="47"/>
  <c r="G68" i="40"/>
  <c r="G68" i="42"/>
  <c r="H13" i="47"/>
  <c r="H19" i="47"/>
  <c r="H20" i="47"/>
  <c r="I67" i="42"/>
  <c r="W65" i="42"/>
  <c r="X65" i="42" s="1"/>
  <c r="V67" i="42"/>
  <c r="V68" i="42" s="1"/>
  <c r="F67" i="42"/>
  <c r="E67" i="42"/>
  <c r="C20" i="47"/>
  <c r="N68" i="40"/>
  <c r="L68" i="40"/>
  <c r="C18" i="47"/>
  <c r="C10" i="47"/>
  <c r="V67" i="40"/>
  <c r="V68" i="40" s="1"/>
  <c r="P58" i="39"/>
  <c r="V67" i="41"/>
  <c r="M68" i="41"/>
  <c r="M19" i="47"/>
  <c r="G67" i="41"/>
  <c r="M11" i="47"/>
  <c r="O65" i="41"/>
  <c r="H67" i="41"/>
  <c r="X65" i="41"/>
  <c r="U67" i="41"/>
  <c r="U68" i="41" s="1"/>
  <c r="F67" i="41"/>
  <c r="I68" i="40"/>
  <c r="C15" i="47"/>
  <c r="I43" i="43"/>
  <c r="O65" i="40"/>
  <c r="G65" i="39"/>
  <c r="H67" i="40"/>
  <c r="C48" i="2"/>
  <c r="C58" i="2"/>
  <c r="AA80" i="41"/>
  <c r="AA81" i="41" s="1"/>
  <c r="AA8" i="40"/>
  <c r="AA40" i="40" s="1"/>
  <c r="AA80" i="40"/>
  <c r="AA81" i="40" s="1"/>
  <c r="V68" i="41"/>
  <c r="M9" i="47"/>
  <c r="N9" i="47" s="1"/>
  <c r="O9" i="47" s="1"/>
  <c r="AB80" i="42"/>
  <c r="AB81" i="42" s="1"/>
  <c r="H9" i="47"/>
  <c r="AA73" i="42"/>
  <c r="AB72" i="42"/>
  <c r="AC27" i="42"/>
  <c r="AB26" i="42"/>
  <c r="AB29" i="42" s="1"/>
  <c r="AB39" i="42" s="1"/>
  <c r="AC71" i="40"/>
  <c r="AB73" i="40"/>
  <c r="AC54" i="40"/>
  <c r="AB56" i="40"/>
  <c r="AD32" i="40"/>
  <c r="AC37" i="40"/>
  <c r="M62" i="27"/>
  <c r="M64" i="27" s="1"/>
  <c r="M63" i="39"/>
  <c r="M67" i="39" s="1"/>
  <c r="M68" i="39" s="1"/>
  <c r="M59" i="39"/>
  <c r="I63" i="39"/>
  <c r="I67" i="39" s="1"/>
  <c r="I68" i="39" s="1"/>
  <c r="I59" i="39"/>
  <c r="E59" i="39"/>
  <c r="E63" i="39"/>
  <c r="E67" i="39" s="1"/>
  <c r="E68" i="39" s="1"/>
  <c r="L63" i="39"/>
  <c r="L67" i="39" s="1"/>
  <c r="L68" i="39" s="1"/>
  <c r="L59" i="39"/>
  <c r="H59" i="39"/>
  <c r="H63" i="39"/>
  <c r="H67" i="39" s="1"/>
  <c r="H68" i="39" s="1"/>
  <c r="D58" i="39"/>
  <c r="O58" i="39" s="1"/>
  <c r="D48" i="39"/>
  <c r="C43" i="43"/>
  <c r="G59" i="39"/>
  <c r="G63" i="39"/>
  <c r="C59" i="39"/>
  <c r="C63" i="39"/>
  <c r="AC11" i="41"/>
  <c r="AB10" i="41"/>
  <c r="AB85" i="41"/>
  <c r="AC24" i="41"/>
  <c r="AB82" i="41"/>
  <c r="AB23" i="41"/>
  <c r="AB29" i="41" s="1"/>
  <c r="AB39" i="41" s="1"/>
  <c r="AE22" i="41"/>
  <c r="L15" i="2"/>
  <c r="AC72" i="41"/>
  <c r="AB73" i="41"/>
  <c r="AA8" i="41"/>
  <c r="AA76" i="41"/>
  <c r="AA77" i="41" s="1"/>
  <c r="L51" i="2"/>
  <c r="N51" i="2" s="1"/>
  <c r="AC83" i="41"/>
  <c r="W63" i="41"/>
  <c r="W67" i="41" s="1"/>
  <c r="W59" i="41"/>
  <c r="AE27" i="41"/>
  <c r="AD26" i="41"/>
  <c r="X48" i="41"/>
  <c r="X58" i="41"/>
  <c r="AF37" i="41"/>
  <c r="AG37" i="41" s="1"/>
  <c r="L32" i="2"/>
  <c r="L37" i="2" s="1"/>
  <c r="AD16" i="41"/>
  <c r="AC79" i="41"/>
  <c r="AC14" i="41"/>
  <c r="Z42" i="41"/>
  <c r="Z84" i="41"/>
  <c r="C68" i="41"/>
  <c r="AD52" i="41"/>
  <c r="AC56" i="41"/>
  <c r="Y47" i="41"/>
  <c r="Y43" i="41"/>
  <c r="AB85" i="42"/>
  <c r="AC82" i="42"/>
  <c r="AD24" i="42"/>
  <c r="AC23" i="42"/>
  <c r="AD33" i="42"/>
  <c r="AC37" i="42"/>
  <c r="X58" i="42"/>
  <c r="X48" i="42"/>
  <c r="AC83" i="42"/>
  <c r="Y47" i="42"/>
  <c r="Y43" i="42"/>
  <c r="AA76" i="42"/>
  <c r="AA77" i="42" s="1"/>
  <c r="AA8" i="42"/>
  <c r="AF52" i="42"/>
  <c r="AG52" i="42" s="1"/>
  <c r="AE56" i="42"/>
  <c r="Z42" i="42"/>
  <c r="Z84" i="42"/>
  <c r="Z40" i="42"/>
  <c r="W59" i="42"/>
  <c r="W63" i="42"/>
  <c r="AC79" i="42"/>
  <c r="AC14" i="42"/>
  <c r="AD15" i="42"/>
  <c r="AC11" i="42"/>
  <c r="AB10" i="42"/>
  <c r="C68" i="42"/>
  <c r="P63" i="2"/>
  <c r="P59" i="2"/>
  <c r="C68" i="40"/>
  <c r="Z42" i="40"/>
  <c r="Z84" i="40"/>
  <c r="N71" i="2"/>
  <c r="M71" i="2"/>
  <c r="J73" i="2"/>
  <c r="W59" i="40"/>
  <c r="W63" i="40"/>
  <c r="W67" i="40" s="1"/>
  <c r="W68" i="40" s="1"/>
  <c r="AC24" i="40"/>
  <c r="AB23" i="40"/>
  <c r="AB29" i="40" s="1"/>
  <c r="AB39" i="40" s="1"/>
  <c r="AB82" i="40"/>
  <c r="C47" i="43"/>
  <c r="AE22" i="40"/>
  <c r="Y47" i="40"/>
  <c r="Y43" i="40"/>
  <c r="AB14" i="40"/>
  <c r="AC15" i="40"/>
  <c r="AB79" i="40"/>
  <c r="AD12" i="40"/>
  <c r="AC10" i="40"/>
  <c r="X63" i="40"/>
  <c r="X59" i="40"/>
  <c r="AB76" i="40"/>
  <c r="AB77" i="40" s="1"/>
  <c r="J83" i="2"/>
  <c r="AD85" i="40"/>
  <c r="AF11" i="40"/>
  <c r="Z40" i="40"/>
  <c r="F59" i="2"/>
  <c r="F63" i="2"/>
  <c r="F67" i="2" s="1"/>
  <c r="E59" i="2"/>
  <c r="E63" i="2"/>
  <c r="E67" i="2" s="1"/>
  <c r="E68" i="2" s="1"/>
  <c r="O67" i="40" l="1"/>
  <c r="O68" i="40" s="1"/>
  <c r="O65" i="39"/>
  <c r="AD74" i="40"/>
  <c r="AD75" i="40"/>
  <c r="AG11" i="40"/>
  <c r="H65" i="2"/>
  <c r="C65" i="43"/>
  <c r="I58" i="43"/>
  <c r="I63" i="43" s="1"/>
  <c r="K63" i="43" s="1"/>
  <c r="Z65" i="40"/>
  <c r="AA65" i="40" s="1"/>
  <c r="AB65" i="40" s="1"/>
  <c r="AC65" i="40" s="1"/>
  <c r="AD65" i="40" s="1"/>
  <c r="AE65" i="40" s="1"/>
  <c r="AF65" i="40" s="1"/>
  <c r="AG65" i="40" s="1"/>
  <c r="X67" i="40"/>
  <c r="X68" i="40" s="1"/>
  <c r="C12" i="47"/>
  <c r="F68" i="40"/>
  <c r="H58" i="2"/>
  <c r="G58" i="2"/>
  <c r="U63" i="2"/>
  <c r="T63" i="2"/>
  <c r="I48" i="43"/>
  <c r="L47" i="43"/>
  <c r="Y65" i="42"/>
  <c r="Z65" i="42" s="1"/>
  <c r="AA65" i="42" s="1"/>
  <c r="AB65" i="42" s="1"/>
  <c r="AC65" i="42" s="1"/>
  <c r="AD65" i="42" s="1"/>
  <c r="AE65" i="42" s="1"/>
  <c r="AF65" i="42" s="1"/>
  <c r="AG65" i="42" s="1"/>
  <c r="W67" i="42"/>
  <c r="W68" i="42" s="1"/>
  <c r="H11" i="47"/>
  <c r="E68" i="42"/>
  <c r="I68" i="42"/>
  <c r="H15" i="47"/>
  <c r="O67" i="42"/>
  <c r="O68" i="42" s="1"/>
  <c r="H12" i="47"/>
  <c r="F68" i="42"/>
  <c r="P65" i="39"/>
  <c r="P63" i="39"/>
  <c r="C59" i="2"/>
  <c r="O67" i="41"/>
  <c r="Y65" i="41"/>
  <c r="Z65" i="41" s="1"/>
  <c r="AA65" i="41" s="1"/>
  <c r="AB65" i="41" s="1"/>
  <c r="AC65" i="41" s="1"/>
  <c r="AD65" i="41" s="1"/>
  <c r="AE65" i="41" s="1"/>
  <c r="AF65" i="41" s="1"/>
  <c r="AG65" i="41" s="1"/>
  <c r="L65" i="2"/>
  <c r="G68" i="41"/>
  <c r="M13" i="47"/>
  <c r="H68" i="41"/>
  <c r="M14" i="47"/>
  <c r="F68" i="41"/>
  <c r="M12" i="47"/>
  <c r="S65" i="2"/>
  <c r="S67" i="2" s="1"/>
  <c r="S68" i="2" s="1"/>
  <c r="G67" i="39"/>
  <c r="G68" i="39" s="1"/>
  <c r="P65" i="2"/>
  <c r="C14" i="47"/>
  <c r="H68" i="40"/>
  <c r="C63" i="2"/>
  <c r="AA84" i="40"/>
  <c r="AA42" i="40"/>
  <c r="AA47" i="40" s="1"/>
  <c r="AB80" i="40"/>
  <c r="AB81" i="40" s="1"/>
  <c r="L10" i="47"/>
  <c r="N10" i="47" s="1"/>
  <c r="L11" i="47" s="1"/>
  <c r="U88" i="41"/>
  <c r="C88" i="41"/>
  <c r="W68" i="41"/>
  <c r="O68" i="41"/>
  <c r="AC72" i="42"/>
  <c r="AB73" i="42"/>
  <c r="F68" i="2"/>
  <c r="AB80" i="41"/>
  <c r="AB81" i="41" s="1"/>
  <c r="AD27" i="42"/>
  <c r="AC26" i="42"/>
  <c r="AC29" i="42" s="1"/>
  <c r="AC39" i="42" s="1"/>
  <c r="AC80" i="42"/>
  <c r="AC81" i="42" s="1"/>
  <c r="AD71" i="40"/>
  <c r="AC73" i="40"/>
  <c r="AD54" i="40"/>
  <c r="AC56" i="40"/>
  <c r="AD37" i="40"/>
  <c r="AE32" i="40"/>
  <c r="O58" i="27"/>
  <c r="O59" i="27" s="1"/>
  <c r="N62" i="27"/>
  <c r="N64" i="27" s="1"/>
  <c r="C67" i="39"/>
  <c r="D59" i="39"/>
  <c r="D63" i="39"/>
  <c r="O63" i="39" s="1"/>
  <c r="AA42" i="41"/>
  <c r="AA84" i="41"/>
  <c r="AC85" i="41"/>
  <c r="Y58" i="41"/>
  <c r="Y48" i="41"/>
  <c r="AA40" i="41"/>
  <c r="AB8" i="41"/>
  <c r="AB76" i="41"/>
  <c r="AB77" i="41" s="1"/>
  <c r="AE16" i="41"/>
  <c r="AD14" i="41"/>
  <c r="AD79" i="41"/>
  <c r="X63" i="41"/>
  <c r="X67" i="41" s="1"/>
  <c r="X59" i="41"/>
  <c r="AF27" i="41"/>
  <c r="AG27" i="41" s="1"/>
  <c r="AE26" i="41"/>
  <c r="AD83" i="41"/>
  <c r="AC73" i="41"/>
  <c r="AD72" i="41"/>
  <c r="AC82" i="41"/>
  <c r="AC23" i="41"/>
  <c r="AC29" i="41" s="1"/>
  <c r="AC39" i="41" s="1"/>
  <c r="AD24" i="41"/>
  <c r="AC10" i="41"/>
  <c r="AD11" i="41"/>
  <c r="AE52" i="41"/>
  <c r="AD56" i="41"/>
  <c r="Z43" i="41"/>
  <c r="Z47" i="41"/>
  <c r="AF22" i="41"/>
  <c r="AG22" i="41" s="1"/>
  <c r="AD11" i="42"/>
  <c r="AC10" i="42"/>
  <c r="Z43" i="42"/>
  <c r="Z47" i="42"/>
  <c r="AA42" i="42"/>
  <c r="AA40" i="42"/>
  <c r="AA84" i="42"/>
  <c r="AB76" i="42"/>
  <c r="AB77" i="42" s="1"/>
  <c r="AB8" i="42"/>
  <c r="AB40" i="42" s="1"/>
  <c r="K27" i="2"/>
  <c r="M27" i="2" s="1"/>
  <c r="Y58" i="42"/>
  <c r="Y48" i="42"/>
  <c r="X63" i="42"/>
  <c r="X67" i="42" s="1"/>
  <c r="X59" i="42"/>
  <c r="K72" i="2"/>
  <c r="K52" i="2"/>
  <c r="M52" i="2" s="1"/>
  <c r="AF56" i="42"/>
  <c r="AG56" i="42" s="1"/>
  <c r="AD83" i="42"/>
  <c r="AC85" i="42"/>
  <c r="AE15" i="42"/>
  <c r="AD14" i="42"/>
  <c r="AD79" i="42"/>
  <c r="AE33" i="42"/>
  <c r="AD37" i="42"/>
  <c r="AE24" i="42"/>
  <c r="AD82" i="42"/>
  <c r="AD23" i="42"/>
  <c r="C48" i="43"/>
  <c r="AB8" i="40"/>
  <c r="AB40" i="40" s="1"/>
  <c r="Z47" i="40"/>
  <c r="Z43" i="40"/>
  <c r="C58" i="43"/>
  <c r="J11" i="2"/>
  <c r="Y58" i="40"/>
  <c r="Y48" i="40"/>
  <c r="AC82" i="40"/>
  <c r="AD24" i="40"/>
  <c r="AC23" i="40"/>
  <c r="AC29" i="40" s="1"/>
  <c r="AC39" i="40" s="1"/>
  <c r="AC76" i="40"/>
  <c r="AC77" i="40" s="1"/>
  <c r="AF22" i="40"/>
  <c r="AG22" i="40" s="1"/>
  <c r="AE12" i="40"/>
  <c r="AD10" i="40"/>
  <c r="AG86" i="40"/>
  <c r="AE85" i="40"/>
  <c r="AC79" i="40"/>
  <c r="AD15" i="40"/>
  <c r="AC14" i="40"/>
  <c r="K65" i="2" l="1"/>
  <c r="J65" i="2"/>
  <c r="N65" i="2" s="1"/>
  <c r="AE75" i="40"/>
  <c r="AE74" i="40"/>
  <c r="K58" i="43"/>
  <c r="L58" i="43" s="1"/>
  <c r="I59" i="43"/>
  <c r="L63" i="43"/>
  <c r="H63" i="2"/>
  <c r="G63" i="2"/>
  <c r="T65" i="2"/>
  <c r="U65" i="2"/>
  <c r="P67" i="39"/>
  <c r="P67" i="2"/>
  <c r="P68" i="2" s="1"/>
  <c r="C63" i="43"/>
  <c r="I65" i="43"/>
  <c r="C67" i="2"/>
  <c r="AC80" i="40"/>
  <c r="AC81" i="40" s="1"/>
  <c r="AA43" i="40"/>
  <c r="AD80" i="42"/>
  <c r="AD81" i="42" s="1"/>
  <c r="X68" i="41"/>
  <c r="X68" i="42"/>
  <c r="AC73" i="42"/>
  <c r="AD72" i="42"/>
  <c r="O10" i="47"/>
  <c r="N11" i="47"/>
  <c r="L12" i="47" s="1"/>
  <c r="AE27" i="42"/>
  <c r="AD26" i="42"/>
  <c r="AD29" i="42" s="1"/>
  <c r="AD39" i="42" s="1"/>
  <c r="AE71" i="40"/>
  <c r="AD73" i="40"/>
  <c r="AE54" i="40"/>
  <c r="AD56" i="40"/>
  <c r="AE37" i="40"/>
  <c r="AF32" i="40"/>
  <c r="J32" i="2" s="1"/>
  <c r="N32" i="2" s="1"/>
  <c r="O62" i="27"/>
  <c r="O64" i="27" s="1"/>
  <c r="P58" i="27"/>
  <c r="C68" i="39"/>
  <c r="D67" i="39"/>
  <c r="O67" i="39" s="1"/>
  <c r="L22" i="2"/>
  <c r="AE24" i="41"/>
  <c r="AD82" i="41"/>
  <c r="AD23" i="41"/>
  <c r="AD29" i="41" s="1"/>
  <c r="AD39" i="41" s="1"/>
  <c r="AF26" i="41"/>
  <c r="L27" i="2"/>
  <c r="N27" i="2" s="1"/>
  <c r="Y63" i="41"/>
  <c r="Y67" i="41" s="1"/>
  <c r="Y59" i="41"/>
  <c r="AF52" i="41"/>
  <c r="AG52" i="41" s="1"/>
  <c r="AE56" i="41"/>
  <c r="AE83" i="41"/>
  <c r="AF16" i="41"/>
  <c r="AG16" i="41" s="1"/>
  <c r="AE14" i="41"/>
  <c r="AE79" i="41"/>
  <c r="AB42" i="41"/>
  <c r="AB84" i="41"/>
  <c r="AA47" i="41"/>
  <c r="AA43" i="41"/>
  <c r="Z58" i="41"/>
  <c r="Z48" i="41"/>
  <c r="AE11" i="41"/>
  <c r="AD10" i="41"/>
  <c r="AD85" i="41"/>
  <c r="AC80" i="41"/>
  <c r="AC81" i="41" s="1"/>
  <c r="AC8" i="41"/>
  <c r="AC76" i="41"/>
  <c r="AC77" i="41" s="1"/>
  <c r="AE72" i="41"/>
  <c r="AD73" i="41"/>
  <c r="AB40" i="41"/>
  <c r="Z58" i="42"/>
  <c r="Z48" i="42"/>
  <c r="AF33" i="42"/>
  <c r="AG33" i="42" s="1"/>
  <c r="AE37" i="42"/>
  <c r="AE14" i="42"/>
  <c r="AE79" i="42"/>
  <c r="AF15" i="42"/>
  <c r="AG15" i="42" s="1"/>
  <c r="AE83" i="42"/>
  <c r="K73" i="2"/>
  <c r="M73" i="2" s="1"/>
  <c r="M72" i="2"/>
  <c r="K56" i="2"/>
  <c r="M56" i="2" s="1"/>
  <c r="AD85" i="42"/>
  <c r="Y63" i="42"/>
  <c r="Y67" i="42" s="1"/>
  <c r="Y59" i="42"/>
  <c r="AB42" i="42"/>
  <c r="AB84" i="42"/>
  <c r="AC76" i="42"/>
  <c r="AC77" i="42" s="1"/>
  <c r="AC8" i="42"/>
  <c r="AF24" i="42"/>
  <c r="AG24" i="42" s="1"/>
  <c r="AE23" i="42"/>
  <c r="AE82" i="42"/>
  <c r="K26" i="2"/>
  <c r="M26" i="2" s="1"/>
  <c r="AA43" i="42"/>
  <c r="AA47" i="42"/>
  <c r="AE11" i="42"/>
  <c r="AD10" i="42"/>
  <c r="C59" i="43"/>
  <c r="Z58" i="40"/>
  <c r="Z48" i="40"/>
  <c r="AE15" i="40"/>
  <c r="AD14" i="40"/>
  <c r="AD79" i="40"/>
  <c r="AD76" i="40"/>
  <c r="AD77" i="40" s="1"/>
  <c r="Y59" i="40"/>
  <c r="Y63" i="40"/>
  <c r="Y67" i="40" s="1"/>
  <c r="Y68" i="40" s="1"/>
  <c r="J22" i="2"/>
  <c r="AA48" i="40"/>
  <c r="AA58" i="40"/>
  <c r="AB42" i="40"/>
  <c r="AB84" i="40"/>
  <c r="AF85" i="40"/>
  <c r="AG85" i="40" s="1"/>
  <c r="J86" i="2"/>
  <c r="AC8" i="40"/>
  <c r="AF12" i="40"/>
  <c r="AE10" i="40"/>
  <c r="AE24" i="40"/>
  <c r="AD23" i="40"/>
  <c r="AD29" i="40" s="1"/>
  <c r="AD39" i="40" s="1"/>
  <c r="AD82" i="40"/>
  <c r="M32" i="2" l="1"/>
  <c r="J37" i="2"/>
  <c r="N37" i="2" s="1"/>
  <c r="M65" i="2"/>
  <c r="AG12" i="40"/>
  <c r="AF75" i="40"/>
  <c r="AF74" i="40"/>
  <c r="U67" i="2"/>
  <c r="T67" i="2"/>
  <c r="H67" i="2"/>
  <c r="G67" i="2"/>
  <c r="C67" i="43"/>
  <c r="C68" i="43" s="1"/>
  <c r="M22" i="2"/>
  <c r="N22" i="2"/>
  <c r="C68" i="2"/>
  <c r="K65" i="43"/>
  <c r="L65" i="43" s="1"/>
  <c r="I67" i="43"/>
  <c r="AF37" i="40"/>
  <c r="AG37" i="40" s="1"/>
  <c r="AG32" i="40"/>
  <c r="AD8" i="40"/>
  <c r="AD42" i="40" s="1"/>
  <c r="AD80" i="40"/>
  <c r="AD81" i="40" s="1"/>
  <c r="L18" i="2"/>
  <c r="N18" i="2" s="1"/>
  <c r="AG26" i="41"/>
  <c r="D88" i="41"/>
  <c r="V88" i="41"/>
  <c r="Y68" i="41"/>
  <c r="AD73" i="42"/>
  <c r="AE72" i="42"/>
  <c r="Y68" i="42"/>
  <c r="O11" i="47"/>
  <c r="N12" i="47"/>
  <c r="L13" i="47" s="1"/>
  <c r="AF27" i="42"/>
  <c r="AE26" i="42"/>
  <c r="AE29" i="42" s="1"/>
  <c r="AE39" i="42" s="1"/>
  <c r="AE73" i="40"/>
  <c r="AF71" i="40"/>
  <c r="AF54" i="40"/>
  <c r="AE56" i="40"/>
  <c r="D68" i="39"/>
  <c r="AE85" i="41"/>
  <c r="Z63" i="41"/>
  <c r="Z67" i="41" s="1"/>
  <c r="Z59" i="41"/>
  <c r="AB43" i="41"/>
  <c r="AB47" i="41"/>
  <c r="L52" i="2"/>
  <c r="N52" i="2" s="1"/>
  <c r="AF56" i="41"/>
  <c r="AG56" i="41" s="1"/>
  <c r="L26" i="2"/>
  <c r="N26" i="2" s="1"/>
  <c r="AE82" i="41"/>
  <c r="AF24" i="41"/>
  <c r="AG24" i="41" s="1"/>
  <c r="AE23" i="41"/>
  <c r="AE29" i="41" s="1"/>
  <c r="AE39" i="41" s="1"/>
  <c r="AF72" i="41"/>
  <c r="AG72" i="41" s="1"/>
  <c r="AE73" i="41"/>
  <c r="AC42" i="41"/>
  <c r="AC84" i="41"/>
  <c r="AD8" i="41"/>
  <c r="AD40" i="41" s="1"/>
  <c r="AD76" i="41"/>
  <c r="AD77" i="41" s="1"/>
  <c r="AF83" i="41"/>
  <c r="AG83" i="41" s="1"/>
  <c r="AE10" i="41"/>
  <c r="AF11" i="41"/>
  <c r="AG11" i="41" s="1"/>
  <c r="AA48" i="41"/>
  <c r="AA58" i="41"/>
  <c r="AC40" i="41"/>
  <c r="L16" i="2"/>
  <c r="AF79" i="41"/>
  <c r="AG79" i="41" s="1"/>
  <c r="AF14" i="41"/>
  <c r="AG14" i="41" s="1"/>
  <c r="AD80" i="41"/>
  <c r="AD81" i="41" s="1"/>
  <c r="AA48" i="42"/>
  <c r="AA58" i="42"/>
  <c r="AB47" i="42"/>
  <c r="AB43" i="42"/>
  <c r="AE85" i="42"/>
  <c r="AE80" i="42"/>
  <c r="AE81" i="42" s="1"/>
  <c r="AD8" i="42"/>
  <c r="AD40" i="42" s="1"/>
  <c r="AD76" i="42"/>
  <c r="AD77" i="42" s="1"/>
  <c r="AF82" i="42"/>
  <c r="AG82" i="42" s="1"/>
  <c r="AF23" i="42"/>
  <c r="K24" i="2"/>
  <c r="AF83" i="42"/>
  <c r="AG83" i="42" s="1"/>
  <c r="Z63" i="42"/>
  <c r="Z67" i="42" s="1"/>
  <c r="Z59" i="42"/>
  <c r="AE10" i="42"/>
  <c r="AF11" i="42"/>
  <c r="AG11" i="42" s="1"/>
  <c r="AC42" i="42"/>
  <c r="AC84" i="42"/>
  <c r="AF14" i="42"/>
  <c r="AG14" i="42" s="1"/>
  <c r="AF79" i="42"/>
  <c r="AG79" i="42" s="1"/>
  <c r="K15" i="2"/>
  <c r="K33" i="2"/>
  <c r="M33" i="2" s="1"/>
  <c r="AF37" i="42"/>
  <c r="AG37" i="42" s="1"/>
  <c r="AC40" i="42"/>
  <c r="Z63" i="40"/>
  <c r="Z67" i="40" s="1"/>
  <c r="Z68" i="40" s="1"/>
  <c r="Z59" i="40"/>
  <c r="AE82" i="40"/>
  <c r="AF24" i="40"/>
  <c r="AG24" i="40" s="1"/>
  <c r="AE23" i="40"/>
  <c r="AE29" i="40" s="1"/>
  <c r="AE39" i="40" s="1"/>
  <c r="AE76" i="40"/>
  <c r="AE77" i="40" s="1"/>
  <c r="AC42" i="40"/>
  <c r="AC84" i="40"/>
  <c r="AB47" i="40"/>
  <c r="AB43" i="40"/>
  <c r="AF15" i="40"/>
  <c r="AG15" i="40" s="1"/>
  <c r="AE79" i="40"/>
  <c r="AE14" i="40"/>
  <c r="J12" i="2"/>
  <c r="AF10" i="40"/>
  <c r="AG10" i="40" s="1"/>
  <c r="J85" i="2"/>
  <c r="AA59" i="40"/>
  <c r="AA63" i="40"/>
  <c r="AA67" i="40" s="1"/>
  <c r="AA68" i="40" s="1"/>
  <c r="AC40" i="40"/>
  <c r="J74" i="2" l="1"/>
  <c r="J75" i="2"/>
  <c r="K67" i="43"/>
  <c r="L67" i="43" s="1"/>
  <c r="I68" i="43"/>
  <c r="AE80" i="41"/>
  <c r="AE81" i="41" s="1"/>
  <c r="AF73" i="40"/>
  <c r="AG73" i="40" s="1"/>
  <c r="AG71" i="40"/>
  <c r="AF56" i="40"/>
  <c r="AG56" i="40" s="1"/>
  <c r="AG54" i="40"/>
  <c r="AE80" i="40"/>
  <c r="AE81" i="40" s="1"/>
  <c r="AD84" i="40"/>
  <c r="AD40" i="40"/>
  <c r="E88" i="41"/>
  <c r="W88" i="41"/>
  <c r="Z68" i="41"/>
  <c r="AF72" i="42"/>
  <c r="AE73" i="42"/>
  <c r="Z68" i="42"/>
  <c r="AF26" i="42"/>
  <c r="AF29" i="42" s="1"/>
  <c r="AG27" i="42"/>
  <c r="AG23" i="42"/>
  <c r="O12" i="47"/>
  <c r="N13" i="47"/>
  <c r="L14" i="47" s="1"/>
  <c r="AE8" i="40"/>
  <c r="AE42" i="40" s="1"/>
  <c r="L56" i="2"/>
  <c r="N56" i="2" s="1"/>
  <c r="AF10" i="41"/>
  <c r="AG10" i="41" s="1"/>
  <c r="L11" i="2"/>
  <c r="L83" i="2"/>
  <c r="AD42" i="41"/>
  <c r="AD84" i="41"/>
  <c r="AF73" i="41"/>
  <c r="AG73" i="41" s="1"/>
  <c r="L72" i="2"/>
  <c r="AB48" i="41"/>
  <c r="AB58" i="41"/>
  <c r="AE8" i="41"/>
  <c r="AE40" i="41" s="1"/>
  <c r="AE76" i="41"/>
  <c r="AE77" i="41" s="1"/>
  <c r="AF85" i="41"/>
  <c r="AG85" i="41" s="1"/>
  <c r="L86" i="2"/>
  <c r="N16" i="2"/>
  <c r="L14" i="2"/>
  <c r="L79" i="2"/>
  <c r="AA59" i="41"/>
  <c r="AA63" i="41"/>
  <c r="AA67" i="41" s="1"/>
  <c r="AC43" i="41"/>
  <c r="AC47" i="41"/>
  <c r="AF82" i="41"/>
  <c r="AG82" i="41" s="1"/>
  <c r="AF23" i="41"/>
  <c r="L24" i="2"/>
  <c r="K37" i="2"/>
  <c r="M37" i="2" s="1"/>
  <c r="K82" i="2"/>
  <c r="K23" i="2"/>
  <c r="K29" i="2" s="1"/>
  <c r="K14" i="2"/>
  <c r="K79" i="2"/>
  <c r="AC47" i="42"/>
  <c r="AC43" i="42"/>
  <c r="AB58" i="42"/>
  <c r="AB48" i="42"/>
  <c r="AF10" i="42"/>
  <c r="AG10" i="42" s="1"/>
  <c r="K11" i="2"/>
  <c r="K83" i="2"/>
  <c r="AD42" i="42"/>
  <c r="AD84" i="42"/>
  <c r="AF85" i="42"/>
  <c r="AG85" i="42" s="1"/>
  <c r="K86" i="2"/>
  <c r="AA59" i="42"/>
  <c r="AA63" i="42"/>
  <c r="AA67" i="42" s="1"/>
  <c r="AF80" i="42"/>
  <c r="AE76" i="42"/>
  <c r="AE77" i="42" s="1"/>
  <c r="AE8" i="42"/>
  <c r="AF76" i="40"/>
  <c r="AG74" i="40"/>
  <c r="AG75" i="40"/>
  <c r="AF14" i="40"/>
  <c r="AF79" i="40"/>
  <c r="AG79" i="40" s="1"/>
  <c r="J15" i="2"/>
  <c r="AC47" i="40"/>
  <c r="AC43" i="40"/>
  <c r="AD47" i="40"/>
  <c r="AD43" i="40"/>
  <c r="AB58" i="40"/>
  <c r="AB48" i="40"/>
  <c r="AF23" i="40"/>
  <c r="AF82" i="40"/>
  <c r="AG82" i="40" s="1"/>
  <c r="J24" i="2"/>
  <c r="M12" i="2"/>
  <c r="N12" i="2"/>
  <c r="J10" i="2"/>
  <c r="C37" i="27"/>
  <c r="E37" i="27" s="1"/>
  <c r="F37" i="27" s="1"/>
  <c r="C38" i="27"/>
  <c r="U38" i="27" s="1"/>
  <c r="C39" i="27"/>
  <c r="U39" i="27" s="1"/>
  <c r="C44" i="27"/>
  <c r="E44" i="27" s="1"/>
  <c r="F44" i="27" s="1"/>
  <c r="C45" i="27"/>
  <c r="C47" i="27"/>
  <c r="E47" i="27" s="1"/>
  <c r="F47" i="27" s="1"/>
  <c r="C48" i="27"/>
  <c r="E48" i="27" s="1"/>
  <c r="F48" i="27" s="1"/>
  <c r="C49" i="27"/>
  <c r="E49" i="27" s="1"/>
  <c r="F49" i="27" s="1"/>
  <c r="C50" i="27"/>
  <c r="U50" i="27" s="1"/>
  <c r="C51" i="27"/>
  <c r="U51" i="27" s="1"/>
  <c r="C52" i="27"/>
  <c r="U52" i="27" s="1"/>
  <c r="C53" i="27"/>
  <c r="U53" i="27" s="1"/>
  <c r="C54" i="27"/>
  <c r="E54" i="27" s="1"/>
  <c r="F54" i="27" s="1"/>
  <c r="L75" i="2" l="1"/>
  <c r="L74" i="2"/>
  <c r="K75" i="2"/>
  <c r="K74" i="2"/>
  <c r="M24" i="2"/>
  <c r="N24" i="2"/>
  <c r="AF29" i="40"/>
  <c r="AF39" i="40" s="1"/>
  <c r="AG39" i="40" s="1"/>
  <c r="AG23" i="40"/>
  <c r="AF80" i="40"/>
  <c r="AG80" i="40" s="1"/>
  <c r="AG14" i="40"/>
  <c r="AE40" i="40"/>
  <c r="AF77" i="40"/>
  <c r="AG77" i="40" s="1"/>
  <c r="AG76" i="40"/>
  <c r="F88" i="41"/>
  <c r="X88" i="41"/>
  <c r="AF29" i="41"/>
  <c r="AG23" i="41"/>
  <c r="AA68" i="41"/>
  <c r="AA68" i="42"/>
  <c r="AF39" i="42"/>
  <c r="AG39" i="42" s="1"/>
  <c r="AG29" i="42"/>
  <c r="AF81" i="42"/>
  <c r="AG81" i="42" s="1"/>
  <c r="AG80" i="42"/>
  <c r="K18" i="2"/>
  <c r="M18" i="2" s="1"/>
  <c r="AG26" i="42"/>
  <c r="AG72" i="42"/>
  <c r="AF73" i="42"/>
  <c r="AG73" i="42" s="1"/>
  <c r="O13" i="47"/>
  <c r="N14" i="47"/>
  <c r="L15" i="47" s="1"/>
  <c r="AE84" i="40"/>
  <c r="AF80" i="41"/>
  <c r="K39" i="2"/>
  <c r="AC58" i="41"/>
  <c r="AC48" i="41"/>
  <c r="L73" i="2"/>
  <c r="N73" i="2" s="1"/>
  <c r="N72" i="2"/>
  <c r="N83" i="2"/>
  <c r="L23" i="2"/>
  <c r="L29" i="2" s="1"/>
  <c r="L39" i="2" s="1"/>
  <c r="L82" i="2"/>
  <c r="AE42" i="41"/>
  <c r="AE84" i="41"/>
  <c r="AB63" i="41"/>
  <c r="AB67" i="41" s="1"/>
  <c r="AB59" i="41"/>
  <c r="L10" i="2"/>
  <c r="N11" i="2"/>
  <c r="L85" i="2"/>
  <c r="N85" i="2" s="1"/>
  <c r="N86" i="2"/>
  <c r="AD43" i="41"/>
  <c r="AD47" i="41"/>
  <c r="AF8" i="41"/>
  <c r="AG8" i="41" s="1"/>
  <c r="AF76" i="41"/>
  <c r="AG75" i="41"/>
  <c r="AG74" i="41"/>
  <c r="K85" i="2"/>
  <c r="M85" i="2" s="1"/>
  <c r="M86" i="2"/>
  <c r="M83" i="2"/>
  <c r="AC58" i="42"/>
  <c r="AC48" i="42"/>
  <c r="AE42" i="42"/>
  <c r="AE84" i="42"/>
  <c r="AB63" i="42"/>
  <c r="AB67" i="42" s="1"/>
  <c r="AB59" i="42"/>
  <c r="K10" i="2"/>
  <c r="M10" i="2" s="1"/>
  <c r="M11" i="2"/>
  <c r="K80" i="2"/>
  <c r="K81" i="2" s="1"/>
  <c r="AD47" i="42"/>
  <c r="AD43" i="42"/>
  <c r="AF76" i="42"/>
  <c r="AG75" i="42"/>
  <c r="AF8" i="42"/>
  <c r="AG8" i="42" s="1"/>
  <c r="AG74" i="42"/>
  <c r="AE40" i="42"/>
  <c r="AD58" i="40"/>
  <c r="AD48" i="40"/>
  <c r="AC58" i="40"/>
  <c r="AC48" i="40"/>
  <c r="J76" i="2"/>
  <c r="J23" i="2"/>
  <c r="J82" i="2"/>
  <c r="AB63" i="40"/>
  <c r="AB67" i="40" s="1"/>
  <c r="AB68" i="40" s="1"/>
  <c r="AB59" i="40"/>
  <c r="AE47" i="40"/>
  <c r="AE43" i="40"/>
  <c r="N15" i="2"/>
  <c r="J79" i="2"/>
  <c r="J14" i="2"/>
  <c r="M15" i="2"/>
  <c r="AF8" i="40"/>
  <c r="AG8" i="40" s="1"/>
  <c r="E45" i="27"/>
  <c r="F45" i="27" s="1"/>
  <c r="E50" i="27"/>
  <c r="F50" i="27" s="1"/>
  <c r="E38" i="27"/>
  <c r="F38" i="27" s="1"/>
  <c r="E39" i="27"/>
  <c r="F39" i="27" s="1"/>
  <c r="E51" i="27"/>
  <c r="F51" i="27" s="1"/>
  <c r="C40" i="27"/>
  <c r="E40" i="27" s="1"/>
  <c r="F40" i="27" s="1"/>
  <c r="E53" i="27"/>
  <c r="F53" i="27" s="1"/>
  <c r="U49" i="27"/>
  <c r="C55" i="27"/>
  <c r="E55" i="27" s="1"/>
  <c r="F55" i="27" s="1"/>
  <c r="U44" i="27"/>
  <c r="U37" i="27"/>
  <c r="U40" i="27" s="1"/>
  <c r="U45" i="27"/>
  <c r="U48" i="27"/>
  <c r="U47" i="27"/>
  <c r="U54" i="27"/>
  <c r="M23" i="2" l="1"/>
  <c r="N23" i="2"/>
  <c r="AF81" i="40"/>
  <c r="AG81" i="40" s="1"/>
  <c r="AG29" i="40"/>
  <c r="G88" i="41"/>
  <c r="Y88" i="41"/>
  <c r="AF77" i="41"/>
  <c r="AG77" i="41" s="1"/>
  <c r="AG76" i="41"/>
  <c r="AF81" i="41"/>
  <c r="AG81" i="41" s="1"/>
  <c r="AG80" i="41"/>
  <c r="AF39" i="41"/>
  <c r="AG39" i="41" s="1"/>
  <c r="AG29" i="41"/>
  <c r="AB68" i="41"/>
  <c r="AB68" i="42"/>
  <c r="AF77" i="42"/>
  <c r="AG77" i="42" s="1"/>
  <c r="AG76" i="42"/>
  <c r="O14" i="47"/>
  <c r="N15" i="47"/>
  <c r="L16" i="47" s="1"/>
  <c r="N75" i="2"/>
  <c r="L8" i="2"/>
  <c r="N74" i="2"/>
  <c r="L76" i="2"/>
  <c r="L77" i="2" s="1"/>
  <c r="N10" i="2"/>
  <c r="AE47" i="41"/>
  <c r="AE43" i="41"/>
  <c r="AF84" i="41"/>
  <c r="AG84" i="41" s="1"/>
  <c r="L80" i="2"/>
  <c r="L81" i="2" s="1"/>
  <c r="AC63" i="41"/>
  <c r="AC67" i="41" s="1"/>
  <c r="AC59" i="41"/>
  <c r="AD58" i="41"/>
  <c r="AD48" i="41"/>
  <c r="K8" i="2"/>
  <c r="K76" i="2"/>
  <c r="K77" i="2" s="1"/>
  <c r="M74" i="2"/>
  <c r="M75" i="2"/>
  <c r="AE47" i="42"/>
  <c r="AE43" i="42"/>
  <c r="AF42" i="42"/>
  <c r="AG42" i="42" s="1"/>
  <c r="AF40" i="42"/>
  <c r="AG40" i="42" s="1"/>
  <c r="AF84" i="42"/>
  <c r="AG84" i="42" s="1"/>
  <c r="AD58" i="42"/>
  <c r="AD48" i="42"/>
  <c r="AC63" i="42"/>
  <c r="AC67" i="42" s="1"/>
  <c r="AC59" i="42"/>
  <c r="N79" i="2"/>
  <c r="M79" i="2"/>
  <c r="AC59" i="40"/>
  <c r="AC63" i="40"/>
  <c r="AC67" i="40" s="1"/>
  <c r="AC68" i="40" s="1"/>
  <c r="J29" i="2"/>
  <c r="J77" i="2"/>
  <c r="AF42" i="40"/>
  <c r="AG42" i="40" s="1"/>
  <c r="AF84" i="40"/>
  <c r="AG84" i="40" s="1"/>
  <c r="AD59" i="40"/>
  <c r="AD63" i="40"/>
  <c r="AD67" i="40" s="1"/>
  <c r="AD68" i="40" s="1"/>
  <c r="J8" i="2"/>
  <c r="M14" i="2"/>
  <c r="J80" i="2"/>
  <c r="N14" i="2"/>
  <c r="AE48" i="40"/>
  <c r="AE58" i="40"/>
  <c r="N82" i="2"/>
  <c r="M82" i="2"/>
  <c r="AF40" i="40"/>
  <c r="AG40" i="40" s="1"/>
  <c r="U55" i="27"/>
  <c r="U57" i="27" s="1"/>
  <c r="U59" i="27" s="1"/>
  <c r="U62" i="27" s="1"/>
  <c r="U64" i="27" s="1"/>
  <c r="C57" i="27"/>
  <c r="E57" i="27" s="1"/>
  <c r="F57" i="27" s="1"/>
  <c r="P40" i="27"/>
  <c r="P55" i="27"/>
  <c r="L88" i="2" l="1"/>
  <c r="M29" i="2"/>
  <c r="N29" i="2"/>
  <c r="M76" i="2"/>
  <c r="N90" i="2"/>
  <c r="AF40" i="41"/>
  <c r="AG40" i="41" s="1"/>
  <c r="M89" i="2"/>
  <c r="M90" i="2"/>
  <c r="N89" i="2"/>
  <c r="AF42" i="41"/>
  <c r="AG42" i="41" s="1"/>
  <c r="AC68" i="41"/>
  <c r="H88" i="41"/>
  <c r="Z88" i="41"/>
  <c r="AC68" i="42"/>
  <c r="O15" i="47"/>
  <c r="N16" i="47"/>
  <c r="L17" i="47" s="1"/>
  <c r="N76" i="2"/>
  <c r="AE58" i="41"/>
  <c r="AE48" i="41"/>
  <c r="AD63" i="41"/>
  <c r="AD67" i="41" s="1"/>
  <c r="AD59" i="41"/>
  <c r="L42" i="2"/>
  <c r="L84" i="2"/>
  <c r="L40" i="2"/>
  <c r="AF47" i="42"/>
  <c r="AG47" i="42" s="1"/>
  <c r="AF43" i="42"/>
  <c r="AG43" i="42" s="1"/>
  <c r="AD63" i="42"/>
  <c r="AD67" i="42" s="1"/>
  <c r="AD59" i="42"/>
  <c r="AE48" i="42"/>
  <c r="AE58" i="42"/>
  <c r="K42" i="2"/>
  <c r="K84" i="2"/>
  <c r="K40" i="2"/>
  <c r="N8" i="2"/>
  <c r="M8" i="2"/>
  <c r="J84" i="2"/>
  <c r="AF47" i="40"/>
  <c r="AG47" i="40" s="1"/>
  <c r="AF43" i="40"/>
  <c r="AG43" i="40" s="1"/>
  <c r="J39" i="2"/>
  <c r="AE59" i="40"/>
  <c r="AE63" i="40"/>
  <c r="AE67" i="40" s="1"/>
  <c r="AE68" i="40" s="1"/>
  <c r="N77" i="2"/>
  <c r="M77" i="2"/>
  <c r="N80" i="2"/>
  <c r="J81" i="2"/>
  <c r="M80" i="2"/>
  <c r="P57" i="27"/>
  <c r="P59" i="27" s="1"/>
  <c r="P62" i="27" s="1"/>
  <c r="P64" i="27" s="1"/>
  <c r="F88" i="2" l="1"/>
  <c r="M39" i="2"/>
  <c r="N39" i="2"/>
  <c r="AF43" i="41"/>
  <c r="AG43" i="41" s="1"/>
  <c r="AF47" i="41"/>
  <c r="AG47" i="41" s="1"/>
  <c r="AD68" i="41"/>
  <c r="I88" i="41"/>
  <c r="E88" i="39" s="1"/>
  <c r="AA88" i="41"/>
  <c r="AD68" i="42"/>
  <c r="N17" i="47"/>
  <c r="L18" i="47" s="1"/>
  <c r="O16" i="47"/>
  <c r="L43" i="2"/>
  <c r="L47" i="2"/>
  <c r="AE63" i="41"/>
  <c r="AE67" i="41" s="1"/>
  <c r="AE59" i="41"/>
  <c r="K47" i="2"/>
  <c r="K43" i="2"/>
  <c r="AE59" i="42"/>
  <c r="AE63" i="42"/>
  <c r="AE67" i="42" s="1"/>
  <c r="AF58" i="42"/>
  <c r="AG58" i="42" s="1"/>
  <c r="AF48" i="42"/>
  <c r="AG48" i="42" s="1"/>
  <c r="J40" i="2"/>
  <c r="AF58" i="40"/>
  <c r="AG58" i="40" s="1"/>
  <c r="AF48" i="40"/>
  <c r="AG48" i="40" s="1"/>
  <c r="N84" i="2"/>
  <c r="M84" i="2"/>
  <c r="N81" i="2"/>
  <c r="M81" i="2"/>
  <c r="J42" i="2"/>
  <c r="Q58" i="27"/>
  <c r="Q59" i="27" s="1"/>
  <c r="Q62" i="27" s="1"/>
  <c r="Q64" i="27" s="1"/>
  <c r="M42" i="2" l="1"/>
  <c r="N42" i="2"/>
  <c r="M91" i="2"/>
  <c r="N91" i="2"/>
  <c r="AF58" i="41"/>
  <c r="AG58" i="41" s="1"/>
  <c r="AF48" i="41"/>
  <c r="AG48" i="41" s="1"/>
  <c r="AE68" i="41"/>
  <c r="J88" i="41"/>
  <c r="AB88" i="41"/>
  <c r="AE68" i="42"/>
  <c r="O17" i="47"/>
  <c r="N18" i="47"/>
  <c r="L19" i="47" s="1"/>
  <c r="AF59" i="41"/>
  <c r="AG59" i="41" s="1"/>
  <c r="L48" i="2"/>
  <c r="L58" i="2"/>
  <c r="AF63" i="42"/>
  <c r="AF59" i="42"/>
  <c r="AG59" i="42" s="1"/>
  <c r="K58" i="2"/>
  <c r="K48" i="2"/>
  <c r="AF63" i="40"/>
  <c r="AF59" i="40"/>
  <c r="AG59" i="40" s="1"/>
  <c r="J47" i="2"/>
  <c r="J43" i="2"/>
  <c r="R58" i="27"/>
  <c r="R59" i="27" s="1"/>
  <c r="M47" i="2" l="1"/>
  <c r="N47" i="2"/>
  <c r="AF63" i="41"/>
  <c r="AF67" i="41" s="1"/>
  <c r="AF67" i="40"/>
  <c r="AG63" i="40"/>
  <c r="K88" i="41"/>
  <c r="AC88" i="41"/>
  <c r="AF67" i="42"/>
  <c r="AG63" i="42"/>
  <c r="O18" i="47"/>
  <c r="N19" i="47"/>
  <c r="L20" i="47" s="1"/>
  <c r="N20" i="47" s="1"/>
  <c r="L59" i="2"/>
  <c r="L63" i="2"/>
  <c r="L67" i="2" s="1"/>
  <c r="L68" i="2" s="1"/>
  <c r="K59" i="2"/>
  <c r="K63" i="2"/>
  <c r="K67" i="2" s="1"/>
  <c r="K68" i="2" s="1"/>
  <c r="J58" i="2"/>
  <c r="J48" i="2"/>
  <c r="S58" i="27"/>
  <c r="D58" i="27" s="1"/>
  <c r="D59" i="27" s="1"/>
  <c r="R62" i="27"/>
  <c r="R64" i="27" s="1"/>
  <c r="N58" i="2" l="1"/>
  <c r="M58" i="2"/>
  <c r="AG63" i="41"/>
  <c r="D62" i="27"/>
  <c r="D64" i="27" s="1"/>
  <c r="AF68" i="40"/>
  <c r="AG67" i="40"/>
  <c r="G9" i="47"/>
  <c r="B9" i="47"/>
  <c r="L88" i="41"/>
  <c r="AD88" i="41"/>
  <c r="AF68" i="41"/>
  <c r="AG67" i="41"/>
  <c r="AF68" i="42"/>
  <c r="AG67" i="42"/>
  <c r="O19" i="47"/>
  <c r="O20" i="47"/>
  <c r="J63" i="2"/>
  <c r="J59" i="2"/>
  <c r="D11" i="25"/>
  <c r="D15" i="25" s="1"/>
  <c r="D23" i="25" s="1"/>
  <c r="S59" i="27"/>
  <c r="D42" i="25" l="1"/>
  <c r="N63" i="2"/>
  <c r="M63" i="2"/>
  <c r="D60" i="27"/>
  <c r="N88" i="41"/>
  <c r="O88" i="41"/>
  <c r="M88" i="41"/>
  <c r="AE88" i="41"/>
  <c r="AF88" i="41"/>
  <c r="D9" i="47"/>
  <c r="B10" i="47" s="1"/>
  <c r="I9" i="47"/>
  <c r="G10" i="47" s="1"/>
  <c r="J67" i="2"/>
  <c r="T58" i="27"/>
  <c r="S62" i="27"/>
  <c r="S64" i="27" s="1"/>
  <c r="N67" i="2" l="1"/>
  <c r="M67" i="2"/>
  <c r="AG88" i="41"/>
  <c r="S88" i="2"/>
  <c r="J9" i="47"/>
  <c r="E9" i="47"/>
  <c r="I10" i="47"/>
  <c r="G11" i="47" s="1"/>
  <c r="D10" i="47"/>
  <c r="B11" i="47" s="1"/>
  <c r="J68" i="2"/>
  <c r="T59" i="27"/>
  <c r="T62" i="27" s="1"/>
  <c r="T64" i="27" s="1"/>
  <c r="C58" i="27"/>
  <c r="C59" i="27" s="1"/>
  <c r="C88" i="40" l="1"/>
  <c r="Q88" i="41" s="1"/>
  <c r="U88" i="40"/>
  <c r="U88" i="42"/>
  <c r="C88" i="42"/>
  <c r="J10" i="47"/>
  <c r="E10" i="47"/>
  <c r="D11" i="47"/>
  <c r="B12" i="47" s="1"/>
  <c r="I11" i="47"/>
  <c r="G12" i="47" s="1"/>
  <c r="E58" i="27"/>
  <c r="F58" i="27" s="1"/>
  <c r="V88" i="40" l="1"/>
  <c r="D88" i="40"/>
  <c r="R88" i="41" s="1"/>
  <c r="I88" i="39" s="1"/>
  <c r="D88" i="42"/>
  <c r="V88" i="42"/>
  <c r="J11" i="47"/>
  <c r="E11" i="47"/>
  <c r="I12" i="47"/>
  <c r="G13" i="47" s="1"/>
  <c r="D12" i="47"/>
  <c r="B13" i="47" s="1"/>
  <c r="C62" i="27"/>
  <c r="C11" i="25"/>
  <c r="C60" i="27" s="1"/>
  <c r="E59" i="27"/>
  <c r="F59" i="27" s="1"/>
  <c r="E88" i="40" l="1"/>
  <c r="W88" i="40"/>
  <c r="E88" i="42"/>
  <c r="W88" i="42"/>
  <c r="J12" i="47"/>
  <c r="E12" i="47"/>
  <c r="D13" i="47"/>
  <c r="B14" i="47" s="1"/>
  <c r="I13" i="47"/>
  <c r="G14" i="47" s="1"/>
  <c r="E11" i="25"/>
  <c r="F11" i="25" s="1"/>
  <c r="I11" i="25"/>
  <c r="J11" i="25" s="1"/>
  <c r="C15" i="25"/>
  <c r="E62" i="27"/>
  <c r="F62" i="27" s="1"/>
  <c r="C64" i="27"/>
  <c r="E64" i="27" s="1"/>
  <c r="F64" i="27" s="1"/>
  <c r="X88" i="40" l="1"/>
  <c r="F88" i="40"/>
  <c r="S88" i="41"/>
  <c r="M88" i="39" s="1"/>
  <c r="F88" i="42"/>
  <c r="X88" i="42"/>
  <c r="J13" i="47"/>
  <c r="E13" i="47"/>
  <c r="I14" i="47"/>
  <c r="G15" i="47" s="1"/>
  <c r="D14" i="47"/>
  <c r="B15" i="47" s="1"/>
  <c r="C23" i="25"/>
  <c r="E15" i="25"/>
  <c r="F15" i="25" s="1"/>
  <c r="I15" i="25"/>
  <c r="J15" i="25" s="1"/>
  <c r="C42" i="25" l="1"/>
  <c r="G88" i="40"/>
  <c r="Y88" i="40"/>
  <c r="G88" i="42"/>
  <c r="Y88" i="42"/>
  <c r="J14" i="47"/>
  <c r="E14" i="47"/>
  <c r="D15" i="47"/>
  <c r="B16" i="47" s="1"/>
  <c r="I15" i="47"/>
  <c r="G16" i="47" s="1"/>
  <c r="I23" i="25"/>
  <c r="J23" i="25" s="1"/>
  <c r="E23" i="25"/>
  <c r="F23" i="25" s="1"/>
  <c r="E88" i="2" l="1"/>
  <c r="Z88" i="40"/>
  <c r="H88" i="40"/>
  <c r="H88" i="42"/>
  <c r="Z88" i="42"/>
  <c r="K88" i="2" s="1"/>
  <c r="J15" i="47"/>
  <c r="E15" i="47"/>
  <c r="I16" i="47"/>
  <c r="G17" i="47" s="1"/>
  <c r="D16" i="47"/>
  <c r="B17" i="47" s="1"/>
  <c r="D88" i="39" l="1"/>
  <c r="I88" i="40"/>
  <c r="AA88" i="40"/>
  <c r="I88" i="42"/>
  <c r="AA88" i="42"/>
  <c r="J16" i="47"/>
  <c r="E16" i="47"/>
  <c r="D17" i="47"/>
  <c r="B18" i="47" s="1"/>
  <c r="I17" i="47"/>
  <c r="G18" i="47" s="1"/>
  <c r="H88" i="39" l="1"/>
  <c r="AB88" i="40"/>
  <c r="J88" i="40"/>
  <c r="J88" i="42"/>
  <c r="AB88" i="42"/>
  <c r="E17" i="47"/>
  <c r="J17" i="47"/>
  <c r="I18" i="47"/>
  <c r="G19" i="47" s="1"/>
  <c r="D18" i="47"/>
  <c r="B19" i="47" s="1"/>
  <c r="L88" i="39" l="1"/>
  <c r="K88" i="40"/>
  <c r="AC88" i="40"/>
  <c r="K88" i="42"/>
  <c r="AC88" i="42"/>
  <c r="E18" i="47"/>
  <c r="J18" i="47"/>
  <c r="D19" i="47"/>
  <c r="B20" i="47" s="1"/>
  <c r="I19" i="47"/>
  <c r="G20" i="47" s="1"/>
  <c r="I20" i="47" s="1"/>
  <c r="J20" i="47" s="1"/>
  <c r="AD88" i="40" l="1"/>
  <c r="L88" i="40"/>
  <c r="L88" i="42"/>
  <c r="AD88" i="42"/>
  <c r="N88" i="42"/>
  <c r="O88" i="42"/>
  <c r="AF88" i="42"/>
  <c r="J19" i="47"/>
  <c r="E19" i="47"/>
  <c r="D20" i="47"/>
  <c r="E20" i="47" s="1"/>
  <c r="O88" i="40" l="1"/>
  <c r="AF88" i="40"/>
  <c r="N88" i="40"/>
  <c r="M88" i="40"/>
  <c r="AE88" i="40"/>
  <c r="AG88" i="42"/>
  <c r="R88" i="2"/>
  <c r="M88" i="42"/>
  <c r="AE88" i="42"/>
  <c r="J88" i="2" l="1"/>
  <c r="N88" i="2" s="1"/>
  <c r="C88" i="2"/>
  <c r="H88" i="2" s="1"/>
  <c r="K88" i="39"/>
  <c r="C88" i="39"/>
  <c r="G88" i="39"/>
  <c r="AG88" i="40"/>
  <c r="P88" i="2"/>
  <c r="M88" i="2" l="1"/>
  <c r="G88" i="2"/>
  <c r="C88" i="43"/>
  <c r="E88" i="43" s="1"/>
  <c r="F88" i="43" s="1"/>
  <c r="U88" i="2"/>
  <c r="I88" i="43"/>
  <c r="K88" i="43" s="1"/>
  <c r="L88" i="43" s="1"/>
  <c r="T88" i="2"/>
  <c r="F24" i="43"/>
  <c r="D82" i="43"/>
  <c r="E82" i="43" s="1"/>
  <c r="F82" i="43" s="1"/>
  <c r="D24" i="2"/>
  <c r="D82" i="2" s="1"/>
  <c r="D23" i="43"/>
  <c r="D80" i="43" l="1"/>
  <c r="E80" i="43" s="1"/>
  <c r="F80" i="43" s="1"/>
  <c r="E23" i="43"/>
  <c r="F23" i="43" s="1"/>
  <c r="D29" i="43"/>
  <c r="D23" i="2"/>
  <c r="D81" i="43" l="1"/>
  <c r="E81" i="43" s="1"/>
  <c r="F81" i="43" s="1"/>
  <c r="D39" i="43"/>
  <c r="D40" i="43" s="1"/>
  <c r="E29" i="43"/>
  <c r="F29" i="43" s="1"/>
  <c r="D80" i="2"/>
  <c r="D81" i="2" s="1"/>
  <c r="D29" i="2"/>
  <c r="D39" i="2" s="1"/>
  <c r="D42" i="43" l="1"/>
  <c r="E39" i="43"/>
  <c r="F39" i="43" s="1"/>
  <c r="D42" i="2"/>
  <c r="D40" i="2"/>
  <c r="D43" i="43" l="1"/>
  <c r="E42" i="43"/>
  <c r="F42" i="43" s="1"/>
  <c r="D47" i="43"/>
  <c r="D43" i="2"/>
  <c r="D47" i="2"/>
  <c r="E47" i="43" l="1"/>
  <c r="F47" i="43" s="1"/>
  <c r="D58" i="43"/>
  <c r="D48" i="43"/>
  <c r="D48" i="2"/>
  <c r="D58" i="2"/>
  <c r="D59" i="43" l="1"/>
  <c r="E58" i="43"/>
  <c r="F58" i="43" s="1"/>
  <c r="D63" i="43"/>
  <c r="D63" i="2"/>
  <c r="D59" i="2"/>
  <c r="D67" i="43" l="1"/>
  <c r="E63" i="43"/>
  <c r="F63" i="43" s="1"/>
  <c r="E67" i="43" l="1"/>
  <c r="F67" i="43" s="1"/>
  <c r="D68" i="43"/>
  <c r="E65" i="43"/>
  <c r="F65" i="43" s="1"/>
  <c r="D65" i="2"/>
  <c r="D67" i="2" s="1"/>
  <c r="D68" i="2" s="1"/>
</calcChain>
</file>

<file path=xl/sharedStrings.xml><?xml version="1.0" encoding="utf-8"?>
<sst xmlns="http://schemas.openxmlformats.org/spreadsheetml/2006/main" count="960" uniqueCount="306">
  <si>
    <t>Budget</t>
  </si>
  <si>
    <t>% to GOR</t>
  </si>
  <si>
    <t>GROSS OPERATING PROFIT</t>
  </si>
  <si>
    <t>EBITDA</t>
  </si>
  <si>
    <t>STATISTICS:</t>
  </si>
  <si>
    <t>Forecast</t>
  </si>
  <si>
    <t>Actual</t>
  </si>
  <si>
    <t xml:space="preserve">                  Year To Date</t>
  </si>
  <si>
    <t>Budget (%)</t>
  </si>
  <si>
    <t>RADISSON BLU HOTEL CEBU</t>
  </si>
  <si>
    <t>Last Year</t>
  </si>
  <si>
    <t>Variance</t>
  </si>
  <si>
    <t>%</t>
  </si>
  <si>
    <t>Rooms Sold</t>
  </si>
  <si>
    <t>Depreciation</t>
  </si>
  <si>
    <t>TOTAL EXPENSES</t>
  </si>
  <si>
    <t>Total Fixed Charges</t>
  </si>
  <si>
    <t>Rooms Flowthrough</t>
  </si>
  <si>
    <t>F&amp;B Flowthrough</t>
  </si>
  <si>
    <t>Rooms</t>
  </si>
  <si>
    <t>Utilities</t>
  </si>
  <si>
    <t>Total Departmental Expenses</t>
  </si>
  <si>
    <t>Sales and Marketing</t>
  </si>
  <si>
    <t>Total Undistributed Expenses</t>
  </si>
  <si>
    <t>Others</t>
  </si>
  <si>
    <t>NET INCOME AFTER INCOME TAX</t>
  </si>
  <si>
    <t>Rooms Departmental Profit (Peso)</t>
  </si>
  <si>
    <t>Rooms Departmental Profit (%)</t>
  </si>
  <si>
    <t>F&amp;B Covers</t>
  </si>
  <si>
    <t>Average F&amp;B Check</t>
  </si>
  <si>
    <t>Labor Cost ( in Peso)</t>
  </si>
  <si>
    <t>Manning</t>
  </si>
  <si>
    <t>Labor Cost % to GOR</t>
  </si>
  <si>
    <t>F&amp;B Departmental Profit (Peso)</t>
  </si>
  <si>
    <t>F&amp;B Departmental Profit (%)</t>
  </si>
  <si>
    <t xml:space="preserve">                         For the Year</t>
  </si>
  <si>
    <t>Estate Fees</t>
  </si>
  <si>
    <t>Return on Equity</t>
  </si>
  <si>
    <t>(In '000)</t>
  </si>
  <si>
    <t>TAAL VISTA HOTEL</t>
  </si>
  <si>
    <t>PICO SANDS HOTEL</t>
  </si>
  <si>
    <t>PICO DE LORO BEACH AND COUNTRY CLUB</t>
  </si>
  <si>
    <t>PARK INN DAVAO</t>
  </si>
  <si>
    <t>JANUARY 2014</t>
  </si>
  <si>
    <t>FEBRUARY 2014</t>
  </si>
  <si>
    <t>MARCH 2014</t>
  </si>
  <si>
    <t>APRIL 2014</t>
  </si>
  <si>
    <t>MAY 2014</t>
  </si>
  <si>
    <t>JUNE 2014</t>
  </si>
  <si>
    <t>JULY 2014</t>
  </si>
  <si>
    <t>AUGUST 2014</t>
  </si>
  <si>
    <t>SEPTEMBER 2014</t>
  </si>
  <si>
    <t>OCTOBER 2014</t>
  </si>
  <si>
    <t>NOVEMBER 2014</t>
  </si>
  <si>
    <t>DECEMBER 2014</t>
  </si>
  <si>
    <t>PROPERTY NAME</t>
  </si>
  <si>
    <t>MONTH</t>
  </si>
  <si>
    <t>SMX CONVENTIONS CENTER</t>
  </si>
  <si>
    <t>Difference</t>
  </si>
  <si>
    <t>Amount</t>
  </si>
  <si>
    <t>This month</t>
  </si>
  <si>
    <t>Last month</t>
  </si>
  <si>
    <t>ASSETS</t>
  </si>
  <si>
    <t>Current Assets</t>
  </si>
  <si>
    <t>Cash and cash equivalents</t>
  </si>
  <si>
    <t>Receivables</t>
  </si>
  <si>
    <t>Merchandise inventories</t>
  </si>
  <si>
    <t>Noncurrent Assets</t>
  </si>
  <si>
    <t>Property and equipment - net</t>
  </si>
  <si>
    <t>Total current assets</t>
  </si>
  <si>
    <t>Total noncurrent assets</t>
  </si>
  <si>
    <t>Increase (Decrease)</t>
  </si>
  <si>
    <t>In amount</t>
  </si>
  <si>
    <t>In percentage</t>
  </si>
  <si>
    <t>TOTAL ASSETS</t>
  </si>
  <si>
    <t>LIABILITIES AND EQUITY</t>
  </si>
  <si>
    <t>Accounts payable and other current liabilities</t>
  </si>
  <si>
    <t>Income tax payable</t>
  </si>
  <si>
    <t>Dividends payable</t>
  </si>
  <si>
    <t>Liabilities</t>
  </si>
  <si>
    <t>Long-term and other noncurrent liabilities</t>
  </si>
  <si>
    <t>Total liabilities</t>
  </si>
  <si>
    <t>Equity</t>
  </si>
  <si>
    <t>Capital stock</t>
  </si>
  <si>
    <t>Total equity</t>
  </si>
  <si>
    <t>TOTAL LIABILITIES AND EQUITY</t>
  </si>
  <si>
    <t>Check</t>
  </si>
  <si>
    <t>BALANCE SHEETS</t>
  </si>
  <si>
    <t>CASH FLOWS</t>
  </si>
  <si>
    <t>Net cash provided by (used in) operating activities</t>
  </si>
  <si>
    <t>CASH FLOWS FROM OPERATING ACTIVITIES</t>
  </si>
  <si>
    <t>CASH FLOWS FROM INVESTING ACTIVITIES</t>
  </si>
  <si>
    <t>Additions to property and equipment</t>
  </si>
  <si>
    <t>Proceeds from sale of PPE</t>
  </si>
  <si>
    <t>Decrease (increase) in other noncurrent assets</t>
  </si>
  <si>
    <t>Net cash provided by (used in) investing activities</t>
  </si>
  <si>
    <t>CASH FLOWS FROM FINANCING ACTIVITIES</t>
  </si>
  <si>
    <t>Availments of:</t>
  </si>
  <si>
    <t>Long-term debt</t>
  </si>
  <si>
    <t>Bank loans</t>
  </si>
  <si>
    <t>Payments of:</t>
  </si>
  <si>
    <t>Interest</t>
  </si>
  <si>
    <t>Dividends</t>
  </si>
  <si>
    <t>Increase in dividends payable</t>
  </si>
  <si>
    <t>Proceeds from deposits for future stock subscriptions</t>
  </si>
  <si>
    <t>Net cash provided by (used in) financing activities</t>
  </si>
  <si>
    <t>NET INCREASE IN CASH AND CASH EQUIVALENTS</t>
  </si>
  <si>
    <t>CASH AND CASH EQUIVALENTS, BEGINNING</t>
  </si>
  <si>
    <t>CASH AND CASH EQUIVALENTS, ENDING</t>
  </si>
  <si>
    <t>For the month</t>
  </si>
  <si>
    <t>For the Year</t>
  </si>
  <si>
    <t>Insurance</t>
  </si>
  <si>
    <t>Salaries  and wages</t>
  </si>
  <si>
    <t>Government remittances</t>
  </si>
  <si>
    <t>Manpower agencies - janitorial, security and others</t>
  </si>
  <si>
    <t>Management fee - basic, royalty and incentive</t>
  </si>
  <si>
    <t>Estate fee</t>
  </si>
  <si>
    <t>Supplies - operating, kitchen and office</t>
  </si>
  <si>
    <t>Utilities  - light, water, kitchen fuel and sewerage</t>
  </si>
  <si>
    <t>Transportation, communication, freight and gas</t>
  </si>
  <si>
    <t>Marketing-related expenses</t>
  </si>
  <si>
    <t>Commission on reservations</t>
  </si>
  <si>
    <t>Service charge distributed</t>
  </si>
  <si>
    <t>Repairs and maintenance fees</t>
  </si>
  <si>
    <t>Revenue receipts</t>
  </si>
  <si>
    <t>Service charges</t>
  </si>
  <si>
    <t>Total cash ending</t>
  </si>
  <si>
    <t>Cash available to operations</t>
  </si>
  <si>
    <t>Receipts</t>
  </si>
  <si>
    <t>Disbursements</t>
  </si>
  <si>
    <t>Interest earned</t>
  </si>
  <si>
    <t>Trade Receivable</t>
  </si>
  <si>
    <t>Affiliate</t>
  </si>
  <si>
    <t>Non-affiliate</t>
  </si>
  <si>
    <t>Total trade receivable</t>
  </si>
  <si>
    <t>Nontrade receivable</t>
  </si>
  <si>
    <t>Total nontrade receivable</t>
  </si>
  <si>
    <t>TOTAL RECEIVABLES</t>
  </si>
  <si>
    <t>0-30 days</t>
  </si>
  <si>
    <t>31-60 days</t>
  </si>
  <si>
    <t>61-90 days</t>
  </si>
  <si>
    <t>91-120 days</t>
  </si>
  <si>
    <t>Current</t>
  </si>
  <si>
    <t>Overdue</t>
  </si>
  <si>
    <t>This Month</t>
  </si>
  <si>
    <t>over 120 days</t>
  </si>
  <si>
    <t>Total This Month</t>
  </si>
  <si>
    <t>TOP FLASH</t>
  </si>
  <si>
    <t>BALANCE SHEET</t>
  </si>
  <si>
    <t>RECEIVABLES</t>
  </si>
  <si>
    <t>Administrative &amp; General</t>
  </si>
  <si>
    <t>Total affiliates</t>
  </si>
  <si>
    <t>Total Non-affiliates</t>
  </si>
  <si>
    <t>THIS YEAR'S BUDGET</t>
  </si>
  <si>
    <t>LAST YEAR'S ACTUAL</t>
  </si>
  <si>
    <t>RECAP:</t>
  </si>
  <si>
    <t>Rooms Revenue</t>
  </si>
  <si>
    <t>Other Operated Departments</t>
  </si>
  <si>
    <t>UNDISTRIBUTED EXPENSES</t>
  </si>
  <si>
    <t>Regular</t>
  </si>
  <si>
    <t>Variance vs.</t>
  </si>
  <si>
    <r>
      <t xml:space="preserve">                                    </t>
    </r>
    <r>
      <rPr>
        <b/>
        <sz val="11"/>
        <color theme="1"/>
        <rFont val="Arial"/>
        <family val="2"/>
      </rPr>
      <t>For the Month</t>
    </r>
  </si>
  <si>
    <r>
      <t xml:space="preserve">                                               </t>
    </r>
    <r>
      <rPr>
        <b/>
        <sz val="11"/>
        <color theme="1"/>
        <rFont val="Arial"/>
        <family val="2"/>
      </rPr>
      <t>For the Year</t>
    </r>
  </si>
  <si>
    <t>PARK INN CLARK</t>
  </si>
  <si>
    <t>CONRAD MANILA BAY</t>
  </si>
  <si>
    <t>JANUARY 2015</t>
  </si>
  <si>
    <t>FEBRUARY 2015</t>
  </si>
  <si>
    <t>MARCH 2015</t>
  </si>
  <si>
    <t>APRIL 2015</t>
  </si>
  <si>
    <t>MAY 2015</t>
  </si>
  <si>
    <t>JUNE 2015</t>
  </si>
  <si>
    <t>JULY 2015</t>
  </si>
  <si>
    <t>AUGUST 2015</t>
  </si>
  <si>
    <t>SEPTEMBER 2015</t>
  </si>
  <si>
    <t>OCTOBER 2015</t>
  </si>
  <si>
    <t>NOVEMBER 2015</t>
  </si>
  <si>
    <t>DECEMBER 2015</t>
  </si>
  <si>
    <t>TOTAL OPERATING REVENUE</t>
  </si>
  <si>
    <t>Miscellaneous Income</t>
  </si>
  <si>
    <t>Rooms - Individual</t>
  </si>
  <si>
    <t>Rooms - Groups</t>
  </si>
  <si>
    <t>Rooms - Others</t>
  </si>
  <si>
    <t>F&amp;B Revenue</t>
  </si>
  <si>
    <t>F&amp;B - Outlets</t>
  </si>
  <si>
    <t>F&amp;B - Banquets</t>
  </si>
  <si>
    <t>Last Forecast</t>
  </si>
  <si>
    <t>Food and Beverage</t>
  </si>
  <si>
    <t>F&amp;B - Cost of Sales</t>
  </si>
  <si>
    <t>OOD - Cost of Sales</t>
  </si>
  <si>
    <t>DEPARTMENTAL EXPENSES</t>
  </si>
  <si>
    <t>Property Operation &amp; Maintenance</t>
  </si>
  <si>
    <t>Management fees</t>
  </si>
  <si>
    <t>INCOME BEFORE NON-OPERATING INCOME &amp; EXPENSES</t>
  </si>
  <si>
    <t>Leases</t>
  </si>
  <si>
    <t>Insurances</t>
  </si>
  <si>
    <t>NON-OPERATING INCOME &amp; EXPENSES</t>
  </si>
  <si>
    <t>INCOME BEFORE INCOME TAXES</t>
  </si>
  <si>
    <t>Income Taxes</t>
  </si>
  <si>
    <t>Occupancy</t>
  </si>
  <si>
    <t>ADR</t>
  </si>
  <si>
    <t>Rooms RevPar</t>
  </si>
  <si>
    <t>Casual (FTE)</t>
  </si>
  <si>
    <t>Info &amp; Telecom Systems</t>
  </si>
  <si>
    <t>F&amp;B cost of sale %</t>
  </si>
  <si>
    <t>Other Expense (Income)</t>
  </si>
  <si>
    <t>Property and Other Taxes</t>
  </si>
  <si>
    <t>Rooms Available</t>
  </si>
  <si>
    <t>FORECAST ON NEXT 3 MONTHS</t>
  </si>
  <si>
    <t>JANUARY 2016</t>
  </si>
  <si>
    <t>FEBRUARY 2016</t>
  </si>
  <si>
    <t>MARCH 2016</t>
  </si>
  <si>
    <t>LY (%)</t>
  </si>
  <si>
    <t>LY</t>
  </si>
  <si>
    <t>3-Month Variance vs</t>
  </si>
  <si>
    <t>2015 Budget</t>
  </si>
  <si>
    <t>THIS YEAR'S ACTUAL / FORECAST</t>
  </si>
  <si>
    <t>THIS YEAR'S ACTUAL / FORECAST - Month-to-Month</t>
  </si>
  <si>
    <t>MONTHLY VARIANCE ANALYSIS</t>
  </si>
  <si>
    <t>VARIANCE ANALYSIS</t>
  </si>
  <si>
    <t>December 31, 2014</t>
  </si>
  <si>
    <t>Trade Payables</t>
  </si>
  <si>
    <t>Total trade payables</t>
  </si>
  <si>
    <t>Nontrade payables</t>
  </si>
  <si>
    <t>Total nontrade payables</t>
  </si>
  <si>
    <t>TOTAL PAYABLES</t>
  </si>
  <si>
    <t>PAYABLES</t>
  </si>
  <si>
    <t>LAST YEAR'S ACTUAL - Month-to-Date</t>
  </si>
  <si>
    <t>THIS YEAR'S BUDGET - Month-to-Date</t>
  </si>
  <si>
    <t>YE 2015</t>
  </si>
  <si>
    <r>
      <t xml:space="preserve">Deposits to FF&amp;E reserves - </t>
    </r>
    <r>
      <rPr>
        <i/>
        <sz val="11"/>
        <color theme="1"/>
        <rFont val="Arial"/>
        <family val="2"/>
      </rPr>
      <t>to date</t>
    </r>
  </si>
  <si>
    <r>
      <t xml:space="preserve">                 </t>
    </r>
    <r>
      <rPr>
        <b/>
        <sz val="11"/>
        <color theme="1"/>
        <rFont val="Arial"/>
        <family val="2"/>
      </rPr>
      <t>For the Month</t>
    </r>
  </si>
  <si>
    <r>
      <t xml:space="preserve">                 </t>
    </r>
    <r>
      <rPr>
        <b/>
        <sz val="11"/>
        <color theme="1"/>
        <rFont val="Arial"/>
        <family val="2"/>
      </rPr>
      <t>For the Year</t>
    </r>
  </si>
  <si>
    <t>2016 - First 3 Mos.</t>
  </si>
  <si>
    <t>2015 - First 3 Mos.</t>
  </si>
  <si>
    <t>2014 Actual</t>
  </si>
  <si>
    <t>Investment property - net</t>
  </si>
  <si>
    <t>Retained earnings</t>
  </si>
  <si>
    <t>Profit center adjustment - investment</t>
  </si>
  <si>
    <t>Profit center adjustment - earnings</t>
  </si>
  <si>
    <t>Other equity adjustments</t>
  </si>
  <si>
    <t>Proceeds from (remittance to) SM Prime HO</t>
  </si>
  <si>
    <t>EQUITY ROLLFORWARD</t>
  </si>
  <si>
    <t>Beginning</t>
  </si>
  <si>
    <t>Earnings</t>
  </si>
  <si>
    <t>End</t>
  </si>
  <si>
    <t>Actual/Forecast</t>
  </si>
  <si>
    <t>Last year</t>
  </si>
  <si>
    <t>Average</t>
  </si>
  <si>
    <t>Prepaid expenses and other current assets</t>
  </si>
  <si>
    <t>Other noncurrent assets</t>
  </si>
  <si>
    <t>F&amp;B - Other Revenue</t>
  </si>
  <si>
    <t>OOD Revenue</t>
  </si>
  <si>
    <t>Customer advances</t>
  </si>
  <si>
    <t>Intercompany receipts</t>
  </si>
  <si>
    <t>Intercompany payments</t>
  </si>
  <si>
    <t>Rentals</t>
  </si>
  <si>
    <t>Manual data entry</t>
  </si>
  <si>
    <t>All data entries should be in absolute number (whether for amount, unit, or sqm)</t>
  </si>
  <si>
    <t>Accomplish all data entries from the "Variance Analysis" tab up to "Equity" tab.</t>
  </si>
  <si>
    <t>Do not insert nor delete any columns and rows in all tabs/worksheets.</t>
  </si>
  <si>
    <t>Do not insert nor delete any tabs/worksheets.</t>
  </si>
  <si>
    <t>Do not delete any formula in the formula cells.</t>
  </si>
  <si>
    <t>Top flash is the summary of hotel performance showing performance this month, performance to date and for the year.</t>
  </si>
  <si>
    <t>Top flash is write-protected, except drop-down cells.</t>
  </si>
  <si>
    <t>In the upper left-most, choose from drop-down list the name of the property and the reporting month.</t>
  </si>
  <si>
    <t>General Guidelines:</t>
  </si>
  <si>
    <t>Top Flash:</t>
  </si>
  <si>
    <t>Next 3-Months:</t>
  </si>
  <si>
    <t>Variance Analysis:</t>
  </si>
  <si>
    <t>Next 3-Months tab is write-protected.  You have to fill out the TY Actual-Forecast tab to complete this worksheet.</t>
  </si>
  <si>
    <t>Variance Analysis is the comparison of forecast versus actual result of current month's performance.</t>
  </si>
  <si>
    <t>Provide brief explanation on the variances for the current month's performance.</t>
  </si>
  <si>
    <t>Variance Analysis is a manual data entry tab. Fill out all cells with green shades.</t>
  </si>
  <si>
    <t>TY Actual-Forecast, TY Budget, LY Actual:</t>
  </si>
  <si>
    <t>These tabs are the month-to-month P&amp;L for this year's forecast, this year's budget and last year's actual.</t>
  </si>
  <si>
    <t>These worksheets need to be filled out to accomplish the Top Flash and Next 3-Months tabs.</t>
  </si>
  <si>
    <t>Other tabs:</t>
  </si>
  <si>
    <t>BS: Balance sheets.</t>
  </si>
  <si>
    <t>CF: Cash flows.</t>
  </si>
  <si>
    <t>Receivables: Aging of receivables.</t>
  </si>
  <si>
    <t>Payables: Aging of payables.</t>
  </si>
  <si>
    <t>Equity: Rollforward of equity.</t>
  </si>
  <si>
    <t>Note:</t>
  </si>
  <si>
    <t>The first 3-months of 2016 section (in TY Actual-Forecast and TY Budget only) is used starting the reporting month of October 2015.</t>
  </si>
  <si>
    <t>The first 3-months of 2015 section (in LY Actual only) is used starting the reporting month of October 2015. Linked from TY Actual-Forecast.</t>
  </si>
  <si>
    <t xml:space="preserve">For purposes of management reporting, the assumption is that equity movement is solely due to earnings/losses. </t>
  </si>
  <si>
    <t>HOTEL NAME</t>
  </si>
  <si>
    <t>F&amp;B - Other Expenses</t>
  </si>
  <si>
    <t>OOD - Other Expenses</t>
  </si>
  <si>
    <t>Earnings should include earnings (or losses) from all profit centers.</t>
  </si>
  <si>
    <t>Hotel Flowthrough</t>
  </si>
  <si>
    <t>THIS YEAR'S ACTUAL / FORECAST - Month-to-Date</t>
  </si>
  <si>
    <t>THIS YEAR'S BUDGET - Month-to-Month</t>
  </si>
  <si>
    <t>LAST YEAR'S ACTUAL - Month-to-Month</t>
  </si>
  <si>
    <t xml:space="preserve">PAYABLES AND OTHER CURRENT LIABILITIES </t>
  </si>
  <si>
    <t>Taal Vista land</t>
  </si>
  <si>
    <t>Building and improvements</t>
  </si>
  <si>
    <t>Total</t>
  </si>
  <si>
    <t>Cost</t>
  </si>
  <si>
    <t>Accumulated Depreciation</t>
  </si>
  <si>
    <t>Net BV</t>
  </si>
  <si>
    <t>December 2015</t>
  </si>
  <si>
    <t>The healthy ADR and Average Check contributed to the increase in GOR.</t>
  </si>
  <si>
    <t>There were several prior months' adjustments in casual labor and OPEX amortization which resulted an unfavorable increase in forecasted expenses.</t>
  </si>
  <si>
    <t xml:space="preserve">Reimbursement from insurance covering the business interruptions claim of Php10M was recorded this month at Php5M.  The other Php5M was already taken last March 2015 (cliam from material damage was erroneously taken up as part of other income instead of reversal of A/R set-up).  Depreciation was higher this month due ot prior months' adjustments.  </t>
  </si>
  <si>
    <t>Statistics are within the +-5% variances except for the labor costs due to prior months' adjustments.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</si>
</sst>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_);_(* \(#,##0.00\);_(* &quot;-&quot;??_);_(@_)"/>
    <numFmt numFmtId="164" formatCode="###0;\-###0"/>
    <numFmt numFmtId="165" formatCode="#,##0;\-#,##0"/>
    <numFmt numFmtId="166" formatCode="##,##0,;[Red]\(##,##0,\)"/>
    <numFmt numFmtId="167" formatCode="0.0%;[Red]\(0.0%\)"/>
    <numFmt numFmtId="168" formatCode="0.0%"/>
    <numFmt numFmtId="169" formatCode="_(* #,##0_);_(* \(#,##0\);_(* &quot;-&quot;??_);_(@_)"/>
    <numFmt numFmtId="170" formatCode="#,##0,_);\(#,##0,\);\-??"/>
    <numFmt numFmtId="171" formatCode="[$-409]d\-mmm;@"/>
    <numFmt numFmtId="172" formatCode="_(* #,##0.0_);_(* \(#,##0.0\);_(* &quot;-&quot;??_);_(@_)"/>
    <numFmt numFmtId="173" formatCode="#,##0.0,_);\(#,##0.0,\);\-??"/>
    <numFmt numFmtId="174" formatCode="#,##0.0,,_);\(#,##0.0,,\)"/>
  </numFmts>
  <fonts count="23">
    <font>
      <sz val="11"/>
      <color theme="1"/>
      <name val="Calibri"/>
      <family val="2"/>
      <scheme val="minor"/>
    </font>
    <font>
      <sz val="11"/>
      <color theme="1"/>
      <name val="Calibri"/>
      <family val="2"/>
      <scheme val="minor"/>
    </font>
    <font>
      <sz val="10"/>
      <name val="Arial"/>
      <family val="2"/>
    </font>
    <font>
      <sz val="10"/>
      <name val="Courier New"/>
      <family val="3"/>
    </font>
    <font>
      <sz val="10"/>
      <name val="Arial"/>
      <family val="2"/>
    </font>
    <font>
      <b/>
      <sz val="11"/>
      <name val="Arial"/>
      <family val="2"/>
    </font>
    <font>
      <sz val="12"/>
      <name val="Arial"/>
      <family val="2"/>
    </font>
    <font>
      <sz val="11"/>
      <color indexed="8"/>
      <name val="Times New Roman"/>
      <family val="1"/>
    </font>
    <font>
      <sz val="11"/>
      <name val="ＭＳ ゴシック"/>
      <family val="3"/>
      <charset val="128"/>
    </font>
    <font>
      <sz val="11"/>
      <color theme="0"/>
      <name val="Arial"/>
      <family val="2"/>
    </font>
    <font>
      <sz val="11"/>
      <name val="Arial"/>
      <family val="2"/>
    </font>
    <font>
      <b/>
      <i/>
      <sz val="11"/>
      <name val="Arial"/>
      <family val="2"/>
    </font>
    <font>
      <sz val="11"/>
      <color theme="1"/>
      <name val="Arial"/>
      <family val="2"/>
    </font>
    <font>
      <b/>
      <sz val="11"/>
      <color theme="1"/>
      <name val="Arial"/>
      <family val="2"/>
    </font>
    <font>
      <b/>
      <i/>
      <u/>
      <sz val="11"/>
      <name val="Arial"/>
      <family val="2"/>
    </font>
    <font>
      <i/>
      <sz val="11"/>
      <color rgb="FFFF0000"/>
      <name val="Arial"/>
      <family val="2"/>
    </font>
    <font>
      <sz val="11"/>
      <color rgb="FFFF0000"/>
      <name val="Arial"/>
      <family val="2"/>
    </font>
    <font>
      <b/>
      <sz val="11"/>
      <color rgb="FF0070C0"/>
      <name val="Arial"/>
      <family val="2"/>
    </font>
    <font>
      <i/>
      <sz val="11"/>
      <color theme="1"/>
      <name val="Arial"/>
      <family val="2"/>
    </font>
    <font>
      <i/>
      <sz val="10"/>
      <color rgb="FFFF0000"/>
      <name val="Arial"/>
      <family val="2"/>
    </font>
    <font>
      <sz val="9"/>
      <color theme="1"/>
      <name val="Arial"/>
      <family val="2"/>
    </font>
    <font>
      <i/>
      <sz val="9"/>
      <color theme="1"/>
      <name val="Arial"/>
      <family val="2"/>
    </font>
    <font>
      <sz val="10"/>
      <color theme="1"/>
      <name val="Arial"/>
      <family val="2"/>
    </font>
  </fonts>
  <fills count="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8" tint="0.79998168889431442"/>
        <bgColor indexed="64"/>
      </patternFill>
    </fill>
    <fill>
      <patternFill patternType="solid">
        <fgColor theme="6" tint="0.59999389629810485"/>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
      <left/>
      <right/>
      <top style="hair">
        <color indexed="64"/>
      </top>
      <bottom style="hair">
        <color indexed="64"/>
      </bottom>
      <diagonal/>
    </border>
    <border>
      <left/>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indexed="64"/>
      </top>
      <bottom style="double">
        <color indexed="64"/>
      </bottom>
      <diagonal/>
    </border>
  </borders>
  <cellStyleXfs count="45">
    <xf numFmtId="0" fontId="0" fillId="0" borderId="0"/>
    <xf numFmtId="9" fontId="1" fillId="0" borderId="0" applyFont="0" applyFill="0" applyBorder="0" applyAlignment="0" applyProtection="0"/>
    <xf numFmtId="43" fontId="1" fillId="0" borderId="0" applyFont="0" applyFill="0" applyBorder="0" applyAlignment="0" applyProtection="0"/>
    <xf numFmtId="0" fontId="3" fillId="0" borderId="0" applyAlignment="0">
      <alignment vertical="top" wrapText="1"/>
      <protection locked="0"/>
    </xf>
    <xf numFmtId="9" fontId="4" fillId="0" borderId="0" applyFont="0" applyFill="0" applyBorder="0" applyAlignment="0" applyProtection="0"/>
    <xf numFmtId="0" fontId="4" fillId="0" borderId="0"/>
    <xf numFmtId="165" fontId="4" fillId="0" borderId="0" applyFont="0" applyFill="0" applyBorder="0" applyAlignment="0" applyProtection="0"/>
    <xf numFmtId="0" fontId="6" fillId="0" borderId="0"/>
    <xf numFmtId="37" fontId="2" fillId="0" borderId="0"/>
    <xf numFmtId="43" fontId="2" fillId="0" borderId="0" applyFont="0" applyFill="0" applyBorder="0" applyAlignment="0" applyProtection="0"/>
    <xf numFmtId="9" fontId="2" fillId="0" borderId="0" applyFont="0" applyFill="0" applyBorder="0" applyAlignment="0" applyProtection="0"/>
    <xf numFmtId="43" fontId="2" fillId="0" borderId="0" applyFill="0" applyBorder="0" applyAlignment="0" applyProtection="0"/>
    <xf numFmtId="43" fontId="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 fillId="0" borderId="0"/>
    <xf numFmtId="37" fontId="2" fillId="0" borderId="0"/>
    <xf numFmtId="37" fontId="2" fillId="0" borderId="0"/>
    <xf numFmtId="0" fontId="1" fillId="0" borderId="0"/>
    <xf numFmtId="0" fontId="1" fillId="0" borderId="0"/>
    <xf numFmtId="0" fontId="2" fillId="0" borderId="0"/>
    <xf numFmtId="0" fontId="6" fillId="0" borderId="0"/>
    <xf numFmtId="40" fontId="7" fillId="3" borderId="0">
      <alignment horizontal="right"/>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8" fillId="0" borderId="0"/>
    <xf numFmtId="9" fontId="2" fillId="0" borderId="0" applyFont="0" applyFill="0" applyBorder="0" applyAlignment="0" applyProtection="0"/>
    <xf numFmtId="0" fontId="2" fillId="0" borderId="0"/>
    <xf numFmtId="165"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cellStyleXfs>
  <cellXfs count="328">
    <xf numFmtId="0" fontId="0" fillId="0" borderId="0" xfId="0"/>
    <xf numFmtId="0" fontId="5" fillId="2" borderId="0" xfId="0" applyFont="1" applyFill="1"/>
    <xf numFmtId="164" fontId="9" fillId="2" borderId="0" xfId="0" applyNumberFormat="1" applyFont="1" applyFill="1"/>
    <xf numFmtId="0" fontId="9" fillId="2" borderId="0" xfId="0" applyFont="1" applyFill="1"/>
    <xf numFmtId="0" fontId="5" fillId="2" borderId="0" xfId="0" applyNumberFormat="1" applyFont="1" applyFill="1"/>
    <xf numFmtId="0" fontId="5" fillId="2" borderId="0" xfId="0" quotePrefix="1" applyFont="1" applyFill="1"/>
    <xf numFmtId="164" fontId="10" fillId="2" borderId="0" xfId="0" applyNumberFormat="1" applyFont="1" applyFill="1"/>
    <xf numFmtId="0" fontId="10" fillId="2" borderId="0" xfId="0" applyFont="1" applyFill="1"/>
    <xf numFmtId="0" fontId="11" fillId="2" borderId="0" xfId="0" applyFont="1" applyFill="1"/>
    <xf numFmtId="164" fontId="12" fillId="2" borderId="6" xfId="0" applyNumberFormat="1" applyFont="1" applyFill="1" applyBorder="1" applyAlignment="1">
      <alignment horizontal="left" indent="3"/>
    </xf>
    <xf numFmtId="164" fontId="12" fillId="2" borderId="6" xfId="0" applyNumberFormat="1" applyFont="1" applyFill="1" applyBorder="1"/>
    <xf numFmtId="0" fontId="12" fillId="2" borderId="6" xfId="0" applyFont="1" applyFill="1" applyBorder="1"/>
    <xf numFmtId="0" fontId="12" fillId="2" borderId="5" xfId="0" applyFont="1" applyFill="1" applyBorder="1"/>
    <xf numFmtId="0" fontId="12" fillId="2" borderId="0" xfId="0" applyFont="1" applyFill="1"/>
    <xf numFmtId="0" fontId="13" fillId="2" borderId="4" xfId="0" applyFont="1" applyFill="1" applyBorder="1" applyAlignment="1">
      <alignment horizontal="left" indent="6"/>
    </xf>
    <xf numFmtId="0" fontId="12" fillId="2" borderId="4" xfId="0" applyFont="1" applyFill="1" applyBorder="1"/>
    <xf numFmtId="0" fontId="13" fillId="2" borderId="6" xfId="0" applyFont="1" applyFill="1" applyBorder="1"/>
    <xf numFmtId="0" fontId="13" fillId="2" borderId="0" xfId="0" applyFont="1" applyFill="1" applyBorder="1" applyAlignment="1">
      <alignment horizontal="center" wrapText="1"/>
    </xf>
    <xf numFmtId="0" fontId="5" fillId="2" borderId="0" xfId="0" applyFont="1" applyFill="1" applyBorder="1"/>
    <xf numFmtId="0" fontId="13" fillId="2" borderId="1" xfId="0" applyFont="1" applyFill="1" applyBorder="1" applyAlignment="1">
      <alignment horizontal="center" wrapText="1"/>
    </xf>
    <xf numFmtId="9" fontId="12" fillId="2" borderId="0" xfId="1" applyFont="1" applyFill="1"/>
    <xf numFmtId="164" fontId="12" fillId="2" borderId="0" xfId="0" applyNumberFormat="1" applyFont="1" applyFill="1"/>
    <xf numFmtId="170" fontId="13" fillId="2" borderId="1" xfId="0" applyNumberFormat="1" applyFont="1" applyFill="1" applyBorder="1"/>
    <xf numFmtId="9" fontId="13" fillId="2" borderId="1" xfId="1" applyFont="1" applyFill="1" applyBorder="1"/>
    <xf numFmtId="0" fontId="13" fillId="2" borderId="0" xfId="0" applyFont="1" applyFill="1"/>
    <xf numFmtId="166" fontId="13" fillId="2" borderId="0" xfId="0" applyNumberFormat="1" applyFont="1" applyFill="1"/>
    <xf numFmtId="9" fontId="12" fillId="2" borderId="0" xfId="1" applyFont="1" applyFill="1" applyBorder="1"/>
    <xf numFmtId="0" fontId="12" fillId="2" borderId="0" xfId="0" applyFont="1" applyFill="1" applyBorder="1"/>
    <xf numFmtId="166" fontId="12" fillId="2" borderId="0" xfId="0" applyNumberFormat="1" applyFont="1" applyFill="1" applyBorder="1"/>
    <xf numFmtId="0" fontId="5" fillId="2" borderId="0" xfId="0" applyFont="1" applyFill="1" applyAlignment="1">
      <alignment horizontal="left" indent="1"/>
    </xf>
    <xf numFmtId="0" fontId="5" fillId="2" borderId="0" xfId="0" applyFont="1" applyFill="1" applyAlignment="1">
      <alignment horizontal="left" indent="3"/>
    </xf>
    <xf numFmtId="170" fontId="12" fillId="2" borderId="1" xfId="0" applyNumberFormat="1" applyFont="1" applyFill="1" applyBorder="1"/>
    <xf numFmtId="9" fontId="12" fillId="2" borderId="1" xfId="1" applyFont="1" applyFill="1" applyBorder="1"/>
    <xf numFmtId="43" fontId="12" fillId="2" borderId="0" xfId="2" applyFont="1" applyFill="1"/>
    <xf numFmtId="169" fontId="12" fillId="2" borderId="0" xfId="2" applyNumberFormat="1" applyFont="1" applyFill="1" applyBorder="1"/>
    <xf numFmtId="0" fontId="14" fillId="2" borderId="0" xfId="0" applyFont="1" applyFill="1" applyBorder="1" applyAlignment="1">
      <alignment horizontal="left" indent="1"/>
    </xf>
    <xf numFmtId="0" fontId="5" fillId="2" borderId="0" xfId="0" applyFont="1" applyFill="1" applyBorder="1" applyAlignment="1">
      <alignment horizontal="left" indent="3"/>
    </xf>
    <xf numFmtId="0" fontId="13" fillId="2" borderId="0" xfId="0" applyFont="1" applyFill="1" applyBorder="1"/>
    <xf numFmtId="166" fontId="13" fillId="2" borderId="0" xfId="0" applyNumberFormat="1" applyFont="1" applyFill="1" applyBorder="1"/>
    <xf numFmtId="0" fontId="5" fillId="2" borderId="0" xfId="0" applyFont="1" applyFill="1" applyBorder="1" applyAlignment="1">
      <alignment horizontal="left" indent="1"/>
    </xf>
    <xf numFmtId="166" fontId="12" fillId="2" borderId="0" xfId="2" applyNumberFormat="1" applyFont="1" applyFill="1" applyBorder="1"/>
    <xf numFmtId="9" fontId="10" fillId="2" borderId="0" xfId="1" applyFont="1" applyFill="1" applyBorder="1"/>
    <xf numFmtId="9" fontId="5" fillId="2" borderId="0" xfId="1" applyFont="1" applyFill="1" applyBorder="1"/>
    <xf numFmtId="9" fontId="13" fillId="2" borderId="0" xfId="1" applyFont="1" applyFill="1" applyBorder="1"/>
    <xf numFmtId="9" fontId="13" fillId="2" borderId="0" xfId="1" applyFont="1" applyFill="1"/>
    <xf numFmtId="167" fontId="10" fillId="2" borderId="0" xfId="1" applyNumberFormat="1" applyFont="1" applyFill="1" applyBorder="1"/>
    <xf numFmtId="167" fontId="5" fillId="2" borderId="0" xfId="1" applyNumberFormat="1" applyFont="1" applyFill="1" applyBorder="1"/>
    <xf numFmtId="167" fontId="13" fillId="2" borderId="0" xfId="1" applyNumberFormat="1" applyFont="1" applyFill="1" applyBorder="1"/>
    <xf numFmtId="167" fontId="13" fillId="2" borderId="0" xfId="1" applyNumberFormat="1" applyFont="1" applyFill="1"/>
    <xf numFmtId="0" fontId="5" fillId="2" borderId="0" xfId="0" applyFont="1" applyFill="1" applyBorder="1" applyAlignment="1">
      <alignment wrapText="1"/>
    </xf>
    <xf numFmtId="9" fontId="5" fillId="2" borderId="0" xfId="1" applyFont="1" applyFill="1"/>
    <xf numFmtId="9" fontId="12" fillId="2" borderId="12" xfId="1" applyFont="1" applyFill="1" applyBorder="1"/>
    <xf numFmtId="9" fontId="13" fillId="2" borderId="12" xfId="1" applyFont="1" applyFill="1" applyBorder="1"/>
    <xf numFmtId="169" fontId="12" fillId="2" borderId="0" xfId="2" applyNumberFormat="1" applyFont="1" applyFill="1"/>
    <xf numFmtId="166" fontId="12" fillId="2" borderId="0" xfId="0" applyNumberFormat="1" applyFont="1" applyFill="1"/>
    <xf numFmtId="169" fontId="12" fillId="2" borderId="0" xfId="1" applyNumberFormat="1" applyFont="1" applyFill="1" applyBorder="1"/>
    <xf numFmtId="0" fontId="5" fillId="2" borderId="0" xfId="2" applyNumberFormat="1" applyFont="1" applyFill="1" applyAlignment="1">
      <alignment horizontal="left" indent="1"/>
    </xf>
    <xf numFmtId="0" fontId="5" fillId="2" borderId="0" xfId="2" applyNumberFormat="1" applyFont="1" applyFill="1" applyAlignment="1">
      <alignment horizontal="left" indent="3"/>
    </xf>
    <xf numFmtId="169" fontId="12" fillId="2" borderId="1" xfId="2" applyNumberFormat="1" applyFont="1" applyFill="1" applyBorder="1"/>
    <xf numFmtId="0" fontId="5" fillId="2" borderId="0" xfId="1" applyNumberFormat="1" applyFont="1" applyFill="1" applyAlignment="1">
      <alignment horizontal="left" indent="1"/>
    </xf>
    <xf numFmtId="0" fontId="5" fillId="2" borderId="0" xfId="1" applyNumberFormat="1" applyFont="1" applyFill="1" applyAlignment="1">
      <alignment horizontal="left" indent="3"/>
    </xf>
    <xf numFmtId="9" fontId="12" fillId="2" borderId="1" xfId="1" applyNumberFormat="1" applyFont="1" applyFill="1" applyBorder="1"/>
    <xf numFmtId="168" fontId="12" fillId="2" borderId="0" xfId="1" applyNumberFormat="1" applyFont="1" applyFill="1"/>
    <xf numFmtId="0" fontId="5" fillId="2" borderId="0" xfId="0" applyNumberFormat="1" applyFont="1" applyFill="1" applyAlignment="1">
      <alignment horizontal="left" indent="1"/>
    </xf>
    <xf numFmtId="0" fontId="5" fillId="2" borderId="0" xfId="0" applyNumberFormat="1" applyFont="1" applyFill="1" applyAlignment="1">
      <alignment horizontal="left" indent="3"/>
    </xf>
    <xf numFmtId="0" fontId="10" fillId="2" borderId="0" xfId="0" applyNumberFormat="1" applyFont="1" applyFill="1" applyAlignment="1">
      <alignment horizontal="left" indent="3"/>
    </xf>
    <xf numFmtId="9" fontId="5" fillId="2" borderId="0" xfId="0" applyNumberFormat="1" applyFont="1" applyFill="1" applyAlignment="1">
      <alignment horizontal="left" indent="1"/>
    </xf>
    <xf numFmtId="9" fontId="5" fillId="2" borderId="0" xfId="0" applyNumberFormat="1" applyFont="1" applyFill="1" applyAlignment="1">
      <alignment horizontal="left" indent="3"/>
    </xf>
    <xf numFmtId="9" fontId="10" fillId="2" borderId="4" xfId="1" applyFont="1" applyFill="1" applyBorder="1" applyAlignment="1">
      <alignment horizontal="right"/>
    </xf>
    <xf numFmtId="164" fontId="12" fillId="2" borderId="1" xfId="0" applyNumberFormat="1" applyFont="1" applyFill="1" applyBorder="1"/>
    <xf numFmtId="17" fontId="13" fillId="2" borderId="0" xfId="0" quotePrefix="1" applyNumberFormat="1" applyFont="1" applyFill="1"/>
    <xf numFmtId="0" fontId="13" fillId="2" borderId="0" xfId="0" quotePrefix="1" applyFont="1" applyFill="1"/>
    <xf numFmtId="170" fontId="13" fillId="4" borderId="1" xfId="0" applyNumberFormat="1" applyFont="1" applyFill="1" applyBorder="1"/>
    <xf numFmtId="9" fontId="13" fillId="4" borderId="1" xfId="1" applyFont="1" applyFill="1" applyBorder="1"/>
    <xf numFmtId="170" fontId="13" fillId="4" borderId="17" xfId="0" applyNumberFormat="1" applyFont="1" applyFill="1" applyBorder="1"/>
    <xf numFmtId="9" fontId="13" fillId="4" borderId="17" xfId="1" applyFont="1" applyFill="1" applyBorder="1"/>
    <xf numFmtId="0" fontId="5" fillId="2" borderId="0" xfId="0" applyFont="1" applyFill="1" applyBorder="1" applyAlignment="1"/>
    <xf numFmtId="0" fontId="13" fillId="2" borderId="1" xfId="0" applyFont="1" applyFill="1" applyBorder="1" applyAlignment="1">
      <alignment horizontal="center" wrapText="1"/>
    </xf>
    <xf numFmtId="0" fontId="13" fillId="2" borderId="18" xfId="0" applyFont="1" applyFill="1" applyBorder="1" applyAlignment="1">
      <alignment wrapText="1"/>
    </xf>
    <xf numFmtId="164" fontId="12" fillId="2" borderId="4" xfId="0" applyNumberFormat="1" applyFont="1" applyFill="1" applyBorder="1" applyAlignment="1">
      <alignment horizontal="left" indent="3"/>
    </xf>
    <xf numFmtId="0" fontId="13" fillId="2" borderId="6" xfId="0" applyFont="1" applyFill="1" applyBorder="1" applyAlignment="1">
      <alignment horizontal="left" indent="6"/>
    </xf>
    <xf numFmtId="17" fontId="13" fillId="2" borderId="12" xfId="0" quotePrefix="1" applyNumberFormat="1" applyFont="1" applyFill="1" applyBorder="1" applyAlignment="1">
      <alignment horizontal="center" vertical="center" wrapText="1"/>
    </xf>
    <xf numFmtId="0" fontId="5" fillId="2" borderId="0" xfId="0" applyFont="1" applyFill="1" applyAlignment="1">
      <alignment horizontal="left" indent="4"/>
    </xf>
    <xf numFmtId="0" fontId="13" fillId="2" borderId="1" xfId="0" applyFont="1" applyFill="1" applyBorder="1" applyAlignment="1">
      <alignment horizontal="center" wrapText="1"/>
    </xf>
    <xf numFmtId="0" fontId="13" fillId="2" borderId="12" xfId="0" applyFont="1" applyFill="1" applyBorder="1" applyAlignment="1">
      <alignment horizontal="center" wrapText="1"/>
    </xf>
    <xf numFmtId="0" fontId="12" fillId="2" borderId="11" xfId="0" applyFont="1" applyFill="1" applyBorder="1"/>
    <xf numFmtId="0" fontId="13" fillId="2" borderId="18" xfId="0" applyFont="1" applyFill="1" applyBorder="1" applyAlignment="1">
      <alignment horizontal="center" wrapText="1"/>
    </xf>
    <xf numFmtId="0" fontId="12" fillId="2" borderId="0" xfId="1" applyNumberFormat="1" applyFont="1" applyFill="1"/>
    <xf numFmtId="0" fontId="12" fillId="2" borderId="0" xfId="2" applyNumberFormat="1" applyFont="1" applyFill="1"/>
    <xf numFmtId="0" fontId="13" fillId="2" borderId="1" xfId="0" applyNumberFormat="1" applyFont="1" applyFill="1" applyBorder="1"/>
    <xf numFmtId="0" fontId="12" fillId="2" borderId="0" xfId="2" applyNumberFormat="1" applyFont="1" applyFill="1" applyBorder="1"/>
    <xf numFmtId="0" fontId="12" fillId="2" borderId="0" xfId="1" applyNumberFormat="1" applyFont="1" applyFill="1" applyBorder="1"/>
    <xf numFmtId="0" fontId="12" fillId="2" borderId="1" xfId="1" applyNumberFormat="1" applyFont="1" applyFill="1" applyBorder="1"/>
    <xf numFmtId="0" fontId="12" fillId="2" borderId="0" xfId="0" applyNumberFormat="1" applyFont="1" applyFill="1"/>
    <xf numFmtId="0" fontId="13" fillId="2" borderId="11" xfId="0" applyFont="1" applyFill="1" applyBorder="1" applyAlignment="1">
      <alignment wrapText="1"/>
    </xf>
    <xf numFmtId="9" fontId="12" fillId="2" borderId="4" xfId="1" applyFont="1" applyFill="1" applyBorder="1"/>
    <xf numFmtId="9" fontId="12" fillId="2" borderId="13" xfId="1" applyFont="1" applyFill="1" applyBorder="1"/>
    <xf numFmtId="0" fontId="13" fillId="2" borderId="1" xfId="0" applyFont="1" applyFill="1" applyBorder="1" applyAlignment="1">
      <alignment horizontal="center" wrapText="1"/>
    </xf>
    <xf numFmtId="0" fontId="13" fillId="2" borderId="4" xfId="0" applyFont="1" applyFill="1" applyBorder="1"/>
    <xf numFmtId="0" fontId="12" fillId="2" borderId="0" xfId="0" applyFont="1" applyFill="1" applyAlignment="1">
      <alignment wrapText="1"/>
    </xf>
    <xf numFmtId="0" fontId="12" fillId="2" borderId="0" xfId="0" applyFont="1" applyFill="1" applyBorder="1" applyAlignment="1">
      <alignment wrapText="1"/>
    </xf>
    <xf numFmtId="0" fontId="13" fillId="2" borderId="15" xfId="0" applyFont="1" applyFill="1" applyBorder="1" applyAlignment="1">
      <alignment wrapText="1"/>
    </xf>
    <xf numFmtId="0" fontId="13" fillId="2" borderId="2" xfId="0" applyFont="1" applyFill="1" applyBorder="1" applyAlignment="1">
      <alignment horizontal="center" wrapText="1"/>
    </xf>
    <xf numFmtId="0" fontId="13" fillId="2" borderId="2" xfId="0" quotePrefix="1" applyFont="1" applyFill="1" applyBorder="1" applyAlignment="1">
      <alignment horizontal="center" wrapText="1"/>
    </xf>
    <xf numFmtId="0" fontId="17" fillId="2" borderId="0" xfId="0" applyFont="1" applyFill="1" applyAlignment="1">
      <alignment horizontal="center"/>
    </xf>
    <xf numFmtId="0" fontId="12" fillId="2" borderId="0" xfId="0" applyFont="1" applyFill="1" applyBorder="1" applyAlignment="1">
      <alignment horizontal="center" wrapText="1"/>
    </xf>
    <xf numFmtId="0" fontId="12" fillId="2" borderId="0" xfId="0" quotePrefix="1" applyFont="1" applyFill="1" applyBorder="1" applyAlignment="1">
      <alignment horizontal="center" wrapText="1"/>
    </xf>
    <xf numFmtId="38" fontId="5" fillId="2" borderId="0" xfId="7" applyNumberFormat="1" applyFont="1" applyFill="1" applyBorder="1" applyAlignment="1">
      <alignment horizontal="center"/>
    </xf>
    <xf numFmtId="170" fontId="12" fillId="2" borderId="0" xfId="0" applyNumberFormat="1" applyFont="1" applyFill="1" applyBorder="1"/>
    <xf numFmtId="9" fontId="12" fillId="2" borderId="0" xfId="1" applyFont="1" applyFill="1" applyAlignment="1">
      <alignment wrapText="1"/>
    </xf>
    <xf numFmtId="170" fontId="13" fillId="2" borderId="6" xfId="0" applyNumberFormat="1" applyFont="1" applyFill="1" applyBorder="1"/>
    <xf numFmtId="9" fontId="13" fillId="2" borderId="6" xfId="1" applyFont="1" applyFill="1" applyBorder="1" applyAlignment="1">
      <alignment wrapText="1"/>
    </xf>
    <xf numFmtId="0" fontId="13" fillId="2" borderId="0" xfId="0" applyFont="1" applyFill="1" applyBorder="1" applyAlignment="1">
      <alignment wrapText="1"/>
    </xf>
    <xf numFmtId="0" fontId="13" fillId="2" borderId="3" xfId="0" applyFont="1" applyFill="1" applyBorder="1"/>
    <xf numFmtId="170" fontId="13" fillId="2" borderId="3" xfId="0" applyNumberFormat="1" applyFont="1" applyFill="1" applyBorder="1"/>
    <xf numFmtId="9" fontId="13" fillId="2" borderId="3" xfId="1" applyFont="1" applyFill="1" applyBorder="1" applyAlignment="1">
      <alignment wrapText="1"/>
    </xf>
    <xf numFmtId="0" fontId="15" fillId="2" borderId="0" xfId="0" applyFont="1" applyFill="1"/>
    <xf numFmtId="0" fontId="16" fillId="2" borderId="0" xfId="0" applyFont="1" applyFill="1"/>
    <xf numFmtId="170" fontId="15" fillId="2" borderId="0" xfId="0" applyNumberFormat="1" applyFont="1" applyFill="1" applyBorder="1"/>
    <xf numFmtId="0" fontId="12" fillId="2" borderId="7" xfId="0" applyFont="1" applyFill="1" applyBorder="1" applyAlignment="1">
      <alignment wrapText="1"/>
    </xf>
    <xf numFmtId="0" fontId="12" fillId="2" borderId="15" xfId="0" applyFont="1" applyFill="1" applyBorder="1" applyAlignment="1">
      <alignment wrapText="1"/>
    </xf>
    <xf numFmtId="0" fontId="13" fillId="2" borderId="15" xfId="0" applyFont="1" applyFill="1" applyBorder="1" applyAlignment="1"/>
    <xf numFmtId="0" fontId="12" fillId="2" borderId="10" xfId="0" applyFont="1" applyFill="1" applyBorder="1" applyAlignment="1">
      <alignment wrapText="1"/>
    </xf>
    <xf numFmtId="0" fontId="13" fillId="2" borderId="11" xfId="0" applyFont="1" applyFill="1" applyBorder="1" applyAlignment="1">
      <alignment horizontal="center"/>
    </xf>
    <xf numFmtId="0" fontId="13" fillId="2" borderId="10" xfId="0" applyFont="1" applyFill="1" applyBorder="1" applyAlignment="1">
      <alignment horizontal="center"/>
    </xf>
    <xf numFmtId="0" fontId="17" fillId="2" borderId="0" xfId="0" applyFont="1" applyFill="1" applyBorder="1" applyAlignment="1">
      <alignment horizontal="center"/>
    </xf>
    <xf numFmtId="0" fontId="13" fillId="2" borderId="12" xfId="0" applyFont="1" applyFill="1" applyBorder="1" applyAlignment="1">
      <alignment horizontal="center"/>
    </xf>
    <xf numFmtId="0" fontId="13" fillId="2" borderId="14" xfId="0" applyFont="1" applyFill="1" applyBorder="1" applyAlignment="1">
      <alignment horizontal="center"/>
    </xf>
    <xf numFmtId="0" fontId="13" fillId="2" borderId="2" xfId="0" applyFont="1" applyFill="1" applyBorder="1" applyAlignment="1">
      <alignment horizontal="center"/>
    </xf>
    <xf numFmtId="17" fontId="13" fillId="2" borderId="1" xfId="0" applyNumberFormat="1" applyFont="1" applyFill="1" applyBorder="1" applyAlignment="1">
      <alignment horizontal="center" wrapText="1"/>
    </xf>
    <xf numFmtId="17" fontId="12" fillId="2" borderId="0" xfId="0" applyNumberFormat="1" applyFont="1" applyFill="1" applyAlignment="1">
      <alignment wrapText="1"/>
    </xf>
    <xf numFmtId="0" fontId="12" fillId="2" borderId="0" xfId="0" applyFont="1" applyFill="1" applyAlignment="1">
      <alignment horizontal="left" indent="3"/>
    </xf>
    <xf numFmtId="0" fontId="12" fillId="2" borderId="0" xfId="0" applyFont="1" applyFill="1" applyBorder="1" applyAlignment="1">
      <alignment horizontal="left" indent="3"/>
    </xf>
    <xf numFmtId="9" fontId="12" fillId="2" borderId="0" xfId="1" applyFont="1" applyFill="1" applyBorder="1" applyAlignment="1">
      <alignment horizontal="left" indent="3"/>
    </xf>
    <xf numFmtId="0" fontId="13" fillId="2" borderId="0" xfId="0" applyFont="1" applyFill="1" applyAlignment="1">
      <alignment wrapText="1"/>
    </xf>
    <xf numFmtId="0" fontId="12" fillId="2" borderId="0" xfId="0" applyFont="1" applyFill="1" applyBorder="1" applyAlignment="1">
      <alignment horizontal="left" indent="2"/>
    </xf>
    <xf numFmtId="170" fontId="13" fillId="2" borderId="17" xfId="0" applyNumberFormat="1" applyFont="1" applyFill="1" applyBorder="1"/>
    <xf numFmtId="0" fontId="13" fillId="2" borderId="9" xfId="0" applyFont="1" applyFill="1" applyBorder="1"/>
    <xf numFmtId="3" fontId="12" fillId="2" borderId="0" xfId="0" applyNumberFormat="1" applyFont="1" applyFill="1"/>
    <xf numFmtId="169" fontId="12" fillId="2" borderId="0" xfId="0" applyNumberFormat="1" applyFont="1" applyFill="1"/>
    <xf numFmtId="43" fontId="12" fillId="2" borderId="0" xfId="0" applyNumberFormat="1" applyFont="1" applyFill="1"/>
    <xf numFmtId="0" fontId="12" fillId="2" borderId="7" xfId="0" applyFont="1" applyFill="1" applyBorder="1"/>
    <xf numFmtId="0" fontId="12" fillId="2" borderId="15" xfId="0" applyFont="1" applyFill="1" applyBorder="1"/>
    <xf numFmtId="0" fontId="13" fillId="2" borderId="1" xfId="0" applyFont="1" applyFill="1" applyBorder="1" applyAlignment="1">
      <alignment horizontal="center" vertical="center"/>
    </xf>
    <xf numFmtId="38" fontId="5" fillId="2" borderId="8" xfId="7" applyNumberFormat="1" applyFont="1" applyFill="1" applyBorder="1" applyAlignment="1">
      <alignment horizontal="left"/>
    </xf>
    <xf numFmtId="0" fontId="12" fillId="2" borderId="9" xfId="0" applyFont="1" applyFill="1" applyBorder="1"/>
    <xf numFmtId="0" fontId="13" fillId="2" borderId="12" xfId="0" applyFont="1" applyFill="1" applyBorder="1" applyAlignment="1">
      <alignment horizontal="center" vertical="center" wrapText="1"/>
    </xf>
    <xf numFmtId="0" fontId="13" fillId="2" borderId="14"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2" fillId="2" borderId="9" xfId="0" applyFont="1" applyFill="1" applyBorder="1" applyAlignment="1">
      <alignment wrapText="1"/>
    </xf>
    <xf numFmtId="0" fontId="13" fillId="2" borderId="8" xfId="0" applyFont="1" applyFill="1" applyBorder="1"/>
    <xf numFmtId="9" fontId="12" fillId="2" borderId="9" xfId="1" applyFont="1" applyFill="1" applyBorder="1" applyAlignment="1">
      <alignment wrapText="1"/>
    </xf>
    <xf numFmtId="0" fontId="12" fillId="2" borderId="8" xfId="0" applyFont="1" applyFill="1" applyBorder="1" applyAlignment="1">
      <alignment horizontal="left" indent="3"/>
    </xf>
    <xf numFmtId="170" fontId="12" fillId="2" borderId="18" xfId="0" applyNumberFormat="1" applyFont="1" applyFill="1" applyBorder="1"/>
    <xf numFmtId="0" fontId="13" fillId="2" borderId="5" xfId="0" applyFont="1" applyFill="1" applyBorder="1"/>
    <xf numFmtId="9" fontId="13" fillId="2" borderId="5" xfId="1" applyFont="1" applyFill="1" applyBorder="1" applyAlignment="1">
      <alignment wrapText="1"/>
    </xf>
    <xf numFmtId="0" fontId="13" fillId="2" borderId="9" xfId="0" applyFont="1" applyFill="1" applyBorder="1" applyAlignment="1">
      <alignment wrapText="1"/>
    </xf>
    <xf numFmtId="0" fontId="12" fillId="2" borderId="8" xfId="0" applyFont="1" applyFill="1" applyBorder="1"/>
    <xf numFmtId="0" fontId="12" fillId="2" borderId="18" xfId="0" applyFont="1" applyFill="1" applyBorder="1"/>
    <xf numFmtId="0" fontId="13" fillId="2" borderId="21" xfId="0" applyFont="1" applyFill="1" applyBorder="1"/>
    <xf numFmtId="170" fontId="13" fillId="2" borderId="19" xfId="0" applyNumberFormat="1" applyFont="1" applyFill="1" applyBorder="1"/>
    <xf numFmtId="9" fontId="13" fillId="2" borderId="20" xfId="1" applyFont="1" applyFill="1" applyBorder="1" applyAlignment="1">
      <alignment wrapText="1"/>
    </xf>
    <xf numFmtId="170" fontId="13" fillId="2" borderId="0" xfId="0" applyNumberFormat="1" applyFont="1" applyFill="1" applyBorder="1"/>
    <xf numFmtId="9" fontId="13" fillId="2" borderId="0" xfId="1" applyFont="1" applyFill="1" applyBorder="1" applyAlignment="1">
      <alignment wrapText="1"/>
    </xf>
    <xf numFmtId="0" fontId="13" fillId="2" borderId="7" xfId="0" applyFont="1" applyFill="1" applyBorder="1"/>
    <xf numFmtId="0" fontId="12" fillId="2" borderId="10" xfId="0" applyFont="1" applyFill="1" applyBorder="1"/>
    <xf numFmtId="170" fontId="12" fillId="2" borderId="9" xfId="0" applyNumberFormat="1" applyFont="1" applyFill="1" applyBorder="1"/>
    <xf numFmtId="0" fontId="13" fillId="2" borderId="22" xfId="0" applyFont="1" applyFill="1" applyBorder="1"/>
    <xf numFmtId="0" fontId="12" fillId="2" borderId="23" xfId="0" applyFont="1" applyFill="1" applyBorder="1"/>
    <xf numFmtId="170" fontId="12" fillId="2" borderId="23" xfId="0" applyNumberFormat="1" applyFont="1" applyFill="1" applyBorder="1"/>
    <xf numFmtId="170" fontId="12" fillId="2" borderId="16" xfId="0" applyNumberFormat="1" applyFont="1" applyFill="1" applyBorder="1"/>
    <xf numFmtId="0" fontId="16" fillId="2" borderId="0" xfId="0" applyFont="1" applyFill="1" applyAlignment="1">
      <alignment wrapText="1"/>
    </xf>
    <xf numFmtId="0" fontId="12" fillId="2" borderId="11" xfId="0" applyFont="1" applyFill="1" applyBorder="1" applyAlignment="1">
      <alignment wrapText="1"/>
    </xf>
    <xf numFmtId="9" fontId="13" fillId="2" borderId="17" xfId="1" applyFont="1" applyFill="1" applyBorder="1"/>
    <xf numFmtId="170" fontId="13" fillId="2" borderId="23" xfId="0" applyNumberFormat="1" applyFont="1" applyFill="1" applyBorder="1"/>
    <xf numFmtId="170" fontId="13" fillId="2" borderId="16" xfId="0" applyNumberFormat="1" applyFont="1" applyFill="1" applyBorder="1"/>
    <xf numFmtId="9" fontId="13" fillId="2" borderId="23" xfId="1" applyFont="1" applyFill="1" applyBorder="1"/>
    <xf numFmtId="9" fontId="13" fillId="2" borderId="16" xfId="1" applyFont="1" applyFill="1" applyBorder="1" applyAlignment="1">
      <alignment wrapText="1"/>
    </xf>
    <xf numFmtId="172" fontId="12" fillId="2" borderId="1" xfId="2" applyNumberFormat="1" applyFont="1" applyFill="1" applyBorder="1"/>
    <xf numFmtId="0" fontId="12" fillId="2" borderId="0" xfId="0" applyFont="1" applyFill="1" applyAlignment="1">
      <alignment horizontal="center"/>
    </xf>
    <xf numFmtId="0" fontId="12" fillId="2" borderId="0" xfId="0" applyFont="1" applyFill="1" applyAlignment="1">
      <alignment horizontal="center" vertical="center"/>
    </xf>
    <xf numFmtId="17" fontId="12" fillId="2" borderId="0" xfId="0" applyNumberFormat="1" applyFont="1" applyFill="1"/>
    <xf numFmtId="0" fontId="13" fillId="2" borderId="1" xfId="0" applyFont="1" applyFill="1" applyBorder="1" applyAlignment="1">
      <alignment horizontal="center" vertical="center"/>
    </xf>
    <xf numFmtId="0" fontId="13" fillId="2" borderId="0" xfId="0" applyFont="1" applyFill="1" applyAlignment="1">
      <alignment horizontal="center" vertical="center"/>
    </xf>
    <xf numFmtId="173" fontId="12" fillId="2" borderId="0" xfId="0" applyNumberFormat="1" applyFont="1" applyFill="1"/>
    <xf numFmtId="172" fontId="12" fillId="2" borderId="0" xfId="2" applyNumberFormat="1" applyFont="1" applyFill="1"/>
    <xf numFmtId="43" fontId="12" fillId="2" borderId="1" xfId="2" applyNumberFormat="1" applyFont="1" applyFill="1" applyBorder="1"/>
    <xf numFmtId="170" fontId="12" fillId="2" borderId="0" xfId="0" applyNumberFormat="1" applyFont="1" applyFill="1"/>
    <xf numFmtId="170" fontId="12" fillId="5" borderId="1" xfId="0" applyNumberFormat="1" applyFont="1" applyFill="1" applyBorder="1"/>
    <xf numFmtId="169" fontId="12" fillId="5" borderId="1" xfId="2" applyNumberFormat="1" applyFont="1" applyFill="1" applyBorder="1"/>
    <xf numFmtId="9" fontId="12" fillId="5" borderId="1" xfId="1" applyFont="1" applyFill="1" applyBorder="1"/>
    <xf numFmtId="173" fontId="12" fillId="5" borderId="1" xfId="0" applyNumberFormat="1" applyFont="1" applyFill="1" applyBorder="1"/>
    <xf numFmtId="170" fontId="12" fillId="5" borderId="0" xfId="0" applyNumberFormat="1" applyFont="1" applyFill="1" applyBorder="1"/>
    <xf numFmtId="170" fontId="12" fillId="2" borderId="24" xfId="0" applyNumberFormat="1" applyFont="1" applyFill="1" applyBorder="1"/>
    <xf numFmtId="170" fontId="12" fillId="5" borderId="24" xfId="0" applyNumberFormat="1" applyFont="1" applyFill="1" applyBorder="1"/>
    <xf numFmtId="9" fontId="12" fillId="2" borderId="0" xfId="1" applyFont="1" applyFill="1" applyBorder="1" applyAlignment="1">
      <alignment wrapText="1"/>
    </xf>
    <xf numFmtId="0" fontId="12" fillId="2" borderId="25" xfId="0" applyFont="1" applyFill="1" applyBorder="1" applyAlignment="1">
      <alignment wrapText="1"/>
    </xf>
    <xf numFmtId="170" fontId="12" fillId="2" borderId="27" xfId="0" applyNumberFormat="1" applyFont="1" applyFill="1" applyBorder="1"/>
    <xf numFmtId="0" fontId="12" fillId="2" borderId="27" xfId="0" applyFont="1" applyFill="1" applyBorder="1"/>
    <xf numFmtId="9" fontId="12" fillId="2" borderId="27" xfId="1" applyFont="1" applyFill="1" applyBorder="1" applyAlignment="1">
      <alignment wrapText="1"/>
    </xf>
    <xf numFmtId="0" fontId="12" fillId="2" borderId="26" xfId="0" applyFont="1" applyFill="1" applyBorder="1"/>
    <xf numFmtId="170" fontId="12" fillId="2" borderId="26" xfId="0" applyNumberFormat="1" applyFont="1" applyFill="1" applyBorder="1"/>
    <xf numFmtId="9" fontId="12" fillId="2" borderId="26" xfId="1" applyFont="1" applyFill="1" applyBorder="1" applyAlignment="1">
      <alignment wrapText="1"/>
    </xf>
    <xf numFmtId="0" fontId="12" fillId="2" borderId="25" xfId="0" applyFont="1" applyFill="1" applyBorder="1"/>
    <xf numFmtId="170" fontId="12" fillId="2" borderId="25" xfId="0" applyNumberFormat="1" applyFont="1" applyFill="1" applyBorder="1"/>
    <xf numFmtId="9" fontId="12" fillId="2" borderId="25" xfId="1" applyFont="1" applyFill="1" applyBorder="1" applyAlignment="1">
      <alignment wrapText="1"/>
    </xf>
    <xf numFmtId="170" fontId="12" fillId="5" borderId="25" xfId="0" applyNumberFormat="1" applyFont="1" applyFill="1" applyBorder="1"/>
    <xf numFmtId="0" fontId="13" fillId="2" borderId="25" xfId="0" applyFont="1" applyFill="1" applyBorder="1"/>
    <xf numFmtId="170" fontId="12" fillId="5" borderId="27" xfId="0" applyNumberFormat="1" applyFont="1" applyFill="1" applyBorder="1"/>
    <xf numFmtId="38" fontId="5" fillId="2" borderId="0" xfId="7" applyNumberFormat="1" applyFont="1" applyFill="1" applyBorder="1" applyAlignment="1"/>
    <xf numFmtId="170" fontId="12" fillId="2" borderId="28" xfId="0" applyNumberFormat="1" applyFont="1" applyFill="1" applyBorder="1"/>
    <xf numFmtId="170" fontId="12" fillId="5" borderId="28" xfId="0" applyNumberFormat="1" applyFont="1" applyFill="1" applyBorder="1"/>
    <xf numFmtId="170" fontId="12" fillId="2" borderId="29" xfId="0" applyNumberFormat="1" applyFont="1" applyFill="1" applyBorder="1"/>
    <xf numFmtId="170" fontId="12" fillId="5" borderId="29" xfId="0" applyNumberFormat="1" applyFont="1" applyFill="1" applyBorder="1"/>
    <xf numFmtId="170" fontId="12" fillId="2" borderId="30" xfId="0" applyNumberFormat="1" applyFont="1" applyFill="1" applyBorder="1"/>
    <xf numFmtId="9" fontId="12" fillId="2" borderId="31" xfId="1" applyFont="1" applyFill="1" applyBorder="1"/>
    <xf numFmtId="170" fontId="12" fillId="2" borderId="32" xfId="0" applyNumberFormat="1" applyFont="1" applyFill="1" applyBorder="1"/>
    <xf numFmtId="9" fontId="12" fillId="2" borderId="33" xfId="1" applyFont="1" applyFill="1" applyBorder="1"/>
    <xf numFmtId="170" fontId="12" fillId="2" borderId="34" xfId="0" applyNumberFormat="1" applyFont="1" applyFill="1" applyBorder="1"/>
    <xf numFmtId="170" fontId="12" fillId="2" borderId="35" xfId="0" applyNumberFormat="1" applyFont="1" applyFill="1" applyBorder="1"/>
    <xf numFmtId="9" fontId="12" fillId="2" borderId="36" xfId="1" applyFont="1" applyFill="1" applyBorder="1"/>
    <xf numFmtId="170" fontId="12" fillId="5" borderId="30" xfId="0" applyNumberFormat="1" applyFont="1" applyFill="1" applyBorder="1"/>
    <xf numFmtId="170" fontId="12" fillId="2" borderId="31" xfId="0" applyNumberFormat="1" applyFont="1" applyFill="1" applyBorder="1"/>
    <xf numFmtId="170" fontId="12" fillId="5" borderId="32" xfId="0" applyNumberFormat="1" applyFont="1" applyFill="1" applyBorder="1"/>
    <xf numFmtId="170" fontId="12" fillId="2" borderId="33" xfId="0" applyNumberFormat="1" applyFont="1" applyFill="1" applyBorder="1"/>
    <xf numFmtId="170" fontId="12" fillId="5" borderId="34" xfId="0" applyNumberFormat="1" applyFont="1" applyFill="1" applyBorder="1"/>
    <xf numFmtId="170" fontId="12" fillId="5" borderId="35" xfId="0" applyNumberFormat="1" applyFont="1" applyFill="1" applyBorder="1"/>
    <xf numFmtId="170" fontId="12" fillId="2" borderId="36" xfId="0" applyNumberFormat="1" applyFont="1" applyFill="1" applyBorder="1"/>
    <xf numFmtId="170" fontId="12" fillId="2" borderId="37" xfId="0" applyNumberFormat="1" applyFont="1" applyFill="1" applyBorder="1"/>
    <xf numFmtId="170" fontId="12" fillId="2" borderId="38" xfId="0" applyNumberFormat="1" applyFont="1" applyFill="1" applyBorder="1"/>
    <xf numFmtId="9" fontId="12" fillId="2" borderId="39" xfId="1" applyFont="1" applyFill="1" applyBorder="1"/>
    <xf numFmtId="170" fontId="12" fillId="2" borderId="40" xfId="0" applyNumberFormat="1" applyFont="1" applyFill="1" applyBorder="1"/>
    <xf numFmtId="9" fontId="12" fillId="2" borderId="41" xfId="1" applyFont="1" applyFill="1" applyBorder="1"/>
    <xf numFmtId="170" fontId="12" fillId="5" borderId="37" xfId="0" applyNumberFormat="1" applyFont="1" applyFill="1" applyBorder="1"/>
    <xf numFmtId="170" fontId="12" fillId="5" borderId="38" xfId="0" applyNumberFormat="1" applyFont="1" applyFill="1" applyBorder="1"/>
    <xf numFmtId="170" fontId="12" fillId="2" borderId="39" xfId="0" applyNumberFormat="1" applyFont="1" applyFill="1" applyBorder="1"/>
    <xf numFmtId="170" fontId="12" fillId="5" borderId="40" xfId="0" applyNumberFormat="1" applyFont="1" applyFill="1" applyBorder="1"/>
    <xf numFmtId="170" fontId="12" fillId="2" borderId="41" xfId="0" applyNumberFormat="1" applyFont="1" applyFill="1" applyBorder="1"/>
    <xf numFmtId="0" fontId="13" fillId="2" borderId="39" xfId="0" applyFont="1" applyFill="1" applyBorder="1"/>
    <xf numFmtId="0" fontId="13" fillId="2" borderId="33" xfId="0" applyFont="1" applyFill="1" applyBorder="1"/>
    <xf numFmtId="0" fontId="12" fillId="2" borderId="43" xfId="0" applyFont="1" applyFill="1" applyBorder="1" applyAlignment="1">
      <alignment horizontal="left" indent="3"/>
    </xf>
    <xf numFmtId="0" fontId="12" fillId="2" borderId="44" xfId="0" applyFont="1" applyFill="1" applyBorder="1"/>
    <xf numFmtId="170" fontId="12" fillId="2" borderId="42" xfId="0" applyNumberFormat="1" applyFont="1" applyFill="1" applyBorder="1"/>
    <xf numFmtId="9" fontId="12" fillId="2" borderId="44" xfId="1" applyFont="1" applyFill="1" applyBorder="1" applyAlignment="1">
      <alignment wrapText="1"/>
    </xf>
    <xf numFmtId="170" fontId="12" fillId="2" borderId="44" xfId="0" applyNumberFormat="1" applyFont="1" applyFill="1" applyBorder="1"/>
    <xf numFmtId="170" fontId="12" fillId="5" borderId="18" xfId="0" applyNumberFormat="1" applyFont="1" applyFill="1" applyBorder="1"/>
    <xf numFmtId="0" fontId="19" fillId="2" borderId="0" xfId="0" applyFont="1" applyFill="1" applyAlignment="1">
      <alignment horizontal="center"/>
    </xf>
    <xf numFmtId="170" fontId="19" fillId="2" borderId="0" xfId="0" applyNumberFormat="1" applyFont="1" applyFill="1" applyBorder="1" applyAlignment="1">
      <alignment horizontal="center"/>
    </xf>
    <xf numFmtId="170" fontId="19" fillId="2" borderId="0" xfId="0" applyNumberFormat="1" applyFont="1" applyFill="1" applyBorder="1"/>
    <xf numFmtId="9" fontId="19" fillId="2" borderId="0" xfId="1" applyFont="1" applyFill="1" applyBorder="1"/>
    <xf numFmtId="0" fontId="19" fillId="2" borderId="0" xfId="0" applyFont="1" applyFill="1" applyBorder="1" applyAlignment="1">
      <alignment wrapText="1"/>
    </xf>
    <xf numFmtId="0" fontId="19" fillId="2" borderId="0" xfId="0" applyFont="1" applyFill="1"/>
    <xf numFmtId="170" fontId="12" fillId="5" borderId="42" xfId="0" applyNumberFormat="1" applyFont="1" applyFill="1" applyBorder="1"/>
    <xf numFmtId="174" fontId="0" fillId="5" borderId="45" xfId="0" applyNumberFormat="1" applyFont="1" applyFill="1" applyBorder="1" applyAlignment="1" applyProtection="1">
      <alignment vertical="center"/>
      <protection locked="0"/>
    </xf>
    <xf numFmtId="170" fontId="13" fillId="5" borderId="1" xfId="0" applyNumberFormat="1" applyFont="1" applyFill="1" applyBorder="1"/>
    <xf numFmtId="0" fontId="20" fillId="2" borderId="0" xfId="0" applyFont="1" applyFill="1" applyAlignment="1">
      <alignment horizontal="right"/>
    </xf>
    <xf numFmtId="0" fontId="20" fillId="2" borderId="0" xfId="0" applyFont="1" applyFill="1"/>
    <xf numFmtId="17" fontId="21" fillId="2" borderId="0" xfId="0" applyNumberFormat="1" applyFont="1" applyFill="1"/>
    <xf numFmtId="173" fontId="12" fillId="2" borderId="1" xfId="0" applyNumberFormat="1" applyFont="1" applyFill="1" applyBorder="1"/>
    <xf numFmtId="0" fontId="13" fillId="2" borderId="1" xfId="0" applyFont="1" applyFill="1" applyBorder="1" applyAlignment="1">
      <alignment horizontal="center" wrapText="1"/>
    </xf>
    <xf numFmtId="17" fontId="13" fillId="2" borderId="1" xfId="0" quotePrefix="1" applyNumberFormat="1" applyFont="1" applyFill="1" applyBorder="1" applyAlignment="1">
      <alignment horizontal="center" vertical="center" wrapText="1"/>
    </xf>
    <xf numFmtId="170" fontId="12" fillId="5" borderId="1" xfId="0" applyNumberFormat="1" applyFont="1" applyFill="1" applyBorder="1" applyProtection="1"/>
    <xf numFmtId="9" fontId="12" fillId="2" borderId="15" xfId="1" applyFont="1" applyFill="1" applyBorder="1"/>
    <xf numFmtId="170" fontId="12" fillId="2" borderId="0" xfId="0" applyNumberFormat="1" applyFont="1" applyFill="1" applyAlignment="1">
      <alignment wrapText="1"/>
    </xf>
    <xf numFmtId="170" fontId="12" fillId="5" borderId="18" xfId="0" applyNumberFormat="1" applyFont="1" applyFill="1" applyBorder="1" applyProtection="1"/>
    <xf numFmtId="170" fontId="12" fillId="5" borderId="25" xfId="0" applyNumberFormat="1" applyFont="1" applyFill="1" applyBorder="1" applyProtection="1"/>
    <xf numFmtId="170" fontId="12" fillId="5" borderId="0" xfId="0" applyNumberFormat="1" applyFont="1" applyFill="1" applyBorder="1" applyProtection="1"/>
    <xf numFmtId="170" fontId="12" fillId="5" borderId="24" xfId="0" applyNumberFormat="1" applyFont="1" applyFill="1" applyBorder="1" applyProtection="1"/>
    <xf numFmtId="170" fontId="12" fillId="5" borderId="27" xfId="0" applyNumberFormat="1" applyFont="1" applyFill="1" applyBorder="1" applyProtection="1"/>
    <xf numFmtId="0" fontId="13" fillId="2" borderId="1" xfId="0" applyFont="1" applyFill="1" applyBorder="1" applyAlignment="1">
      <alignment horizontal="center" wrapText="1"/>
    </xf>
    <xf numFmtId="0" fontId="18" fillId="2" borderId="0" xfId="0" applyFont="1" applyFill="1"/>
    <xf numFmtId="170" fontId="12" fillId="2" borderId="46" xfId="0" applyNumberFormat="1" applyFont="1" applyFill="1" applyBorder="1" applyAlignment="1">
      <alignment wrapText="1"/>
    </xf>
    <xf numFmtId="169" fontId="12" fillId="2" borderId="0" xfId="2" applyNumberFormat="1" applyFont="1" applyFill="1" applyAlignment="1">
      <alignment wrapText="1"/>
    </xf>
    <xf numFmtId="169" fontId="12" fillId="2" borderId="0" xfId="0" applyNumberFormat="1" applyFont="1" applyFill="1" applyAlignment="1">
      <alignment wrapText="1"/>
    </xf>
    <xf numFmtId="170" fontId="12" fillId="2" borderId="25" xfId="0" applyNumberFormat="1" applyFont="1" applyFill="1" applyBorder="1" applyProtection="1"/>
    <xf numFmtId="170" fontId="12" fillId="2" borderId="0" xfId="0" applyNumberFormat="1" applyFont="1" applyFill="1" applyBorder="1" applyProtection="1"/>
    <xf numFmtId="170" fontId="12" fillId="5" borderId="0" xfId="0" applyNumberFormat="1" applyFont="1" applyFill="1" applyAlignment="1">
      <alignment wrapText="1"/>
    </xf>
    <xf numFmtId="0" fontId="13" fillId="2" borderId="18" xfId="0" applyFont="1" applyFill="1" applyBorder="1" applyAlignment="1" applyProtection="1">
      <alignment horizontal="center" wrapText="1"/>
    </xf>
    <xf numFmtId="169" fontId="12" fillId="5" borderId="1" xfId="2" applyNumberFormat="1" applyFont="1" applyFill="1" applyBorder="1" applyProtection="1"/>
    <xf numFmtId="0" fontId="13" fillId="2" borderId="11" xfId="0" applyFont="1" applyFill="1" applyBorder="1" applyAlignment="1">
      <alignment horizontal="center" wrapText="1"/>
    </xf>
    <xf numFmtId="0" fontId="13" fillId="2" borderId="12" xfId="0" applyFont="1" applyFill="1" applyBorder="1" applyAlignment="1">
      <alignment horizontal="center" wrapText="1"/>
    </xf>
    <xf numFmtId="164" fontId="13" fillId="2" borderId="11" xfId="0" applyNumberFormat="1" applyFont="1" applyFill="1" applyBorder="1" applyAlignment="1">
      <alignment horizontal="center" wrapText="1"/>
    </xf>
    <xf numFmtId="164" fontId="13" fillId="2" borderId="12" xfId="0" applyNumberFormat="1" applyFont="1" applyFill="1" applyBorder="1" applyAlignment="1">
      <alignment horizontal="center" wrapText="1"/>
    </xf>
    <xf numFmtId="0" fontId="13" fillId="2" borderId="1" xfId="0" applyFont="1" applyFill="1" applyBorder="1" applyAlignment="1">
      <alignment horizontal="center" wrapText="1"/>
    </xf>
    <xf numFmtId="164" fontId="13" fillId="2" borderId="1" xfId="0" applyNumberFormat="1" applyFont="1" applyFill="1" applyBorder="1" applyAlignment="1">
      <alignment horizontal="center" wrapText="1"/>
    </xf>
    <xf numFmtId="0" fontId="13" fillId="2" borderId="7" xfId="0" applyFont="1" applyFill="1" applyBorder="1" applyAlignment="1">
      <alignment horizontal="center" wrapText="1"/>
    </xf>
    <xf numFmtId="0" fontId="13" fillId="2" borderId="10" xfId="0" applyFont="1" applyFill="1" applyBorder="1" applyAlignment="1">
      <alignment horizontal="center" wrapText="1"/>
    </xf>
    <xf numFmtId="0" fontId="13" fillId="2" borderId="13" xfId="0" applyFont="1" applyFill="1" applyBorder="1" applyAlignment="1">
      <alignment horizontal="center" wrapText="1"/>
    </xf>
    <xf numFmtId="0" fontId="13" fillId="2" borderId="14" xfId="0" applyFont="1" applyFill="1" applyBorder="1" applyAlignment="1">
      <alignment horizontal="center" wrapText="1"/>
    </xf>
    <xf numFmtId="171" fontId="13" fillId="2" borderId="4" xfId="0" applyNumberFormat="1" applyFont="1" applyFill="1" applyBorder="1" applyAlignment="1">
      <alignment horizontal="center"/>
    </xf>
    <xf numFmtId="171" fontId="13" fillId="2" borderId="6" xfId="0" applyNumberFormat="1" applyFont="1" applyFill="1" applyBorder="1" applyAlignment="1">
      <alignment horizontal="center"/>
    </xf>
    <xf numFmtId="171" fontId="13" fillId="2" borderId="5" xfId="0" applyNumberFormat="1" applyFont="1" applyFill="1" applyBorder="1" applyAlignment="1">
      <alignment horizontal="center"/>
    </xf>
    <xf numFmtId="0" fontId="13" fillId="2" borderId="4" xfId="0" applyFont="1" applyFill="1" applyBorder="1" applyAlignment="1">
      <alignment horizontal="center" wrapText="1"/>
    </xf>
    <xf numFmtId="0" fontId="13" fillId="2" borderId="5" xfId="0" applyFont="1" applyFill="1" applyBorder="1" applyAlignment="1">
      <alignment horizontal="center" wrapText="1"/>
    </xf>
    <xf numFmtId="0" fontId="20" fillId="2" borderId="11" xfId="0" applyNumberFormat="1" applyFont="1" applyFill="1" applyBorder="1" applyAlignment="1">
      <alignment horizontal="center" vertical="center" wrapText="1"/>
    </xf>
    <xf numFmtId="0" fontId="20" fillId="2" borderId="18" xfId="0" applyNumberFormat="1" applyFont="1" applyFill="1" applyBorder="1" applyAlignment="1">
      <alignment horizontal="center" vertical="center" wrapText="1"/>
    </xf>
    <xf numFmtId="0" fontId="20" fillId="2" borderId="12" xfId="0" applyNumberFormat="1" applyFont="1" applyFill="1" applyBorder="1" applyAlignment="1">
      <alignment horizontal="center" vertical="center" wrapText="1"/>
    </xf>
    <xf numFmtId="0" fontId="12" fillId="2" borderId="11" xfId="2" applyNumberFormat="1" applyFont="1" applyFill="1" applyBorder="1" applyAlignment="1">
      <alignment horizontal="center" vertical="center" wrapText="1"/>
    </xf>
    <xf numFmtId="0" fontId="12" fillId="2" borderId="18" xfId="2" applyNumberFormat="1" applyFont="1" applyFill="1" applyBorder="1" applyAlignment="1">
      <alignment horizontal="center" vertical="center" wrapText="1"/>
    </xf>
    <xf numFmtId="0" fontId="12" fillId="2" borderId="12" xfId="2" applyNumberFormat="1" applyFont="1" applyFill="1" applyBorder="1" applyAlignment="1">
      <alignment horizontal="center" vertical="center" wrapText="1"/>
    </xf>
    <xf numFmtId="0" fontId="12" fillId="2" borderId="11" xfId="0" applyNumberFormat="1" applyFont="1" applyFill="1" applyBorder="1" applyAlignment="1">
      <alignment horizontal="center" vertical="center" wrapText="1"/>
    </xf>
    <xf numFmtId="0" fontId="12" fillId="2" borderId="18" xfId="0" applyNumberFormat="1" applyFont="1" applyFill="1" applyBorder="1" applyAlignment="1">
      <alignment horizontal="center" vertical="center" wrapText="1"/>
    </xf>
    <xf numFmtId="0" fontId="12" fillId="2" borderId="12" xfId="0" applyNumberFormat="1" applyFont="1" applyFill="1" applyBorder="1" applyAlignment="1">
      <alignment horizontal="center" vertical="center" wrapText="1"/>
    </xf>
    <xf numFmtId="0" fontId="22" fillId="2" borderId="11" xfId="0" applyNumberFormat="1" applyFont="1" applyFill="1" applyBorder="1" applyAlignment="1">
      <alignment horizontal="center" vertical="center" wrapText="1"/>
    </xf>
    <xf numFmtId="0" fontId="22" fillId="2" borderId="18" xfId="0" applyNumberFormat="1" applyFont="1" applyFill="1" applyBorder="1" applyAlignment="1">
      <alignment horizontal="center" vertical="center" wrapText="1"/>
    </xf>
    <xf numFmtId="0" fontId="22" fillId="2" borderId="12" xfId="0" applyNumberFormat="1" applyFont="1" applyFill="1" applyBorder="1" applyAlignment="1">
      <alignment horizontal="center" vertical="center" wrapText="1"/>
    </xf>
    <xf numFmtId="0" fontId="13" fillId="2" borderId="4" xfId="0" applyFont="1" applyFill="1" applyBorder="1" applyAlignment="1">
      <alignment horizontal="center"/>
    </xf>
    <xf numFmtId="0" fontId="13" fillId="2" borderId="6"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wrapText="1"/>
    </xf>
    <xf numFmtId="0" fontId="13" fillId="2" borderId="2" xfId="0" applyFont="1" applyFill="1" applyBorder="1" applyAlignment="1">
      <alignment horizontal="center"/>
    </xf>
    <xf numFmtId="0" fontId="13" fillId="2" borderId="14" xfId="0" applyFont="1" applyFill="1" applyBorder="1" applyAlignment="1">
      <alignment horizontal="center"/>
    </xf>
    <xf numFmtId="0" fontId="13" fillId="2" borderId="11" xfId="0" applyFont="1" applyFill="1" applyBorder="1" applyAlignment="1">
      <alignment horizontal="center" vertical="center" wrapText="1"/>
    </xf>
    <xf numFmtId="0" fontId="13" fillId="2" borderId="12" xfId="0" applyFont="1" applyFill="1" applyBorder="1" applyAlignment="1">
      <alignment horizontal="center" vertical="center" wrapText="1"/>
    </xf>
    <xf numFmtId="0" fontId="13" fillId="2" borderId="11" xfId="0" quotePrefix="1" applyFont="1" applyFill="1" applyBorder="1" applyAlignment="1">
      <alignment horizontal="center" vertical="center" wrapText="1"/>
    </xf>
    <xf numFmtId="0" fontId="13" fillId="2" borderId="18" xfId="0" quotePrefix="1" applyFont="1" applyFill="1" applyBorder="1" applyAlignment="1">
      <alignment horizontal="center" vertical="center" wrapText="1"/>
    </xf>
    <xf numFmtId="0" fontId="13" fillId="2" borderId="12" xfId="0" quotePrefix="1" applyFont="1" applyFill="1" applyBorder="1" applyAlignment="1">
      <alignment horizontal="center" vertical="center" wrapText="1"/>
    </xf>
    <xf numFmtId="0" fontId="13" fillId="2" borderId="4"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5"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15" xfId="0" applyFont="1" applyFill="1" applyBorder="1" applyAlignment="1">
      <alignment horizontal="center" vertical="center"/>
    </xf>
    <xf numFmtId="0" fontId="13" fillId="2" borderId="10" xfId="0" applyFont="1" applyFill="1" applyBorder="1" applyAlignment="1">
      <alignment horizontal="center" vertical="center"/>
    </xf>
    <xf numFmtId="0" fontId="13" fillId="2" borderId="18"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2" fillId="2" borderId="0" xfId="0" applyFont="1" applyFill="1" applyBorder="1" applyAlignment="1">
      <alignment horizontal="right" vertical="center"/>
    </xf>
    <xf numFmtId="0" fontId="13" fillId="2" borderId="1" xfId="0" applyFont="1" applyFill="1" applyBorder="1" applyAlignment="1">
      <alignment horizontal="center" vertical="center"/>
    </xf>
  </cellXfs>
  <cellStyles count="45">
    <cellStyle name="Comma" xfId="2" builtinId="3"/>
    <cellStyle name="Comma 10" xfId="11"/>
    <cellStyle name="Comma 11" xfId="12"/>
    <cellStyle name="Comma 13 2" xfId="13"/>
    <cellStyle name="Comma 15" xfId="14"/>
    <cellStyle name="Comma 2" xfId="9"/>
    <cellStyle name="Comma 2 2" xfId="15"/>
    <cellStyle name="Comma 3" xfId="6"/>
    <cellStyle name="Comma 3 2" xfId="41"/>
    <cellStyle name="Comma 3 3" xfId="42"/>
    <cellStyle name="Comma 4" xfId="16"/>
    <cellStyle name="Comma 5" xfId="17"/>
    <cellStyle name="Comma 6" xfId="18"/>
    <cellStyle name="Comma 7" xfId="19"/>
    <cellStyle name="Comma 8" xfId="20"/>
    <cellStyle name="Comma 9" xfId="21"/>
    <cellStyle name="Normal" xfId="0" builtinId="0"/>
    <cellStyle name="Normal 11" xfId="7"/>
    <cellStyle name="Normal 2" xfId="8"/>
    <cellStyle name="Normal 2 2" xfId="22"/>
    <cellStyle name="Normal 26" xfId="3"/>
    <cellStyle name="Normal 3" xfId="5"/>
    <cellStyle name="Normal 3 2" xfId="23"/>
    <cellStyle name="Normal 3 3" xfId="40"/>
    <cellStyle name="Normal 3 4" xfId="43"/>
    <cellStyle name="Normal 4" xfId="24"/>
    <cellStyle name="Normal 5" xfId="25"/>
    <cellStyle name="Normal 6" xfId="26"/>
    <cellStyle name="Normal 7" xfId="27"/>
    <cellStyle name="Normal 8" xfId="28"/>
    <cellStyle name="Output Amounts" xfId="29"/>
    <cellStyle name="Percent" xfId="1" builtinId="5"/>
    <cellStyle name="Percent 2" xfId="10"/>
    <cellStyle name="Percent 2 2" xfId="30"/>
    <cellStyle name="Percent 2 3" xfId="31"/>
    <cellStyle name="Percent 3" xfId="4"/>
    <cellStyle name="Percent 3 2" xfId="39"/>
    <cellStyle name="Percent 3 3" xfId="44"/>
    <cellStyle name="Percent 4" xfId="32"/>
    <cellStyle name="Percent 5" xfId="33"/>
    <cellStyle name="Percent 6" xfId="34"/>
    <cellStyle name="Percent 7" xfId="35"/>
    <cellStyle name="Percent 8" xfId="36"/>
    <cellStyle name="Percent 9" xfId="37"/>
    <cellStyle name="標準_Book4" xfId="38"/>
  </cellStyles>
  <dxfs count="1">
    <dxf>
      <font>
        <color rgb="FF9C0006"/>
      </font>
      <fill>
        <patternFill>
          <bgColor rgb="FFFFC7CE"/>
        </patternFill>
      </fill>
    </dxf>
  </dxfs>
  <tableStyles count="0" defaultTableStyle="TableStyleMedium2" defaultPivotStyle="PivotStyleLight16"/>
  <colors>
    <mruColors>
      <color rgb="FFFFFF99"/>
      <color rgb="FF66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31750</xdr:colOff>
      <xdr:row>8</xdr:row>
      <xdr:rowOff>74087</xdr:rowOff>
    </xdr:from>
    <xdr:to>
      <xdr:col>7</xdr:col>
      <xdr:colOff>0</xdr:colOff>
      <xdr:row>8</xdr:row>
      <xdr:rowOff>179920</xdr:rowOff>
    </xdr:to>
    <xdr:sp macro="" textlink="">
      <xdr:nvSpPr>
        <xdr:cNvPr id="2" name="TextBox 1"/>
        <xdr:cNvSpPr txBox="1"/>
      </xdr:nvSpPr>
      <xdr:spPr>
        <a:xfrm>
          <a:off x="6561667" y="1809754"/>
          <a:ext cx="5355166" cy="105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latin typeface="Arial" panose="020B0604020202020204" pitchFamily="34" charset="0"/>
              <a:cs typeface="Arial" panose="020B0604020202020204" pitchFamily="34" charset="0"/>
            </a:rPr>
            <a:t>Variance Analysis on</a:t>
          </a:r>
          <a:r>
            <a:rPr lang="en-US" sz="900" baseline="0">
              <a:latin typeface="Arial" panose="020B0604020202020204" pitchFamily="34" charset="0"/>
              <a:cs typeface="Arial" panose="020B0604020202020204" pitchFamily="34" charset="0"/>
            </a:rPr>
            <a:t> Total Operating Revenue</a:t>
          </a:r>
          <a:endParaRPr lang="en-US" sz="900">
            <a:latin typeface="Arial" panose="020B0604020202020204" pitchFamily="34" charset="0"/>
            <a:cs typeface="Arial" panose="020B0604020202020204" pitchFamily="34" charset="0"/>
          </a:endParaRPr>
        </a:p>
      </xdr:txBody>
    </xdr:sp>
    <xdr:clientData fPrintsWithSheet="0"/>
  </xdr:twoCellAnchor>
  <xdr:twoCellAnchor>
    <xdr:from>
      <xdr:col>6</xdr:col>
      <xdr:colOff>0</xdr:colOff>
      <xdr:row>20</xdr:row>
      <xdr:rowOff>31750</xdr:rowOff>
    </xdr:from>
    <xdr:to>
      <xdr:col>6</xdr:col>
      <xdr:colOff>5355166</xdr:colOff>
      <xdr:row>20</xdr:row>
      <xdr:rowOff>179916</xdr:rowOff>
    </xdr:to>
    <xdr:sp macro="" textlink="">
      <xdr:nvSpPr>
        <xdr:cNvPr id="3" name="TextBox 2"/>
        <xdr:cNvSpPr txBox="1"/>
      </xdr:nvSpPr>
      <xdr:spPr>
        <a:xfrm>
          <a:off x="6529917" y="4085167"/>
          <a:ext cx="5355166" cy="14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latin typeface="Arial" panose="020B0604020202020204" pitchFamily="34" charset="0"/>
              <a:cs typeface="Arial" panose="020B0604020202020204" pitchFamily="34" charset="0"/>
            </a:rPr>
            <a:t>Variance Analysis on</a:t>
          </a:r>
          <a:r>
            <a:rPr lang="en-US" sz="900" baseline="0">
              <a:latin typeface="Arial" panose="020B0604020202020204" pitchFamily="34" charset="0"/>
              <a:cs typeface="Arial" panose="020B0604020202020204" pitchFamily="34" charset="0"/>
            </a:rPr>
            <a:t> Departmental Expenses</a:t>
          </a:r>
          <a:endParaRPr lang="en-US" sz="900">
            <a:latin typeface="Arial" panose="020B0604020202020204" pitchFamily="34" charset="0"/>
            <a:cs typeface="Arial" panose="020B0604020202020204" pitchFamily="34" charset="0"/>
          </a:endParaRPr>
        </a:p>
      </xdr:txBody>
    </xdr:sp>
    <xdr:clientData fPrintsWithSheet="0"/>
  </xdr:twoCellAnchor>
  <xdr:twoCellAnchor>
    <xdr:from>
      <xdr:col>6</xdr:col>
      <xdr:colOff>0</xdr:colOff>
      <xdr:row>30</xdr:row>
      <xdr:rowOff>52921</xdr:rowOff>
    </xdr:from>
    <xdr:to>
      <xdr:col>6</xdr:col>
      <xdr:colOff>5355166</xdr:colOff>
      <xdr:row>31</xdr:row>
      <xdr:rowOff>21171</xdr:rowOff>
    </xdr:to>
    <xdr:sp macro="" textlink="">
      <xdr:nvSpPr>
        <xdr:cNvPr id="4" name="TextBox 3"/>
        <xdr:cNvSpPr txBox="1"/>
      </xdr:nvSpPr>
      <xdr:spPr>
        <a:xfrm>
          <a:off x="6529917" y="6021921"/>
          <a:ext cx="5355166" cy="158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latin typeface="Arial" panose="020B0604020202020204" pitchFamily="34" charset="0"/>
              <a:cs typeface="Arial" panose="020B0604020202020204" pitchFamily="34" charset="0"/>
            </a:rPr>
            <a:t>Variance Analysis on</a:t>
          </a:r>
          <a:r>
            <a:rPr lang="en-US" sz="900" baseline="0">
              <a:latin typeface="Arial" panose="020B0604020202020204" pitchFamily="34" charset="0"/>
              <a:cs typeface="Arial" panose="020B0604020202020204" pitchFamily="34" charset="0"/>
            </a:rPr>
            <a:t> Undistributed Expenses</a:t>
          </a:r>
          <a:endParaRPr lang="en-US" sz="900">
            <a:latin typeface="Arial" panose="020B0604020202020204" pitchFamily="34" charset="0"/>
            <a:cs typeface="Arial" panose="020B0604020202020204" pitchFamily="34" charset="0"/>
          </a:endParaRPr>
        </a:p>
      </xdr:txBody>
    </xdr:sp>
    <xdr:clientData fPrintsWithSheet="0"/>
  </xdr:twoCellAnchor>
  <xdr:twoCellAnchor>
    <xdr:from>
      <xdr:col>6</xdr:col>
      <xdr:colOff>0</xdr:colOff>
      <xdr:row>40</xdr:row>
      <xdr:rowOff>63505</xdr:rowOff>
    </xdr:from>
    <xdr:to>
      <xdr:col>6</xdr:col>
      <xdr:colOff>5355166</xdr:colOff>
      <xdr:row>41</xdr:row>
      <xdr:rowOff>5</xdr:rowOff>
    </xdr:to>
    <xdr:sp macro="" textlink="">
      <xdr:nvSpPr>
        <xdr:cNvPr id="5" name="TextBox 4"/>
        <xdr:cNvSpPr txBox="1"/>
      </xdr:nvSpPr>
      <xdr:spPr>
        <a:xfrm>
          <a:off x="6529917" y="7958672"/>
          <a:ext cx="5355166" cy="127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latin typeface="Arial" panose="020B0604020202020204" pitchFamily="34" charset="0"/>
              <a:cs typeface="Arial" panose="020B0604020202020204" pitchFamily="34" charset="0"/>
            </a:rPr>
            <a:t>Variance Analysis on</a:t>
          </a:r>
          <a:r>
            <a:rPr lang="en-US" sz="900" baseline="0">
              <a:latin typeface="Arial" panose="020B0604020202020204" pitchFamily="34" charset="0"/>
              <a:cs typeface="Arial" panose="020B0604020202020204" pitchFamily="34" charset="0"/>
            </a:rPr>
            <a:t> Gross Operating Profit</a:t>
          </a:r>
          <a:endParaRPr lang="en-US" sz="900">
            <a:latin typeface="Arial" panose="020B0604020202020204" pitchFamily="34" charset="0"/>
            <a:cs typeface="Arial" panose="020B0604020202020204" pitchFamily="34" charset="0"/>
          </a:endParaRPr>
        </a:p>
      </xdr:txBody>
    </xdr:sp>
    <xdr:clientData fPrintsWithSheet="0"/>
  </xdr:twoCellAnchor>
  <xdr:twoCellAnchor>
    <xdr:from>
      <xdr:col>6</xdr:col>
      <xdr:colOff>0</xdr:colOff>
      <xdr:row>43</xdr:row>
      <xdr:rowOff>63510</xdr:rowOff>
    </xdr:from>
    <xdr:to>
      <xdr:col>6</xdr:col>
      <xdr:colOff>5355166</xdr:colOff>
      <xdr:row>44</xdr:row>
      <xdr:rowOff>10</xdr:rowOff>
    </xdr:to>
    <xdr:sp macro="" textlink="">
      <xdr:nvSpPr>
        <xdr:cNvPr id="6" name="TextBox 5"/>
        <xdr:cNvSpPr txBox="1"/>
      </xdr:nvSpPr>
      <xdr:spPr>
        <a:xfrm>
          <a:off x="6529917" y="8530177"/>
          <a:ext cx="5355166" cy="127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latin typeface="Arial" panose="020B0604020202020204" pitchFamily="34" charset="0"/>
              <a:cs typeface="Arial" panose="020B0604020202020204" pitchFamily="34" charset="0"/>
            </a:rPr>
            <a:t>Variance Analysis on</a:t>
          </a:r>
          <a:r>
            <a:rPr lang="en-US" sz="900" baseline="0">
              <a:latin typeface="Arial" panose="020B0604020202020204" pitchFamily="34" charset="0"/>
              <a:cs typeface="Arial" panose="020B0604020202020204" pitchFamily="34" charset="0"/>
            </a:rPr>
            <a:t> Management Fee &amp; Profit before Non-Operating P&amp;L Items</a:t>
          </a:r>
          <a:endParaRPr lang="en-US" sz="900">
            <a:latin typeface="Arial" panose="020B0604020202020204" pitchFamily="34" charset="0"/>
            <a:cs typeface="Arial" panose="020B0604020202020204" pitchFamily="34" charset="0"/>
          </a:endParaRPr>
        </a:p>
      </xdr:txBody>
    </xdr:sp>
    <xdr:clientData fPrintsWithSheet="0"/>
  </xdr:twoCellAnchor>
  <xdr:twoCellAnchor>
    <xdr:from>
      <xdr:col>6</xdr:col>
      <xdr:colOff>0</xdr:colOff>
      <xdr:row>49</xdr:row>
      <xdr:rowOff>52921</xdr:rowOff>
    </xdr:from>
    <xdr:to>
      <xdr:col>6</xdr:col>
      <xdr:colOff>5355166</xdr:colOff>
      <xdr:row>49</xdr:row>
      <xdr:rowOff>179921</xdr:rowOff>
    </xdr:to>
    <xdr:sp macro="" textlink="">
      <xdr:nvSpPr>
        <xdr:cNvPr id="7" name="TextBox 6"/>
        <xdr:cNvSpPr txBox="1"/>
      </xdr:nvSpPr>
      <xdr:spPr>
        <a:xfrm>
          <a:off x="6529917" y="9853088"/>
          <a:ext cx="5355166" cy="127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latin typeface="Arial" panose="020B0604020202020204" pitchFamily="34" charset="0"/>
              <a:cs typeface="Arial" panose="020B0604020202020204" pitchFamily="34" charset="0"/>
            </a:rPr>
            <a:t>Variance Analysis on</a:t>
          </a:r>
          <a:r>
            <a:rPr lang="en-US" sz="900" baseline="0">
              <a:latin typeface="Arial" panose="020B0604020202020204" pitchFamily="34" charset="0"/>
              <a:cs typeface="Arial" panose="020B0604020202020204" pitchFamily="34" charset="0"/>
            </a:rPr>
            <a:t> Non-Operating Income &amp; Expenses/Depreciation</a:t>
          </a:r>
          <a:endParaRPr lang="en-US" sz="900">
            <a:latin typeface="Arial" panose="020B0604020202020204" pitchFamily="34" charset="0"/>
            <a:cs typeface="Arial" panose="020B0604020202020204" pitchFamily="34" charset="0"/>
          </a:endParaRPr>
        </a:p>
      </xdr:txBody>
    </xdr:sp>
    <xdr:clientData fPrintsWithSheet="0"/>
  </xdr:twoCellAnchor>
  <xdr:twoCellAnchor>
    <xdr:from>
      <xdr:col>5</xdr:col>
      <xdr:colOff>762000</xdr:colOff>
      <xdr:row>61</xdr:row>
      <xdr:rowOff>52917</xdr:rowOff>
    </xdr:from>
    <xdr:to>
      <xdr:col>6</xdr:col>
      <xdr:colOff>5323416</xdr:colOff>
      <xdr:row>61</xdr:row>
      <xdr:rowOff>179917</xdr:rowOff>
    </xdr:to>
    <xdr:sp macro="" textlink="">
      <xdr:nvSpPr>
        <xdr:cNvPr id="9" name="TextBox 8"/>
        <xdr:cNvSpPr txBox="1"/>
      </xdr:nvSpPr>
      <xdr:spPr>
        <a:xfrm>
          <a:off x="6498167" y="12149667"/>
          <a:ext cx="5355166" cy="127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latin typeface="Arial" panose="020B0604020202020204" pitchFamily="34" charset="0"/>
              <a:cs typeface="Arial" panose="020B0604020202020204" pitchFamily="34" charset="0"/>
            </a:rPr>
            <a:t>Variance Analysis on</a:t>
          </a:r>
          <a:r>
            <a:rPr lang="en-US" sz="900" baseline="0">
              <a:latin typeface="Arial" panose="020B0604020202020204" pitchFamily="34" charset="0"/>
              <a:cs typeface="Arial" panose="020B0604020202020204" pitchFamily="34" charset="0"/>
            </a:rPr>
            <a:t> NIBT, Income Taxes and NIAT</a:t>
          </a:r>
          <a:endParaRPr lang="en-US" sz="900">
            <a:latin typeface="Arial" panose="020B0604020202020204" pitchFamily="34" charset="0"/>
            <a:cs typeface="Arial" panose="020B0604020202020204" pitchFamily="34" charset="0"/>
          </a:endParaRPr>
        </a:p>
      </xdr:txBody>
    </xdr:sp>
    <xdr:clientData fPrintsWithSheet="0"/>
  </xdr:twoCellAnchor>
  <xdr:twoCellAnchor>
    <xdr:from>
      <xdr:col>6</xdr:col>
      <xdr:colOff>0</xdr:colOff>
      <xdr:row>69</xdr:row>
      <xdr:rowOff>42332</xdr:rowOff>
    </xdr:from>
    <xdr:to>
      <xdr:col>6</xdr:col>
      <xdr:colOff>5355166</xdr:colOff>
      <xdr:row>69</xdr:row>
      <xdr:rowOff>169332</xdr:rowOff>
    </xdr:to>
    <xdr:sp macro="" textlink="">
      <xdr:nvSpPr>
        <xdr:cNvPr id="10" name="TextBox 9"/>
        <xdr:cNvSpPr txBox="1"/>
      </xdr:nvSpPr>
      <xdr:spPr>
        <a:xfrm>
          <a:off x="6529917" y="13779499"/>
          <a:ext cx="5355166" cy="127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latin typeface="Arial" panose="020B0604020202020204" pitchFamily="34" charset="0"/>
              <a:cs typeface="Arial" panose="020B0604020202020204" pitchFamily="34" charset="0"/>
            </a:rPr>
            <a:t>Variance Analysis on</a:t>
          </a:r>
          <a:r>
            <a:rPr lang="en-US" sz="900" baseline="0">
              <a:latin typeface="Arial" panose="020B0604020202020204" pitchFamily="34" charset="0"/>
              <a:cs typeface="Arial" panose="020B0604020202020204" pitchFamily="34" charset="0"/>
            </a:rPr>
            <a:t> Statistics</a:t>
          </a:r>
          <a:endParaRPr lang="en-US" sz="900">
            <a:latin typeface="Arial" panose="020B0604020202020204" pitchFamily="34" charset="0"/>
            <a:cs typeface="Arial" panose="020B0604020202020204" pitchFamily="34" charset="0"/>
          </a:endParaRPr>
        </a:p>
      </xdr:txBody>
    </xdr:sp>
    <xdr:clientData fPrintsWithSheet="0"/>
  </xdr:twoCellAnchor>
  <xdr:twoCellAnchor>
    <xdr:from>
      <xdr:col>5</xdr:col>
      <xdr:colOff>762000</xdr:colOff>
      <xdr:row>61</xdr:row>
      <xdr:rowOff>52917</xdr:rowOff>
    </xdr:from>
    <xdr:to>
      <xdr:col>6</xdr:col>
      <xdr:colOff>5323416</xdr:colOff>
      <xdr:row>61</xdr:row>
      <xdr:rowOff>179917</xdr:rowOff>
    </xdr:to>
    <xdr:sp macro="" textlink="">
      <xdr:nvSpPr>
        <xdr:cNvPr id="11" name="TextBox 10"/>
        <xdr:cNvSpPr txBox="1"/>
      </xdr:nvSpPr>
      <xdr:spPr>
        <a:xfrm>
          <a:off x="5895975" y="9263592"/>
          <a:ext cx="5351991" cy="127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latin typeface="Arial" panose="020B0604020202020204" pitchFamily="34" charset="0"/>
              <a:cs typeface="Arial" panose="020B0604020202020204" pitchFamily="34" charset="0"/>
            </a:rPr>
            <a:t>Variance Analysis on</a:t>
          </a:r>
          <a:r>
            <a:rPr lang="en-US" sz="900" baseline="0">
              <a:latin typeface="Arial" panose="020B0604020202020204" pitchFamily="34" charset="0"/>
              <a:cs typeface="Arial" panose="020B0604020202020204" pitchFamily="34" charset="0"/>
            </a:rPr>
            <a:t> NIBT, Income Taxes and NIAT</a:t>
          </a:r>
          <a:endParaRPr lang="en-US" sz="900">
            <a:latin typeface="Arial" panose="020B0604020202020204" pitchFamily="34" charset="0"/>
            <a:cs typeface="Arial" panose="020B0604020202020204" pitchFamily="34" charset="0"/>
          </a:endParaRPr>
        </a:p>
      </xdr:txBody>
    </xdr:sp>
    <xdr:clientData fPrintsWithSheet="0"/>
  </xdr:twoCellAnchor>
  <xdr:twoCellAnchor>
    <xdr:from>
      <xdr:col>5</xdr:col>
      <xdr:colOff>762000</xdr:colOff>
      <xdr:row>61</xdr:row>
      <xdr:rowOff>52917</xdr:rowOff>
    </xdr:from>
    <xdr:to>
      <xdr:col>6</xdr:col>
      <xdr:colOff>5323416</xdr:colOff>
      <xdr:row>61</xdr:row>
      <xdr:rowOff>179917</xdr:rowOff>
    </xdr:to>
    <xdr:sp macro="" textlink="">
      <xdr:nvSpPr>
        <xdr:cNvPr id="14" name="TextBox 13"/>
        <xdr:cNvSpPr txBox="1"/>
      </xdr:nvSpPr>
      <xdr:spPr>
        <a:xfrm>
          <a:off x="5884333" y="12149667"/>
          <a:ext cx="5355166" cy="127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latin typeface="Arial" panose="020B0604020202020204" pitchFamily="34" charset="0"/>
              <a:cs typeface="Arial" panose="020B0604020202020204" pitchFamily="34" charset="0"/>
            </a:rPr>
            <a:t>Variance Analysis on</a:t>
          </a:r>
          <a:r>
            <a:rPr lang="en-US" sz="900" baseline="0">
              <a:latin typeface="Arial" panose="020B0604020202020204" pitchFamily="34" charset="0"/>
              <a:cs typeface="Arial" panose="020B0604020202020204" pitchFamily="34" charset="0"/>
            </a:rPr>
            <a:t> NIBT, Income Taxes and NIAT</a:t>
          </a:r>
          <a:endParaRPr lang="en-US" sz="900">
            <a:latin typeface="Arial" panose="020B0604020202020204" pitchFamily="34" charset="0"/>
            <a:cs typeface="Arial" panose="020B0604020202020204" pitchFamily="34" charset="0"/>
          </a:endParaRPr>
        </a:p>
      </xdr:txBody>
    </xdr:sp>
    <xdr:clientData fPrintsWithSheet="0"/>
  </xdr:twoCellAnchor>
  <xdr:twoCellAnchor>
    <xdr:from>
      <xdr:col>5</xdr:col>
      <xdr:colOff>762000</xdr:colOff>
      <xdr:row>61</xdr:row>
      <xdr:rowOff>52917</xdr:rowOff>
    </xdr:from>
    <xdr:to>
      <xdr:col>6</xdr:col>
      <xdr:colOff>5323416</xdr:colOff>
      <xdr:row>61</xdr:row>
      <xdr:rowOff>179917</xdr:rowOff>
    </xdr:to>
    <xdr:sp macro="" textlink="">
      <xdr:nvSpPr>
        <xdr:cNvPr id="15" name="TextBox 14"/>
        <xdr:cNvSpPr txBox="1"/>
      </xdr:nvSpPr>
      <xdr:spPr>
        <a:xfrm>
          <a:off x="5884333" y="12149667"/>
          <a:ext cx="5355166" cy="127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latin typeface="Arial" panose="020B0604020202020204" pitchFamily="34" charset="0"/>
              <a:cs typeface="Arial" panose="020B0604020202020204" pitchFamily="34" charset="0"/>
            </a:rPr>
            <a:t>Variance Analysis on</a:t>
          </a:r>
          <a:r>
            <a:rPr lang="en-US" sz="900" baseline="0">
              <a:latin typeface="Arial" panose="020B0604020202020204" pitchFamily="34" charset="0"/>
              <a:cs typeface="Arial" panose="020B0604020202020204" pitchFamily="34" charset="0"/>
            </a:rPr>
            <a:t> NIBT, Income Taxes and NIAT</a:t>
          </a:r>
          <a:endParaRPr lang="en-US" sz="900">
            <a:latin typeface="Arial" panose="020B0604020202020204" pitchFamily="34" charset="0"/>
            <a:cs typeface="Arial" panose="020B0604020202020204" pitchFamily="34" charset="0"/>
          </a:endParaRPr>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4"/>
  <sheetViews>
    <sheetView zoomScaleNormal="100" workbookViewId="0">
      <selection activeCell="P17" sqref="P17"/>
    </sheetView>
  </sheetViews>
  <sheetFormatPr defaultRowHeight="14.25"/>
  <cols>
    <col min="1" max="1" width="3.85546875" style="13" customWidth="1"/>
    <col min="2" max="16384" width="9.140625" style="13"/>
  </cols>
  <sheetData>
    <row r="2" spans="1:3" ht="15">
      <c r="A2" s="24" t="s">
        <v>265</v>
      </c>
    </row>
    <row r="3" spans="1:3" ht="15">
      <c r="A3" s="13">
        <v>1</v>
      </c>
      <c r="B3" s="253"/>
      <c r="C3" s="13" t="s">
        <v>256</v>
      </c>
    </row>
    <row r="4" spans="1:3">
      <c r="A4" s="13">
        <v>2</v>
      </c>
      <c r="B4" s="13" t="s">
        <v>257</v>
      </c>
    </row>
    <row r="5" spans="1:3">
      <c r="A5" s="13">
        <v>3</v>
      </c>
      <c r="B5" s="13" t="s">
        <v>258</v>
      </c>
    </row>
    <row r="6" spans="1:3">
      <c r="A6" s="13">
        <v>4</v>
      </c>
      <c r="B6" s="13" t="s">
        <v>260</v>
      </c>
    </row>
    <row r="7" spans="1:3">
      <c r="A7" s="13">
        <v>5</v>
      </c>
      <c r="B7" s="13" t="s">
        <v>259</v>
      </c>
    </row>
    <row r="8" spans="1:3">
      <c r="A8" s="13">
        <v>6</v>
      </c>
      <c r="B8" s="13" t="s">
        <v>261</v>
      </c>
    </row>
    <row r="10" spans="1:3" ht="15">
      <c r="A10" s="24" t="s">
        <v>266</v>
      </c>
    </row>
    <row r="11" spans="1:3">
      <c r="A11" s="13">
        <v>1</v>
      </c>
      <c r="B11" s="13" t="s">
        <v>262</v>
      </c>
    </row>
    <row r="12" spans="1:3">
      <c r="A12" s="13">
        <v>2</v>
      </c>
      <c r="B12" s="13" t="s">
        <v>263</v>
      </c>
    </row>
    <row r="13" spans="1:3">
      <c r="A13" s="13">
        <v>3</v>
      </c>
      <c r="B13" s="13" t="s">
        <v>264</v>
      </c>
    </row>
    <row r="15" spans="1:3" ht="15">
      <c r="A15" s="24" t="s">
        <v>267</v>
      </c>
    </row>
    <row r="16" spans="1:3">
      <c r="A16" s="13">
        <v>1</v>
      </c>
      <c r="B16" s="13" t="s">
        <v>269</v>
      </c>
    </row>
    <row r="18" spans="1:2" ht="15">
      <c r="A18" s="24" t="s">
        <v>268</v>
      </c>
    </row>
    <row r="19" spans="1:2">
      <c r="A19" s="13">
        <v>1</v>
      </c>
      <c r="B19" s="13" t="s">
        <v>270</v>
      </c>
    </row>
    <row r="20" spans="1:2">
      <c r="A20" s="13">
        <v>2</v>
      </c>
      <c r="B20" s="13" t="s">
        <v>271</v>
      </c>
    </row>
    <row r="21" spans="1:2">
      <c r="A21" s="13">
        <v>3</v>
      </c>
      <c r="B21" s="13" t="s">
        <v>272</v>
      </c>
    </row>
    <row r="23" spans="1:2" ht="15">
      <c r="A23" s="24" t="s">
        <v>273</v>
      </c>
    </row>
    <row r="24" spans="1:2">
      <c r="A24" s="13">
        <v>1</v>
      </c>
      <c r="B24" s="13" t="s">
        <v>274</v>
      </c>
    </row>
    <row r="25" spans="1:2">
      <c r="A25" s="13">
        <v>2</v>
      </c>
      <c r="B25" s="13" t="s">
        <v>275</v>
      </c>
    </row>
    <row r="26" spans="1:2">
      <c r="A26" s="13">
        <v>3</v>
      </c>
      <c r="B26" s="13" t="s">
        <v>283</v>
      </c>
    </row>
    <row r="27" spans="1:2">
      <c r="A27" s="13">
        <v>3</v>
      </c>
      <c r="B27" s="13" t="s">
        <v>284</v>
      </c>
    </row>
    <row r="29" spans="1:2" ht="15">
      <c r="A29" s="24" t="s">
        <v>276</v>
      </c>
    </row>
    <row r="30" spans="1:2">
      <c r="A30" s="13">
        <v>1</v>
      </c>
      <c r="B30" s="13" t="s">
        <v>277</v>
      </c>
    </row>
    <row r="31" spans="1:2">
      <c r="A31" s="13">
        <v>2</v>
      </c>
      <c r="B31" s="13" t="s">
        <v>278</v>
      </c>
    </row>
    <row r="32" spans="1:2">
      <c r="A32" s="13">
        <v>3</v>
      </c>
      <c r="B32" s="13" t="s">
        <v>279</v>
      </c>
    </row>
    <row r="33" spans="1:2">
      <c r="A33" s="13">
        <v>4</v>
      </c>
      <c r="B33" s="13" t="s">
        <v>280</v>
      </c>
    </row>
    <row r="34" spans="1:2">
      <c r="A34" s="13">
        <v>5</v>
      </c>
      <c r="B34" s="13" t="s">
        <v>281</v>
      </c>
    </row>
  </sheetData>
  <sheetProtection password="CE24" sheet="1" objects="1" scenarios="1"/>
  <conditionalFormatting sqref="B3">
    <cfRule type="cellIs" dxfId="0" priority="1" operator="lessThan">
      <formula>0</formula>
    </cfRule>
  </conditionalFormatting>
  <pageMargins left="0.7" right="0.7" top="0.75" bottom="0.75" header="0.3" footer="0.3"/>
  <pageSetup paperSize="9" scale="9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70C0"/>
  </sheetPr>
  <dimension ref="A1:BG493"/>
  <sheetViews>
    <sheetView workbookViewId="0">
      <pane xSplit="2" ySplit="7" topLeftCell="C14" activePane="bottomRight" state="frozen"/>
      <selection activeCell="L65" sqref="L64:L65"/>
      <selection pane="topRight" activeCell="L65" sqref="L64:L65"/>
      <selection pane="bottomLeft" activeCell="L65" sqref="L64:L65"/>
      <selection pane="bottomRight" activeCell="C33" sqref="C33"/>
    </sheetView>
  </sheetViews>
  <sheetFormatPr defaultRowHeight="14.25"/>
  <cols>
    <col min="1" max="1" width="46.5703125" style="13" bestFit="1" customWidth="1"/>
    <col min="2" max="2" width="2.85546875" style="13" customWidth="1"/>
    <col min="3" max="5" width="11.5703125" style="13" customWidth="1"/>
    <col min="6" max="7" width="13.42578125" style="13" customWidth="1"/>
    <col min="8" max="11" width="12.7109375" style="99" customWidth="1"/>
    <col min="12" max="12" width="4.42578125" style="100" customWidth="1"/>
    <col min="13" max="15" width="12.7109375" style="99" customWidth="1"/>
    <col min="16" max="16" width="4.42578125" style="100" customWidth="1"/>
    <col min="17" max="16384" width="9.140625" style="13"/>
  </cols>
  <sheetData>
    <row r="1" spans="1:17" ht="15">
      <c r="A1" s="1" t="str">
        <f>'Top Flash'!A1</f>
        <v>TAAL VISTA HOTEL</v>
      </c>
    </row>
    <row r="2" spans="1:17" ht="15">
      <c r="A2" s="4" t="s">
        <v>149</v>
      </c>
    </row>
    <row r="3" spans="1:17" ht="15">
      <c r="A3" s="1" t="str">
        <f>'Top Flash'!A3</f>
        <v>December 2015</v>
      </c>
      <c r="I3" s="99">
        <v>84850191.570000097</v>
      </c>
    </row>
    <row r="4" spans="1:17">
      <c r="A4" s="8" t="s">
        <v>38</v>
      </c>
    </row>
    <row r="5" spans="1:17" ht="15" customHeight="1">
      <c r="A5" s="141"/>
      <c r="B5" s="142"/>
      <c r="C5" s="320" t="s">
        <v>144</v>
      </c>
      <c r="D5" s="321"/>
      <c r="E5" s="321"/>
      <c r="F5" s="321"/>
      <c r="G5" s="321"/>
      <c r="H5" s="322"/>
      <c r="I5" s="312" t="s">
        <v>61</v>
      </c>
      <c r="J5" s="324" t="s">
        <v>71</v>
      </c>
      <c r="K5" s="325"/>
      <c r="L5" s="17"/>
      <c r="M5" s="314" t="s">
        <v>219</v>
      </c>
      <c r="N5" s="309" t="s">
        <v>71</v>
      </c>
      <c r="O5" s="293"/>
      <c r="P5" s="17"/>
    </row>
    <row r="6" spans="1:17" ht="30" customHeight="1">
      <c r="A6" s="125" t="s">
        <v>149</v>
      </c>
      <c r="B6" s="27"/>
      <c r="C6" s="143" t="s">
        <v>142</v>
      </c>
      <c r="D6" s="317" t="s">
        <v>143</v>
      </c>
      <c r="E6" s="318"/>
      <c r="F6" s="318"/>
      <c r="G6" s="319"/>
      <c r="H6" s="312" t="s">
        <v>146</v>
      </c>
      <c r="I6" s="323"/>
      <c r="J6" s="312" t="s">
        <v>72</v>
      </c>
      <c r="K6" s="312" t="s">
        <v>73</v>
      </c>
      <c r="L6" s="17"/>
      <c r="M6" s="315"/>
      <c r="N6" s="279" t="s">
        <v>72</v>
      </c>
      <c r="O6" s="279" t="s">
        <v>73</v>
      </c>
      <c r="P6" s="17"/>
    </row>
    <row r="7" spans="1:17" ht="30">
      <c r="A7" s="144"/>
      <c r="B7" s="145"/>
      <c r="C7" s="146" t="s">
        <v>138</v>
      </c>
      <c r="D7" s="146" t="s">
        <v>139</v>
      </c>
      <c r="E7" s="147" t="s">
        <v>140</v>
      </c>
      <c r="F7" s="147" t="s">
        <v>141</v>
      </c>
      <c r="G7" s="148" t="s">
        <v>145</v>
      </c>
      <c r="H7" s="313"/>
      <c r="I7" s="313"/>
      <c r="J7" s="313"/>
      <c r="K7" s="313"/>
      <c r="L7" s="149"/>
      <c r="M7" s="316"/>
      <c r="N7" s="280"/>
      <c r="O7" s="280"/>
    </row>
    <row r="8" spans="1:17" ht="15">
      <c r="A8" s="150" t="s">
        <v>131</v>
      </c>
      <c r="B8" s="145"/>
      <c r="C8" s="85"/>
      <c r="D8" s="85"/>
      <c r="E8" s="85"/>
      <c r="F8" s="85"/>
      <c r="G8" s="85"/>
      <c r="H8" s="85"/>
      <c r="I8" s="85"/>
      <c r="J8" s="85"/>
      <c r="K8" s="151"/>
      <c r="L8" s="149"/>
      <c r="M8" s="85"/>
      <c r="N8" s="85"/>
      <c r="O8" s="151"/>
    </row>
    <row r="9" spans="1:17">
      <c r="A9" s="240" t="s">
        <v>132</v>
      </c>
      <c r="B9" s="241"/>
      <c r="C9" s="252">
        <v>6000</v>
      </c>
      <c r="D9" s="252">
        <v>26791.97</v>
      </c>
      <c r="E9" s="252">
        <v>13510.16</v>
      </c>
      <c r="F9" s="252">
        <v>18000</v>
      </c>
      <c r="G9" s="252">
        <v>107959.05</v>
      </c>
      <c r="H9" s="242">
        <f>SUM(C9:G9)</f>
        <v>172261.18</v>
      </c>
      <c r="I9" s="252">
        <v>247000</v>
      </c>
      <c r="J9" s="242">
        <f>$H9-I9</f>
        <v>-74738.820000000007</v>
      </c>
      <c r="K9" s="243">
        <f>IFERROR(J9/$H9,)</f>
        <v>-0.43386919792375744</v>
      </c>
      <c r="L9" s="149"/>
      <c r="M9" s="252">
        <v>908582</v>
      </c>
      <c r="N9" s="242">
        <f>$H9-M9</f>
        <v>-736320.82000000007</v>
      </c>
      <c r="O9" s="243">
        <f>IFERROR(N9/$H9,)</f>
        <v>-4.2744443060241437</v>
      </c>
      <c r="Q9" s="40"/>
    </row>
    <row r="10" spans="1:17">
      <c r="A10" s="152" t="s">
        <v>133</v>
      </c>
      <c r="B10" s="145"/>
      <c r="C10" s="245">
        <v>12993968</v>
      </c>
      <c r="D10" s="245">
        <v>5401054.4100000001</v>
      </c>
      <c r="E10" s="245">
        <v>1902932.27</v>
      </c>
      <c r="F10" s="245">
        <v>1197652.3</v>
      </c>
      <c r="G10" s="245">
        <v>2337035</v>
      </c>
      <c r="H10" s="153">
        <f>SUM(C10:G10)</f>
        <v>23832641.98</v>
      </c>
      <c r="I10" s="245">
        <v>28464000</v>
      </c>
      <c r="J10" s="153">
        <f>$H10-I10</f>
        <v>-4631358.0199999996</v>
      </c>
      <c r="K10" s="151">
        <f>IFERROR(J10/$H10,)</f>
        <v>-0.1943283511700703</v>
      </c>
      <c r="L10" s="149"/>
      <c r="M10" s="245">
        <v>27830409</v>
      </c>
      <c r="N10" s="153">
        <f>$H10-M10</f>
        <v>-3997767.0199999996</v>
      </c>
      <c r="O10" s="151">
        <f>IFERROR(N10/$H10,)</f>
        <v>-0.16774334223435514</v>
      </c>
      <c r="Q10" s="40"/>
    </row>
    <row r="11" spans="1:17" s="24" customFormat="1" ht="15">
      <c r="A11" s="98" t="s">
        <v>134</v>
      </c>
      <c r="B11" s="154"/>
      <c r="C11" s="22">
        <f t="shared" ref="C11:I11" si="0">SUM(C9:C10)</f>
        <v>12999968</v>
      </c>
      <c r="D11" s="22">
        <f t="shared" si="0"/>
        <v>5427846.3799999999</v>
      </c>
      <c r="E11" s="22">
        <f t="shared" si="0"/>
        <v>1916442.43</v>
      </c>
      <c r="F11" s="22">
        <f t="shared" si="0"/>
        <v>1215652.3</v>
      </c>
      <c r="G11" s="22">
        <f t="shared" si="0"/>
        <v>2444994.0499999998</v>
      </c>
      <c r="H11" s="22">
        <f t="shared" si="0"/>
        <v>24004903.16</v>
      </c>
      <c r="I11" s="22">
        <f t="shared" si="0"/>
        <v>28711000</v>
      </c>
      <c r="J11" s="22">
        <f>$H11-I11</f>
        <v>-4706096.84</v>
      </c>
      <c r="K11" s="155">
        <f>IFERROR(J11/$H11,)</f>
        <v>-0.19604731619338053</v>
      </c>
      <c r="L11" s="156"/>
      <c r="M11" s="22">
        <f>SUM(M9:M10)</f>
        <v>28738991</v>
      </c>
      <c r="N11" s="22">
        <f>$H11-M11</f>
        <v>-4734087.84</v>
      </c>
      <c r="O11" s="155">
        <f>IFERROR(N11/$H11,)</f>
        <v>-0.19721336963727204</v>
      </c>
      <c r="P11" s="112"/>
    </row>
    <row r="12" spans="1:17">
      <c r="A12" s="157"/>
      <c r="B12" s="145"/>
      <c r="C12" s="158"/>
      <c r="D12" s="158"/>
      <c r="E12" s="158"/>
      <c r="F12" s="158"/>
      <c r="G12" s="158"/>
      <c r="H12" s="158"/>
      <c r="I12" s="158"/>
      <c r="J12" s="158"/>
      <c r="K12" s="151"/>
      <c r="L12" s="149"/>
      <c r="M12" s="158"/>
      <c r="N12" s="158"/>
      <c r="O12" s="151"/>
    </row>
    <row r="13" spans="1:17" ht="15">
      <c r="A13" s="150" t="s">
        <v>135</v>
      </c>
      <c r="B13" s="145"/>
      <c r="C13" s="158"/>
      <c r="D13" s="158"/>
      <c r="E13" s="158"/>
      <c r="F13" s="158"/>
      <c r="G13" s="158"/>
      <c r="H13" s="158"/>
      <c r="I13" s="158"/>
      <c r="J13" s="158"/>
      <c r="K13" s="151"/>
      <c r="L13" s="149"/>
      <c r="M13" s="158"/>
      <c r="N13" s="158"/>
      <c r="O13" s="151"/>
    </row>
    <row r="14" spans="1:17">
      <c r="A14" s="240" t="s">
        <v>132</v>
      </c>
      <c r="B14" s="241"/>
      <c r="C14" s="252">
        <v>25787030</v>
      </c>
      <c r="D14" s="252"/>
      <c r="E14" s="252"/>
      <c r="F14" s="252"/>
      <c r="G14" s="252"/>
      <c r="H14" s="242">
        <f>SUM(C14:G14)</f>
        <v>25787030</v>
      </c>
      <c r="I14" s="252">
        <v>56139191.570000097</v>
      </c>
      <c r="J14" s="242">
        <f>$H14-I14</f>
        <v>-30352161.570000097</v>
      </c>
      <c r="K14" s="243">
        <f>IFERROR(J14/$H14,)</f>
        <v>-1.1770320804683632</v>
      </c>
      <c r="L14" s="149"/>
      <c r="M14" s="252">
        <v>692637.08</v>
      </c>
      <c r="N14" s="242">
        <f>$H14-M14</f>
        <v>25094392.920000002</v>
      </c>
      <c r="O14" s="243">
        <f>IFERROR(N14/$H14,)</f>
        <v>0.97314009872404861</v>
      </c>
      <c r="Q14" s="40"/>
    </row>
    <row r="15" spans="1:17">
      <c r="A15" s="152" t="s">
        <v>133</v>
      </c>
      <c r="B15" s="145"/>
      <c r="C15" s="245"/>
      <c r="D15" s="245"/>
      <c r="E15" s="245"/>
      <c r="F15" s="245"/>
      <c r="G15" s="245"/>
      <c r="H15" s="153">
        <f>SUM(C15:G15)</f>
        <v>0</v>
      </c>
      <c r="I15" s="245"/>
      <c r="J15" s="153">
        <f>$H15-I15</f>
        <v>0</v>
      </c>
      <c r="K15" s="151">
        <f>IFERROR(J15/$H15,)</f>
        <v>0</v>
      </c>
      <c r="L15" s="149"/>
      <c r="M15" s="245">
        <v>27282314.920000002</v>
      </c>
      <c r="N15" s="153">
        <f>$H15-M15</f>
        <v>-27282314.920000002</v>
      </c>
      <c r="O15" s="151">
        <f>IFERROR(N15/$H15,)</f>
        <v>0</v>
      </c>
      <c r="Q15" s="40"/>
    </row>
    <row r="16" spans="1:17" s="24" customFormat="1" ht="15">
      <c r="A16" s="98" t="s">
        <v>136</v>
      </c>
      <c r="B16" s="16"/>
      <c r="C16" s="22">
        <f>SUM(C14:C15)</f>
        <v>25787030</v>
      </c>
      <c r="D16" s="22">
        <f t="shared" ref="D16:I16" si="1">SUM(D14:D15)</f>
        <v>0</v>
      </c>
      <c r="E16" s="22">
        <f t="shared" si="1"/>
        <v>0</v>
      </c>
      <c r="F16" s="22">
        <f t="shared" si="1"/>
        <v>0</v>
      </c>
      <c r="G16" s="22">
        <f t="shared" si="1"/>
        <v>0</v>
      </c>
      <c r="H16" s="22">
        <f t="shared" si="1"/>
        <v>25787030</v>
      </c>
      <c r="I16" s="22">
        <f t="shared" si="1"/>
        <v>56139191.570000097</v>
      </c>
      <c r="J16" s="22">
        <f>$H16-I16</f>
        <v>-30352161.570000097</v>
      </c>
      <c r="K16" s="155">
        <f>IFERROR(J16/$H16,)</f>
        <v>-1.1770320804683632</v>
      </c>
      <c r="L16" s="156"/>
      <c r="M16" s="22">
        <f>SUM(M14:M15)</f>
        <v>27974952</v>
      </c>
      <c r="N16" s="22">
        <f>$H16-M16</f>
        <v>-2187922</v>
      </c>
      <c r="O16" s="155">
        <f>IFERROR(N16/$H16,)</f>
        <v>-8.4845831412147896E-2</v>
      </c>
      <c r="P16" s="112"/>
      <c r="Q16" s="40"/>
    </row>
    <row r="17" spans="1:17">
      <c r="A17" s="157"/>
      <c r="B17" s="27"/>
      <c r="C17" s="158"/>
      <c r="D17" s="158"/>
      <c r="E17" s="158"/>
      <c r="F17" s="158"/>
      <c r="G17" s="158"/>
      <c r="H17" s="158"/>
      <c r="I17" s="158"/>
      <c r="J17" s="158"/>
      <c r="K17" s="151"/>
      <c r="L17" s="149"/>
      <c r="M17" s="158"/>
      <c r="N17" s="158"/>
      <c r="O17" s="151"/>
    </row>
    <row r="18" spans="1:17" s="24" customFormat="1" ht="15.75" thickBot="1">
      <c r="A18" s="159" t="s">
        <v>137</v>
      </c>
      <c r="B18" s="113"/>
      <c r="C18" s="160">
        <f t="shared" ref="C18:I18" si="2">C11+C16</f>
        <v>38786998</v>
      </c>
      <c r="D18" s="160">
        <f t="shared" si="2"/>
        <v>5427846.3799999999</v>
      </c>
      <c r="E18" s="160">
        <f t="shared" si="2"/>
        <v>1916442.43</v>
      </c>
      <c r="F18" s="160">
        <f t="shared" si="2"/>
        <v>1215652.3</v>
      </c>
      <c r="G18" s="160">
        <f t="shared" si="2"/>
        <v>2444994.0499999998</v>
      </c>
      <c r="H18" s="160">
        <f>H11+H16</f>
        <v>49791933.159999996</v>
      </c>
      <c r="I18" s="160">
        <f t="shared" si="2"/>
        <v>84850191.570000097</v>
      </c>
      <c r="J18" s="160">
        <f>$H18-I18</f>
        <v>-35058258.410000101</v>
      </c>
      <c r="K18" s="161">
        <f>IFERROR(J18/$H18,)</f>
        <v>-0.70409514523858474</v>
      </c>
      <c r="L18" s="156"/>
      <c r="M18" s="160">
        <f>M11+M16</f>
        <v>56713943</v>
      </c>
      <c r="N18" s="160">
        <f>$H18-M18</f>
        <v>-6922009.8400000036</v>
      </c>
      <c r="O18" s="161">
        <f>IFERROR(N18/$H18,)</f>
        <v>-0.13901870043400427</v>
      </c>
      <c r="P18" s="112"/>
      <c r="Q18" s="40"/>
    </row>
    <row r="19" spans="1:17" s="24" customFormat="1" ht="15.75" thickTop="1">
      <c r="A19" s="37"/>
      <c r="B19" s="37"/>
      <c r="C19" s="162"/>
      <c r="D19" s="162"/>
      <c r="E19" s="162"/>
      <c r="F19" s="162"/>
      <c r="G19" s="162"/>
      <c r="H19" s="246" t="str">
        <f>IF(ABS(H18-BS!C12)&lt;1, "Balanced!", "Error!")</f>
        <v>Balanced!</v>
      </c>
      <c r="I19" s="246" t="str">
        <f>IF(ABS(I18-BS!D12)&lt;1, "Balanced!", "Error!")</f>
        <v>Balanced!</v>
      </c>
      <c r="J19" s="246"/>
      <c r="K19" s="246"/>
      <c r="L19" s="112"/>
      <c r="M19" s="246" t="str">
        <f>IF(ABS(M18-BS!H12)&lt;1, "Balanced!", "Error!")</f>
        <v>Balanced!</v>
      </c>
      <c r="N19" s="162"/>
      <c r="O19" s="163"/>
      <c r="P19" s="112"/>
      <c r="Q19" s="40"/>
    </row>
    <row r="21" spans="1:17" ht="15">
      <c r="A21" s="164" t="s">
        <v>155</v>
      </c>
      <c r="B21" s="165"/>
      <c r="C21" s="165"/>
      <c r="D21" s="165"/>
      <c r="E21" s="165"/>
      <c r="F21" s="165"/>
      <c r="G21" s="165"/>
      <c r="H21" s="122"/>
      <c r="I21" s="122"/>
      <c r="J21" s="122"/>
      <c r="K21" s="122"/>
      <c r="M21" s="172"/>
      <c r="N21" s="122"/>
      <c r="O21" s="122"/>
    </row>
    <row r="22" spans="1:17">
      <c r="A22" s="240" t="s">
        <v>151</v>
      </c>
      <c r="B22" s="241"/>
      <c r="C22" s="244">
        <f>C9+C14</f>
        <v>25793030</v>
      </c>
      <c r="D22" s="244">
        <f t="shared" ref="D22:H22" si="3">D9+D14</f>
        <v>26791.97</v>
      </c>
      <c r="E22" s="244">
        <f t="shared" si="3"/>
        <v>13510.16</v>
      </c>
      <c r="F22" s="244">
        <f t="shared" si="3"/>
        <v>18000</v>
      </c>
      <c r="G22" s="244">
        <f t="shared" si="3"/>
        <v>107959.05</v>
      </c>
      <c r="H22" s="244">
        <f t="shared" si="3"/>
        <v>25959291.18</v>
      </c>
      <c r="I22" s="244">
        <f t="shared" ref="I22" si="4">I9+I14</f>
        <v>56386191.570000097</v>
      </c>
      <c r="J22" s="244">
        <f>J9+J14</f>
        <v>-30426900.390000097</v>
      </c>
      <c r="K22" s="243">
        <f>IFERROR(J22/$H22,)</f>
        <v>-1.1721005854521216</v>
      </c>
      <c r="M22" s="242">
        <f>M9+M14</f>
        <v>1601219.08</v>
      </c>
      <c r="N22" s="244">
        <f>N9+N14</f>
        <v>24358072.100000001</v>
      </c>
      <c r="O22" s="243">
        <f>IFERROR(N22/$H22,)</f>
        <v>0.93831807390666977</v>
      </c>
    </row>
    <row r="23" spans="1:17">
      <c r="A23" s="152" t="s">
        <v>152</v>
      </c>
      <c r="B23" s="145"/>
      <c r="C23" s="166">
        <f>C10+C15</f>
        <v>12993968</v>
      </c>
      <c r="D23" s="166">
        <f t="shared" ref="D23:H23" si="5">D10+D15</f>
        <v>5401054.4100000001</v>
      </c>
      <c r="E23" s="166">
        <f t="shared" si="5"/>
        <v>1902932.27</v>
      </c>
      <c r="F23" s="166">
        <f t="shared" si="5"/>
        <v>1197652.3</v>
      </c>
      <c r="G23" s="166">
        <f t="shared" si="5"/>
        <v>2337035</v>
      </c>
      <c r="H23" s="166">
        <f t="shared" si="5"/>
        <v>23832641.98</v>
      </c>
      <c r="I23" s="166">
        <f t="shared" ref="I23" si="6">I10+I15</f>
        <v>28464000</v>
      </c>
      <c r="J23" s="166">
        <f>J10+J15</f>
        <v>-4631358.0199999996</v>
      </c>
      <c r="K23" s="151">
        <f>IFERROR(J23/$H23,)</f>
        <v>-0.1943283511700703</v>
      </c>
      <c r="M23" s="153">
        <f>M10+M15</f>
        <v>55112723.920000002</v>
      </c>
      <c r="N23" s="166">
        <f>N10+N15</f>
        <v>-31280081.940000001</v>
      </c>
      <c r="O23" s="151">
        <f>IFERROR(N23/$H23,)</f>
        <v>-1.3124890629519708</v>
      </c>
    </row>
    <row r="24" spans="1:17" ht="15.75" thickBot="1">
      <c r="A24" s="167" t="s">
        <v>137</v>
      </c>
      <c r="B24" s="168"/>
      <c r="C24" s="174">
        <f t="shared" ref="C24:I24" si="7">SUM(C22:C23)</f>
        <v>38786998</v>
      </c>
      <c r="D24" s="175">
        <f t="shared" si="7"/>
        <v>5427846.3799999999</v>
      </c>
      <c r="E24" s="174">
        <f t="shared" si="7"/>
        <v>1916442.43</v>
      </c>
      <c r="F24" s="174">
        <f t="shared" si="7"/>
        <v>1215652.3</v>
      </c>
      <c r="G24" s="174">
        <f t="shared" si="7"/>
        <v>2444994.0499999998</v>
      </c>
      <c r="H24" s="174">
        <f t="shared" si="7"/>
        <v>49791933.159999996</v>
      </c>
      <c r="I24" s="174">
        <f t="shared" si="7"/>
        <v>84850191.570000097</v>
      </c>
      <c r="J24" s="174">
        <f>SUM(J22:J23)</f>
        <v>-35058258.410000101</v>
      </c>
      <c r="K24" s="176">
        <f>IFERROR(J24/$H24,)</f>
        <v>-0.70409514523858474</v>
      </c>
      <c r="M24" s="175">
        <f>SUM(M22:M23)</f>
        <v>56713943</v>
      </c>
      <c r="N24" s="174">
        <f>SUM(N22:N23)</f>
        <v>-6922009.8399999999</v>
      </c>
      <c r="O24" s="177">
        <f>IFERROR(N24/$H24,)</f>
        <v>-0.13901870043400422</v>
      </c>
    </row>
    <row r="25" spans="1:17" ht="15" thickTop="1">
      <c r="A25" s="116" t="s">
        <v>86</v>
      </c>
      <c r="B25" s="117"/>
      <c r="C25" s="118">
        <f>C18-C24</f>
        <v>0</v>
      </c>
      <c r="D25" s="118">
        <f t="shared" ref="D25:I25" si="8">D18-D24</f>
        <v>0</v>
      </c>
      <c r="E25" s="118">
        <f t="shared" si="8"/>
        <v>0</v>
      </c>
      <c r="F25" s="118">
        <f t="shared" si="8"/>
        <v>0</v>
      </c>
      <c r="G25" s="118">
        <f t="shared" si="8"/>
        <v>0</v>
      </c>
      <c r="H25" s="118">
        <f t="shared" si="8"/>
        <v>0</v>
      </c>
      <c r="I25" s="118">
        <f t="shared" si="8"/>
        <v>0</v>
      </c>
      <c r="J25" s="118">
        <f>J18-J24</f>
        <v>0</v>
      </c>
      <c r="K25" s="171"/>
      <c r="M25" s="118">
        <f>M18-M24</f>
        <v>0</v>
      </c>
      <c r="N25" s="118">
        <f>N18-N24</f>
        <v>0</v>
      </c>
    </row>
    <row r="434" spans="8:59" ht="15">
      <c r="H434" s="13"/>
      <c r="I434" s="13"/>
      <c r="J434" s="13"/>
      <c r="K434" s="13"/>
      <c r="L434" s="13"/>
      <c r="M434" s="13"/>
      <c r="N434" s="13"/>
      <c r="O434" s="13"/>
      <c r="P434" s="13"/>
      <c r="BF434" s="24" t="s">
        <v>55</v>
      </c>
      <c r="BG434" s="24" t="s">
        <v>56</v>
      </c>
    </row>
    <row r="435" spans="8:59" ht="15">
      <c r="H435" s="13"/>
      <c r="I435" s="13"/>
      <c r="J435" s="13"/>
      <c r="K435" s="13"/>
      <c r="L435" s="13"/>
      <c r="M435" s="13"/>
      <c r="N435" s="13"/>
      <c r="O435" s="13"/>
      <c r="P435" s="13"/>
      <c r="BF435" s="24" t="s">
        <v>9</v>
      </c>
      <c r="BG435" s="70" t="s">
        <v>43</v>
      </c>
    </row>
    <row r="436" spans="8:59" ht="15">
      <c r="H436" s="13"/>
      <c r="I436" s="13"/>
      <c r="J436" s="13"/>
      <c r="K436" s="13"/>
      <c r="L436" s="13"/>
      <c r="M436" s="13"/>
      <c r="N436" s="13"/>
      <c r="O436" s="13"/>
      <c r="P436" s="13"/>
      <c r="BF436" s="24" t="s">
        <v>39</v>
      </c>
      <c r="BG436" s="71" t="s">
        <v>44</v>
      </c>
    </row>
    <row r="437" spans="8:59" ht="15">
      <c r="H437" s="13"/>
      <c r="I437" s="13"/>
      <c r="J437" s="13"/>
      <c r="K437" s="13"/>
      <c r="L437" s="13"/>
      <c r="M437" s="13"/>
      <c r="N437" s="13"/>
      <c r="O437" s="13"/>
      <c r="P437" s="13"/>
      <c r="BF437" s="24" t="s">
        <v>40</v>
      </c>
      <c r="BG437" s="71" t="s">
        <v>45</v>
      </c>
    </row>
    <row r="438" spans="8:59" ht="15">
      <c r="H438" s="13"/>
      <c r="I438" s="13"/>
      <c r="J438" s="13"/>
      <c r="K438" s="13"/>
      <c r="L438" s="13"/>
      <c r="M438" s="13"/>
      <c r="N438" s="13"/>
      <c r="O438" s="13"/>
      <c r="P438" s="13"/>
      <c r="BF438" s="24" t="s">
        <v>41</v>
      </c>
      <c r="BG438" s="71" t="s">
        <v>46</v>
      </c>
    </row>
    <row r="439" spans="8:59" ht="15">
      <c r="H439" s="13"/>
      <c r="I439" s="13"/>
      <c r="J439" s="13"/>
      <c r="K439" s="13"/>
      <c r="L439" s="13"/>
      <c r="M439" s="13"/>
      <c r="N439" s="13"/>
      <c r="O439" s="13"/>
      <c r="P439" s="13"/>
      <c r="BF439" s="24" t="s">
        <v>42</v>
      </c>
      <c r="BG439" s="71" t="s">
        <v>47</v>
      </c>
    </row>
    <row r="440" spans="8:59" ht="15">
      <c r="H440" s="13"/>
      <c r="I440" s="13"/>
      <c r="J440" s="13"/>
      <c r="K440" s="13"/>
      <c r="L440" s="13"/>
      <c r="M440" s="13"/>
      <c r="N440" s="13"/>
      <c r="O440" s="13"/>
      <c r="P440" s="13"/>
      <c r="BF440" s="24" t="s">
        <v>57</v>
      </c>
      <c r="BG440" s="71" t="s">
        <v>48</v>
      </c>
    </row>
    <row r="441" spans="8:59" ht="15">
      <c r="H441" s="13"/>
      <c r="I441" s="13"/>
      <c r="J441" s="13"/>
      <c r="K441" s="13"/>
      <c r="L441" s="13"/>
      <c r="M441" s="13"/>
      <c r="N441" s="13"/>
      <c r="O441" s="13"/>
      <c r="P441" s="13"/>
      <c r="BG441" s="71" t="s">
        <v>49</v>
      </c>
    </row>
    <row r="442" spans="8:59" ht="15">
      <c r="H442" s="13"/>
      <c r="I442" s="13"/>
      <c r="J442" s="13"/>
      <c r="K442" s="13"/>
      <c r="L442" s="13"/>
      <c r="M442" s="13"/>
      <c r="N442" s="13"/>
      <c r="O442" s="13"/>
      <c r="P442" s="13"/>
      <c r="BG442" s="71" t="s">
        <v>50</v>
      </c>
    </row>
    <row r="443" spans="8:59" ht="15">
      <c r="H443" s="13"/>
      <c r="I443" s="13"/>
      <c r="J443" s="13"/>
      <c r="K443" s="13"/>
      <c r="L443" s="13"/>
      <c r="M443" s="13"/>
      <c r="N443" s="13"/>
      <c r="O443" s="13"/>
      <c r="P443" s="13"/>
      <c r="BG443" s="71" t="s">
        <v>51</v>
      </c>
    </row>
    <row r="444" spans="8:59" ht="15">
      <c r="H444" s="13"/>
      <c r="I444" s="13"/>
      <c r="J444" s="13"/>
      <c r="K444" s="13"/>
      <c r="L444" s="13"/>
      <c r="M444" s="13"/>
      <c r="N444" s="13"/>
      <c r="O444" s="13"/>
      <c r="P444" s="13"/>
      <c r="BG444" s="71" t="s">
        <v>52</v>
      </c>
    </row>
    <row r="445" spans="8:59" ht="15">
      <c r="H445" s="13"/>
      <c r="I445" s="13"/>
      <c r="J445" s="13"/>
      <c r="K445" s="13"/>
      <c r="L445" s="13"/>
      <c r="M445" s="13"/>
      <c r="N445" s="13"/>
      <c r="O445" s="13"/>
      <c r="P445" s="13"/>
      <c r="BG445" s="71" t="s">
        <v>53</v>
      </c>
    </row>
    <row r="446" spans="8:59" ht="15">
      <c r="H446" s="13"/>
      <c r="I446" s="13"/>
      <c r="J446" s="13"/>
      <c r="K446" s="13"/>
      <c r="L446" s="13"/>
      <c r="M446" s="13"/>
      <c r="N446" s="13"/>
      <c r="O446" s="13"/>
      <c r="P446" s="13"/>
      <c r="BG446" s="71" t="s">
        <v>54</v>
      </c>
    </row>
    <row r="481" spans="8:16">
      <c r="H481" s="13"/>
      <c r="I481" s="13"/>
      <c r="J481" s="13"/>
      <c r="K481" s="13"/>
      <c r="L481" s="13"/>
      <c r="M481" s="13"/>
      <c r="N481" s="13"/>
      <c r="O481" s="13"/>
      <c r="P481" s="13"/>
    </row>
    <row r="482" spans="8:16">
      <c r="H482" s="13"/>
      <c r="I482" s="13"/>
      <c r="J482" s="13"/>
      <c r="K482" s="13"/>
      <c r="L482" s="13"/>
      <c r="M482" s="13"/>
      <c r="N482" s="13"/>
      <c r="O482" s="13"/>
      <c r="P482" s="13"/>
    </row>
    <row r="483" spans="8:16">
      <c r="H483" s="13"/>
      <c r="I483" s="13"/>
      <c r="J483" s="13"/>
      <c r="K483" s="13"/>
      <c r="L483" s="13"/>
      <c r="M483" s="13"/>
      <c r="N483" s="13"/>
      <c r="O483" s="13"/>
      <c r="P483" s="13"/>
    </row>
    <row r="484" spans="8:16">
      <c r="H484" s="13"/>
      <c r="I484" s="13"/>
      <c r="J484" s="13"/>
      <c r="K484" s="13"/>
      <c r="L484" s="13"/>
      <c r="M484" s="13"/>
      <c r="N484" s="13"/>
      <c r="O484" s="13"/>
      <c r="P484" s="13"/>
    </row>
    <row r="485" spans="8:16">
      <c r="H485" s="13"/>
      <c r="I485" s="13"/>
      <c r="J485" s="13"/>
      <c r="K485" s="13"/>
      <c r="L485" s="13"/>
      <c r="M485" s="13"/>
      <c r="N485" s="13"/>
      <c r="O485" s="13"/>
      <c r="P485" s="13"/>
    </row>
    <row r="486" spans="8:16">
      <c r="H486" s="13"/>
      <c r="I486" s="13"/>
      <c r="J486" s="13"/>
      <c r="K486" s="13"/>
      <c r="L486" s="13"/>
      <c r="M486" s="13"/>
      <c r="N486" s="13"/>
      <c r="O486" s="13"/>
      <c r="P486" s="13"/>
    </row>
    <row r="487" spans="8:16">
      <c r="H487" s="13"/>
      <c r="I487" s="13"/>
      <c r="J487" s="13"/>
      <c r="K487" s="13"/>
      <c r="L487" s="13"/>
      <c r="M487" s="13"/>
      <c r="N487" s="13"/>
      <c r="O487" s="13"/>
      <c r="P487" s="13"/>
    </row>
    <row r="488" spans="8:16">
      <c r="H488" s="13"/>
      <c r="I488" s="13"/>
      <c r="J488" s="13"/>
      <c r="K488" s="13"/>
      <c r="L488" s="13"/>
      <c r="M488" s="13"/>
      <c r="N488" s="13"/>
      <c r="O488" s="13"/>
      <c r="P488" s="13"/>
    </row>
    <row r="489" spans="8:16">
      <c r="H489" s="13"/>
      <c r="I489" s="13"/>
      <c r="J489" s="13"/>
      <c r="K489" s="13"/>
      <c r="L489" s="13"/>
      <c r="M489" s="13"/>
      <c r="N489" s="13"/>
      <c r="O489" s="13"/>
      <c r="P489" s="13"/>
    </row>
    <row r="490" spans="8:16">
      <c r="H490" s="13"/>
      <c r="I490" s="13"/>
      <c r="J490" s="13"/>
      <c r="K490" s="13"/>
      <c r="L490" s="13"/>
      <c r="M490" s="13"/>
      <c r="N490" s="13"/>
      <c r="O490" s="13"/>
      <c r="P490" s="13"/>
    </row>
    <row r="491" spans="8:16">
      <c r="H491" s="13"/>
      <c r="I491" s="13"/>
      <c r="J491" s="13"/>
      <c r="K491" s="13"/>
      <c r="L491" s="13"/>
      <c r="M491" s="13"/>
      <c r="N491" s="13"/>
      <c r="O491" s="13"/>
      <c r="P491" s="13"/>
    </row>
    <row r="492" spans="8:16">
      <c r="H492" s="13"/>
      <c r="I492" s="13"/>
      <c r="J492" s="13"/>
      <c r="K492" s="13"/>
      <c r="L492" s="13"/>
      <c r="M492" s="13"/>
      <c r="N492" s="13"/>
      <c r="O492" s="13"/>
      <c r="P492" s="13"/>
    </row>
    <row r="493" spans="8:16">
      <c r="H493" s="13"/>
      <c r="I493" s="13"/>
      <c r="J493" s="13"/>
      <c r="K493" s="13"/>
      <c r="L493" s="13"/>
      <c r="M493" s="13"/>
      <c r="N493" s="13"/>
      <c r="O493" s="13"/>
      <c r="P493" s="13"/>
    </row>
  </sheetData>
  <sheetProtection password="CE24" sheet="1" objects="1" scenarios="1"/>
  <protectedRanges>
    <protectedRange sqref="C9:G10 C14:G15 I9:I10 I14:I15 M9:M10 M14:M15" name="Range1"/>
  </protectedRanges>
  <mergeCells count="11">
    <mergeCell ref="D6:G6"/>
    <mergeCell ref="C5:H5"/>
    <mergeCell ref="H6:H7"/>
    <mergeCell ref="I5:I7"/>
    <mergeCell ref="J6:J7"/>
    <mergeCell ref="J5:K5"/>
    <mergeCell ref="N5:O5"/>
    <mergeCell ref="K6:K7"/>
    <mergeCell ref="M5:M7"/>
    <mergeCell ref="N6:N7"/>
    <mergeCell ref="O6:O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70C0"/>
  </sheetPr>
  <dimension ref="A1:BF493"/>
  <sheetViews>
    <sheetView workbookViewId="0">
      <pane xSplit="2" ySplit="7" topLeftCell="C8" activePane="bottomRight" state="frozen"/>
      <selection activeCell="L64" sqref="L64:L65"/>
      <selection pane="topRight" activeCell="L64" sqref="L64:L65"/>
      <selection pane="bottomLeft" activeCell="L64" sqref="L64:L65"/>
      <selection pane="bottomRight" activeCell="C16" sqref="C16"/>
    </sheetView>
  </sheetViews>
  <sheetFormatPr defaultRowHeight="14.25"/>
  <cols>
    <col min="1" max="1" width="46.5703125" style="13" bestFit="1" customWidth="1"/>
    <col min="2" max="2" width="2.85546875" style="13" customWidth="1"/>
    <col min="3" max="5" width="11.5703125" style="13" customWidth="1"/>
    <col min="6" max="7" width="13.42578125" style="13" customWidth="1"/>
    <col min="8" max="8" width="12.7109375" style="99" customWidth="1"/>
    <col min="9" max="9" width="14.5703125" style="99" customWidth="1"/>
    <col min="10" max="11" width="12.7109375" style="99" customWidth="1"/>
    <col min="12" max="12" width="4.42578125" style="100" customWidth="1"/>
    <col min="13" max="15" width="12.7109375" style="99" customWidth="1"/>
    <col min="16" max="16" width="4.42578125" style="100" customWidth="1"/>
    <col min="17" max="16384" width="9.140625" style="13"/>
  </cols>
  <sheetData>
    <row r="1" spans="1:16" ht="15">
      <c r="A1" s="1" t="str">
        <f>'Top Flash'!A1</f>
        <v>TAAL VISTA HOTEL</v>
      </c>
    </row>
    <row r="2" spans="1:16" ht="15">
      <c r="A2" s="4" t="s">
        <v>294</v>
      </c>
    </row>
    <row r="3" spans="1:16" ht="15">
      <c r="A3" s="1" t="str">
        <f>'Top Flash'!A3</f>
        <v>December 2015</v>
      </c>
    </row>
    <row r="4" spans="1:16">
      <c r="A4" s="8" t="s">
        <v>38</v>
      </c>
    </row>
    <row r="5" spans="1:16" ht="15">
      <c r="A5" s="141"/>
      <c r="B5" s="142"/>
      <c r="C5" s="320" t="s">
        <v>144</v>
      </c>
      <c r="D5" s="321"/>
      <c r="E5" s="321"/>
      <c r="F5" s="321"/>
      <c r="G5" s="321"/>
      <c r="H5" s="322"/>
      <c r="I5" s="312" t="s">
        <v>61</v>
      </c>
      <c r="J5" s="324" t="s">
        <v>71</v>
      </c>
      <c r="K5" s="325"/>
      <c r="L5" s="17"/>
      <c r="M5" s="314" t="s">
        <v>219</v>
      </c>
      <c r="N5" s="309" t="s">
        <v>71</v>
      </c>
      <c r="O5" s="293"/>
      <c r="P5" s="17"/>
    </row>
    <row r="6" spans="1:16" ht="30" customHeight="1">
      <c r="A6" s="125" t="s">
        <v>225</v>
      </c>
      <c r="B6" s="27"/>
      <c r="C6" s="143" t="s">
        <v>142</v>
      </c>
      <c r="D6" s="317" t="s">
        <v>143</v>
      </c>
      <c r="E6" s="318"/>
      <c r="F6" s="318"/>
      <c r="G6" s="319"/>
      <c r="H6" s="312" t="s">
        <v>146</v>
      </c>
      <c r="I6" s="323"/>
      <c r="J6" s="312" t="s">
        <v>72</v>
      </c>
      <c r="K6" s="312" t="s">
        <v>73</v>
      </c>
      <c r="L6" s="17"/>
      <c r="M6" s="315"/>
      <c r="N6" s="279" t="s">
        <v>72</v>
      </c>
      <c r="O6" s="279" t="s">
        <v>73</v>
      </c>
      <c r="P6" s="17"/>
    </row>
    <row r="7" spans="1:16" ht="30">
      <c r="A7" s="144"/>
      <c r="B7" s="145"/>
      <c r="C7" s="146" t="s">
        <v>138</v>
      </c>
      <c r="D7" s="146" t="s">
        <v>139</v>
      </c>
      <c r="E7" s="147" t="s">
        <v>140</v>
      </c>
      <c r="F7" s="147" t="s">
        <v>141</v>
      </c>
      <c r="G7" s="148" t="s">
        <v>145</v>
      </c>
      <c r="H7" s="313"/>
      <c r="I7" s="313"/>
      <c r="J7" s="313"/>
      <c r="K7" s="313"/>
      <c r="L7" s="149"/>
      <c r="M7" s="316"/>
      <c r="N7" s="280"/>
      <c r="O7" s="280"/>
    </row>
    <row r="8" spans="1:16" ht="15">
      <c r="A8" s="150" t="s">
        <v>220</v>
      </c>
      <c r="B8" s="145"/>
      <c r="C8" s="85"/>
      <c r="D8" s="85"/>
      <c r="E8" s="85"/>
      <c r="F8" s="85"/>
      <c r="G8" s="85"/>
      <c r="H8" s="85"/>
      <c r="I8" s="85"/>
      <c r="J8" s="85"/>
      <c r="K8" s="151"/>
      <c r="L8" s="149"/>
      <c r="M8" s="85"/>
      <c r="N8" s="85"/>
      <c r="O8" s="151"/>
    </row>
    <row r="9" spans="1:16">
      <c r="A9" s="152" t="s">
        <v>132</v>
      </c>
      <c r="B9" s="145"/>
      <c r="C9" s="252">
        <v>397552.68</v>
      </c>
      <c r="D9" s="252"/>
      <c r="E9" s="252"/>
      <c r="F9" s="252"/>
      <c r="G9" s="252"/>
      <c r="H9" s="242">
        <f>SUM(C9:G9)</f>
        <v>397552.68</v>
      </c>
      <c r="I9" s="252"/>
      <c r="J9" s="242">
        <f>$H9-I9</f>
        <v>397552.68</v>
      </c>
      <c r="K9" s="243">
        <f>IFERROR(J9/$H9,)</f>
        <v>1</v>
      </c>
      <c r="L9" s="149"/>
      <c r="M9" s="252"/>
      <c r="N9" s="242">
        <f>$H9-M9</f>
        <v>397552.68</v>
      </c>
      <c r="O9" s="243">
        <f>IFERROR(N9/$H9,)</f>
        <v>1</v>
      </c>
    </row>
    <row r="10" spans="1:16">
      <c r="A10" s="152" t="s">
        <v>133</v>
      </c>
      <c r="B10" s="145"/>
      <c r="C10" s="245">
        <f>3017241.37+674592+122619.37+3292147.46+3024963.96+398987+3903398.24</f>
        <v>14433949.4</v>
      </c>
      <c r="D10" s="245"/>
      <c r="E10" s="245"/>
      <c r="F10" s="245"/>
      <c r="G10" s="245"/>
      <c r="H10" s="153">
        <f>SUM(C10:G10)</f>
        <v>14433949.4</v>
      </c>
      <c r="I10" s="264">
        <f>237105409-137245000-40382222.2222222</f>
        <v>59478186.777777798</v>
      </c>
      <c r="J10" s="153">
        <f>$H10-I10</f>
        <v>-45044237.3777778</v>
      </c>
      <c r="K10" s="151">
        <f>IFERROR(J10/$H10,)</f>
        <v>-3.120714651928723</v>
      </c>
      <c r="L10" s="149"/>
      <c r="M10" s="245">
        <v>48810942</v>
      </c>
      <c r="N10" s="153">
        <f>$H10-M10</f>
        <v>-34376992.600000001</v>
      </c>
      <c r="O10" s="151">
        <f>IFERROR(N10/$H10,)</f>
        <v>-2.3816761197735667</v>
      </c>
    </row>
    <row r="11" spans="1:16" s="24" customFormat="1" ht="15">
      <c r="A11" s="98" t="s">
        <v>221</v>
      </c>
      <c r="B11" s="154"/>
      <c r="C11" s="22">
        <f t="shared" ref="C11:I11" si="0">SUM(C9:C10)</f>
        <v>14831502.08</v>
      </c>
      <c r="D11" s="22">
        <f t="shared" si="0"/>
        <v>0</v>
      </c>
      <c r="E11" s="22">
        <f t="shared" si="0"/>
        <v>0</v>
      </c>
      <c r="F11" s="22">
        <f t="shared" si="0"/>
        <v>0</v>
      </c>
      <c r="G11" s="22">
        <f t="shared" si="0"/>
        <v>0</v>
      </c>
      <c r="H11" s="22">
        <f t="shared" si="0"/>
        <v>14831502.08</v>
      </c>
      <c r="I11" s="22">
        <f t="shared" si="0"/>
        <v>59478186.777777798</v>
      </c>
      <c r="J11" s="22">
        <f>$H11-I11</f>
        <v>-44646684.6977778</v>
      </c>
      <c r="K11" s="155">
        <f>IFERROR(J11/$H11,)</f>
        <v>-3.0102604885841608</v>
      </c>
      <c r="L11" s="156"/>
      <c r="M11" s="22">
        <f>SUM(M9:M10)</f>
        <v>48810942</v>
      </c>
      <c r="N11" s="22">
        <f>$H11-M11</f>
        <v>-33979439.920000002</v>
      </c>
      <c r="O11" s="155">
        <f>IFERROR(N11/$H11,)</f>
        <v>-2.2910315986012391</v>
      </c>
      <c r="P11" s="112"/>
    </row>
    <row r="12" spans="1:16">
      <c r="A12" s="157"/>
      <c r="B12" s="145"/>
      <c r="C12" s="158"/>
      <c r="D12" s="158"/>
      <c r="E12" s="158"/>
      <c r="F12" s="158"/>
      <c r="G12" s="158"/>
      <c r="H12" s="158"/>
      <c r="I12" s="158"/>
      <c r="J12" s="158"/>
      <c r="K12" s="151"/>
      <c r="L12" s="149"/>
      <c r="M12" s="158"/>
      <c r="N12" s="158"/>
      <c r="O12" s="151"/>
    </row>
    <row r="13" spans="1:16" ht="15">
      <c r="A13" s="150" t="s">
        <v>222</v>
      </c>
      <c r="B13" s="145"/>
      <c r="C13" s="158"/>
      <c r="D13" s="158"/>
      <c r="E13" s="158"/>
      <c r="F13" s="158"/>
      <c r="G13" s="158"/>
      <c r="H13" s="158"/>
      <c r="I13" s="158"/>
      <c r="J13" s="158"/>
      <c r="K13" s="151"/>
      <c r="L13" s="149"/>
      <c r="M13" s="158"/>
      <c r="N13" s="158"/>
      <c r="O13" s="151"/>
    </row>
    <row r="14" spans="1:16">
      <c r="A14" s="152" t="s">
        <v>132</v>
      </c>
      <c r="B14" s="145"/>
      <c r="C14" s="252"/>
      <c r="D14" s="252"/>
      <c r="E14" s="252"/>
      <c r="F14" s="252"/>
      <c r="G14" s="252"/>
      <c r="H14" s="242">
        <f>SUM(C14:G14)</f>
        <v>0</v>
      </c>
      <c r="I14" s="252"/>
      <c r="J14" s="242">
        <f>$H14-I14</f>
        <v>0</v>
      </c>
      <c r="K14" s="243">
        <f>IFERROR(J14/$H14,)</f>
        <v>0</v>
      </c>
      <c r="L14" s="149"/>
      <c r="M14" s="252"/>
      <c r="N14" s="242">
        <f>$H14-M14</f>
        <v>0</v>
      </c>
      <c r="O14" s="243">
        <f>IFERROR(N14/$H14,)</f>
        <v>0</v>
      </c>
    </row>
    <row r="15" spans="1:16">
      <c r="A15" s="152" t="s">
        <v>133</v>
      </c>
      <c r="B15" s="145"/>
      <c r="C15" s="245">
        <f>41253446.81+19430000</f>
        <v>60683446.810000002</v>
      </c>
      <c r="D15" s="245"/>
      <c r="E15" s="245"/>
      <c r="F15" s="245"/>
      <c r="G15" s="245"/>
      <c r="H15" s="153">
        <f>SUM(C15:G15)</f>
        <v>60683446.810000002</v>
      </c>
      <c r="I15" s="264">
        <f>80765874+49000000-1000-80764444.4444443</f>
        <v>49000429.555555701</v>
      </c>
      <c r="J15" s="153">
        <f>$H15-I15</f>
        <v>11683017.254444301</v>
      </c>
      <c r="K15" s="151">
        <f>IFERROR(J15/$H15,)</f>
        <v>0.19252395617908541</v>
      </c>
      <c r="L15" s="149"/>
      <c r="M15" s="245">
        <f>114726785-M10-M14</f>
        <v>65915843</v>
      </c>
      <c r="N15" s="153">
        <f>$H15-M15</f>
        <v>-5232396.1899999976</v>
      </c>
      <c r="O15" s="151">
        <f>IFERROR(N15/$H15,)</f>
        <v>-8.6224439530975236E-2</v>
      </c>
    </row>
    <row r="16" spans="1:16" s="24" customFormat="1" ht="15">
      <c r="A16" s="98" t="s">
        <v>223</v>
      </c>
      <c r="B16" s="16"/>
      <c r="C16" s="22">
        <f t="shared" ref="C16:I16" si="1">SUM(C14:C15)</f>
        <v>60683446.810000002</v>
      </c>
      <c r="D16" s="22">
        <f t="shared" si="1"/>
        <v>0</v>
      </c>
      <c r="E16" s="22">
        <f t="shared" si="1"/>
        <v>0</v>
      </c>
      <c r="F16" s="22">
        <f t="shared" si="1"/>
        <v>0</v>
      </c>
      <c r="G16" s="22">
        <f t="shared" si="1"/>
        <v>0</v>
      </c>
      <c r="H16" s="22">
        <f t="shared" si="1"/>
        <v>60683446.810000002</v>
      </c>
      <c r="I16" s="22">
        <f t="shared" si="1"/>
        <v>49000429.555555701</v>
      </c>
      <c r="J16" s="22">
        <f>$H16-I16</f>
        <v>11683017.254444301</v>
      </c>
      <c r="K16" s="155">
        <f>IFERROR(J16/$H16,)</f>
        <v>0.19252395617908541</v>
      </c>
      <c r="L16" s="156"/>
      <c r="M16" s="22">
        <f>SUM(M14:M15)</f>
        <v>65915843</v>
      </c>
      <c r="N16" s="22">
        <f>$H16-M16</f>
        <v>-5232396.1899999976</v>
      </c>
      <c r="O16" s="155">
        <f>IFERROR(N16/$H16,)</f>
        <v>-8.6224439530975236E-2</v>
      </c>
      <c r="P16" s="112"/>
    </row>
    <row r="17" spans="1:16">
      <c r="A17" s="157"/>
      <c r="B17" s="27"/>
      <c r="C17" s="158"/>
      <c r="D17" s="158"/>
      <c r="E17" s="158"/>
      <c r="F17" s="158"/>
      <c r="G17" s="158"/>
      <c r="H17" s="158"/>
      <c r="I17" s="158"/>
      <c r="J17" s="158"/>
      <c r="K17" s="151"/>
      <c r="L17" s="149"/>
      <c r="M17" s="158"/>
      <c r="N17" s="158"/>
      <c r="O17" s="151"/>
    </row>
    <row r="18" spans="1:16" s="24" customFormat="1" ht="15.75" thickBot="1">
      <c r="A18" s="159" t="s">
        <v>224</v>
      </c>
      <c r="B18" s="113"/>
      <c r="C18" s="160">
        <f t="shared" ref="C18:I18" si="2">C11+C16</f>
        <v>75514948.890000001</v>
      </c>
      <c r="D18" s="160">
        <f t="shared" si="2"/>
        <v>0</v>
      </c>
      <c r="E18" s="160">
        <f t="shared" si="2"/>
        <v>0</v>
      </c>
      <c r="F18" s="160">
        <f t="shared" si="2"/>
        <v>0</v>
      </c>
      <c r="G18" s="160">
        <f t="shared" si="2"/>
        <v>0</v>
      </c>
      <c r="H18" s="160">
        <f t="shared" si="2"/>
        <v>75514948.890000001</v>
      </c>
      <c r="I18" s="160">
        <f t="shared" si="2"/>
        <v>108478616.33333349</v>
      </c>
      <c r="J18" s="160">
        <f>$H18-I18</f>
        <v>-32963667.443333492</v>
      </c>
      <c r="K18" s="161">
        <f>IFERROR(J18/$H18,)</f>
        <v>-0.43651843678462288</v>
      </c>
      <c r="L18" s="156"/>
      <c r="M18" s="160">
        <f>M11+M16</f>
        <v>114726785</v>
      </c>
      <c r="N18" s="160">
        <f>$H18-M18</f>
        <v>-39211836.109999999</v>
      </c>
      <c r="O18" s="161">
        <f>IFERROR(N18/$H18,)</f>
        <v>-0.51925925510614479</v>
      </c>
      <c r="P18" s="112"/>
    </row>
    <row r="19" spans="1:16" s="24" customFormat="1" ht="15.75" thickTop="1">
      <c r="A19" s="37"/>
      <c r="B19" s="37"/>
      <c r="C19" s="162"/>
      <c r="D19" s="162"/>
      <c r="E19" s="162"/>
      <c r="F19" s="162"/>
      <c r="G19" s="162"/>
      <c r="H19" s="246" t="str">
        <f>IF(ABS(H18-BS!C27)&lt;1, "Balanced!", "Error!")</f>
        <v>Balanced!</v>
      </c>
      <c r="I19" s="246" t="str">
        <f>IF(ABS(I18-BS!D27)&lt;1, "Balanced!", "Error!")</f>
        <v>Balanced!</v>
      </c>
      <c r="J19" s="162"/>
      <c r="K19" s="163"/>
      <c r="L19" s="112"/>
      <c r="M19" s="246" t="str">
        <f>IF(ABS(M18-BS!H27)&lt;1, "Balanced!", "Error!")</f>
        <v>Balanced!</v>
      </c>
      <c r="N19" s="162"/>
      <c r="O19" s="163"/>
      <c r="P19" s="112"/>
    </row>
    <row r="21" spans="1:16" ht="15">
      <c r="A21" s="164" t="s">
        <v>155</v>
      </c>
      <c r="B21" s="165"/>
      <c r="C21" s="165"/>
      <c r="D21" s="165"/>
      <c r="E21" s="165"/>
      <c r="F21" s="165"/>
      <c r="G21" s="165"/>
      <c r="H21" s="122"/>
      <c r="I21" s="122"/>
      <c r="J21" s="122"/>
      <c r="K21" s="122"/>
      <c r="M21" s="172"/>
      <c r="N21" s="172"/>
      <c r="O21" s="122"/>
    </row>
    <row r="22" spans="1:16">
      <c r="A22" s="152" t="s">
        <v>151</v>
      </c>
      <c r="B22" s="145"/>
      <c r="C22" s="166">
        <f>C9+C14</f>
        <v>397552.68</v>
      </c>
      <c r="D22" s="166">
        <f t="shared" ref="D22:J23" si="3">D9+D14</f>
        <v>0</v>
      </c>
      <c r="E22" s="166">
        <f t="shared" si="3"/>
        <v>0</v>
      </c>
      <c r="F22" s="166">
        <f t="shared" si="3"/>
        <v>0</v>
      </c>
      <c r="G22" s="166">
        <f t="shared" si="3"/>
        <v>0</v>
      </c>
      <c r="H22" s="166">
        <f t="shared" si="3"/>
        <v>397552.68</v>
      </c>
      <c r="I22" s="166">
        <f t="shared" si="3"/>
        <v>0</v>
      </c>
      <c r="J22" s="166">
        <f t="shared" si="3"/>
        <v>397552.68</v>
      </c>
      <c r="K22" s="151">
        <f>IFERROR(J22/$H22,)</f>
        <v>1</v>
      </c>
      <c r="M22" s="153">
        <f>M9+M14</f>
        <v>0</v>
      </c>
      <c r="N22" s="166">
        <f>N9+N14</f>
        <v>397552.68</v>
      </c>
      <c r="O22" s="151">
        <f>IFERROR(N22/$H22,)</f>
        <v>1</v>
      </c>
    </row>
    <row r="23" spans="1:16">
      <c r="A23" s="152" t="s">
        <v>152</v>
      </c>
      <c r="B23" s="145"/>
      <c r="C23" s="166">
        <f>C10+C15</f>
        <v>75117396.210000008</v>
      </c>
      <c r="D23" s="166">
        <f t="shared" si="3"/>
        <v>0</v>
      </c>
      <c r="E23" s="166">
        <f t="shared" si="3"/>
        <v>0</v>
      </c>
      <c r="F23" s="166">
        <f t="shared" si="3"/>
        <v>0</v>
      </c>
      <c r="G23" s="166">
        <f t="shared" si="3"/>
        <v>0</v>
      </c>
      <c r="H23" s="166">
        <f t="shared" si="3"/>
        <v>75117396.210000008</v>
      </c>
      <c r="I23" s="166">
        <f t="shared" si="3"/>
        <v>108478616.33333349</v>
      </c>
      <c r="J23" s="166">
        <f t="shared" si="3"/>
        <v>-33361220.123333499</v>
      </c>
      <c r="K23" s="151">
        <f>IFERROR(J23/$H23,)</f>
        <v>-0.44412109320280574</v>
      </c>
      <c r="M23" s="153">
        <f>M10+M15</f>
        <v>114726785</v>
      </c>
      <c r="N23" s="166">
        <f>N10+N15</f>
        <v>-39609388.789999999</v>
      </c>
      <c r="O23" s="151">
        <f>IFERROR(N23/$H23,)</f>
        <v>-0.52729981054278074</v>
      </c>
    </row>
    <row r="24" spans="1:16" ht="15.75" thickBot="1">
      <c r="A24" s="167" t="s">
        <v>224</v>
      </c>
      <c r="B24" s="168"/>
      <c r="C24" s="169">
        <f t="shared" ref="C24:J24" si="4">SUM(C22:C23)</f>
        <v>75514948.890000015</v>
      </c>
      <c r="D24" s="170">
        <f t="shared" si="4"/>
        <v>0</v>
      </c>
      <c r="E24" s="169">
        <f t="shared" si="4"/>
        <v>0</v>
      </c>
      <c r="F24" s="169">
        <f t="shared" si="4"/>
        <v>0</v>
      </c>
      <c r="G24" s="169">
        <f t="shared" si="4"/>
        <v>0</v>
      </c>
      <c r="H24" s="169">
        <f t="shared" si="4"/>
        <v>75514948.890000015</v>
      </c>
      <c r="I24" s="169">
        <f t="shared" si="4"/>
        <v>108478616.33333349</v>
      </c>
      <c r="J24" s="169">
        <f t="shared" si="4"/>
        <v>-32963667.443333499</v>
      </c>
      <c r="K24" s="176">
        <f>IFERROR(J24/$H24,)</f>
        <v>-0.43651843678462288</v>
      </c>
      <c r="M24" s="170">
        <f>SUM(M22:M23)</f>
        <v>114726785</v>
      </c>
      <c r="N24" s="169">
        <f>SUM(N22:N23)</f>
        <v>-39211836.109999999</v>
      </c>
      <c r="O24" s="177">
        <f>IFERROR(N24/$H24,)</f>
        <v>-0.51925925510614479</v>
      </c>
    </row>
    <row r="25" spans="1:16" ht="15" thickTop="1">
      <c r="A25" s="116" t="s">
        <v>86</v>
      </c>
      <c r="B25" s="117"/>
      <c r="C25" s="118">
        <f>C18-C24</f>
        <v>0</v>
      </c>
      <c r="D25" s="118">
        <f t="shared" ref="D25:I25" si="5">D18-D24</f>
        <v>0</v>
      </c>
      <c r="E25" s="118">
        <f t="shared" si="5"/>
        <v>0</v>
      </c>
      <c r="F25" s="118">
        <f t="shared" si="5"/>
        <v>0</v>
      </c>
      <c r="G25" s="118">
        <f t="shared" si="5"/>
        <v>0</v>
      </c>
      <c r="H25" s="118">
        <f t="shared" si="5"/>
        <v>0</v>
      </c>
      <c r="I25" s="118">
        <f t="shared" si="5"/>
        <v>0</v>
      </c>
      <c r="J25" s="118">
        <f>J18-J24</f>
        <v>0</v>
      </c>
      <c r="K25" s="171"/>
      <c r="M25" s="118">
        <f>M18-M24</f>
        <v>0</v>
      </c>
      <c r="N25" s="118">
        <f>N18-N24</f>
        <v>0</v>
      </c>
    </row>
    <row r="27" spans="1:16">
      <c r="A27" s="270"/>
      <c r="I27" s="272"/>
    </row>
    <row r="28" spans="1:16">
      <c r="I28" s="272"/>
    </row>
    <row r="29" spans="1:16">
      <c r="I29" s="272"/>
    </row>
    <row r="30" spans="1:16">
      <c r="I30" s="272"/>
    </row>
    <row r="31" spans="1:16">
      <c r="I31" s="263"/>
    </row>
    <row r="434" spans="8:58" ht="15">
      <c r="H434" s="13"/>
      <c r="I434" s="13"/>
      <c r="J434" s="13"/>
      <c r="K434" s="13"/>
      <c r="L434" s="13"/>
      <c r="M434" s="13"/>
      <c r="N434" s="13"/>
      <c r="O434" s="13"/>
      <c r="P434" s="13"/>
      <c r="BE434" s="24" t="s">
        <v>55</v>
      </c>
      <c r="BF434" s="24" t="s">
        <v>56</v>
      </c>
    </row>
    <row r="435" spans="8:58" ht="15">
      <c r="H435" s="13"/>
      <c r="I435" s="13"/>
      <c r="J435" s="13"/>
      <c r="K435" s="13"/>
      <c r="L435" s="13"/>
      <c r="M435" s="13"/>
      <c r="N435" s="13"/>
      <c r="O435" s="13"/>
      <c r="P435" s="13"/>
      <c r="BE435" s="24" t="s">
        <v>9</v>
      </c>
      <c r="BF435" s="70" t="s">
        <v>43</v>
      </c>
    </row>
    <row r="436" spans="8:58" ht="15">
      <c r="H436" s="13"/>
      <c r="I436" s="13"/>
      <c r="J436" s="13"/>
      <c r="K436" s="13"/>
      <c r="L436" s="13"/>
      <c r="M436" s="13"/>
      <c r="N436" s="13"/>
      <c r="O436" s="13"/>
      <c r="P436" s="13"/>
      <c r="BE436" s="24" t="s">
        <v>39</v>
      </c>
      <c r="BF436" s="71" t="s">
        <v>44</v>
      </c>
    </row>
    <row r="437" spans="8:58" ht="15">
      <c r="H437" s="13"/>
      <c r="I437" s="13"/>
      <c r="J437" s="13"/>
      <c r="K437" s="13"/>
      <c r="L437" s="13"/>
      <c r="M437" s="13"/>
      <c r="N437" s="13"/>
      <c r="O437" s="13"/>
      <c r="P437" s="13"/>
      <c r="BE437" s="24" t="s">
        <v>40</v>
      </c>
      <c r="BF437" s="71" t="s">
        <v>45</v>
      </c>
    </row>
    <row r="438" spans="8:58" ht="15">
      <c r="H438" s="13"/>
      <c r="I438" s="13"/>
      <c r="J438" s="13"/>
      <c r="K438" s="13"/>
      <c r="L438" s="13"/>
      <c r="M438" s="13"/>
      <c r="N438" s="13"/>
      <c r="O438" s="13"/>
      <c r="P438" s="13"/>
      <c r="BE438" s="24" t="s">
        <v>41</v>
      </c>
      <c r="BF438" s="71" t="s">
        <v>46</v>
      </c>
    </row>
    <row r="439" spans="8:58" ht="15">
      <c r="H439" s="13"/>
      <c r="I439" s="13"/>
      <c r="J439" s="13"/>
      <c r="K439" s="13"/>
      <c r="L439" s="13"/>
      <c r="M439" s="13"/>
      <c r="N439" s="13"/>
      <c r="O439" s="13"/>
      <c r="P439" s="13"/>
      <c r="BE439" s="24" t="s">
        <v>42</v>
      </c>
      <c r="BF439" s="71" t="s">
        <v>47</v>
      </c>
    </row>
    <row r="440" spans="8:58" ht="15">
      <c r="H440" s="13"/>
      <c r="I440" s="13"/>
      <c r="J440" s="13"/>
      <c r="K440" s="13"/>
      <c r="L440" s="13"/>
      <c r="M440" s="13"/>
      <c r="N440" s="13"/>
      <c r="O440" s="13"/>
      <c r="P440" s="13"/>
      <c r="BE440" s="24" t="s">
        <v>57</v>
      </c>
      <c r="BF440" s="71" t="s">
        <v>48</v>
      </c>
    </row>
    <row r="441" spans="8:58" ht="15">
      <c r="H441" s="13"/>
      <c r="I441" s="13"/>
      <c r="J441" s="13"/>
      <c r="K441" s="13"/>
      <c r="L441" s="13"/>
      <c r="M441" s="13"/>
      <c r="N441" s="13"/>
      <c r="O441" s="13"/>
      <c r="P441" s="13"/>
      <c r="BF441" s="71" t="s">
        <v>49</v>
      </c>
    </row>
    <row r="442" spans="8:58" ht="15">
      <c r="H442" s="13"/>
      <c r="I442" s="13"/>
      <c r="J442" s="13"/>
      <c r="K442" s="13"/>
      <c r="L442" s="13"/>
      <c r="M442" s="13"/>
      <c r="N442" s="13"/>
      <c r="O442" s="13"/>
      <c r="P442" s="13"/>
      <c r="BF442" s="71" t="s">
        <v>50</v>
      </c>
    </row>
    <row r="443" spans="8:58" ht="15">
      <c r="H443" s="13"/>
      <c r="I443" s="13"/>
      <c r="J443" s="13"/>
      <c r="K443" s="13"/>
      <c r="L443" s="13"/>
      <c r="M443" s="13"/>
      <c r="N443" s="13"/>
      <c r="O443" s="13"/>
      <c r="P443" s="13"/>
      <c r="BF443" s="71" t="s">
        <v>51</v>
      </c>
    </row>
    <row r="444" spans="8:58" ht="15">
      <c r="H444" s="13"/>
      <c r="I444" s="13"/>
      <c r="J444" s="13"/>
      <c r="K444" s="13"/>
      <c r="L444" s="13"/>
      <c r="M444" s="13"/>
      <c r="N444" s="13"/>
      <c r="O444" s="13"/>
      <c r="P444" s="13"/>
      <c r="BF444" s="71" t="s">
        <v>52</v>
      </c>
    </row>
    <row r="445" spans="8:58" ht="15">
      <c r="H445" s="13"/>
      <c r="I445" s="13"/>
      <c r="J445" s="13"/>
      <c r="K445" s="13"/>
      <c r="L445" s="13"/>
      <c r="M445" s="13"/>
      <c r="N445" s="13"/>
      <c r="O445" s="13"/>
      <c r="P445" s="13"/>
      <c r="BF445" s="71" t="s">
        <v>53</v>
      </c>
    </row>
    <row r="446" spans="8:58" ht="15">
      <c r="H446" s="13"/>
      <c r="I446" s="13"/>
      <c r="J446" s="13"/>
      <c r="K446" s="13"/>
      <c r="L446" s="13"/>
      <c r="M446" s="13"/>
      <c r="N446" s="13"/>
      <c r="O446" s="13"/>
      <c r="P446" s="13"/>
      <c r="BF446" s="71" t="s">
        <v>54</v>
      </c>
    </row>
    <row r="481" spans="8:16">
      <c r="H481" s="13"/>
      <c r="I481" s="13"/>
      <c r="J481" s="13"/>
      <c r="K481" s="13"/>
      <c r="L481" s="13"/>
      <c r="M481" s="13"/>
      <c r="N481" s="13"/>
      <c r="O481" s="13"/>
      <c r="P481" s="13"/>
    </row>
    <row r="482" spans="8:16">
      <c r="H482" s="13"/>
      <c r="I482" s="13"/>
      <c r="J482" s="13"/>
      <c r="K482" s="13"/>
      <c r="L482" s="13"/>
      <c r="M482" s="13"/>
      <c r="N482" s="13"/>
      <c r="O482" s="13"/>
      <c r="P482" s="13"/>
    </row>
    <row r="483" spans="8:16">
      <c r="H483" s="13"/>
      <c r="I483" s="13"/>
      <c r="J483" s="13"/>
      <c r="K483" s="13"/>
      <c r="L483" s="13"/>
      <c r="M483" s="13"/>
      <c r="N483" s="13"/>
      <c r="O483" s="13"/>
      <c r="P483" s="13"/>
    </row>
    <row r="484" spans="8:16">
      <c r="H484" s="13"/>
      <c r="I484" s="13"/>
      <c r="J484" s="13"/>
      <c r="K484" s="13"/>
      <c r="L484" s="13"/>
      <c r="M484" s="13"/>
      <c r="N484" s="13"/>
      <c r="O484" s="13"/>
      <c r="P484" s="13"/>
    </row>
    <row r="485" spans="8:16">
      <c r="H485" s="13"/>
      <c r="I485" s="13"/>
      <c r="J485" s="13"/>
      <c r="K485" s="13"/>
      <c r="L485" s="13"/>
      <c r="M485" s="13"/>
      <c r="N485" s="13"/>
      <c r="O485" s="13"/>
      <c r="P485" s="13"/>
    </row>
    <row r="486" spans="8:16">
      <c r="H486" s="13"/>
      <c r="I486" s="13"/>
      <c r="J486" s="13"/>
      <c r="K486" s="13"/>
      <c r="L486" s="13"/>
      <c r="M486" s="13"/>
      <c r="N486" s="13"/>
      <c r="O486" s="13"/>
      <c r="P486" s="13"/>
    </row>
    <row r="487" spans="8:16">
      <c r="H487" s="13"/>
      <c r="I487" s="13"/>
      <c r="J487" s="13"/>
      <c r="K487" s="13"/>
      <c r="L487" s="13"/>
      <c r="M487" s="13"/>
      <c r="N487" s="13"/>
      <c r="O487" s="13"/>
      <c r="P487" s="13"/>
    </row>
    <row r="488" spans="8:16">
      <c r="H488" s="13"/>
      <c r="I488" s="13"/>
      <c r="J488" s="13"/>
      <c r="K488" s="13"/>
      <c r="L488" s="13"/>
      <c r="M488" s="13"/>
      <c r="N488" s="13"/>
      <c r="O488" s="13"/>
      <c r="P488" s="13"/>
    </row>
    <row r="489" spans="8:16">
      <c r="H489" s="13"/>
      <c r="I489" s="13"/>
      <c r="J489" s="13"/>
      <c r="K489" s="13"/>
      <c r="L489" s="13"/>
      <c r="M489" s="13"/>
      <c r="N489" s="13"/>
      <c r="O489" s="13"/>
      <c r="P489" s="13"/>
    </row>
    <row r="490" spans="8:16">
      <c r="H490" s="13"/>
      <c r="I490" s="13"/>
      <c r="J490" s="13"/>
      <c r="K490" s="13"/>
      <c r="L490" s="13"/>
      <c r="M490" s="13"/>
      <c r="N490" s="13"/>
      <c r="O490" s="13"/>
      <c r="P490" s="13"/>
    </row>
    <row r="491" spans="8:16">
      <c r="H491" s="13"/>
      <c r="I491" s="13"/>
      <c r="J491" s="13"/>
      <c r="K491" s="13"/>
      <c r="L491" s="13"/>
      <c r="M491" s="13"/>
      <c r="N491" s="13"/>
      <c r="O491" s="13"/>
      <c r="P491" s="13"/>
    </row>
    <row r="492" spans="8:16">
      <c r="H492" s="13"/>
      <c r="I492" s="13"/>
      <c r="J492" s="13"/>
      <c r="K492" s="13"/>
      <c r="L492" s="13"/>
      <c r="M492" s="13"/>
      <c r="N492" s="13"/>
      <c r="O492" s="13"/>
      <c r="P492" s="13"/>
    </row>
    <row r="493" spans="8:16">
      <c r="H493" s="13"/>
      <c r="I493" s="13"/>
      <c r="J493" s="13"/>
      <c r="K493" s="13"/>
      <c r="L493" s="13"/>
      <c r="M493" s="13"/>
      <c r="N493" s="13"/>
      <c r="O493" s="13"/>
      <c r="P493" s="13"/>
    </row>
  </sheetData>
  <sheetProtection password="CE24" sheet="1" objects="1" scenarios="1"/>
  <protectedRanges>
    <protectedRange sqref="C9:G10 C14:G15 I9:I10 M9:M10 M14:M15 I14:I15" name="Range1"/>
  </protectedRanges>
  <dataConsolidate/>
  <mergeCells count="11">
    <mergeCell ref="O6:O7"/>
    <mergeCell ref="C5:H5"/>
    <mergeCell ref="I5:I7"/>
    <mergeCell ref="J5:K5"/>
    <mergeCell ref="M5:M7"/>
    <mergeCell ref="N5:O5"/>
    <mergeCell ref="D6:G6"/>
    <mergeCell ref="H6:H7"/>
    <mergeCell ref="J6:J7"/>
    <mergeCell ref="K6:K7"/>
    <mergeCell ref="N6:N7"/>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70C0"/>
  </sheetPr>
  <dimension ref="A1:O24"/>
  <sheetViews>
    <sheetView workbookViewId="0">
      <selection activeCell="J30" sqref="J30"/>
    </sheetView>
  </sheetViews>
  <sheetFormatPr defaultRowHeight="14.25"/>
  <cols>
    <col min="1" max="1" width="9.140625" style="13"/>
    <col min="2" max="5" width="11.28515625" style="13" customWidth="1"/>
    <col min="6" max="6" width="3" style="13" customWidth="1"/>
    <col min="7" max="10" width="11.28515625" style="13" customWidth="1"/>
    <col min="11" max="11" width="3" style="13" customWidth="1"/>
    <col min="12" max="15" width="11.28515625" style="13" customWidth="1"/>
    <col min="16" max="16384" width="9.140625" style="13"/>
  </cols>
  <sheetData>
    <row r="1" spans="1:15" ht="15">
      <c r="A1" s="24" t="str">
        <f>'Top Flash'!A1</f>
        <v>TAAL VISTA HOTEL</v>
      </c>
    </row>
    <row r="2" spans="1:15" ht="15">
      <c r="A2" s="24" t="s">
        <v>241</v>
      </c>
    </row>
    <row r="3" spans="1:15" ht="15">
      <c r="A3" s="24" t="str">
        <f>'Top Flash'!A3</f>
        <v>December 2015</v>
      </c>
    </row>
    <row r="4" spans="1:15" ht="15">
      <c r="A4" s="24" t="str">
        <f>'Top Flash'!A4</f>
        <v>(In '000)</v>
      </c>
    </row>
    <row r="5" spans="1:15">
      <c r="B5" s="179"/>
      <c r="C5" s="179"/>
      <c r="D5" s="179"/>
      <c r="E5" s="179"/>
      <c r="G5" s="179"/>
      <c r="H5" s="179"/>
      <c r="I5" s="179"/>
      <c r="J5" s="179"/>
      <c r="L5" s="179"/>
      <c r="M5" s="179"/>
      <c r="N5" s="179"/>
      <c r="O5" s="179"/>
    </row>
    <row r="6" spans="1:15">
      <c r="B6" s="179"/>
      <c r="C6" s="179"/>
      <c r="D6" s="179"/>
      <c r="E6" s="179"/>
      <c r="G6" s="179"/>
      <c r="H6" s="179"/>
      <c r="I6" s="179"/>
      <c r="J6" s="179"/>
      <c r="L6" s="179"/>
      <c r="M6" s="179"/>
      <c r="N6" s="179"/>
      <c r="O6" s="179"/>
    </row>
    <row r="7" spans="1:15" ht="15">
      <c r="A7" s="326"/>
      <c r="B7" s="327" t="s">
        <v>245</v>
      </c>
      <c r="C7" s="327"/>
      <c r="D7" s="327"/>
      <c r="E7" s="327"/>
      <c r="F7" s="180"/>
      <c r="G7" s="327" t="s">
        <v>0</v>
      </c>
      <c r="H7" s="327"/>
      <c r="I7" s="327"/>
      <c r="J7" s="327"/>
      <c r="K7" s="180"/>
      <c r="L7" s="327" t="s">
        <v>246</v>
      </c>
      <c r="M7" s="327"/>
      <c r="N7" s="327"/>
      <c r="O7" s="327"/>
    </row>
    <row r="8" spans="1:15" ht="15">
      <c r="A8" s="326"/>
      <c r="B8" s="182" t="s">
        <v>242</v>
      </c>
      <c r="C8" s="182" t="s">
        <v>243</v>
      </c>
      <c r="D8" s="182" t="s">
        <v>244</v>
      </c>
      <c r="E8" s="182" t="s">
        <v>247</v>
      </c>
      <c r="F8" s="183"/>
      <c r="G8" s="182" t="s">
        <v>242</v>
      </c>
      <c r="H8" s="182" t="s">
        <v>243</v>
      </c>
      <c r="I8" s="182" t="s">
        <v>244</v>
      </c>
      <c r="J8" s="182" t="s">
        <v>247</v>
      </c>
      <c r="K8" s="183"/>
      <c r="L8" s="182" t="s">
        <v>242</v>
      </c>
      <c r="M8" s="182" t="s">
        <v>243</v>
      </c>
      <c r="N8" s="182" t="s">
        <v>244</v>
      </c>
      <c r="O8" s="182" t="s">
        <v>247</v>
      </c>
    </row>
    <row r="9" spans="1:15">
      <c r="A9" s="181">
        <v>42005</v>
      </c>
      <c r="B9" s="214">
        <f>N20</f>
        <v>877378204.67882323</v>
      </c>
      <c r="C9" s="210">
        <f>'TY Actual-Forecast'!C67</f>
        <v>9410279.6033999976</v>
      </c>
      <c r="D9" s="210">
        <f>B9+C9</f>
        <v>886788484.28222322</v>
      </c>
      <c r="E9" s="222">
        <f>IFERROR((B9+D9)/2,)</f>
        <v>882083344.48052323</v>
      </c>
      <c r="G9" s="214">
        <f>N20</f>
        <v>877378204.67882323</v>
      </c>
      <c r="H9" s="210">
        <f>'TY Budget'!C67</f>
        <v>12242789.503925126</v>
      </c>
      <c r="I9" s="210">
        <f>G9+H9</f>
        <v>889620994.18274832</v>
      </c>
      <c r="J9" s="222">
        <f>IFERROR((G9+I9)/2,)</f>
        <v>883499599.43078578</v>
      </c>
      <c r="L9" s="221">
        <f>154809442+673663273</f>
        <v>828472715</v>
      </c>
      <c r="M9" s="210">
        <f>'LY Actual'!C67</f>
        <v>9493479.0979143307</v>
      </c>
      <c r="N9" s="210">
        <f>L9+M9</f>
        <v>837966194.09791434</v>
      </c>
      <c r="O9" s="222">
        <f>IFERROR((L9+N9)/2,)</f>
        <v>833219454.54895711</v>
      </c>
    </row>
    <row r="10" spans="1:15">
      <c r="A10" s="181">
        <v>42036</v>
      </c>
      <c r="B10" s="216">
        <f t="shared" ref="B10:B20" si="0">D9</f>
        <v>886788484.28222322</v>
      </c>
      <c r="C10" s="193">
        <f>'TY Actual-Forecast'!D67</f>
        <v>6021765.1727999914</v>
      </c>
      <c r="D10" s="193">
        <f t="shared" ref="D10:D20" si="1">B10+C10</f>
        <v>892810249.45502317</v>
      </c>
      <c r="E10" s="224">
        <f t="shared" ref="E10:E20" si="2">IFERROR((B10+D10)/2,)</f>
        <v>889799366.86862326</v>
      </c>
      <c r="G10" s="216">
        <f t="shared" ref="G10:G20" si="3">I9</f>
        <v>889620994.18274832</v>
      </c>
      <c r="H10" s="193">
        <f>'TY Budget'!D67</f>
        <v>6781751.5542048831</v>
      </c>
      <c r="I10" s="193">
        <f t="shared" ref="I10:I20" si="4">G10+H10</f>
        <v>896402745.73695326</v>
      </c>
      <c r="J10" s="224">
        <f t="shared" ref="J10:J20" si="5">IFERROR((G10+I10)/2,)</f>
        <v>893011869.95985079</v>
      </c>
      <c r="L10" s="216">
        <f t="shared" ref="L10:L20" si="6">N9</f>
        <v>837966194.09791434</v>
      </c>
      <c r="M10" s="193">
        <f>'LY Actual'!D67</f>
        <v>5432581.7163688587</v>
      </c>
      <c r="N10" s="193">
        <f t="shared" ref="N10:N20" si="7">L10+M10</f>
        <v>843398775.81428325</v>
      </c>
      <c r="O10" s="224">
        <f t="shared" ref="O10:O20" si="8">IFERROR((L10+N10)/2,)</f>
        <v>840682484.95609879</v>
      </c>
    </row>
    <row r="11" spans="1:15">
      <c r="A11" s="181">
        <v>42064</v>
      </c>
      <c r="B11" s="216">
        <f t="shared" si="0"/>
        <v>892810249.45502317</v>
      </c>
      <c r="C11" s="193">
        <f>'TY Actual-Forecast'!E67</f>
        <v>16831508.888999995</v>
      </c>
      <c r="D11" s="193">
        <f t="shared" si="1"/>
        <v>909641758.34402311</v>
      </c>
      <c r="E11" s="224">
        <f t="shared" si="2"/>
        <v>901226003.89952314</v>
      </c>
      <c r="G11" s="216">
        <f t="shared" si="3"/>
        <v>896402745.73695326</v>
      </c>
      <c r="H11" s="193">
        <f>'TY Budget'!E67</f>
        <v>6915874.5159448171</v>
      </c>
      <c r="I11" s="193">
        <f t="shared" si="4"/>
        <v>903318620.2528981</v>
      </c>
      <c r="J11" s="224">
        <f t="shared" si="5"/>
        <v>899860682.99492574</v>
      </c>
      <c r="L11" s="216">
        <f>N10</f>
        <v>843398775.81428325</v>
      </c>
      <c r="M11" s="193">
        <f>'LY Actual'!E67</f>
        <v>7856016.677206588</v>
      </c>
      <c r="N11" s="193">
        <f t="shared" si="7"/>
        <v>851254792.49148989</v>
      </c>
      <c r="O11" s="224">
        <f t="shared" si="8"/>
        <v>847326784.15288663</v>
      </c>
    </row>
    <row r="12" spans="1:15">
      <c r="A12" s="181">
        <v>42095</v>
      </c>
      <c r="B12" s="216">
        <f t="shared" si="0"/>
        <v>909641758.34402311</v>
      </c>
      <c r="C12" s="193">
        <f>'TY Actual-Forecast'!F67</f>
        <v>7469280.8658000026</v>
      </c>
      <c r="D12" s="193">
        <f t="shared" si="1"/>
        <v>917111039.20982313</v>
      </c>
      <c r="E12" s="224">
        <f t="shared" si="2"/>
        <v>913376398.77692318</v>
      </c>
      <c r="G12" s="216">
        <f t="shared" si="3"/>
        <v>903318620.2528981</v>
      </c>
      <c r="H12" s="193">
        <f>'TY Budget'!F67</f>
        <v>7452097.6302846968</v>
      </c>
      <c r="I12" s="193">
        <f t="shared" si="4"/>
        <v>910770717.88318276</v>
      </c>
      <c r="J12" s="224">
        <f t="shared" si="5"/>
        <v>907044669.06804037</v>
      </c>
      <c r="L12" s="216">
        <f t="shared" si="6"/>
        <v>851254792.49148989</v>
      </c>
      <c r="M12" s="193">
        <f>'LY Actual'!F67</f>
        <v>9203253.8709691875</v>
      </c>
      <c r="N12" s="193">
        <f t="shared" si="7"/>
        <v>860458046.36245906</v>
      </c>
      <c r="O12" s="224">
        <f t="shared" si="8"/>
        <v>855856419.42697453</v>
      </c>
    </row>
    <row r="13" spans="1:15">
      <c r="A13" s="181">
        <v>42125</v>
      </c>
      <c r="B13" s="216">
        <f t="shared" si="0"/>
        <v>917111039.20982313</v>
      </c>
      <c r="C13" s="193">
        <f>'TY Actual-Forecast'!G67</f>
        <v>10228946.465399995</v>
      </c>
      <c r="D13" s="193">
        <f t="shared" si="1"/>
        <v>927339985.67522311</v>
      </c>
      <c r="E13" s="224">
        <f t="shared" si="2"/>
        <v>922225512.44252312</v>
      </c>
      <c r="G13" s="216">
        <f t="shared" si="3"/>
        <v>910770717.88318276</v>
      </c>
      <c r="H13" s="193">
        <f>'TY Budget'!G67</f>
        <v>9758774.8339493088</v>
      </c>
      <c r="I13" s="193">
        <f t="shared" si="4"/>
        <v>920529492.71713209</v>
      </c>
      <c r="J13" s="224">
        <f t="shared" si="5"/>
        <v>915650105.30015743</v>
      </c>
      <c r="L13" s="216">
        <f t="shared" si="6"/>
        <v>860458046.36245906</v>
      </c>
      <c r="M13" s="193">
        <f>'LY Actual'!G67</f>
        <v>7313795.627628603</v>
      </c>
      <c r="N13" s="193">
        <f t="shared" si="7"/>
        <v>867771841.99008763</v>
      </c>
      <c r="O13" s="224">
        <f t="shared" si="8"/>
        <v>864114944.17627335</v>
      </c>
    </row>
    <row r="14" spans="1:15">
      <c r="A14" s="181">
        <v>42156</v>
      </c>
      <c r="B14" s="216">
        <f t="shared" si="0"/>
        <v>927339985.67522311</v>
      </c>
      <c r="C14" s="193">
        <f>'TY Actual-Forecast'!H67</f>
        <v>1210942.8240000014</v>
      </c>
      <c r="D14" s="193">
        <f t="shared" si="1"/>
        <v>928550928.49922311</v>
      </c>
      <c r="E14" s="224">
        <f t="shared" si="2"/>
        <v>927945457.08722305</v>
      </c>
      <c r="G14" s="216">
        <f t="shared" si="3"/>
        <v>920529492.71713209</v>
      </c>
      <c r="H14" s="193">
        <f>'TY Budget'!H67</f>
        <v>2495785.4954633326</v>
      </c>
      <c r="I14" s="193">
        <f t="shared" si="4"/>
        <v>923025278.21259546</v>
      </c>
      <c r="J14" s="224">
        <f t="shared" si="5"/>
        <v>921777385.46486378</v>
      </c>
      <c r="L14" s="216">
        <f t="shared" si="6"/>
        <v>867771841.99008763</v>
      </c>
      <c r="M14" s="193">
        <f>'LY Actual'!H67</f>
        <v>3221855.8745100023</v>
      </c>
      <c r="N14" s="193">
        <f t="shared" si="7"/>
        <v>870993697.86459768</v>
      </c>
      <c r="O14" s="224">
        <f t="shared" si="8"/>
        <v>869382769.92734265</v>
      </c>
    </row>
    <row r="15" spans="1:15">
      <c r="A15" s="181">
        <v>42186</v>
      </c>
      <c r="B15" s="216">
        <f t="shared" si="0"/>
        <v>928550928.49922311</v>
      </c>
      <c r="C15" s="193">
        <f>'TY Actual-Forecast'!I67</f>
        <v>4849893.0558000021</v>
      </c>
      <c r="D15" s="193">
        <f t="shared" si="1"/>
        <v>933400821.55502307</v>
      </c>
      <c r="E15" s="224">
        <f t="shared" si="2"/>
        <v>930975875.02712309</v>
      </c>
      <c r="G15" s="216">
        <f t="shared" si="3"/>
        <v>923025278.21259546</v>
      </c>
      <c r="H15" s="193">
        <f>'TY Budget'!I67</f>
        <v>2531651.705530108</v>
      </c>
      <c r="I15" s="193">
        <f t="shared" si="4"/>
        <v>925556929.91812563</v>
      </c>
      <c r="J15" s="224">
        <f t="shared" si="5"/>
        <v>924291104.06536055</v>
      </c>
      <c r="L15" s="216">
        <f t="shared" si="6"/>
        <v>870993697.86459768</v>
      </c>
      <c r="M15" s="193">
        <f>'LY Actual'!I67</f>
        <v>-2861527.0813015602</v>
      </c>
      <c r="N15" s="193">
        <f t="shared" si="7"/>
        <v>868132170.78329611</v>
      </c>
      <c r="O15" s="224">
        <f t="shared" si="8"/>
        <v>869562934.32394695</v>
      </c>
    </row>
    <row r="16" spans="1:15">
      <c r="A16" s="181">
        <v>42217</v>
      </c>
      <c r="B16" s="216">
        <f t="shared" si="0"/>
        <v>933400821.55502307</v>
      </c>
      <c r="C16" s="193">
        <f>'TY Actual-Forecast'!J67</f>
        <v>5590722.454200008</v>
      </c>
      <c r="D16" s="193">
        <f t="shared" si="1"/>
        <v>938991544.0092231</v>
      </c>
      <c r="E16" s="224">
        <f t="shared" si="2"/>
        <v>936196182.78212309</v>
      </c>
      <c r="G16" s="216">
        <f t="shared" si="3"/>
        <v>925556929.91812563</v>
      </c>
      <c r="H16" s="193">
        <f>'TY Budget'!J67</f>
        <v>1984680.7574797184</v>
      </c>
      <c r="I16" s="193">
        <f t="shared" si="4"/>
        <v>927541610.6756053</v>
      </c>
      <c r="J16" s="224">
        <f t="shared" si="5"/>
        <v>926549270.29686546</v>
      </c>
      <c r="L16" s="216">
        <f t="shared" si="6"/>
        <v>868132170.78329611</v>
      </c>
      <c r="M16" s="193">
        <f>'LY Actual'!J67</f>
        <v>-4210251.5063000005</v>
      </c>
      <c r="N16" s="193">
        <f t="shared" si="7"/>
        <v>863921919.27699614</v>
      </c>
      <c r="O16" s="224">
        <f t="shared" si="8"/>
        <v>866027045.03014612</v>
      </c>
    </row>
    <row r="17" spans="1:15">
      <c r="A17" s="181">
        <v>42248</v>
      </c>
      <c r="B17" s="216">
        <f t="shared" si="0"/>
        <v>938991544.0092231</v>
      </c>
      <c r="C17" s="193">
        <f>'TY Actual-Forecast'!K67</f>
        <v>2102189.2319999961</v>
      </c>
      <c r="D17" s="193">
        <f t="shared" si="1"/>
        <v>941093733.2412231</v>
      </c>
      <c r="E17" s="224">
        <f t="shared" si="2"/>
        <v>940042638.62522316</v>
      </c>
      <c r="G17" s="216">
        <f t="shared" si="3"/>
        <v>927541610.6756053</v>
      </c>
      <c r="H17" s="193">
        <f>'TY Budget'!K67</f>
        <v>3176230.4944280153</v>
      </c>
      <c r="I17" s="193">
        <f t="shared" si="4"/>
        <v>930717841.17003334</v>
      </c>
      <c r="J17" s="224">
        <f t="shared" si="5"/>
        <v>929129725.92281938</v>
      </c>
      <c r="L17" s="216">
        <f t="shared" si="6"/>
        <v>863921919.27699614</v>
      </c>
      <c r="M17" s="193">
        <f>'LY Actual'!K67</f>
        <v>-3480017.064723854</v>
      </c>
      <c r="N17" s="193">
        <f t="shared" si="7"/>
        <v>860441902.21227229</v>
      </c>
      <c r="O17" s="224">
        <f t="shared" si="8"/>
        <v>862181910.74463415</v>
      </c>
    </row>
    <row r="18" spans="1:15">
      <c r="A18" s="181">
        <v>42278</v>
      </c>
      <c r="B18" s="216">
        <f t="shared" si="0"/>
        <v>941093733.2412231</v>
      </c>
      <c r="C18" s="193">
        <f>'TY Actual-Forecast'!L67</f>
        <v>875549.95319999999</v>
      </c>
      <c r="D18" s="193">
        <f t="shared" si="1"/>
        <v>941969283.19442308</v>
      </c>
      <c r="E18" s="224">
        <f t="shared" si="2"/>
        <v>941531508.21782303</v>
      </c>
      <c r="G18" s="216">
        <f t="shared" si="3"/>
        <v>930717841.17003334</v>
      </c>
      <c r="H18" s="193">
        <f>'TY Budget'!L67</f>
        <v>10602264.13971395</v>
      </c>
      <c r="I18" s="193">
        <f t="shared" si="4"/>
        <v>941320105.30974734</v>
      </c>
      <c r="J18" s="224">
        <f t="shared" si="5"/>
        <v>936018973.23989034</v>
      </c>
      <c r="L18" s="216">
        <f t="shared" si="6"/>
        <v>860441902.21227229</v>
      </c>
      <c r="M18" s="193">
        <f>'LY Actual'!L67</f>
        <v>4803767.6339755245</v>
      </c>
      <c r="N18" s="193">
        <f t="shared" si="7"/>
        <v>865245669.84624779</v>
      </c>
      <c r="O18" s="224">
        <f t="shared" si="8"/>
        <v>862843786.02926004</v>
      </c>
    </row>
    <row r="19" spans="1:15">
      <c r="A19" s="181">
        <v>42309</v>
      </c>
      <c r="B19" s="216">
        <f t="shared" si="0"/>
        <v>941969283.19442308</v>
      </c>
      <c r="C19" s="193">
        <f>'TY Actual-Forecast'!M67</f>
        <v>-1172702.4581999951</v>
      </c>
      <c r="D19" s="193">
        <f t="shared" si="1"/>
        <v>940796580.7362231</v>
      </c>
      <c r="E19" s="224">
        <f t="shared" si="2"/>
        <v>941382931.96532309</v>
      </c>
      <c r="G19" s="216">
        <f t="shared" si="3"/>
        <v>941320105.30974734</v>
      </c>
      <c r="H19" s="193">
        <f>'TY Budget'!M67</f>
        <v>15886416.181605842</v>
      </c>
      <c r="I19" s="193">
        <f t="shared" si="4"/>
        <v>957206521.49135315</v>
      </c>
      <c r="J19" s="224">
        <f t="shared" si="5"/>
        <v>949263313.40055025</v>
      </c>
      <c r="L19" s="216">
        <f t="shared" si="6"/>
        <v>865245669.84624779</v>
      </c>
      <c r="M19" s="193">
        <f>'LY Actual'!M67</f>
        <v>9078507.7246798147</v>
      </c>
      <c r="N19" s="193">
        <f t="shared" si="7"/>
        <v>874324177.57092762</v>
      </c>
      <c r="O19" s="224">
        <f t="shared" si="8"/>
        <v>869784923.70858765</v>
      </c>
    </row>
    <row r="20" spans="1:15">
      <c r="A20" s="181">
        <v>42339</v>
      </c>
      <c r="B20" s="218">
        <f t="shared" si="0"/>
        <v>940796580.7362231</v>
      </c>
      <c r="C20" s="219">
        <f>'TY Actual-Forecast'!N67</f>
        <v>25081099.672200006</v>
      </c>
      <c r="D20" s="219">
        <f t="shared" si="1"/>
        <v>965877680.40842307</v>
      </c>
      <c r="E20" s="227">
        <f t="shared" si="2"/>
        <v>953337130.57232308</v>
      </c>
      <c r="G20" s="218">
        <f t="shared" si="3"/>
        <v>957206521.49135315</v>
      </c>
      <c r="H20" s="219">
        <f>'TY Budget'!N67</f>
        <v>16826125.366568737</v>
      </c>
      <c r="I20" s="219">
        <f t="shared" si="4"/>
        <v>974032646.85792184</v>
      </c>
      <c r="J20" s="227">
        <f t="shared" si="5"/>
        <v>965619584.17463756</v>
      </c>
      <c r="L20" s="218">
        <f t="shared" si="6"/>
        <v>874324177.57092762</v>
      </c>
      <c r="M20" s="219">
        <f>'LY Actual'!N67</f>
        <v>3054027.1078955531</v>
      </c>
      <c r="N20" s="219">
        <f t="shared" si="7"/>
        <v>877378204.67882323</v>
      </c>
      <c r="O20" s="227">
        <f t="shared" si="8"/>
        <v>875851191.12487543</v>
      </c>
    </row>
    <row r="21" spans="1:15">
      <c r="B21" s="27"/>
    </row>
    <row r="22" spans="1:15">
      <c r="A22" s="255" t="s">
        <v>282</v>
      </c>
      <c r="B22" s="256"/>
    </row>
    <row r="23" spans="1:15">
      <c r="A23" s="256"/>
      <c r="B23" s="257" t="s">
        <v>285</v>
      </c>
      <c r="C23" s="181"/>
      <c r="D23" s="181"/>
      <c r="E23" s="181"/>
      <c r="F23" s="181"/>
      <c r="G23" s="181"/>
      <c r="H23" s="181"/>
      <c r="I23" s="181"/>
      <c r="J23" s="181"/>
      <c r="K23" s="181"/>
      <c r="L23" s="181"/>
      <c r="M23" s="181"/>
    </row>
    <row r="24" spans="1:15">
      <c r="B24" s="257" t="s">
        <v>289</v>
      </c>
    </row>
  </sheetData>
  <sheetProtection password="CE24" sheet="1" objects="1" scenarios="1"/>
  <protectedRanges>
    <protectedRange sqref="L9" name="Range1"/>
  </protectedRanges>
  <mergeCells count="4">
    <mergeCell ref="A7:A8"/>
    <mergeCell ref="B7:E7"/>
    <mergeCell ref="G7:J7"/>
    <mergeCell ref="L7:O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1" sqref="F11"/>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B050"/>
    <pageSetUpPr fitToPage="1"/>
  </sheetPr>
  <dimension ref="A1:AH386"/>
  <sheetViews>
    <sheetView view="pageBreakPreview" zoomScaleNormal="80" zoomScaleSheetLayoutView="100" workbookViewId="0">
      <pane xSplit="2" ySplit="6" topLeftCell="C52" activePane="bottomRight" state="frozen"/>
      <selection pane="topRight"/>
      <selection pane="bottomLeft"/>
      <selection pane="bottomRight" activeCell="J70" sqref="J70"/>
    </sheetView>
  </sheetViews>
  <sheetFormatPr defaultRowHeight="14.25"/>
  <cols>
    <col min="1" max="1" width="44.7109375" style="7" customWidth="1"/>
    <col min="2" max="2" width="2.28515625" style="7" customWidth="1"/>
    <col min="3" max="6" width="12.28515625" style="21" customWidth="1"/>
    <col min="7" max="8" width="11.85546875" style="13" customWidth="1"/>
    <col min="9" max="9" width="1.7109375" style="13" customWidth="1"/>
    <col min="10" max="11" width="12.28515625" style="13" customWidth="1"/>
    <col min="12" max="12" width="13.28515625" style="13" bestFit="1" customWidth="1"/>
    <col min="13" max="14" width="11.85546875" style="13" customWidth="1"/>
    <col min="15" max="15" width="1.42578125" style="13" customWidth="1"/>
    <col min="16" max="19" width="12.28515625" style="13" customWidth="1"/>
    <col min="20" max="21" width="11.85546875" style="13" customWidth="1"/>
    <col min="22" max="16384" width="9.140625" style="13"/>
  </cols>
  <sheetData>
    <row r="1" spans="1:21" s="3" customFormat="1" ht="15">
      <c r="A1" s="1" t="s">
        <v>39</v>
      </c>
      <c r="B1" s="2"/>
      <c r="C1" s="2"/>
      <c r="D1" s="2"/>
      <c r="E1" s="2"/>
      <c r="F1" s="2"/>
    </row>
    <row r="2" spans="1:21" s="3" customFormat="1" ht="15">
      <c r="A2" s="4" t="s">
        <v>147</v>
      </c>
      <c r="B2" s="2"/>
      <c r="C2" s="2"/>
      <c r="D2" s="2"/>
      <c r="E2" s="2"/>
      <c r="F2" s="2"/>
    </row>
    <row r="3" spans="1:21" s="7" customFormat="1" ht="15">
      <c r="A3" s="5" t="s">
        <v>301</v>
      </c>
      <c r="B3" s="6"/>
      <c r="C3" s="6"/>
      <c r="D3" s="6"/>
      <c r="E3" s="6"/>
      <c r="F3" s="6"/>
      <c r="J3" s="6"/>
      <c r="K3" s="6"/>
      <c r="L3" s="6"/>
      <c r="P3" s="6"/>
      <c r="Q3" s="6"/>
      <c r="R3" s="6"/>
      <c r="S3" s="6"/>
    </row>
    <row r="4" spans="1:21" ht="15.75" customHeight="1">
      <c r="A4" s="8" t="s">
        <v>38</v>
      </c>
      <c r="B4" s="8"/>
      <c r="C4" s="9" t="s">
        <v>161</v>
      </c>
      <c r="D4" s="10"/>
      <c r="E4" s="10"/>
      <c r="F4" s="10"/>
      <c r="G4" s="11"/>
      <c r="H4" s="12"/>
      <c r="J4" s="14" t="s">
        <v>7</v>
      </c>
      <c r="K4" s="11"/>
      <c r="L4" s="11"/>
      <c r="M4" s="11"/>
      <c r="N4" s="12"/>
      <c r="P4" s="15" t="s">
        <v>162</v>
      </c>
      <c r="Q4" s="16" t="s">
        <v>35</v>
      </c>
      <c r="R4" s="11"/>
      <c r="S4" s="11"/>
      <c r="T4" s="11"/>
      <c r="U4" s="12"/>
    </row>
    <row r="5" spans="1:21" ht="15.75" customHeight="1">
      <c r="A5" s="8"/>
      <c r="B5" s="8"/>
      <c r="C5" s="283" t="s">
        <v>6</v>
      </c>
      <c r="D5" s="283" t="s">
        <v>185</v>
      </c>
      <c r="E5" s="284" t="s">
        <v>0</v>
      </c>
      <c r="F5" s="284" t="s">
        <v>10</v>
      </c>
      <c r="G5" s="283" t="s">
        <v>160</v>
      </c>
      <c r="H5" s="283"/>
      <c r="I5" s="17"/>
      <c r="J5" s="279" t="s">
        <v>6</v>
      </c>
      <c r="K5" s="281" t="s">
        <v>0</v>
      </c>
      <c r="L5" s="281" t="s">
        <v>10</v>
      </c>
      <c r="M5" s="283" t="s">
        <v>160</v>
      </c>
      <c r="N5" s="283"/>
      <c r="O5" s="17"/>
      <c r="P5" s="280" t="s">
        <v>6</v>
      </c>
      <c r="Q5" s="280" t="s">
        <v>185</v>
      </c>
      <c r="R5" s="282" t="s">
        <v>0</v>
      </c>
      <c r="S5" s="282" t="s">
        <v>10</v>
      </c>
      <c r="T5" s="283" t="s">
        <v>160</v>
      </c>
      <c r="U5" s="283"/>
    </row>
    <row r="6" spans="1:21" ht="30" customHeight="1">
      <c r="A6" s="18"/>
      <c r="B6" s="18"/>
      <c r="C6" s="283"/>
      <c r="D6" s="283"/>
      <c r="E6" s="284"/>
      <c r="F6" s="284"/>
      <c r="G6" s="19" t="s">
        <v>8</v>
      </c>
      <c r="H6" s="19" t="s">
        <v>211</v>
      </c>
      <c r="I6" s="17"/>
      <c r="J6" s="280"/>
      <c r="K6" s="282"/>
      <c r="L6" s="282"/>
      <c r="M6" s="77" t="s">
        <v>8</v>
      </c>
      <c r="N6" s="77" t="s">
        <v>211</v>
      </c>
      <c r="O6" s="17"/>
      <c r="P6" s="283"/>
      <c r="Q6" s="283"/>
      <c r="R6" s="284"/>
      <c r="S6" s="284"/>
      <c r="T6" s="77" t="s">
        <v>8</v>
      </c>
      <c r="U6" s="77" t="s">
        <v>211</v>
      </c>
    </row>
    <row r="7" spans="1:21" ht="15" customHeight="1">
      <c r="C7" s="20"/>
      <c r="D7" s="20"/>
    </row>
    <row r="8" spans="1:21" s="24" customFormat="1" ht="15" customHeight="1">
      <c r="A8" s="18" t="s">
        <v>177</v>
      </c>
      <c r="B8" s="18"/>
      <c r="C8" s="72">
        <f>SUBTOTAL(9,C10:C19)</f>
        <v>65539945.450000003</v>
      </c>
      <c r="D8" s="72">
        <f>SUBTOTAL(9,D10:D19)</f>
        <v>62566019.790663503</v>
      </c>
      <c r="E8" s="72">
        <f>SUBTOTAL(9,E10:E19)</f>
        <v>61200377.817163497</v>
      </c>
      <c r="F8" s="72">
        <f>SUBTOTAL(9,F10:F19)</f>
        <v>59594342.257895552</v>
      </c>
      <c r="G8" s="73">
        <f>IFERROR((+C8-E8)/E8,)</f>
        <v>7.0907530110369432E-2</v>
      </c>
      <c r="H8" s="73">
        <f>IFERROR((+C8-F8)/F8,)</f>
        <v>9.9767913644801212E-2</v>
      </c>
      <c r="J8" s="72">
        <f>SUBTOTAL(9,J10:J19)</f>
        <v>487262378.69999999</v>
      </c>
      <c r="K8" s="72">
        <f>SUBTOTAL(9,K10:K19)</f>
        <v>516593515.56592125</v>
      </c>
      <c r="L8" s="72">
        <f>SUBTOTAL(9,L10:L19)</f>
        <v>401106961.67558873</v>
      </c>
      <c r="M8" s="73">
        <f>IFERROR((+$J8-K8)/K8,)</f>
        <v>-5.6777981105297831E-2</v>
      </c>
      <c r="N8" s="73">
        <f>IFERROR((+$J8-L8)/L8,)</f>
        <v>0.21479412041243226</v>
      </c>
      <c r="O8" s="25"/>
      <c r="P8" s="72">
        <f t="shared" ref="P8:S8" si="0">SUBTOTAL(9,P10:P19)</f>
        <v>487262378.69999999</v>
      </c>
      <c r="Q8" s="72">
        <f t="shared" si="0"/>
        <v>484288976.35066348</v>
      </c>
      <c r="R8" s="72">
        <f t="shared" si="0"/>
        <v>516593515.56592125</v>
      </c>
      <c r="S8" s="72">
        <f t="shared" si="0"/>
        <v>401106961.67558873</v>
      </c>
      <c r="T8" s="73">
        <f>IFERROR((+P8-R8)/R8,)</f>
        <v>-5.6777981105297831E-2</v>
      </c>
      <c r="U8" s="73">
        <f>IFERROR((+P8-S8)/S8,)</f>
        <v>0.21479412041243226</v>
      </c>
    </row>
    <row r="9" spans="1:21" ht="15" customHeight="1">
      <c r="A9" s="1"/>
      <c r="B9" s="1"/>
      <c r="C9" s="20"/>
      <c r="D9" s="20"/>
      <c r="E9" s="20"/>
      <c r="F9" s="20"/>
      <c r="G9" s="26"/>
      <c r="H9" s="26"/>
      <c r="I9" s="27"/>
      <c r="J9" s="20"/>
      <c r="K9" s="20"/>
      <c r="L9" s="20"/>
      <c r="M9" s="26"/>
      <c r="N9" s="26"/>
      <c r="O9" s="28"/>
      <c r="P9" s="20"/>
      <c r="Q9" s="20"/>
      <c r="R9" s="20"/>
      <c r="S9" s="20"/>
      <c r="T9" s="26"/>
      <c r="U9" s="26"/>
    </row>
    <row r="10" spans="1:21" ht="15" customHeight="1">
      <c r="A10" s="29" t="s">
        <v>156</v>
      </c>
      <c r="B10" s="30"/>
      <c r="C10" s="31">
        <f>SUBTOTAL(9,C11:C13)</f>
        <v>31888733.59</v>
      </c>
      <c r="D10" s="31">
        <f>SUBTOTAL(9,D11:D13)</f>
        <v>30631318.199999999</v>
      </c>
      <c r="E10" s="31">
        <f>SUBTOTAL(9,E11:E13)</f>
        <v>29553201</v>
      </c>
      <c r="F10" s="31">
        <f>SUBTOTAL(9,F11:F13)</f>
        <v>29029492.264945559</v>
      </c>
      <c r="G10" s="32">
        <f>IFERROR((+C10-E10)/E10,)</f>
        <v>7.9028075165191072E-2</v>
      </c>
      <c r="H10" s="32">
        <f>IFERROR((+C10-F10)/F10,)</f>
        <v>9.8494362180323258E-2</v>
      </c>
      <c r="I10" s="27"/>
      <c r="J10" s="31">
        <f>SUBTOTAL(9,J11:J13)</f>
        <v>228725034.52999997</v>
      </c>
      <c r="K10" s="31">
        <f>SUBTOTAL(9,K11:K13)</f>
        <v>247378017.86449999</v>
      </c>
      <c r="L10" s="31">
        <f>SUBTOTAL(9,L11:L13)</f>
        <v>188821062.57827535</v>
      </c>
      <c r="M10" s="32">
        <f>IFERROR((+$J10-K10)/K10,)</f>
        <v>-7.5402752012982369E-2</v>
      </c>
      <c r="N10" s="32">
        <f>IFERROR((+$J10-L10)/L10,)</f>
        <v>0.21133220736528011</v>
      </c>
      <c r="O10" s="28"/>
      <c r="P10" s="31">
        <f t="shared" ref="P10:S10" si="1">SUBTOTAL(9,P11:P13)</f>
        <v>228725034.52999997</v>
      </c>
      <c r="Q10" s="31">
        <f t="shared" si="1"/>
        <v>227468300.50999999</v>
      </c>
      <c r="R10" s="31">
        <f t="shared" si="1"/>
        <v>247378017.86449999</v>
      </c>
      <c r="S10" s="31">
        <f t="shared" si="1"/>
        <v>188821062.57827535</v>
      </c>
      <c r="T10" s="32">
        <f t="shared" ref="T10:T19" si="2">IFERROR((+P10-R10)/R10,)</f>
        <v>-7.5402752012982369E-2</v>
      </c>
      <c r="U10" s="32">
        <f>IFERROR((+P10-S10)/S10,)</f>
        <v>0.21133220736528011</v>
      </c>
    </row>
    <row r="11" spans="1:21" ht="15" customHeight="1">
      <c r="A11" s="30" t="s">
        <v>179</v>
      </c>
      <c r="B11" s="30"/>
      <c r="C11" s="31">
        <f>IF($A$3="January 2015",SUMIF('TY Actual-Forecast'!$A:$A,'Top Flash'!A11,'TY Actual-Forecast'!$C:$C),IF($A$3="February 2015",SUMIF('TY Actual-Forecast'!$A:$A,'Top Flash'!A11,'TY Actual-Forecast'!$D:$D),IF($A$3="March 2015",SUMIF('TY Actual-Forecast'!$A:$A,'Top Flash'!A11,'TY Actual-Forecast'!$E:$E),IF($A$3="April 2015",SUMIF('TY Actual-Forecast'!$A:$A,'Top Flash'!A11,'TY Actual-Forecast'!$F:$F),IF($A$3="May 2015",SUMIF('TY Actual-Forecast'!$A:$A,'Top Flash'!A11,'TY Actual-Forecast'!$G:$G),IF($A$3="June 2015",SUMIF('TY Actual-Forecast'!$A:$A,'Top Flash'!A11,'TY Actual-Forecast'!$H:$H),IF($A$3="July 2015",SUMIF('TY Actual-Forecast'!$A:$A,'Top Flash'!A11,'TY Actual-Forecast'!$I:$I),IF($A$3="August 2015",SUMIF('TY Actual-Forecast'!$A:$A,'Top Flash'!A11,'TY Actual-Forecast'!$J:$J),IF($A$3="September 2015",SUMIF('TY Actual-Forecast'!$A:$A,'Top Flash'!A11,'TY Actual-Forecast'!$K:$K),IF($A$3="October 2015",SUMIF('TY Actual-Forecast'!$A:$A,'Top Flash'!A11,'TY Actual-Forecast'!$L:$L),IF($A$3="November 2015",SUMIF('TY Actual-Forecast'!$A:$A,'Top Flash'!A11,'TY Actual-Forecast'!$M:$M),IF($A$3="December 2015",SUMIF('TY Actual-Forecast'!$A:$A,'Top Flash'!A11,'TY Actual-Forecast'!$N:$N),0))))))))))))</f>
        <v>22806043.59</v>
      </c>
      <c r="D11" s="31">
        <f>'Variance Analysis'!D11</f>
        <v>24885229.199999999</v>
      </c>
      <c r="E11" s="31">
        <f>IF($A$3="January 2015",SUMIF('TY Budget'!$A:$A,'Top Flash'!A11,'TY Budget'!$C:$C),IF($A$3="February 2015",SUMIF('TY Budget'!$A:$A,'Top Flash'!A11,'TY Budget'!$D:$D),IF($A$3="March 2015",SUMIF('TY Budget'!$A:$A,'Top Flash'!A11,'TY Budget'!$E:$E),IF($A$3="April 2015",SUMIF('TY Budget'!$A:$A,'Top Flash'!A11,'TY Budget'!$F:$F),IF($A$3="May 2015",SUMIF('TY Budget'!$A:$A,'Top Flash'!A11,'TY Budget'!$G:$G),IF($A$3="June 2015",SUMIF('TY Budget'!$A:$A,'Top Flash'!A11,'TY Budget'!$H:$H),IF($A$3="July 2015",SUMIF('TY Budget'!$A:$A,'Top Flash'!A11,'TY Budget'!$I:$I),IF($A$3="August 2015",SUMIF('TY Budget'!$A:$A,'Top Flash'!A11,'TY Budget'!$J:$J),IF($A$3="September 2015",SUMIF('TY Budget'!$A:$A,'Top Flash'!A11,'TY Budget'!$K:$K),IF($A$3="October 2015",SUMIF('TY Budget'!$A:$A,'Top Flash'!A11,'TY Budget'!$L:$L),IF($A$3="November 2015",SUMIF('TY Budget'!$A:$A,'Top Flash'!A11,'TY Budget'!$M:$M),IF($A$3="December 2015",SUMIF('TY Budget'!$A:$A,'Top Flash'!A11,'TY Budget'!$N:$N),0))))))))))))</f>
        <v>22354332</v>
      </c>
      <c r="F11" s="31">
        <f>IF($A$3="January 2015",SUMIF('LY Actual'!$A:$A,'Top Flash'!A11,'LY Actual'!$C:$C),IF($A$3="February 2015",SUMIF('LY Actual'!$A:$A,'Top Flash'!A11,'LY Actual'!$D:$D),IF($A$3="March 2015",SUMIF('LY Actual'!$A:$A,'Top Flash'!A11,'LY Actual'!$E:$E),IF($A$3="April 2015",SUMIF('LY Actual'!$A:$A,'Top Flash'!A11,'LY Actual'!$F:$F),IF($A$3="May 2015",SUMIF('LY Actual'!$A:$A,'Top Flash'!A11,'LY Actual'!$G:$G),IF($A$3="June 2015",SUMIF('LY Actual'!$A:$A,'Top Flash'!A11,'LY Actual'!$H:$H),IF($A$3="July 2015",SUMIF('LY Actual'!$A:$A,'Top Flash'!A11,'LY Actual'!$I:$I),IF($A$3="August 2015",SUMIF('LY Actual'!$A:$A,'Top Flash'!A11,'LY Actual'!$J:$J),IF($A$3="September 2015",SUMIF('LY Actual'!$A:$A,'Top Flash'!A11,'LY Actual'!$K:$K),IF($A$3="October 2015",SUMIF('LY Actual'!$A:$A,'Top Flash'!A11,'LY Actual'!$L:$L),IF($A$3="November 2015",SUMIF('LY Actual'!$A:$A,'Top Flash'!A11,'LY Actual'!$M:$M),IF($A$3="December 2015",SUMIF('LY Actual'!$A:$A,'Top Flash'!A11,'LY Actual'!$N:$N),0))))))))))))</f>
        <v>22652157</v>
      </c>
      <c r="G11" s="32">
        <f t="shared" ref="G11:G19" si="3">IFERROR((+C11-E11)/E11,)</f>
        <v>2.0206892784807879E-2</v>
      </c>
      <c r="H11" s="32">
        <f t="shared" ref="H11:H19" si="4">IFERROR((+C11-F11)/F11,)</f>
        <v>6.7934629801479768E-3</v>
      </c>
      <c r="I11" s="27"/>
      <c r="J11" s="31">
        <f>IF($A$3="January 2015",SUMIF('TY Actual-Forecast'!$A:$A,'Top Flash'!A11,'TY Actual-Forecast'!$U:$U),IF($A$3="February 2015",SUMIF('TY Actual-Forecast'!$A:$A,'Top Flash'!A11,'TY Actual-Forecast'!$V:$V),IF($A$3="March 2015",SUMIF('TY Actual-Forecast'!$A:$A,'Top Flash'!A11,'TY Actual-Forecast'!$W:$W),IF($A$3="April 2015",SUMIF('TY Actual-Forecast'!$A:$A,'Top Flash'!A11,'TY Actual-Forecast'!$X:$X),IF($A$3="May 2015",SUMIF('TY Actual-Forecast'!$A:$A,'Top Flash'!A11,'TY Actual-Forecast'!$Y:$Y),IF($A$3="June 2015",SUMIF('TY Actual-Forecast'!$A:$A,'Top Flash'!A11,'TY Actual-Forecast'!$Z:$Z),IF($A$3="July 2015",SUMIF('TY Actual-Forecast'!$A:$A,'Top Flash'!A11,'TY Actual-Forecast'!$AA:$AA),IF($A$3="August 2015",SUMIF('TY Actual-Forecast'!$A:$A,'Top Flash'!A11,'TY Actual-Forecast'!$AB:$AB),IF($A$3="September 2015",SUMIF('TY Actual-Forecast'!$A:$A,'Top Flash'!A11,'TY Actual-Forecast'!$AC:$AC),IF($A$3="October 2015",SUMIF('TY Actual-Forecast'!$A:$A,'Top Flash'!A11,'TY Actual-Forecast'!$AD:$AD),IF($A$3="November 2015",SUMIF('TY Actual-Forecast'!$A:$A,'Top Flash'!A11,'TY Actual-Forecast'!$AE:$AE),IF($A$3="December 2015",SUMIF('TY Actual-Forecast'!$A:$A,'Top Flash'!A11,'TY Actual-Forecast'!$AF:$AF),0))))))))))))</f>
        <v>145823704.82999998</v>
      </c>
      <c r="K11" s="31">
        <f>IF($A$3="January 2015",SUMIF('TY Budget'!$A:$A,'Top Flash'!A11,'TY Budget'!$U:$U),IF($A$3="February 2015",SUMIF('TY Budget'!$A:$A,'Top Flash'!A11,'TY Budget'!$V:$V),IF($A$3="March 2015",SUMIF('TY Budget'!$A:$A,'Top Flash'!A11,'TY Budget'!$W:$W),IF($A$3="April 2015",SUMIF('TY Budget'!$A:$A,'Top Flash'!A11,'TY Budget'!$X:$X),IF($A$3="May 2015",SUMIF('TY Budget'!$A:$A,'Top Flash'!A11,'TY Budget'!$Y:$Y),IF($A$3="June 2015",SUMIF('TY Budget'!$A:$A,'Top Flash'!A11,'TY Budget'!$Z:$Z),IF($A$3="July 2015",SUMIF('TY Budget'!$A:$A,'Top Flash'!A11,'TY Budget'!$AA:$AA),IF($A$3="August 2015",SUMIF('TY Budget'!$A:$A,'Top Flash'!A11,'TY Budget'!$AB:$AB),IF($A$3="September 2015",SUMIF('TY Budget'!$A:$A,'Top Flash'!A11,'TY Budget'!$AC:$AC),IF($A$3="October 2015",SUMIF('TY Budget'!$A:$A,'Top Flash'!A11,'TY Budget'!$AD:$AD),IF($A$3="November 2015",SUMIF('TY Budget'!$A:$A,'Top Flash'!A11,'TY Budget'!$AE:$AE),IF($A$3="December 2015",SUMIF('TY Budget'!$A:$A,'Top Flash'!A11,'TY Budget'!$AF:$AF),0))))))))))))</f>
        <v>149257398.36449999</v>
      </c>
      <c r="L11" s="31">
        <f>IF($A$3="January 2015",SUMIF('LY Actual'!$A:$A,'Top Flash'!A11,'LY Actual'!$U:$U),IF($A$3="February 2015",SUMIF('LY Actual'!$A:$A,'Top Flash'!A11,'LY Actual'!$V:$V),IF($A$3="March 2015",SUMIF('LY Actual'!$A:$A,'Top Flash'!A11,'LY Actual'!$W:$W),IF($A$3="April 2015",SUMIF('LY Actual'!$A:$A,'Top Flash'!A11,'LY Actual'!$X:$X),IF($A$3="May 2015",SUMIF('LY Actual'!$A:$A,'Top Flash'!A11,'LY Actual'!$Y:$Y),IF($A$3="June 2015",SUMIF('LY Actual'!$A:$A,'Top Flash'!A11,'LY Actual'!$Z:$Z),IF($A$3="July 2015",SUMIF('LY Actual'!$A:$A,'Top Flash'!A11,'LY Actual'!$AA:$AA),IF($A$3="August 2015",SUMIF('LY Actual'!$A:$A,'Top Flash'!A11,'LY Actual'!$AB:$AB),IF($A$3="September 2015",SUMIF('LY Actual'!$A:$A,'Top Flash'!A11,'LY Actual'!$AC:$AC),IF($A$3="October 2015",SUMIF('LY Actual'!$A:$A,'Top Flash'!A11,'LY Actual'!$AD:$AD),IF($A$3="November 2015",SUMIF('LY Actual'!$A:$A,'Top Flash'!A11,'LY Actual'!$AE:$AE),IF($A$3="December 2015",SUMIF('LY Actual'!$A:$A,'Top Flash'!A11,'LY Actual'!$AF:$AF),0))))))))))))</f>
        <v>128392865.02498472</v>
      </c>
      <c r="M11" s="32">
        <f t="shared" ref="M11:M19" si="5">IFERROR((+$J11-K11)/K11,)</f>
        <v>-2.3005181465876916E-2</v>
      </c>
      <c r="N11" s="32">
        <f t="shared" ref="N11:N19" si="6">IFERROR((+$J11-L11)/L11,)</f>
        <v>0.13576174814405223</v>
      </c>
      <c r="O11" s="28"/>
      <c r="P11" s="31">
        <f>'TY Actual-Forecast'!O11</f>
        <v>145823704.82999998</v>
      </c>
      <c r="Q11" s="31">
        <f>'Variance Analysis'!J11</f>
        <v>147903572.34999999</v>
      </c>
      <c r="R11" s="31">
        <f>'TY Budget'!O11</f>
        <v>149257398.36449999</v>
      </c>
      <c r="S11" s="31">
        <f>'LY Actual'!O11</f>
        <v>128392865.02498472</v>
      </c>
      <c r="T11" s="32">
        <f t="shared" si="2"/>
        <v>-2.3005181465876916E-2</v>
      </c>
      <c r="U11" s="32">
        <f t="shared" ref="U11:U19" si="7">IFERROR((+P11-S11)/S11,)</f>
        <v>0.13576174814405223</v>
      </c>
    </row>
    <row r="12" spans="1:21" ht="15" customHeight="1">
      <c r="A12" s="30" t="s">
        <v>180</v>
      </c>
      <c r="B12" s="30"/>
      <c r="C12" s="31">
        <f>IF($A$3="January 2015",SUMIF('TY Actual-Forecast'!$A:$A,'Top Flash'!A12,'TY Actual-Forecast'!$C:$C),IF($A$3="February 2015",SUMIF('TY Actual-Forecast'!$A:$A,'Top Flash'!A12,'TY Actual-Forecast'!$D:$D),IF($A$3="March 2015",SUMIF('TY Actual-Forecast'!$A:$A,'Top Flash'!A12,'TY Actual-Forecast'!$E:$E),IF($A$3="April 2015",SUMIF('TY Actual-Forecast'!$A:$A,'Top Flash'!A12,'TY Actual-Forecast'!$F:$F),IF($A$3="May 2015",SUMIF('TY Actual-Forecast'!$A:$A,'Top Flash'!A12,'TY Actual-Forecast'!$G:$G),IF($A$3="June 2015",SUMIF('TY Actual-Forecast'!$A:$A,'Top Flash'!A12,'TY Actual-Forecast'!$H:$H),IF($A$3="July 2015",SUMIF('TY Actual-Forecast'!$A:$A,'Top Flash'!A12,'TY Actual-Forecast'!$I:$I),IF($A$3="August 2015",SUMIF('TY Actual-Forecast'!$A:$A,'Top Flash'!A12,'TY Actual-Forecast'!$J:$J),IF($A$3="September 2015",SUMIF('TY Actual-Forecast'!$A:$A,'Top Flash'!A12,'TY Actual-Forecast'!$K:$K),IF($A$3="October 2015",SUMIF('TY Actual-Forecast'!$A:$A,'Top Flash'!A12,'TY Actual-Forecast'!$L:$L),IF($A$3="November 2015",SUMIF('TY Actual-Forecast'!$A:$A,'Top Flash'!A12,'TY Actual-Forecast'!$M:$M),IF($A$3="December 2015",SUMIF('TY Actual-Forecast'!$A:$A,'Top Flash'!A12,'TY Actual-Forecast'!$N:$N),0))))))))))))</f>
        <v>8795945.0300000012</v>
      </c>
      <c r="D12" s="31">
        <f>'Variance Analysis'!D12</f>
        <v>5442420</v>
      </c>
      <c r="E12" s="31">
        <f>IF($A$3="January 2015",SUMIF('TY Budget'!$A:$A,'Top Flash'!A12,'TY Budget'!$C:$C),IF($A$3="February 2015",SUMIF('TY Budget'!$A:$A,'Top Flash'!A12,'TY Budget'!$D:$D),IF($A$3="March 2015",SUMIF('TY Budget'!$A:$A,'Top Flash'!A12,'TY Budget'!$E:$E),IF($A$3="April 2015",SUMIF('TY Budget'!$A:$A,'Top Flash'!A12,'TY Budget'!$F:$F),IF($A$3="May 2015",SUMIF('TY Budget'!$A:$A,'Top Flash'!A12,'TY Budget'!$G:$G),IF($A$3="June 2015",SUMIF('TY Budget'!$A:$A,'Top Flash'!A12,'TY Budget'!$H:$H),IF($A$3="July 2015",SUMIF('TY Budget'!$A:$A,'Top Flash'!A12,'TY Budget'!$I:$I),IF($A$3="August 2015",SUMIF('TY Budget'!$A:$A,'Top Flash'!A12,'TY Budget'!$J:$J),IF($A$3="September 2015",SUMIF('TY Budget'!$A:$A,'Top Flash'!A12,'TY Budget'!$K:$K),IF($A$3="October 2015",SUMIF('TY Budget'!$A:$A,'Top Flash'!A12,'TY Budget'!$L:$L),IF($A$3="November 2015",SUMIF('TY Budget'!$A:$A,'Top Flash'!A12,'TY Budget'!$M:$M),IF($A$3="December 2015",SUMIF('TY Budget'!$A:$A,'Top Flash'!A12,'TY Budget'!$N:$N),0))))))))))))</f>
        <v>6895200</v>
      </c>
      <c r="F12" s="31">
        <f>IF($A$3="January 2015",SUMIF('LY Actual'!$A:$A,'Top Flash'!A12,'LY Actual'!$C:$C),IF($A$3="February 2015",SUMIF('LY Actual'!$A:$A,'Top Flash'!A12,'LY Actual'!$D:$D),IF($A$3="March 2015",SUMIF('LY Actual'!$A:$A,'Top Flash'!A12,'LY Actual'!$E:$E),IF($A$3="April 2015",SUMIF('LY Actual'!$A:$A,'Top Flash'!A12,'LY Actual'!$F:$F),IF($A$3="May 2015",SUMIF('LY Actual'!$A:$A,'Top Flash'!A12,'LY Actual'!$G:$G),IF($A$3="June 2015",SUMIF('LY Actual'!$A:$A,'Top Flash'!A12,'LY Actual'!$H:$H),IF($A$3="July 2015",SUMIF('LY Actual'!$A:$A,'Top Flash'!A12,'LY Actual'!$I:$I),IF($A$3="August 2015",SUMIF('LY Actual'!$A:$A,'Top Flash'!A12,'LY Actual'!$J:$J),IF($A$3="September 2015",SUMIF('LY Actual'!$A:$A,'Top Flash'!A12,'LY Actual'!$K:$K),IF($A$3="October 2015",SUMIF('LY Actual'!$A:$A,'Top Flash'!A12,'LY Actual'!$L:$L),IF($A$3="November 2015",SUMIF('LY Actual'!$A:$A,'Top Flash'!A12,'LY Actual'!$M:$M),IF($A$3="December 2015",SUMIF('LY Actual'!$A:$A,'Top Flash'!A12,'LY Actual'!$N:$N),0))))))))))))</f>
        <v>4436250.8049455602</v>
      </c>
      <c r="G12" s="32">
        <f t="shared" si="3"/>
        <v>0.27566205911358643</v>
      </c>
      <c r="H12" s="32">
        <f t="shared" si="4"/>
        <v>0.98274295497320097</v>
      </c>
      <c r="I12" s="27"/>
      <c r="J12" s="31">
        <f>IF($A$3="January 2015",SUMIF('TY Actual-Forecast'!$A:$A,'Top Flash'!A12,'TY Actual-Forecast'!$U:$U),IF($A$3="February 2015",SUMIF('TY Actual-Forecast'!$A:$A,'Top Flash'!A12,'TY Actual-Forecast'!$V:$V),IF($A$3="March 2015",SUMIF('TY Actual-Forecast'!$A:$A,'Top Flash'!A12,'TY Actual-Forecast'!$W:$W),IF($A$3="April 2015",SUMIF('TY Actual-Forecast'!$A:$A,'Top Flash'!A12,'TY Actual-Forecast'!$X:$X),IF($A$3="May 2015",SUMIF('TY Actual-Forecast'!$A:$A,'Top Flash'!A12,'TY Actual-Forecast'!$Y:$Y),IF($A$3="June 2015",SUMIF('TY Actual-Forecast'!$A:$A,'Top Flash'!A12,'TY Actual-Forecast'!$Z:$Z),IF($A$3="July 2015",SUMIF('TY Actual-Forecast'!$A:$A,'Top Flash'!A12,'TY Actual-Forecast'!$AA:$AA),IF($A$3="August 2015",SUMIF('TY Actual-Forecast'!$A:$A,'Top Flash'!A12,'TY Actual-Forecast'!$AB:$AB),IF($A$3="September 2015",SUMIF('TY Actual-Forecast'!$A:$A,'Top Flash'!A12,'TY Actual-Forecast'!$AC:$AC),IF($A$3="October 2015",SUMIF('TY Actual-Forecast'!$A:$A,'Top Flash'!A12,'TY Actual-Forecast'!$AD:$AD),IF($A$3="November 2015",SUMIF('TY Actual-Forecast'!$A:$A,'Top Flash'!A12,'TY Actual-Forecast'!$AE:$AE),IF($A$3="December 2015",SUMIF('TY Actual-Forecast'!$A:$A,'Top Flash'!A12,'TY Actual-Forecast'!$AF:$AF),0))))))))))))</f>
        <v>80373210.209999993</v>
      </c>
      <c r="K12" s="31">
        <f>IF($A$3="January 2015",SUMIF('TY Budget'!$A:$A,'Top Flash'!A12,'TY Budget'!$U:$U),IF($A$3="February 2015",SUMIF('TY Budget'!$A:$A,'Top Flash'!A12,'TY Budget'!$V:$V),IF($A$3="March 2015",SUMIF('TY Budget'!$A:$A,'Top Flash'!A12,'TY Budget'!$W:$W),IF($A$3="April 2015",SUMIF('TY Budget'!$A:$A,'Top Flash'!A12,'TY Budget'!$X:$X),IF($A$3="May 2015",SUMIF('TY Budget'!$A:$A,'Top Flash'!A12,'TY Budget'!$Y:$Y),IF($A$3="June 2015",SUMIF('TY Budget'!$A:$A,'Top Flash'!A12,'TY Budget'!$Z:$Z),IF($A$3="July 2015",SUMIF('TY Budget'!$A:$A,'Top Flash'!A12,'TY Budget'!$AA:$AA),IF($A$3="August 2015",SUMIF('TY Budget'!$A:$A,'Top Flash'!A12,'TY Budget'!$AB:$AB),IF($A$3="September 2015",SUMIF('TY Budget'!$A:$A,'Top Flash'!A12,'TY Budget'!$AC:$AC),IF($A$3="October 2015",SUMIF('TY Budget'!$A:$A,'Top Flash'!A12,'TY Budget'!$AD:$AD),IF($A$3="November 2015",SUMIF('TY Budget'!$A:$A,'Top Flash'!A12,'TY Budget'!$AE:$AE),IF($A$3="December 2015",SUMIF('TY Budget'!$A:$A,'Top Flash'!A12,'TY Budget'!$AF:$AF),0))))))))))))</f>
        <v>95483135</v>
      </c>
      <c r="L12" s="31">
        <f>IF($A$3="January 2015",SUMIF('LY Actual'!$A:$A,'Top Flash'!A12,'LY Actual'!$U:$U),IF($A$3="February 2015",SUMIF('LY Actual'!$A:$A,'Top Flash'!A12,'LY Actual'!$V:$V),IF($A$3="March 2015",SUMIF('LY Actual'!$A:$A,'Top Flash'!A12,'LY Actual'!$W:$W),IF($A$3="April 2015",SUMIF('LY Actual'!$A:$A,'Top Flash'!A12,'LY Actual'!$X:$X),IF($A$3="May 2015",SUMIF('LY Actual'!$A:$A,'Top Flash'!A12,'LY Actual'!$Y:$Y),IF($A$3="June 2015",SUMIF('LY Actual'!$A:$A,'Top Flash'!A12,'LY Actual'!$Z:$Z),IF($A$3="July 2015",SUMIF('LY Actual'!$A:$A,'Top Flash'!A12,'LY Actual'!$AA:$AA),IF($A$3="August 2015",SUMIF('LY Actual'!$A:$A,'Top Flash'!A12,'LY Actual'!$AB:$AB),IF($A$3="September 2015",SUMIF('LY Actual'!$A:$A,'Top Flash'!A12,'LY Actual'!$AC:$AC),IF($A$3="October 2015",SUMIF('LY Actual'!$A:$A,'Top Flash'!A12,'LY Actual'!$AD:$AD),IF($A$3="November 2015",SUMIF('LY Actual'!$A:$A,'Top Flash'!A12,'LY Actual'!$AE:$AE),IF($A$3="December 2015",SUMIF('LY Actual'!$A:$A,'Top Flash'!A12,'LY Actual'!$AF:$AF),0))))))))))))</f>
        <v>55255361.713290617</v>
      </c>
      <c r="M12" s="32">
        <f t="shared" si="5"/>
        <v>-0.1582470536812601</v>
      </c>
      <c r="N12" s="32">
        <f t="shared" si="6"/>
        <v>0.45457757795598253</v>
      </c>
      <c r="O12" s="28"/>
      <c r="P12" s="31">
        <f>'TY Actual-Forecast'!O12</f>
        <v>80373210.209999993</v>
      </c>
      <c r="Q12" s="31">
        <f>'Variance Analysis'!J12</f>
        <v>77019684.699999988</v>
      </c>
      <c r="R12" s="31">
        <f>'TY Budget'!O12</f>
        <v>95483135</v>
      </c>
      <c r="S12" s="31">
        <f>'LY Actual'!O12</f>
        <v>55255361.713290617</v>
      </c>
      <c r="T12" s="32">
        <f t="shared" si="2"/>
        <v>-0.1582470536812601</v>
      </c>
      <c r="U12" s="32">
        <f t="shared" si="7"/>
        <v>0.45457757795598253</v>
      </c>
    </row>
    <row r="13" spans="1:21" ht="15" customHeight="1">
      <c r="A13" s="30" t="s">
        <v>181</v>
      </c>
      <c r="B13" s="30"/>
      <c r="C13" s="31">
        <f>IF($A$3="January 2015",SUMIF('TY Actual-Forecast'!$A:$A,'Top Flash'!A13,'TY Actual-Forecast'!$C:$C),IF($A$3="February 2015",SUMIF('TY Actual-Forecast'!$A:$A,'Top Flash'!A13,'TY Actual-Forecast'!$D:$D),IF($A$3="March 2015",SUMIF('TY Actual-Forecast'!$A:$A,'Top Flash'!A13,'TY Actual-Forecast'!$E:$E),IF($A$3="April 2015",SUMIF('TY Actual-Forecast'!$A:$A,'Top Flash'!A13,'TY Actual-Forecast'!$F:$F),IF($A$3="May 2015",SUMIF('TY Actual-Forecast'!$A:$A,'Top Flash'!A13,'TY Actual-Forecast'!$G:$G),IF($A$3="June 2015",SUMIF('TY Actual-Forecast'!$A:$A,'Top Flash'!A13,'TY Actual-Forecast'!$H:$H),IF($A$3="July 2015",SUMIF('TY Actual-Forecast'!$A:$A,'Top Flash'!A13,'TY Actual-Forecast'!$I:$I),IF($A$3="August 2015",SUMIF('TY Actual-Forecast'!$A:$A,'Top Flash'!A13,'TY Actual-Forecast'!$J:$J),IF($A$3="September 2015",SUMIF('TY Actual-Forecast'!$A:$A,'Top Flash'!A13,'TY Actual-Forecast'!$K:$K),IF($A$3="October 2015",SUMIF('TY Actual-Forecast'!$A:$A,'Top Flash'!A13,'TY Actual-Forecast'!$L:$L),IF($A$3="November 2015",SUMIF('TY Actual-Forecast'!$A:$A,'Top Flash'!A13,'TY Actual-Forecast'!$M:$M),IF($A$3="December 2015",SUMIF('TY Actual-Forecast'!$A:$A,'Top Flash'!A13,'TY Actual-Forecast'!$N:$N),0))))))))))))</f>
        <v>286744.96999999997</v>
      </c>
      <c r="D13" s="31">
        <f>'Variance Analysis'!D13</f>
        <v>303669</v>
      </c>
      <c r="E13" s="31">
        <f>IF($A$3="January 2015",SUMIF('TY Budget'!$A:$A,'Top Flash'!A13,'TY Budget'!$C:$C),IF($A$3="February 2015",SUMIF('TY Budget'!$A:$A,'Top Flash'!A13,'TY Budget'!$D:$D),IF($A$3="March 2015",SUMIF('TY Budget'!$A:$A,'Top Flash'!A13,'TY Budget'!$E:$E),IF($A$3="April 2015",SUMIF('TY Budget'!$A:$A,'Top Flash'!A13,'TY Budget'!$F:$F),IF($A$3="May 2015",SUMIF('TY Budget'!$A:$A,'Top Flash'!A13,'TY Budget'!$G:$G),IF($A$3="June 2015",SUMIF('TY Budget'!$A:$A,'Top Flash'!A13,'TY Budget'!$H:$H),IF($A$3="July 2015",SUMIF('TY Budget'!$A:$A,'Top Flash'!A13,'TY Budget'!$I:$I),IF($A$3="August 2015",SUMIF('TY Budget'!$A:$A,'Top Flash'!A13,'TY Budget'!$J:$J),IF($A$3="September 2015",SUMIF('TY Budget'!$A:$A,'Top Flash'!A13,'TY Budget'!$K:$K),IF($A$3="October 2015",SUMIF('TY Budget'!$A:$A,'Top Flash'!A13,'TY Budget'!$L:$L),IF($A$3="November 2015",SUMIF('TY Budget'!$A:$A,'Top Flash'!A13,'TY Budget'!$M:$M),IF($A$3="December 2015",SUMIF('TY Budget'!$A:$A,'Top Flash'!A13,'TY Budget'!$N:$N),0))))))))))))</f>
        <v>303669</v>
      </c>
      <c r="F13" s="31">
        <f>IF($A$3="January 2015",SUMIF('LY Actual'!$A:$A,'Top Flash'!A13,'LY Actual'!$C:$C),IF($A$3="February 2015",SUMIF('LY Actual'!$A:$A,'Top Flash'!A13,'LY Actual'!$D:$D),IF($A$3="March 2015",SUMIF('LY Actual'!$A:$A,'Top Flash'!A13,'LY Actual'!$E:$E),IF($A$3="April 2015",SUMIF('LY Actual'!$A:$A,'Top Flash'!A13,'LY Actual'!$F:$F),IF($A$3="May 2015",SUMIF('LY Actual'!$A:$A,'Top Flash'!A13,'LY Actual'!$G:$G),IF($A$3="June 2015",SUMIF('LY Actual'!$A:$A,'Top Flash'!A13,'LY Actual'!$H:$H),IF($A$3="July 2015",SUMIF('LY Actual'!$A:$A,'Top Flash'!A13,'LY Actual'!$I:$I),IF($A$3="August 2015",SUMIF('LY Actual'!$A:$A,'Top Flash'!A13,'LY Actual'!$J:$J),IF($A$3="September 2015",SUMIF('LY Actual'!$A:$A,'Top Flash'!A13,'LY Actual'!$K:$K),IF($A$3="October 2015",SUMIF('LY Actual'!$A:$A,'Top Flash'!A13,'LY Actual'!$L:$L),IF($A$3="November 2015",SUMIF('LY Actual'!$A:$A,'Top Flash'!A13,'LY Actual'!$M:$M),IF($A$3="December 2015",SUMIF('LY Actual'!$A:$A,'Top Flash'!A13,'LY Actual'!$N:$N),0))))))))))))</f>
        <v>1941084.46</v>
      </c>
      <c r="G13" s="32">
        <f t="shared" si="3"/>
        <v>-5.5731833015553213E-2</v>
      </c>
      <c r="H13" s="32">
        <f t="shared" si="4"/>
        <v>-0.85227589220924471</v>
      </c>
      <c r="I13" s="27"/>
      <c r="J13" s="31">
        <f>IF($A$3="January 2015",SUMIF('TY Actual-Forecast'!$A:$A,'Top Flash'!A13,'TY Actual-Forecast'!$U:$U),IF($A$3="February 2015",SUMIF('TY Actual-Forecast'!$A:$A,'Top Flash'!A13,'TY Actual-Forecast'!$V:$V),IF($A$3="March 2015",SUMIF('TY Actual-Forecast'!$A:$A,'Top Flash'!A13,'TY Actual-Forecast'!$W:$W),IF($A$3="April 2015",SUMIF('TY Actual-Forecast'!$A:$A,'Top Flash'!A13,'TY Actual-Forecast'!$X:$X),IF($A$3="May 2015",SUMIF('TY Actual-Forecast'!$A:$A,'Top Flash'!A13,'TY Actual-Forecast'!$Y:$Y),IF($A$3="June 2015",SUMIF('TY Actual-Forecast'!$A:$A,'Top Flash'!A13,'TY Actual-Forecast'!$Z:$Z),IF($A$3="July 2015",SUMIF('TY Actual-Forecast'!$A:$A,'Top Flash'!A13,'TY Actual-Forecast'!$AA:$AA),IF($A$3="August 2015",SUMIF('TY Actual-Forecast'!$A:$A,'Top Flash'!A13,'TY Actual-Forecast'!$AB:$AB),IF($A$3="September 2015",SUMIF('TY Actual-Forecast'!$A:$A,'Top Flash'!A13,'TY Actual-Forecast'!$AC:$AC),IF($A$3="October 2015",SUMIF('TY Actual-Forecast'!$A:$A,'Top Flash'!A13,'TY Actual-Forecast'!$AD:$AD),IF($A$3="November 2015",SUMIF('TY Actual-Forecast'!$A:$A,'Top Flash'!A13,'TY Actual-Forecast'!$AE:$AE),IF($A$3="December 2015",SUMIF('TY Actual-Forecast'!$A:$A,'Top Flash'!A13,'TY Actual-Forecast'!$AF:$AF),0))))))))))))</f>
        <v>2528119.4900000002</v>
      </c>
      <c r="K13" s="31">
        <f>IF($A$3="January 2015",SUMIF('TY Budget'!$A:$A,'Top Flash'!A13,'TY Budget'!$U:$U),IF($A$3="February 2015",SUMIF('TY Budget'!$A:$A,'Top Flash'!A13,'TY Budget'!$V:$V),IF($A$3="March 2015",SUMIF('TY Budget'!$A:$A,'Top Flash'!A13,'TY Budget'!$W:$W),IF($A$3="April 2015",SUMIF('TY Budget'!$A:$A,'Top Flash'!A13,'TY Budget'!$X:$X),IF($A$3="May 2015",SUMIF('TY Budget'!$A:$A,'Top Flash'!A13,'TY Budget'!$Y:$Y),IF($A$3="June 2015",SUMIF('TY Budget'!$A:$A,'Top Flash'!A13,'TY Budget'!$Z:$Z),IF($A$3="July 2015",SUMIF('TY Budget'!$A:$A,'Top Flash'!A13,'TY Budget'!$AA:$AA),IF($A$3="August 2015",SUMIF('TY Budget'!$A:$A,'Top Flash'!A13,'TY Budget'!$AB:$AB),IF($A$3="September 2015",SUMIF('TY Budget'!$A:$A,'Top Flash'!A13,'TY Budget'!$AC:$AC),IF($A$3="October 2015",SUMIF('TY Budget'!$A:$A,'Top Flash'!A13,'TY Budget'!$AD:$AD),IF($A$3="November 2015",SUMIF('TY Budget'!$A:$A,'Top Flash'!A13,'TY Budget'!$AE:$AE),IF($A$3="December 2015",SUMIF('TY Budget'!$A:$A,'Top Flash'!A13,'TY Budget'!$AF:$AF),0))))))))))))</f>
        <v>2637484.5</v>
      </c>
      <c r="L13" s="31">
        <f>IF($A$3="January 2015",SUMIF('LY Actual'!$A:$A,'Top Flash'!A13,'LY Actual'!$U:$U),IF($A$3="February 2015",SUMIF('LY Actual'!$A:$A,'Top Flash'!A13,'LY Actual'!$V:$V),IF($A$3="March 2015",SUMIF('LY Actual'!$A:$A,'Top Flash'!A13,'LY Actual'!$W:$W),IF($A$3="April 2015",SUMIF('LY Actual'!$A:$A,'Top Flash'!A13,'LY Actual'!$X:$X),IF($A$3="May 2015",SUMIF('LY Actual'!$A:$A,'Top Flash'!A13,'LY Actual'!$Y:$Y),IF($A$3="June 2015",SUMIF('LY Actual'!$A:$A,'Top Flash'!A13,'LY Actual'!$Z:$Z),IF($A$3="July 2015",SUMIF('LY Actual'!$A:$A,'Top Flash'!A13,'LY Actual'!$AA:$AA),IF($A$3="August 2015",SUMIF('LY Actual'!$A:$A,'Top Flash'!A13,'LY Actual'!$AB:$AB),IF($A$3="September 2015",SUMIF('LY Actual'!$A:$A,'Top Flash'!A13,'LY Actual'!$AC:$AC),IF($A$3="October 2015",SUMIF('LY Actual'!$A:$A,'Top Flash'!A13,'LY Actual'!$AD:$AD),IF($A$3="November 2015",SUMIF('LY Actual'!$A:$A,'Top Flash'!A13,'LY Actual'!$AE:$AE),IF($A$3="December 2015",SUMIF('LY Actual'!$A:$A,'Top Flash'!A13,'LY Actual'!$AF:$AF),0))))))))))))</f>
        <v>5172835.84</v>
      </c>
      <c r="M13" s="32">
        <f t="shared" si="5"/>
        <v>-4.1465650319461506E-2</v>
      </c>
      <c r="N13" s="32">
        <f t="shared" si="6"/>
        <v>-0.5112701102070929</v>
      </c>
      <c r="O13" s="28"/>
      <c r="P13" s="31">
        <f>'TY Actual-Forecast'!O13</f>
        <v>2528119.4900000002</v>
      </c>
      <c r="Q13" s="31">
        <f>'Variance Analysis'!J13</f>
        <v>2545043.46</v>
      </c>
      <c r="R13" s="31">
        <f>'TY Budget'!O13</f>
        <v>2637484.5</v>
      </c>
      <c r="S13" s="31">
        <f>'LY Actual'!O13</f>
        <v>5172835.84</v>
      </c>
      <c r="T13" s="32">
        <f t="shared" si="2"/>
        <v>-4.1465650319461506E-2</v>
      </c>
      <c r="U13" s="32">
        <f t="shared" si="7"/>
        <v>-0.5112701102070929</v>
      </c>
    </row>
    <row r="14" spans="1:21" ht="15" customHeight="1">
      <c r="A14" s="29" t="s">
        <v>182</v>
      </c>
      <c r="B14" s="30"/>
      <c r="C14" s="31">
        <f>SUBTOTAL(9,C15:C17)</f>
        <v>32445909.09</v>
      </c>
      <c r="D14" s="31">
        <f>SUBTOTAL(9,D15:D17)</f>
        <v>30572352</v>
      </c>
      <c r="E14" s="31">
        <f>SUBTOTAL(9,E15:E17)</f>
        <v>30284827.226499997</v>
      </c>
      <c r="F14" s="31">
        <f>SUBTOTAL(9,F15:F17)</f>
        <v>29235647.912950002</v>
      </c>
      <c r="G14" s="32">
        <f t="shared" si="3"/>
        <v>7.1358566695371495E-2</v>
      </c>
      <c r="H14" s="32">
        <f t="shared" si="4"/>
        <v>0.10980639753935487</v>
      </c>
      <c r="I14" s="27"/>
      <c r="J14" s="31">
        <f>SUBTOTAL(9,J15:J17)</f>
        <v>242613100.84999996</v>
      </c>
      <c r="K14" s="31">
        <f>SUBTOTAL(9,K15:K17)</f>
        <v>254216306.73743364</v>
      </c>
      <c r="L14" s="31">
        <f>SUBTOTAL(9,L15:L17)</f>
        <v>197824950.17131332</v>
      </c>
      <c r="M14" s="32">
        <f t="shared" si="5"/>
        <v>-4.5643043266370815E-2</v>
      </c>
      <c r="N14" s="32">
        <f t="shared" si="6"/>
        <v>0.22640294179223</v>
      </c>
      <c r="O14" s="28"/>
      <c r="P14" s="31">
        <f t="shared" ref="P14:S14" si="8">SUBTOTAL(9,P15:P17)</f>
        <v>242613100.84999996</v>
      </c>
      <c r="Q14" s="31">
        <f t="shared" si="8"/>
        <v>240739385.69999999</v>
      </c>
      <c r="R14" s="31">
        <f t="shared" si="8"/>
        <v>254216306.73743364</v>
      </c>
      <c r="S14" s="31">
        <f t="shared" si="8"/>
        <v>197824950.17131332</v>
      </c>
      <c r="T14" s="32">
        <f t="shared" si="2"/>
        <v>-4.5643043266370815E-2</v>
      </c>
      <c r="U14" s="32">
        <f t="shared" si="7"/>
        <v>0.22640294179223</v>
      </c>
    </row>
    <row r="15" spans="1:21" ht="15" customHeight="1">
      <c r="A15" s="30" t="s">
        <v>183</v>
      </c>
      <c r="B15" s="30"/>
      <c r="C15" s="31">
        <f>IF($A$3="January 2015",SUMIF('TY Actual-Forecast'!$A:$A,'Top Flash'!A15,'TY Actual-Forecast'!$C:$C),IF($A$3="February 2015",SUMIF('TY Actual-Forecast'!$A:$A,'Top Flash'!A15,'TY Actual-Forecast'!$D:$D),IF($A$3="March 2015",SUMIF('TY Actual-Forecast'!$A:$A,'Top Flash'!A15,'TY Actual-Forecast'!$E:$E),IF($A$3="April 2015",SUMIF('TY Actual-Forecast'!$A:$A,'Top Flash'!A15,'TY Actual-Forecast'!$F:$F),IF($A$3="May 2015",SUMIF('TY Actual-Forecast'!$A:$A,'Top Flash'!A15,'TY Actual-Forecast'!$G:$G),IF($A$3="June 2015",SUMIF('TY Actual-Forecast'!$A:$A,'Top Flash'!A15,'TY Actual-Forecast'!$H:$H),IF($A$3="July 2015",SUMIF('TY Actual-Forecast'!$A:$A,'Top Flash'!A15,'TY Actual-Forecast'!$I:$I),IF($A$3="August 2015",SUMIF('TY Actual-Forecast'!$A:$A,'Top Flash'!A15,'TY Actual-Forecast'!$J:$J),IF($A$3="September 2015",SUMIF('TY Actual-Forecast'!$A:$A,'Top Flash'!A15,'TY Actual-Forecast'!$K:$K),IF($A$3="October 2015",SUMIF('TY Actual-Forecast'!$A:$A,'Top Flash'!A15,'TY Actual-Forecast'!$L:$L),IF($A$3="November 2015",SUMIF('TY Actual-Forecast'!$A:$A,'Top Flash'!A15,'TY Actual-Forecast'!$M:$M),IF($A$3="December 2015",SUMIF('TY Actual-Forecast'!$A:$A,'Top Flash'!A15,'TY Actual-Forecast'!$N:$N),0))))))))))))</f>
        <v>14904099</v>
      </c>
      <c r="D15" s="31">
        <f>'Variance Analysis'!D15</f>
        <v>16302000</v>
      </c>
      <c r="E15" s="31">
        <f>IF($A$3="January 2015",SUMIF('TY Budget'!$A:$A,'Top Flash'!A15,'TY Budget'!$C:$C),IF($A$3="February 2015",SUMIF('TY Budget'!$A:$A,'Top Flash'!A15,'TY Budget'!$D:$D),IF($A$3="March 2015",SUMIF('TY Budget'!$A:$A,'Top Flash'!A15,'TY Budget'!$E:$E),IF($A$3="April 2015",SUMIF('TY Budget'!$A:$A,'Top Flash'!A15,'TY Budget'!$F:$F),IF($A$3="May 2015",SUMIF('TY Budget'!$A:$A,'Top Flash'!A15,'TY Budget'!$G:$G),IF($A$3="June 2015",SUMIF('TY Budget'!$A:$A,'Top Flash'!A15,'TY Budget'!$H:$H),IF($A$3="July 2015",SUMIF('TY Budget'!$A:$A,'Top Flash'!A15,'TY Budget'!$I:$I),IF($A$3="August 2015",SUMIF('TY Budget'!$A:$A,'Top Flash'!A15,'TY Budget'!$J:$J),IF($A$3="September 2015",SUMIF('TY Budget'!$A:$A,'Top Flash'!A15,'TY Budget'!$K:$K),IF($A$3="October 2015",SUMIF('TY Budget'!$A:$A,'Top Flash'!A15,'TY Budget'!$L:$L),IF($A$3="November 2015",SUMIF('TY Budget'!$A:$A,'Top Flash'!A15,'TY Budget'!$M:$M),IF($A$3="December 2015",SUMIF('TY Budget'!$A:$A,'Top Flash'!A15,'TY Budget'!$N:$N),0))))))))))))</f>
        <v>18299672.239999998</v>
      </c>
      <c r="F15" s="31">
        <f>IF($A$3="January 2015",SUMIF('LY Actual'!$A:$A,'Top Flash'!A15,'LY Actual'!$C:$C),IF($A$3="February 2015",SUMIF('LY Actual'!$A:$A,'Top Flash'!A15,'LY Actual'!$D:$D),IF($A$3="March 2015",SUMIF('LY Actual'!$A:$A,'Top Flash'!A15,'LY Actual'!$E:$E),IF($A$3="April 2015",SUMIF('LY Actual'!$A:$A,'Top Flash'!A15,'LY Actual'!$F:$F),IF($A$3="May 2015",SUMIF('LY Actual'!$A:$A,'Top Flash'!A15,'LY Actual'!$G:$G),IF($A$3="June 2015",SUMIF('LY Actual'!$A:$A,'Top Flash'!A15,'LY Actual'!$H:$H),IF($A$3="July 2015",SUMIF('LY Actual'!$A:$A,'Top Flash'!A15,'LY Actual'!$I:$I),IF($A$3="August 2015",SUMIF('LY Actual'!$A:$A,'Top Flash'!A15,'LY Actual'!$J:$J),IF($A$3="September 2015",SUMIF('LY Actual'!$A:$A,'Top Flash'!A15,'LY Actual'!$K:$K),IF($A$3="October 2015",SUMIF('LY Actual'!$A:$A,'Top Flash'!A15,'LY Actual'!$L:$L),IF($A$3="November 2015",SUMIF('LY Actual'!$A:$A,'Top Flash'!A15,'LY Actual'!$M:$M),IF($A$3="December 2015",SUMIF('LY Actual'!$A:$A,'Top Flash'!A15,'LY Actual'!$N:$N),0))))))))))))</f>
        <v>15029635.969999999</v>
      </c>
      <c r="G15" s="32">
        <f t="shared" si="3"/>
        <v>-0.18555377361228623</v>
      </c>
      <c r="H15" s="32">
        <f t="shared" si="4"/>
        <v>-8.3526287829311149E-3</v>
      </c>
      <c r="I15" s="27"/>
      <c r="J15" s="31">
        <f>IF($A$3="January 2015",SUMIF('TY Actual-Forecast'!$A:$A,'Top Flash'!A15,'TY Actual-Forecast'!$U:$U),IF($A$3="February 2015",SUMIF('TY Actual-Forecast'!$A:$A,'Top Flash'!A15,'TY Actual-Forecast'!$V:$V),IF($A$3="March 2015",SUMIF('TY Actual-Forecast'!$A:$A,'Top Flash'!A15,'TY Actual-Forecast'!$W:$W),IF($A$3="April 2015",SUMIF('TY Actual-Forecast'!$A:$A,'Top Flash'!A15,'TY Actual-Forecast'!$X:$X),IF($A$3="May 2015",SUMIF('TY Actual-Forecast'!$A:$A,'Top Flash'!A15,'TY Actual-Forecast'!$Y:$Y),IF($A$3="June 2015",SUMIF('TY Actual-Forecast'!$A:$A,'Top Flash'!A15,'TY Actual-Forecast'!$Z:$Z),IF($A$3="July 2015",SUMIF('TY Actual-Forecast'!$A:$A,'Top Flash'!A15,'TY Actual-Forecast'!$AA:$AA),IF($A$3="August 2015",SUMIF('TY Actual-Forecast'!$A:$A,'Top Flash'!A15,'TY Actual-Forecast'!$AB:$AB),IF($A$3="September 2015",SUMIF('TY Actual-Forecast'!$A:$A,'Top Flash'!A15,'TY Actual-Forecast'!$AC:$AC),IF($A$3="October 2015",SUMIF('TY Actual-Forecast'!$A:$A,'Top Flash'!A15,'TY Actual-Forecast'!$AD:$AD),IF($A$3="November 2015",SUMIF('TY Actual-Forecast'!$A:$A,'Top Flash'!A15,'TY Actual-Forecast'!$AE:$AE),IF($A$3="December 2015",SUMIF('TY Actual-Forecast'!$A:$A,'Top Flash'!A15,'TY Actual-Forecast'!$AF:$AF),0))))))))))))</f>
        <v>124026390.80999999</v>
      </c>
      <c r="K15" s="31">
        <f>IF($A$3="January 2015",SUMIF('TY Budget'!$A:$A,'Top Flash'!A15,'TY Budget'!$U:$U),IF($A$3="February 2015",SUMIF('TY Budget'!$A:$A,'Top Flash'!A15,'TY Budget'!$V:$V),IF($A$3="March 2015",SUMIF('TY Budget'!$A:$A,'Top Flash'!A15,'TY Budget'!$W:$W),IF($A$3="April 2015",SUMIF('TY Budget'!$A:$A,'Top Flash'!A15,'TY Budget'!$X:$X),IF($A$3="May 2015",SUMIF('TY Budget'!$A:$A,'Top Flash'!A15,'TY Budget'!$Y:$Y),IF($A$3="June 2015",SUMIF('TY Budget'!$A:$A,'Top Flash'!A15,'TY Budget'!$Z:$Z),IF($A$3="July 2015",SUMIF('TY Budget'!$A:$A,'Top Flash'!A15,'TY Budget'!$AA:$AA),IF($A$3="August 2015",SUMIF('TY Budget'!$A:$A,'Top Flash'!A15,'TY Budget'!$AB:$AB),IF($A$3="September 2015",SUMIF('TY Budget'!$A:$A,'Top Flash'!A15,'TY Budget'!$AC:$AC),IF($A$3="October 2015",SUMIF('TY Budget'!$A:$A,'Top Flash'!A15,'TY Budget'!$AD:$AD),IF($A$3="November 2015",SUMIF('TY Budget'!$A:$A,'Top Flash'!A15,'TY Budget'!$AE:$AE),IF($A$3="December 2015",SUMIF('TY Budget'!$A:$A,'Top Flash'!A15,'TY Budget'!$AF:$AF),0))))))))))))</f>
        <v>126879808.32562055</v>
      </c>
      <c r="L15" s="31">
        <f>IF($A$3="January 2015",SUMIF('LY Actual'!$A:$A,'Top Flash'!A15,'LY Actual'!$U:$U),IF($A$3="February 2015",SUMIF('LY Actual'!$A:$A,'Top Flash'!A15,'LY Actual'!$V:$V),IF($A$3="March 2015",SUMIF('LY Actual'!$A:$A,'Top Flash'!A15,'LY Actual'!$W:$W),IF($A$3="April 2015",SUMIF('LY Actual'!$A:$A,'Top Flash'!A15,'LY Actual'!$X:$X),IF($A$3="May 2015",SUMIF('LY Actual'!$A:$A,'Top Flash'!A15,'LY Actual'!$Y:$Y),IF($A$3="June 2015",SUMIF('LY Actual'!$A:$A,'Top Flash'!A15,'LY Actual'!$Z:$Z),IF($A$3="July 2015",SUMIF('LY Actual'!$A:$A,'Top Flash'!A15,'LY Actual'!$AA:$AA),IF($A$3="August 2015",SUMIF('LY Actual'!$A:$A,'Top Flash'!A15,'LY Actual'!$AB:$AB),IF($A$3="September 2015",SUMIF('LY Actual'!$A:$A,'Top Flash'!A15,'LY Actual'!$AC:$AC),IF($A$3="October 2015",SUMIF('LY Actual'!$A:$A,'Top Flash'!A15,'LY Actual'!$AD:$AD),IF($A$3="November 2015",SUMIF('LY Actual'!$A:$A,'Top Flash'!A15,'LY Actual'!$AE:$AE),IF($A$3="December 2015",SUMIF('LY Actual'!$A:$A,'Top Flash'!A15,'LY Actual'!$AF:$AF),0))))))))))))</f>
        <v>103356401.94327658</v>
      </c>
      <c r="M15" s="32">
        <f t="shared" si="5"/>
        <v>-2.2489137974559623E-2</v>
      </c>
      <c r="N15" s="32">
        <f t="shared" si="6"/>
        <v>0.19998750419028111</v>
      </c>
      <c r="O15" s="28"/>
      <c r="P15" s="31">
        <f>'TY Actual-Forecast'!O15</f>
        <v>124026390.80999999</v>
      </c>
      <c r="Q15" s="31">
        <f>'Variance Analysis'!J15</f>
        <v>125424133.74999999</v>
      </c>
      <c r="R15" s="31">
        <f>'TY Budget'!O15</f>
        <v>126879808.32562055</v>
      </c>
      <c r="S15" s="31">
        <f>'LY Actual'!O15</f>
        <v>103356401.94327658</v>
      </c>
      <c r="T15" s="32">
        <f t="shared" si="2"/>
        <v>-2.2489137974559623E-2</v>
      </c>
      <c r="U15" s="32">
        <f t="shared" si="7"/>
        <v>0.19998750419028111</v>
      </c>
    </row>
    <row r="16" spans="1:21" ht="15.75" customHeight="1">
      <c r="A16" s="30" t="s">
        <v>184</v>
      </c>
      <c r="B16" s="30"/>
      <c r="C16" s="31">
        <f>IF($A$3="January 2015",SUMIF('TY Actual-Forecast'!$A:$A,'Top Flash'!A16,'TY Actual-Forecast'!$C:$C),IF($A$3="February 2015",SUMIF('TY Actual-Forecast'!$A:$A,'Top Flash'!A16,'TY Actual-Forecast'!$D:$D),IF($A$3="March 2015",SUMIF('TY Actual-Forecast'!$A:$A,'Top Flash'!A16,'TY Actual-Forecast'!$E:$E),IF($A$3="April 2015",SUMIF('TY Actual-Forecast'!$A:$A,'Top Flash'!A16,'TY Actual-Forecast'!$F:$F),IF($A$3="May 2015",SUMIF('TY Actual-Forecast'!$A:$A,'Top Flash'!A16,'TY Actual-Forecast'!$G:$G),IF($A$3="June 2015",SUMIF('TY Actual-Forecast'!$A:$A,'Top Flash'!A16,'TY Actual-Forecast'!$H:$H),IF($A$3="July 2015",SUMIF('TY Actual-Forecast'!$A:$A,'Top Flash'!A16,'TY Actual-Forecast'!$I:$I),IF($A$3="August 2015",SUMIF('TY Actual-Forecast'!$A:$A,'Top Flash'!A16,'TY Actual-Forecast'!$J:$J),IF($A$3="September 2015",SUMIF('TY Actual-Forecast'!$A:$A,'Top Flash'!A16,'TY Actual-Forecast'!$K:$K),IF($A$3="October 2015",SUMIF('TY Actual-Forecast'!$A:$A,'Top Flash'!A16,'TY Actual-Forecast'!$L:$L),IF($A$3="November 2015",SUMIF('TY Actual-Forecast'!$A:$A,'Top Flash'!A16,'TY Actual-Forecast'!$M:$M),IF($A$3="December 2015",SUMIF('TY Actual-Forecast'!$A:$A,'Top Flash'!A16,'TY Actual-Forecast'!$N:$N),0))))))))))))</f>
        <v>14465971.210000001</v>
      </c>
      <c r="D16" s="31">
        <f>'Variance Analysis'!D16</f>
        <v>12280352</v>
      </c>
      <c r="E16" s="31">
        <f>IF($A$3="January 2015",SUMIF('TY Budget'!$A:$A,'Top Flash'!A16,'TY Budget'!$C:$C),IF($A$3="February 2015",SUMIF('TY Budget'!$A:$A,'Top Flash'!A16,'TY Budget'!$D:$D),IF($A$3="March 2015",SUMIF('TY Budget'!$A:$A,'Top Flash'!A16,'TY Budget'!$E:$E),IF($A$3="April 2015",SUMIF('TY Budget'!$A:$A,'Top Flash'!A16,'TY Budget'!$F:$F),IF($A$3="May 2015",SUMIF('TY Budget'!$A:$A,'Top Flash'!A16,'TY Budget'!$G:$G),IF($A$3="June 2015",SUMIF('TY Budget'!$A:$A,'Top Flash'!A16,'TY Budget'!$H:$H),IF($A$3="July 2015",SUMIF('TY Budget'!$A:$A,'Top Flash'!A16,'TY Budget'!$I:$I),IF($A$3="August 2015",SUMIF('TY Budget'!$A:$A,'Top Flash'!A16,'TY Budget'!$J:$J),IF($A$3="September 2015",SUMIF('TY Budget'!$A:$A,'Top Flash'!A16,'TY Budget'!$K:$K),IF($A$3="October 2015",SUMIF('TY Budget'!$A:$A,'Top Flash'!A16,'TY Budget'!$L:$L),IF($A$3="November 2015",SUMIF('TY Budget'!$A:$A,'Top Flash'!A16,'TY Budget'!$M:$M),IF($A$3="December 2015",SUMIF('TY Budget'!$A:$A,'Top Flash'!A16,'TY Budget'!$N:$N),0))))))))))))</f>
        <v>9842993</v>
      </c>
      <c r="F16" s="31">
        <f>IF($A$3="January 2015",SUMIF('LY Actual'!$A:$A,'Top Flash'!A16,'LY Actual'!$C:$C),IF($A$3="February 2015",SUMIF('LY Actual'!$A:$A,'Top Flash'!A16,'LY Actual'!$D:$D),IF($A$3="March 2015",SUMIF('LY Actual'!$A:$A,'Top Flash'!A16,'LY Actual'!$E:$E),IF($A$3="April 2015",SUMIF('LY Actual'!$A:$A,'Top Flash'!A16,'LY Actual'!$F:$F),IF($A$3="May 2015",SUMIF('LY Actual'!$A:$A,'Top Flash'!A16,'LY Actual'!$G:$G),IF($A$3="June 2015",SUMIF('LY Actual'!$A:$A,'Top Flash'!A16,'LY Actual'!$H:$H),IF($A$3="July 2015",SUMIF('LY Actual'!$A:$A,'Top Flash'!A16,'LY Actual'!$I:$I),IF($A$3="August 2015",SUMIF('LY Actual'!$A:$A,'Top Flash'!A16,'LY Actual'!$J:$J),IF($A$3="September 2015",SUMIF('LY Actual'!$A:$A,'Top Flash'!A16,'LY Actual'!$K:$K),IF($A$3="October 2015",SUMIF('LY Actual'!$A:$A,'Top Flash'!A16,'LY Actual'!$L:$L),IF($A$3="November 2015",SUMIF('LY Actual'!$A:$A,'Top Flash'!A16,'LY Actual'!$M:$M),IF($A$3="December 2015",SUMIF('LY Actual'!$A:$A,'Top Flash'!A16,'LY Actual'!$N:$N),0))))))))))))</f>
        <v>12216005.932950001</v>
      </c>
      <c r="G16" s="32">
        <f t="shared" si="3"/>
        <v>0.46967200017311816</v>
      </c>
      <c r="H16" s="32">
        <f t="shared" si="4"/>
        <v>0.18418174396765893</v>
      </c>
      <c r="I16" s="27"/>
      <c r="J16" s="31">
        <f>IF($A$3="January 2015",SUMIF('TY Actual-Forecast'!$A:$A,'Top Flash'!A16,'TY Actual-Forecast'!$U:$U),IF($A$3="February 2015",SUMIF('TY Actual-Forecast'!$A:$A,'Top Flash'!A16,'TY Actual-Forecast'!$V:$V),IF($A$3="March 2015",SUMIF('TY Actual-Forecast'!$A:$A,'Top Flash'!A16,'TY Actual-Forecast'!$W:$W),IF($A$3="April 2015",SUMIF('TY Actual-Forecast'!$A:$A,'Top Flash'!A16,'TY Actual-Forecast'!$X:$X),IF($A$3="May 2015",SUMIF('TY Actual-Forecast'!$A:$A,'Top Flash'!A16,'TY Actual-Forecast'!$Y:$Y),IF($A$3="June 2015",SUMIF('TY Actual-Forecast'!$A:$A,'Top Flash'!A16,'TY Actual-Forecast'!$Z:$Z),IF($A$3="July 2015",SUMIF('TY Actual-Forecast'!$A:$A,'Top Flash'!A16,'TY Actual-Forecast'!$AA:$AA),IF($A$3="August 2015",SUMIF('TY Actual-Forecast'!$A:$A,'Top Flash'!A16,'TY Actual-Forecast'!$AB:$AB),IF($A$3="September 2015",SUMIF('TY Actual-Forecast'!$A:$A,'Top Flash'!A16,'TY Actual-Forecast'!$AC:$AC),IF($A$3="October 2015",SUMIF('TY Actual-Forecast'!$A:$A,'Top Flash'!A16,'TY Actual-Forecast'!$AD:$AD),IF($A$3="November 2015",SUMIF('TY Actual-Forecast'!$A:$A,'Top Flash'!A16,'TY Actual-Forecast'!$AE:$AE),IF($A$3="December 2015",SUMIF('TY Actual-Forecast'!$A:$A,'Top Flash'!A16,'TY Actual-Forecast'!$AF:$AF),0))))))))))))</f>
        <v>95448271.650000006</v>
      </c>
      <c r="K16" s="31">
        <f>IF($A$3="January 2015",SUMIF('TY Budget'!$A:$A,'Top Flash'!A16,'TY Budget'!$U:$U),IF($A$3="February 2015",SUMIF('TY Budget'!$A:$A,'Top Flash'!A16,'TY Budget'!$V:$V),IF($A$3="March 2015",SUMIF('TY Budget'!$A:$A,'Top Flash'!A16,'TY Budget'!$W:$W),IF($A$3="April 2015",SUMIF('TY Budget'!$A:$A,'Top Flash'!A16,'TY Budget'!$X:$X),IF($A$3="May 2015",SUMIF('TY Budget'!$A:$A,'Top Flash'!A16,'TY Budget'!$Y:$Y),IF($A$3="June 2015",SUMIF('TY Budget'!$A:$A,'Top Flash'!A16,'TY Budget'!$Z:$Z),IF($A$3="July 2015",SUMIF('TY Budget'!$A:$A,'Top Flash'!A16,'TY Budget'!$AA:$AA),IF($A$3="August 2015",SUMIF('TY Budget'!$A:$A,'Top Flash'!A16,'TY Budget'!$AB:$AB),IF($A$3="September 2015",SUMIF('TY Budget'!$A:$A,'Top Flash'!A16,'TY Budget'!$AC:$AC),IF($A$3="October 2015",SUMIF('TY Budget'!$A:$A,'Top Flash'!A16,'TY Budget'!$AD:$AD),IF($A$3="November 2015",SUMIF('TY Budget'!$A:$A,'Top Flash'!A16,'TY Budget'!$AE:$AE),IF($A$3="December 2015",SUMIF('TY Budget'!$A:$A,'Top Flash'!A16,'TY Budget'!$AF:$AF),0))))))))))))</f>
        <v>111694728.83177942</v>
      </c>
      <c r="L16" s="31">
        <f>IF($A$3="January 2015",SUMIF('LY Actual'!$A:$A,'Top Flash'!A16,'LY Actual'!$U:$U),IF($A$3="February 2015",SUMIF('LY Actual'!$A:$A,'Top Flash'!A16,'LY Actual'!$V:$V),IF($A$3="March 2015",SUMIF('LY Actual'!$A:$A,'Top Flash'!A16,'LY Actual'!$W:$W),IF($A$3="April 2015",SUMIF('LY Actual'!$A:$A,'Top Flash'!A16,'LY Actual'!$X:$X),IF($A$3="May 2015",SUMIF('LY Actual'!$A:$A,'Top Flash'!A16,'LY Actual'!$Y:$Y),IF($A$3="June 2015",SUMIF('LY Actual'!$A:$A,'Top Flash'!A16,'LY Actual'!$Z:$Z),IF($A$3="July 2015",SUMIF('LY Actual'!$A:$A,'Top Flash'!A16,'LY Actual'!$AA:$AA),IF($A$3="August 2015",SUMIF('LY Actual'!$A:$A,'Top Flash'!A16,'LY Actual'!$AB:$AB),IF($A$3="September 2015",SUMIF('LY Actual'!$A:$A,'Top Flash'!A16,'LY Actual'!$AC:$AC),IF($A$3="October 2015",SUMIF('LY Actual'!$A:$A,'Top Flash'!A16,'LY Actual'!$AD:$AD),IF($A$3="November 2015",SUMIF('LY Actual'!$A:$A,'Top Flash'!A16,'LY Actual'!$AE:$AE),IF($A$3="December 2015",SUMIF('LY Actual'!$A:$A,'Top Flash'!A16,'LY Actual'!$AF:$AF),0))))))))))))</f>
        <v>82028751.508036718</v>
      </c>
      <c r="M16" s="32">
        <f t="shared" si="5"/>
        <v>-0.14545410827978988</v>
      </c>
      <c r="N16" s="32">
        <f t="shared" si="6"/>
        <v>0.16359532353297512</v>
      </c>
      <c r="O16" s="28"/>
      <c r="P16" s="31">
        <f>'TY Actual-Forecast'!O16</f>
        <v>95448271.650000006</v>
      </c>
      <c r="Q16" s="31">
        <f>'Variance Analysis'!J16</f>
        <v>93262652.439999998</v>
      </c>
      <c r="R16" s="31">
        <f>'TY Budget'!O16</f>
        <v>111694728.83177942</v>
      </c>
      <c r="S16" s="31">
        <f>'LY Actual'!O16</f>
        <v>82028751.508036718</v>
      </c>
      <c r="T16" s="32">
        <f t="shared" si="2"/>
        <v>-0.14545410827978988</v>
      </c>
      <c r="U16" s="32">
        <f t="shared" si="7"/>
        <v>0.16359532353297512</v>
      </c>
    </row>
    <row r="17" spans="1:21" ht="15.75" customHeight="1">
      <c r="A17" s="30" t="s">
        <v>250</v>
      </c>
      <c r="B17" s="30"/>
      <c r="C17" s="31">
        <f>IF($A$3="January 2015",SUMIF('TY Actual-Forecast'!$A:$A,'Top Flash'!A17,'TY Actual-Forecast'!$C:$C),IF($A$3="February 2015",SUMIF('TY Actual-Forecast'!$A:$A,'Top Flash'!A17,'TY Actual-Forecast'!$D:$D),IF($A$3="March 2015",SUMIF('TY Actual-Forecast'!$A:$A,'Top Flash'!A17,'TY Actual-Forecast'!$E:$E),IF($A$3="April 2015",SUMIF('TY Actual-Forecast'!$A:$A,'Top Flash'!A17,'TY Actual-Forecast'!$F:$F),IF($A$3="May 2015",SUMIF('TY Actual-Forecast'!$A:$A,'Top Flash'!A17,'TY Actual-Forecast'!$G:$G),IF($A$3="June 2015",SUMIF('TY Actual-Forecast'!$A:$A,'Top Flash'!A17,'TY Actual-Forecast'!$H:$H),IF($A$3="July 2015",SUMIF('TY Actual-Forecast'!$A:$A,'Top Flash'!A17,'TY Actual-Forecast'!$I:$I),IF($A$3="August 2015",SUMIF('TY Actual-Forecast'!$A:$A,'Top Flash'!A17,'TY Actual-Forecast'!$J:$J),IF($A$3="September 2015",SUMIF('TY Actual-Forecast'!$A:$A,'Top Flash'!A17,'TY Actual-Forecast'!$K:$K),IF($A$3="October 2015",SUMIF('TY Actual-Forecast'!$A:$A,'Top Flash'!A17,'TY Actual-Forecast'!$L:$L),IF($A$3="November 2015",SUMIF('TY Actual-Forecast'!$A:$A,'Top Flash'!A17,'TY Actual-Forecast'!$M:$M),IF($A$3="December 2015",SUMIF('TY Actual-Forecast'!$A:$A,'Top Flash'!A17,'TY Actual-Forecast'!$N:$N),0))))))))))))</f>
        <v>3075838.88</v>
      </c>
      <c r="D17" s="31">
        <f>'Variance Analysis'!D17</f>
        <v>1990000</v>
      </c>
      <c r="E17" s="31">
        <f>IF($A$3="January 2015",SUMIF('TY Budget'!$A:$A,'Top Flash'!A17,'TY Budget'!$C:$C),IF($A$3="February 2015",SUMIF('TY Budget'!$A:$A,'Top Flash'!A17,'TY Budget'!$D:$D),IF($A$3="March 2015",SUMIF('TY Budget'!$A:$A,'Top Flash'!A17,'TY Budget'!$E:$E),IF($A$3="April 2015",SUMIF('TY Budget'!$A:$A,'Top Flash'!A17,'TY Budget'!$F:$F),IF($A$3="May 2015",SUMIF('TY Budget'!$A:$A,'Top Flash'!A17,'TY Budget'!$G:$G),IF($A$3="June 2015",SUMIF('TY Budget'!$A:$A,'Top Flash'!A17,'TY Budget'!$H:$H),IF($A$3="July 2015",SUMIF('TY Budget'!$A:$A,'Top Flash'!A17,'TY Budget'!$I:$I),IF($A$3="August 2015",SUMIF('TY Budget'!$A:$A,'Top Flash'!A17,'TY Budget'!$J:$J),IF($A$3="September 2015",SUMIF('TY Budget'!$A:$A,'Top Flash'!A17,'TY Budget'!$K:$K),IF($A$3="October 2015",SUMIF('TY Budget'!$A:$A,'Top Flash'!A17,'TY Budget'!$L:$L),IF($A$3="November 2015",SUMIF('TY Budget'!$A:$A,'Top Flash'!A17,'TY Budget'!$M:$M),IF($A$3="December 2015",SUMIF('TY Budget'!$A:$A,'Top Flash'!A17,'TY Budget'!$N:$N),0))))))))))))</f>
        <v>2142161.9865000001</v>
      </c>
      <c r="F17" s="31">
        <f>IF($A$3="January 2015",SUMIF('LY Actual'!$A:$A,'Top Flash'!A17,'LY Actual'!$C:$C),IF($A$3="February 2015",SUMIF('LY Actual'!$A:$A,'Top Flash'!A17,'LY Actual'!$D:$D),IF($A$3="March 2015",SUMIF('LY Actual'!$A:$A,'Top Flash'!A17,'LY Actual'!$E:$E),IF($A$3="April 2015",SUMIF('LY Actual'!$A:$A,'Top Flash'!A17,'LY Actual'!$F:$F),IF($A$3="May 2015",SUMIF('LY Actual'!$A:$A,'Top Flash'!A17,'LY Actual'!$G:$G),IF($A$3="June 2015",SUMIF('LY Actual'!$A:$A,'Top Flash'!A17,'LY Actual'!$H:$H),IF($A$3="July 2015",SUMIF('LY Actual'!$A:$A,'Top Flash'!A17,'LY Actual'!$I:$I),IF($A$3="August 2015",SUMIF('LY Actual'!$A:$A,'Top Flash'!A17,'LY Actual'!$J:$J),IF($A$3="September 2015",SUMIF('LY Actual'!$A:$A,'Top Flash'!A17,'LY Actual'!$K:$K),IF($A$3="October 2015",SUMIF('LY Actual'!$A:$A,'Top Flash'!A17,'LY Actual'!$L:$L),IF($A$3="November 2015",SUMIF('LY Actual'!$A:$A,'Top Flash'!A17,'LY Actual'!$M:$M),IF($A$3="December 2015",SUMIF('LY Actual'!$A:$A,'Top Flash'!A17,'LY Actual'!$N:$N),0))))))))))))</f>
        <v>1990006.01</v>
      </c>
      <c r="G17" s="32">
        <f t="shared" si="3"/>
        <v>0.43585727848037309</v>
      </c>
      <c r="H17" s="32">
        <f t="shared" si="4"/>
        <v>0.54564301039472729</v>
      </c>
      <c r="I17" s="27"/>
      <c r="J17" s="31">
        <f>IF($A$3="January 2015",SUMIF('TY Actual-Forecast'!$A:$A,'Top Flash'!A17,'TY Actual-Forecast'!$U:$U),IF($A$3="February 2015",SUMIF('TY Actual-Forecast'!$A:$A,'Top Flash'!A17,'TY Actual-Forecast'!$V:$V),IF($A$3="March 2015",SUMIF('TY Actual-Forecast'!$A:$A,'Top Flash'!A17,'TY Actual-Forecast'!$W:$W),IF($A$3="April 2015",SUMIF('TY Actual-Forecast'!$A:$A,'Top Flash'!A17,'TY Actual-Forecast'!$X:$X),IF($A$3="May 2015",SUMIF('TY Actual-Forecast'!$A:$A,'Top Flash'!A17,'TY Actual-Forecast'!$Y:$Y),IF($A$3="June 2015",SUMIF('TY Actual-Forecast'!$A:$A,'Top Flash'!A17,'TY Actual-Forecast'!$Z:$Z),IF($A$3="July 2015",SUMIF('TY Actual-Forecast'!$A:$A,'Top Flash'!A17,'TY Actual-Forecast'!$AA:$AA),IF($A$3="August 2015",SUMIF('TY Actual-Forecast'!$A:$A,'Top Flash'!A17,'TY Actual-Forecast'!$AB:$AB),IF($A$3="September 2015",SUMIF('TY Actual-Forecast'!$A:$A,'Top Flash'!A17,'TY Actual-Forecast'!$AC:$AC),IF($A$3="October 2015",SUMIF('TY Actual-Forecast'!$A:$A,'Top Flash'!A17,'TY Actual-Forecast'!$AD:$AD),IF($A$3="November 2015",SUMIF('TY Actual-Forecast'!$A:$A,'Top Flash'!A17,'TY Actual-Forecast'!$AE:$AE),IF($A$3="December 2015",SUMIF('TY Actual-Forecast'!$A:$A,'Top Flash'!A17,'TY Actual-Forecast'!$AF:$AF),0))))))))))))</f>
        <v>23138438.390000001</v>
      </c>
      <c r="K17" s="31">
        <f>IF($A$3="January 2015",SUMIF('TY Budget'!$A:$A,'Top Flash'!A17,'TY Budget'!$U:$U),IF($A$3="February 2015",SUMIF('TY Budget'!$A:$A,'Top Flash'!A17,'TY Budget'!$V:$V),IF($A$3="March 2015",SUMIF('TY Budget'!$A:$A,'Top Flash'!A17,'TY Budget'!$W:$W),IF($A$3="April 2015",SUMIF('TY Budget'!$A:$A,'Top Flash'!A17,'TY Budget'!$X:$X),IF($A$3="May 2015",SUMIF('TY Budget'!$A:$A,'Top Flash'!A17,'TY Budget'!$Y:$Y),IF($A$3="June 2015",SUMIF('TY Budget'!$A:$A,'Top Flash'!A17,'TY Budget'!$Z:$Z),IF($A$3="July 2015",SUMIF('TY Budget'!$A:$A,'Top Flash'!A17,'TY Budget'!$AA:$AA),IF($A$3="August 2015",SUMIF('TY Budget'!$A:$A,'Top Flash'!A17,'TY Budget'!$AB:$AB),IF($A$3="September 2015",SUMIF('TY Budget'!$A:$A,'Top Flash'!A17,'TY Budget'!$AC:$AC),IF($A$3="October 2015",SUMIF('TY Budget'!$A:$A,'Top Flash'!A17,'TY Budget'!$AD:$AD),IF($A$3="November 2015",SUMIF('TY Budget'!$A:$A,'Top Flash'!A17,'TY Budget'!$AE:$AE),IF($A$3="December 2015",SUMIF('TY Budget'!$A:$A,'Top Flash'!A17,'TY Budget'!$AF:$AF),0))))))))))))</f>
        <v>15641769.580033686</v>
      </c>
      <c r="L17" s="31">
        <f>IF($A$3="January 2015",SUMIF('LY Actual'!$A:$A,'Top Flash'!A17,'LY Actual'!$U:$U),IF($A$3="February 2015",SUMIF('LY Actual'!$A:$A,'Top Flash'!A17,'LY Actual'!$V:$V),IF($A$3="March 2015",SUMIF('LY Actual'!$A:$A,'Top Flash'!A17,'LY Actual'!$W:$W),IF($A$3="April 2015",SUMIF('LY Actual'!$A:$A,'Top Flash'!A17,'LY Actual'!$X:$X),IF($A$3="May 2015",SUMIF('LY Actual'!$A:$A,'Top Flash'!A17,'LY Actual'!$Y:$Y),IF($A$3="June 2015",SUMIF('LY Actual'!$A:$A,'Top Flash'!A17,'LY Actual'!$Z:$Z),IF($A$3="July 2015",SUMIF('LY Actual'!$A:$A,'Top Flash'!A17,'LY Actual'!$AA:$AA),IF($A$3="August 2015",SUMIF('LY Actual'!$A:$A,'Top Flash'!A17,'LY Actual'!$AB:$AB),IF($A$3="September 2015",SUMIF('LY Actual'!$A:$A,'Top Flash'!A17,'LY Actual'!$AC:$AC),IF($A$3="October 2015",SUMIF('LY Actual'!$A:$A,'Top Flash'!A17,'LY Actual'!$AD:$AD),IF($A$3="November 2015",SUMIF('LY Actual'!$A:$A,'Top Flash'!A17,'LY Actual'!$AE:$AE),IF($A$3="December 2015",SUMIF('LY Actual'!$A:$A,'Top Flash'!A17,'LY Actual'!$AF:$AF),0))))))))))))</f>
        <v>12439796.720000001</v>
      </c>
      <c r="M17" s="32">
        <f t="shared" si="5"/>
        <v>0.4792724232132673</v>
      </c>
      <c r="N17" s="32">
        <f t="shared" si="6"/>
        <v>0.86003348051494521</v>
      </c>
      <c r="O17" s="28"/>
      <c r="P17" s="31">
        <f>'TY Actual-Forecast'!O17</f>
        <v>23138438.390000001</v>
      </c>
      <c r="Q17" s="31">
        <f>'Variance Analysis'!J17</f>
        <v>22052599.510000002</v>
      </c>
      <c r="R17" s="31">
        <f>'TY Budget'!O17</f>
        <v>15641769.580033686</v>
      </c>
      <c r="S17" s="31">
        <f>'LY Actual'!O17</f>
        <v>12439796.720000001</v>
      </c>
      <c r="T17" s="32">
        <f t="shared" si="2"/>
        <v>0.4792724232132673</v>
      </c>
      <c r="U17" s="32">
        <f t="shared" si="7"/>
        <v>0.86003348051494521</v>
      </c>
    </row>
    <row r="18" spans="1:21" ht="15" customHeight="1">
      <c r="A18" s="29" t="s">
        <v>251</v>
      </c>
      <c r="B18" s="30"/>
      <c r="C18" s="31">
        <f>IF($A$3="January 2015",SUMIF('TY Actual-Forecast'!$A:$A,'Top Flash'!A18,'TY Actual-Forecast'!$C:$C),IF($A$3="February 2015",SUMIF('TY Actual-Forecast'!$A:$A,'Top Flash'!A18,'TY Actual-Forecast'!$D:$D),IF($A$3="March 2015",SUMIF('TY Actual-Forecast'!$A:$A,'Top Flash'!A18,'TY Actual-Forecast'!$E:$E),IF($A$3="April 2015",SUMIF('TY Actual-Forecast'!$A:$A,'Top Flash'!A18,'TY Actual-Forecast'!$F:$F),IF($A$3="May 2015",SUMIF('TY Actual-Forecast'!$A:$A,'Top Flash'!A18,'TY Actual-Forecast'!$G:$G),IF($A$3="June 2015",SUMIF('TY Actual-Forecast'!$A:$A,'Top Flash'!A18,'TY Actual-Forecast'!$H:$H),IF($A$3="July 2015",SUMIF('TY Actual-Forecast'!$A:$A,'Top Flash'!A18,'TY Actual-Forecast'!$I:$I),IF($A$3="August 2015",SUMIF('TY Actual-Forecast'!$A:$A,'Top Flash'!A18,'TY Actual-Forecast'!$J:$J),IF($A$3="September 2015",SUMIF('TY Actual-Forecast'!$A:$A,'Top Flash'!A18,'TY Actual-Forecast'!$K:$K),IF($A$3="October 2015",SUMIF('TY Actual-Forecast'!$A:$A,'Top Flash'!A18,'TY Actual-Forecast'!$L:$L),IF($A$3="November 2015",SUMIF('TY Actual-Forecast'!$A:$A,'Top Flash'!A18,'TY Actual-Forecast'!$M:$M),IF($A$3="December 2015",SUMIF('TY Actual-Forecast'!$A:$A,'Top Flash'!A18,'TY Actual-Forecast'!$N:$N),0))))))))))))</f>
        <v>294776.83</v>
      </c>
      <c r="D18" s="31">
        <f>'Variance Analysis'!D18</f>
        <v>253544.23387462451</v>
      </c>
      <c r="E18" s="31">
        <f>IF($A$3="January 2015",SUMIF('TY Budget'!$A:$A,'Top Flash'!A18,'TY Budget'!$C:$C),IF($A$3="February 2015",SUMIF('TY Budget'!$A:$A,'Top Flash'!A18,'TY Budget'!$D:$D),IF($A$3="March 2015",SUMIF('TY Budget'!$A:$A,'Top Flash'!A18,'TY Budget'!$E:$E),IF($A$3="April 2015",SUMIF('TY Budget'!$A:$A,'Top Flash'!A18,'TY Budget'!$F:$F),IF($A$3="May 2015",SUMIF('TY Budget'!$A:$A,'Top Flash'!A18,'TY Budget'!$G:$G),IF($A$3="June 2015",SUMIF('TY Budget'!$A:$A,'Top Flash'!A18,'TY Budget'!$H:$H),IF($A$3="July 2015",SUMIF('TY Budget'!$A:$A,'Top Flash'!A18,'TY Budget'!$I:$I),IF($A$3="August 2015",SUMIF('TY Budget'!$A:$A,'Top Flash'!A18,'TY Budget'!$J:$J),IF($A$3="September 2015",SUMIF('TY Budget'!$A:$A,'Top Flash'!A18,'TY Budget'!$K:$K),IF($A$3="October 2015",SUMIF('TY Budget'!$A:$A,'Top Flash'!A18,'TY Budget'!$L:$L),IF($A$3="November 2015",SUMIF('TY Budget'!$A:$A,'Top Flash'!A18,'TY Budget'!$M:$M),IF($A$3="December 2015",SUMIF('TY Budget'!$A:$A,'Top Flash'!A18,'TY Budget'!$N:$N),0))))))))))))</f>
        <v>253544.23387462451</v>
      </c>
      <c r="F18" s="31">
        <f>IF($A$3="January 2015",SUMIF('LY Actual'!$A:$A,'Top Flash'!A18,'LY Actual'!$C:$C),IF($A$3="February 2015",SUMIF('LY Actual'!$A:$A,'Top Flash'!A18,'LY Actual'!$D:$D),IF($A$3="March 2015",SUMIF('LY Actual'!$A:$A,'Top Flash'!A18,'LY Actual'!$E:$E),IF($A$3="April 2015",SUMIF('LY Actual'!$A:$A,'Top Flash'!A18,'LY Actual'!$F:$F),IF($A$3="May 2015",SUMIF('LY Actual'!$A:$A,'Top Flash'!A18,'LY Actual'!$G:$G),IF($A$3="June 2015",SUMIF('LY Actual'!$A:$A,'Top Flash'!A18,'LY Actual'!$H:$H),IF($A$3="July 2015",SUMIF('LY Actual'!$A:$A,'Top Flash'!A18,'LY Actual'!$I:$I),IF($A$3="August 2015",SUMIF('LY Actual'!$A:$A,'Top Flash'!A18,'LY Actual'!$J:$J),IF($A$3="September 2015",SUMIF('LY Actual'!$A:$A,'Top Flash'!A18,'LY Actual'!$K:$K),IF($A$3="October 2015",SUMIF('LY Actual'!$A:$A,'Top Flash'!A18,'LY Actual'!$L:$L),IF($A$3="November 2015",SUMIF('LY Actual'!$A:$A,'Top Flash'!A18,'LY Actual'!$M:$M),IF($A$3="December 2015",SUMIF('LY Actual'!$A:$A,'Top Flash'!A18,'LY Actual'!$N:$N),0))))))))))))</f>
        <v>253205.65000000002</v>
      </c>
      <c r="G18" s="32">
        <f t="shared" si="3"/>
        <v>0.16262486231796808</v>
      </c>
      <c r="H18" s="32">
        <f t="shared" si="4"/>
        <v>0.16417951179209464</v>
      </c>
      <c r="I18" s="27"/>
      <c r="J18" s="31">
        <f>IF($A$3="January 2015",SUMIF('TY Actual-Forecast'!$A:$A,'Top Flash'!A18,'TY Actual-Forecast'!$U:$U),IF($A$3="February 2015",SUMIF('TY Actual-Forecast'!$A:$A,'Top Flash'!A18,'TY Actual-Forecast'!$V:$V),IF($A$3="March 2015",SUMIF('TY Actual-Forecast'!$A:$A,'Top Flash'!A18,'TY Actual-Forecast'!$W:$W),IF($A$3="April 2015",SUMIF('TY Actual-Forecast'!$A:$A,'Top Flash'!A18,'TY Actual-Forecast'!$X:$X),IF($A$3="May 2015",SUMIF('TY Actual-Forecast'!$A:$A,'Top Flash'!A18,'TY Actual-Forecast'!$Y:$Y),IF($A$3="June 2015",SUMIF('TY Actual-Forecast'!$A:$A,'Top Flash'!A18,'TY Actual-Forecast'!$Z:$Z),IF($A$3="July 2015",SUMIF('TY Actual-Forecast'!$A:$A,'Top Flash'!A18,'TY Actual-Forecast'!$AA:$AA),IF($A$3="August 2015",SUMIF('TY Actual-Forecast'!$A:$A,'Top Flash'!A18,'TY Actual-Forecast'!$AB:$AB),IF($A$3="September 2015",SUMIF('TY Actual-Forecast'!$A:$A,'Top Flash'!A18,'TY Actual-Forecast'!$AC:$AC),IF($A$3="October 2015",SUMIF('TY Actual-Forecast'!$A:$A,'Top Flash'!A18,'TY Actual-Forecast'!$AD:$AD),IF($A$3="November 2015",SUMIF('TY Actual-Forecast'!$A:$A,'Top Flash'!A18,'TY Actual-Forecast'!$AE:$AE),IF($A$3="December 2015",SUMIF('TY Actual-Forecast'!$A:$A,'Top Flash'!A18,'TY Actual-Forecast'!$AF:$AF),0))))))))))))</f>
        <v>2374081.0799999996</v>
      </c>
      <c r="K18" s="31">
        <f>IF($A$3="January 2015",SUMIF('TY Budget'!$A:$A,'Top Flash'!A18,'TY Budget'!$U:$U),IF($A$3="February 2015",SUMIF('TY Budget'!$A:$A,'Top Flash'!A18,'TY Budget'!$V:$V),IF($A$3="March 2015",SUMIF('TY Budget'!$A:$A,'Top Flash'!A18,'TY Budget'!$W:$W),IF($A$3="April 2015",SUMIF('TY Budget'!$A:$A,'Top Flash'!A18,'TY Budget'!$X:$X),IF($A$3="May 2015",SUMIF('TY Budget'!$A:$A,'Top Flash'!A18,'TY Budget'!$Y:$Y),IF($A$3="June 2015",SUMIF('TY Budget'!$A:$A,'Top Flash'!A18,'TY Budget'!$Z:$Z),IF($A$3="July 2015",SUMIF('TY Budget'!$A:$A,'Top Flash'!A18,'TY Budget'!$AA:$AA),IF($A$3="August 2015",SUMIF('TY Budget'!$A:$A,'Top Flash'!A18,'TY Budget'!$AB:$AB),IF($A$3="September 2015",SUMIF('TY Budget'!$A:$A,'Top Flash'!A18,'TY Budget'!$AC:$AC),IF($A$3="October 2015",SUMIF('TY Budget'!$A:$A,'Top Flash'!A18,'TY Budget'!$AD:$AD),IF($A$3="November 2015",SUMIF('TY Budget'!$A:$A,'Top Flash'!A18,'TY Budget'!$AE:$AE),IF($A$3="December 2015",SUMIF('TY Budget'!$A:$A,'Top Flash'!A18,'TY Budget'!$AF:$AF),0))))))))))))</f>
        <v>2220377.9625211442</v>
      </c>
      <c r="L18" s="31">
        <f>IF($A$3="January 2015",SUMIF('LY Actual'!$A:$A,'Top Flash'!A18,'LY Actual'!$U:$U),IF($A$3="February 2015",SUMIF('LY Actual'!$A:$A,'Top Flash'!A18,'LY Actual'!$V:$V),IF($A$3="March 2015",SUMIF('LY Actual'!$A:$A,'Top Flash'!A18,'LY Actual'!$W:$W),IF($A$3="April 2015",SUMIF('LY Actual'!$A:$A,'Top Flash'!A18,'LY Actual'!$X:$X),IF($A$3="May 2015",SUMIF('LY Actual'!$A:$A,'Top Flash'!A18,'LY Actual'!$Y:$Y),IF($A$3="June 2015",SUMIF('LY Actual'!$A:$A,'Top Flash'!A18,'LY Actual'!$Z:$Z),IF($A$3="July 2015",SUMIF('LY Actual'!$A:$A,'Top Flash'!A18,'LY Actual'!$AA:$AA),IF($A$3="August 2015",SUMIF('LY Actual'!$A:$A,'Top Flash'!A18,'LY Actual'!$AB:$AB),IF($A$3="September 2015",SUMIF('LY Actual'!$A:$A,'Top Flash'!A18,'LY Actual'!$AC:$AC),IF($A$3="October 2015",SUMIF('LY Actual'!$A:$A,'Top Flash'!A18,'LY Actual'!$AD:$AD),IF($A$3="November 2015",SUMIF('LY Actual'!$A:$A,'Top Flash'!A18,'LY Actual'!$AE:$AE),IF($A$3="December 2015",SUMIF('LY Actual'!$A:$A,'Top Flash'!A18,'LY Actual'!$AF:$AF),0))))))))))))</f>
        <v>1854153.8059999999</v>
      </c>
      <c r="M18" s="32">
        <f t="shared" si="5"/>
        <v>6.9223852908507577E-2</v>
      </c>
      <c r="N18" s="32">
        <f t="shared" si="6"/>
        <v>0.28041216015495957</v>
      </c>
      <c r="O18" s="28"/>
      <c r="P18" s="31">
        <f>'TY Actual-Forecast'!O18</f>
        <v>2374081.0799999996</v>
      </c>
      <c r="Q18" s="31">
        <f>'Variance Analysis'!J18</f>
        <v>2332848.4838746241</v>
      </c>
      <c r="R18" s="31">
        <f>'TY Budget'!O18</f>
        <v>2220377.9625211442</v>
      </c>
      <c r="S18" s="31">
        <f>'LY Actual'!O18</f>
        <v>1854153.8059999999</v>
      </c>
      <c r="T18" s="32">
        <f t="shared" si="2"/>
        <v>6.9223852908507577E-2</v>
      </c>
      <c r="U18" s="32">
        <f t="shared" si="7"/>
        <v>0.28041216015495957</v>
      </c>
    </row>
    <row r="19" spans="1:21" ht="15.75" customHeight="1">
      <c r="A19" s="29" t="s">
        <v>178</v>
      </c>
      <c r="B19" s="30"/>
      <c r="C19" s="31">
        <f>IF($A$3="January 2015",SUMIF('TY Actual-Forecast'!$A:$A,'Top Flash'!A19,'TY Actual-Forecast'!$C:$C),IF($A$3="February 2015",SUMIF('TY Actual-Forecast'!$A:$A,'Top Flash'!A19,'TY Actual-Forecast'!$D:$D),IF($A$3="March 2015",SUMIF('TY Actual-Forecast'!$A:$A,'Top Flash'!A19,'TY Actual-Forecast'!$E:$E),IF($A$3="April 2015",SUMIF('TY Actual-Forecast'!$A:$A,'Top Flash'!A19,'TY Actual-Forecast'!$F:$F),IF($A$3="May 2015",SUMIF('TY Actual-Forecast'!$A:$A,'Top Flash'!A19,'TY Actual-Forecast'!$G:$G),IF($A$3="June 2015",SUMIF('TY Actual-Forecast'!$A:$A,'Top Flash'!A19,'TY Actual-Forecast'!$H:$H),IF($A$3="July 2015",SUMIF('TY Actual-Forecast'!$A:$A,'Top Flash'!A19,'TY Actual-Forecast'!$I:$I),IF($A$3="August 2015",SUMIF('TY Actual-Forecast'!$A:$A,'Top Flash'!A19,'TY Actual-Forecast'!$J:$J),IF($A$3="September 2015",SUMIF('TY Actual-Forecast'!$A:$A,'Top Flash'!A19,'TY Actual-Forecast'!$K:$K),IF($A$3="October 2015",SUMIF('TY Actual-Forecast'!$A:$A,'Top Flash'!A19,'TY Actual-Forecast'!$L:$L),IF($A$3="November 2015",SUMIF('TY Actual-Forecast'!$A:$A,'Top Flash'!A19,'TY Actual-Forecast'!$M:$M),IF($A$3="December 2015",SUMIF('TY Actual-Forecast'!$A:$A,'Top Flash'!A19,'TY Actual-Forecast'!$N:$N),0))))))))))))</f>
        <v>910525.94</v>
      </c>
      <c r="D19" s="31">
        <f>'Variance Analysis'!D19</f>
        <v>1108805.3567888751</v>
      </c>
      <c r="E19" s="31">
        <f>IF($A$3="January 2015",SUMIF('TY Budget'!$A:$A,'Top Flash'!A19,'TY Budget'!$C:$C),IF($A$3="February 2015",SUMIF('TY Budget'!$A:$A,'Top Flash'!A19,'TY Budget'!$D:$D),IF($A$3="March 2015",SUMIF('TY Budget'!$A:$A,'Top Flash'!A19,'TY Budget'!$E:$E),IF($A$3="April 2015",SUMIF('TY Budget'!$A:$A,'Top Flash'!A19,'TY Budget'!$F:$F),IF($A$3="May 2015",SUMIF('TY Budget'!$A:$A,'Top Flash'!A19,'TY Budget'!$G:$G),IF($A$3="June 2015",SUMIF('TY Budget'!$A:$A,'Top Flash'!A19,'TY Budget'!$H:$H),IF($A$3="July 2015",SUMIF('TY Budget'!$A:$A,'Top Flash'!A19,'TY Budget'!$I:$I),IF($A$3="August 2015",SUMIF('TY Budget'!$A:$A,'Top Flash'!A19,'TY Budget'!$J:$J),IF($A$3="September 2015",SUMIF('TY Budget'!$A:$A,'Top Flash'!A19,'TY Budget'!$K:$K),IF($A$3="October 2015",SUMIF('TY Budget'!$A:$A,'Top Flash'!A19,'TY Budget'!$L:$L),IF($A$3="November 2015",SUMIF('TY Budget'!$A:$A,'Top Flash'!A19,'TY Budget'!$M:$M),IF($A$3="December 2015",SUMIF('TY Budget'!$A:$A,'Top Flash'!A19,'TY Budget'!$N:$N),0))))))))))))</f>
        <v>1108805.3567888751</v>
      </c>
      <c r="F19" s="31">
        <f>IF($A$3="January 2015",SUMIF('LY Actual'!$A:$A,'Top Flash'!A19,'LY Actual'!$C:$C),IF($A$3="February 2015",SUMIF('LY Actual'!$A:$A,'Top Flash'!A19,'LY Actual'!$D:$D),IF($A$3="March 2015",SUMIF('LY Actual'!$A:$A,'Top Flash'!A19,'LY Actual'!$E:$E),IF($A$3="April 2015",SUMIF('LY Actual'!$A:$A,'Top Flash'!A19,'LY Actual'!$F:$F),IF($A$3="May 2015",SUMIF('LY Actual'!$A:$A,'Top Flash'!A19,'LY Actual'!$G:$G),IF($A$3="June 2015",SUMIF('LY Actual'!$A:$A,'Top Flash'!A19,'LY Actual'!$H:$H),IF($A$3="July 2015",SUMIF('LY Actual'!$A:$A,'Top Flash'!A19,'LY Actual'!$I:$I),IF($A$3="August 2015",SUMIF('LY Actual'!$A:$A,'Top Flash'!A19,'LY Actual'!$J:$J),IF($A$3="September 2015",SUMIF('LY Actual'!$A:$A,'Top Flash'!A19,'LY Actual'!$K:$K),IF($A$3="October 2015",SUMIF('LY Actual'!$A:$A,'Top Flash'!A19,'LY Actual'!$L:$L),IF($A$3="November 2015",SUMIF('LY Actual'!$A:$A,'Top Flash'!A19,'LY Actual'!$M:$M),IF($A$3="December 2015",SUMIF('LY Actual'!$A:$A,'Top Flash'!A19,'LY Actual'!$N:$N),0))))))))))))</f>
        <v>1075996.43</v>
      </c>
      <c r="G19" s="32">
        <f t="shared" si="3"/>
        <v>-0.17882256391969165</v>
      </c>
      <c r="H19" s="32">
        <f t="shared" si="4"/>
        <v>-0.1537834935009961</v>
      </c>
      <c r="I19" s="27"/>
      <c r="J19" s="31">
        <f>IF($A$3="January 2015",SUMIF('TY Actual-Forecast'!$A:$A,'Top Flash'!A19,'TY Actual-Forecast'!$U:$U),IF($A$3="February 2015",SUMIF('TY Actual-Forecast'!$A:$A,'Top Flash'!A19,'TY Actual-Forecast'!$V:$V),IF($A$3="March 2015",SUMIF('TY Actual-Forecast'!$A:$A,'Top Flash'!A19,'TY Actual-Forecast'!$W:$W),IF($A$3="April 2015",SUMIF('TY Actual-Forecast'!$A:$A,'Top Flash'!A19,'TY Actual-Forecast'!$X:$X),IF($A$3="May 2015",SUMIF('TY Actual-Forecast'!$A:$A,'Top Flash'!A19,'TY Actual-Forecast'!$Y:$Y),IF($A$3="June 2015",SUMIF('TY Actual-Forecast'!$A:$A,'Top Flash'!A19,'TY Actual-Forecast'!$Z:$Z),IF($A$3="July 2015",SUMIF('TY Actual-Forecast'!$A:$A,'Top Flash'!A19,'TY Actual-Forecast'!$AA:$AA),IF($A$3="August 2015",SUMIF('TY Actual-Forecast'!$A:$A,'Top Flash'!A19,'TY Actual-Forecast'!$AB:$AB),IF($A$3="September 2015",SUMIF('TY Actual-Forecast'!$A:$A,'Top Flash'!A19,'TY Actual-Forecast'!$AC:$AC),IF($A$3="October 2015",SUMIF('TY Actual-Forecast'!$A:$A,'Top Flash'!A19,'TY Actual-Forecast'!$AD:$AD),IF($A$3="November 2015",SUMIF('TY Actual-Forecast'!$A:$A,'Top Flash'!A19,'TY Actual-Forecast'!$AE:$AE),IF($A$3="December 2015",SUMIF('TY Actual-Forecast'!$A:$A,'Top Flash'!A19,'TY Actual-Forecast'!$AF:$AF),0))))))))))))</f>
        <v>13550162.239999998</v>
      </c>
      <c r="K19" s="31">
        <f>IF($A$3="January 2015",SUMIF('TY Budget'!$A:$A,'Top Flash'!A19,'TY Budget'!$U:$U),IF($A$3="February 2015",SUMIF('TY Budget'!$A:$A,'Top Flash'!A19,'TY Budget'!$V:$V),IF($A$3="March 2015",SUMIF('TY Budget'!$A:$A,'Top Flash'!A19,'TY Budget'!$W:$W),IF($A$3="April 2015",SUMIF('TY Budget'!$A:$A,'Top Flash'!A19,'TY Budget'!$X:$X),IF($A$3="May 2015",SUMIF('TY Budget'!$A:$A,'Top Flash'!A19,'TY Budget'!$Y:$Y),IF($A$3="June 2015",SUMIF('TY Budget'!$A:$A,'Top Flash'!A19,'TY Budget'!$Z:$Z),IF($A$3="July 2015",SUMIF('TY Budget'!$A:$A,'Top Flash'!A19,'TY Budget'!$AA:$AA),IF($A$3="August 2015",SUMIF('TY Budget'!$A:$A,'Top Flash'!A19,'TY Budget'!$AB:$AB),IF($A$3="September 2015",SUMIF('TY Budget'!$A:$A,'Top Flash'!A19,'TY Budget'!$AC:$AC),IF($A$3="October 2015",SUMIF('TY Budget'!$A:$A,'Top Flash'!A19,'TY Budget'!$AD:$AD),IF($A$3="November 2015",SUMIF('TY Budget'!$A:$A,'Top Flash'!A19,'TY Budget'!$AE:$AE),IF($A$3="December 2015",SUMIF('TY Budget'!$A:$A,'Top Flash'!A19,'TY Budget'!$AF:$AF),0))))))))))))</f>
        <v>12778813.001466502</v>
      </c>
      <c r="L19" s="31">
        <f>IF($A$3="January 2015",SUMIF('LY Actual'!$A:$A,'Top Flash'!A19,'LY Actual'!$U:$U),IF($A$3="February 2015",SUMIF('LY Actual'!$A:$A,'Top Flash'!A19,'LY Actual'!$V:$V),IF($A$3="March 2015",SUMIF('LY Actual'!$A:$A,'Top Flash'!A19,'LY Actual'!$W:$W),IF($A$3="April 2015",SUMIF('LY Actual'!$A:$A,'Top Flash'!A19,'LY Actual'!$X:$X),IF($A$3="May 2015",SUMIF('LY Actual'!$A:$A,'Top Flash'!A19,'LY Actual'!$Y:$Y),IF($A$3="June 2015",SUMIF('LY Actual'!$A:$A,'Top Flash'!A19,'LY Actual'!$Z:$Z),IF($A$3="July 2015",SUMIF('LY Actual'!$A:$A,'Top Flash'!A19,'LY Actual'!$AA:$AA),IF($A$3="August 2015",SUMIF('LY Actual'!$A:$A,'Top Flash'!A19,'LY Actual'!$AB:$AB),IF($A$3="September 2015",SUMIF('LY Actual'!$A:$A,'Top Flash'!A19,'LY Actual'!$AC:$AC),IF($A$3="October 2015",SUMIF('LY Actual'!$A:$A,'Top Flash'!A19,'LY Actual'!$AD:$AD),IF($A$3="November 2015",SUMIF('LY Actual'!$A:$A,'Top Flash'!A19,'LY Actual'!$AE:$AE),IF($A$3="December 2015",SUMIF('LY Actual'!$A:$A,'Top Flash'!A19,'LY Actual'!$AF:$AF),0))))))))))))</f>
        <v>12606795.120000001</v>
      </c>
      <c r="M19" s="32">
        <f t="shared" si="5"/>
        <v>6.0361571802089641E-2</v>
      </c>
      <c r="N19" s="32">
        <f t="shared" si="6"/>
        <v>7.4830050859111388E-2</v>
      </c>
      <c r="O19" s="28"/>
      <c r="P19" s="31">
        <f>'TY Actual-Forecast'!O19</f>
        <v>13550162.239999998</v>
      </c>
      <c r="Q19" s="31">
        <f>'Variance Analysis'!J19</f>
        <v>13748441.656788874</v>
      </c>
      <c r="R19" s="31">
        <f>'TY Budget'!O19</f>
        <v>12778813.001466502</v>
      </c>
      <c r="S19" s="31">
        <f>'LY Actual'!O19</f>
        <v>12606795.120000001</v>
      </c>
      <c r="T19" s="32">
        <f t="shared" si="2"/>
        <v>6.0361571802089641E-2</v>
      </c>
      <c r="U19" s="32">
        <f t="shared" si="7"/>
        <v>7.4830050859111388E-2</v>
      </c>
    </row>
    <row r="20" spans="1:21" ht="15" customHeight="1">
      <c r="C20" s="33"/>
      <c r="D20" s="33"/>
      <c r="E20" s="33"/>
      <c r="F20" s="33"/>
      <c r="G20" s="33"/>
      <c r="H20" s="34"/>
      <c r="I20" s="27"/>
      <c r="J20" s="33"/>
      <c r="K20" s="33"/>
      <c r="L20" s="33"/>
      <c r="M20" s="33"/>
      <c r="N20" s="34"/>
      <c r="O20" s="28"/>
      <c r="P20" s="33"/>
      <c r="Q20" s="33"/>
      <c r="R20" s="33"/>
      <c r="S20" s="33"/>
      <c r="T20" s="33"/>
      <c r="U20" s="34"/>
    </row>
    <row r="21" spans="1:21" ht="15" customHeight="1">
      <c r="A21" s="18" t="s">
        <v>189</v>
      </c>
      <c r="B21" s="18"/>
      <c r="C21" s="20"/>
      <c r="D21" s="20"/>
      <c r="E21" s="20"/>
      <c r="F21" s="20"/>
      <c r="G21" s="26"/>
      <c r="H21" s="26"/>
      <c r="I21" s="27"/>
      <c r="J21" s="20"/>
      <c r="K21" s="20"/>
      <c r="L21" s="20"/>
      <c r="M21" s="26"/>
      <c r="N21" s="26"/>
      <c r="O21" s="28"/>
      <c r="P21" s="20"/>
      <c r="Q21" s="20"/>
      <c r="R21" s="20"/>
      <c r="S21" s="20"/>
      <c r="T21" s="26"/>
      <c r="U21" s="26"/>
    </row>
    <row r="22" spans="1:21" ht="15" customHeight="1">
      <c r="A22" s="29" t="s">
        <v>19</v>
      </c>
      <c r="B22" s="35"/>
      <c r="C22" s="31">
        <f>IF($A$3="January 2015",SUMIF('TY Actual-Forecast'!$A:$A,'Top Flash'!A22,'TY Actual-Forecast'!$C:$C),IF($A$3="February 2015",SUMIF('TY Actual-Forecast'!$A:$A,'Top Flash'!A22,'TY Actual-Forecast'!$D:$D),IF($A$3="March 2015",SUMIF('TY Actual-Forecast'!$A:$A,'Top Flash'!A22,'TY Actual-Forecast'!$E:$E),IF($A$3="April 2015",SUMIF('TY Actual-Forecast'!$A:$A,'Top Flash'!A22,'TY Actual-Forecast'!$F:$F),IF($A$3="May 2015",SUMIF('TY Actual-Forecast'!$A:$A,'Top Flash'!A22,'TY Actual-Forecast'!$G:$G),IF($A$3="June 2015",SUMIF('TY Actual-Forecast'!$A:$A,'Top Flash'!A22,'TY Actual-Forecast'!$H:$H),IF($A$3="July 2015",SUMIF('TY Actual-Forecast'!$A:$A,'Top Flash'!A22,'TY Actual-Forecast'!$I:$I),IF($A$3="August 2015",SUMIF('TY Actual-Forecast'!$A:$A,'Top Flash'!A22,'TY Actual-Forecast'!$J:$J),IF($A$3="September 2015",SUMIF('TY Actual-Forecast'!$A:$A,'Top Flash'!A22,'TY Actual-Forecast'!$K:$K),IF($A$3="October 2015",SUMIF('TY Actual-Forecast'!$A:$A,'Top Flash'!A22,'TY Actual-Forecast'!$L:$L),IF($A$3="November 2015",SUMIF('TY Actual-Forecast'!$A:$A,'Top Flash'!A22,'TY Actual-Forecast'!$M:$M),IF($A$3="December 2015",SUMIF('TY Actual-Forecast'!$A:$A,'Top Flash'!A22,'TY Actual-Forecast'!$N:$N),0))))))))))))</f>
        <v>5868900.5700000003</v>
      </c>
      <c r="D22" s="31">
        <f>'Variance Analysis'!D22</f>
        <v>4387748</v>
      </c>
      <c r="E22" s="31">
        <f>IF($A$3="January 2015",SUMIF('TY Budget'!$A:$A,'Top Flash'!A22,'TY Budget'!$C:$C),IF($A$3="February 2015",SUMIF('TY Budget'!$A:$A,'Top Flash'!A22,'TY Budget'!$D:$D),IF($A$3="March 2015",SUMIF('TY Budget'!$A:$A,'Top Flash'!A22,'TY Budget'!$E:$E),IF($A$3="April 2015",SUMIF('TY Budget'!$A:$A,'Top Flash'!A22,'TY Budget'!$F:$F),IF($A$3="May 2015",SUMIF('TY Budget'!$A:$A,'Top Flash'!A22,'TY Budget'!$G:$G),IF($A$3="June 2015",SUMIF('TY Budget'!$A:$A,'Top Flash'!A22,'TY Budget'!$H:$H),IF($A$3="July 2015",SUMIF('TY Budget'!$A:$A,'Top Flash'!A22,'TY Budget'!$I:$I),IF($A$3="August 2015",SUMIF('TY Budget'!$A:$A,'Top Flash'!A22,'TY Budget'!$J:$J),IF($A$3="September 2015",SUMIF('TY Budget'!$A:$A,'Top Flash'!A22,'TY Budget'!$K:$K),IF($A$3="October 2015",SUMIF('TY Budget'!$A:$A,'Top Flash'!A22,'TY Budget'!$L:$L),IF($A$3="November 2015",SUMIF('TY Budget'!$A:$A,'Top Flash'!A22,'TY Budget'!$M:$M),IF($A$3="December 2015",SUMIF('TY Budget'!$A:$A,'Top Flash'!A22,'TY Budget'!$N:$N),0))))))))))))</f>
        <v>4497472.58</v>
      </c>
      <c r="F22" s="31">
        <f>IF($A$3="January 2015",SUMIF('LY Actual'!$A:$A,'Top Flash'!A22,'LY Actual'!$C:$C),IF($A$3="February 2015",SUMIF('LY Actual'!$A:$A,'Top Flash'!A22,'LY Actual'!$D:$D),IF($A$3="March 2015",SUMIF('LY Actual'!$A:$A,'Top Flash'!A22,'LY Actual'!$E:$E),IF($A$3="April 2015",SUMIF('LY Actual'!$A:$A,'Top Flash'!A22,'LY Actual'!$F:$F),IF($A$3="May 2015",SUMIF('LY Actual'!$A:$A,'Top Flash'!A22,'LY Actual'!$G:$G),IF($A$3="June 2015",SUMIF('LY Actual'!$A:$A,'Top Flash'!A22,'LY Actual'!$H:$H),IF($A$3="July 2015",SUMIF('LY Actual'!$A:$A,'Top Flash'!A22,'LY Actual'!$I:$I),IF($A$3="August 2015",SUMIF('LY Actual'!$A:$A,'Top Flash'!A22,'LY Actual'!$J:$J),IF($A$3="September 2015",SUMIF('LY Actual'!$A:$A,'Top Flash'!A22,'LY Actual'!$K:$K),IF($A$3="October 2015",SUMIF('LY Actual'!$A:$A,'Top Flash'!A22,'LY Actual'!$L:$L),IF($A$3="November 2015",SUMIF('LY Actual'!$A:$A,'Top Flash'!A22,'LY Actual'!$M:$M),IF($A$3="December 2015",SUMIF('LY Actual'!$A:$A,'Top Flash'!A22,'LY Actual'!$N:$N),0))))))))))))</f>
        <v>4186380.1900000004</v>
      </c>
      <c r="G22" s="32">
        <f>-IFERROR((+C22-E22)/E22,)</f>
        <v>-0.30493304085913964</v>
      </c>
      <c r="H22" s="32">
        <f>-IFERROR((+C22-F22)/F22,)</f>
        <v>-0.4019033875659534</v>
      </c>
      <c r="I22" s="27"/>
      <c r="J22" s="31">
        <f>IF($A$3="January 2015",SUMIF('TY Actual-Forecast'!$A:$A,'Top Flash'!A22,'TY Actual-Forecast'!$U:$U),IF($A$3="February 2015",SUMIF('TY Actual-Forecast'!$A:$A,'Top Flash'!A22,'TY Actual-Forecast'!$V:$V),IF($A$3="March 2015",SUMIF('TY Actual-Forecast'!$A:$A,'Top Flash'!A22,'TY Actual-Forecast'!$W:$W),IF($A$3="April 2015",SUMIF('TY Actual-Forecast'!$A:$A,'Top Flash'!A22,'TY Actual-Forecast'!$X:$X),IF($A$3="May 2015",SUMIF('TY Actual-Forecast'!$A:$A,'Top Flash'!A22,'TY Actual-Forecast'!$Y:$Y),IF($A$3="June 2015",SUMIF('TY Actual-Forecast'!$A:$A,'Top Flash'!A22,'TY Actual-Forecast'!$Z:$Z),IF($A$3="July 2015",SUMIF('TY Actual-Forecast'!$A:$A,'Top Flash'!A22,'TY Actual-Forecast'!$AA:$AA),IF($A$3="August 2015",SUMIF('TY Actual-Forecast'!$A:$A,'Top Flash'!A22,'TY Actual-Forecast'!$AB:$AB),IF($A$3="September 2015",SUMIF('TY Actual-Forecast'!$A:$A,'Top Flash'!A22,'TY Actual-Forecast'!$AC:$AC),IF($A$3="October 2015",SUMIF('TY Actual-Forecast'!$A:$A,'Top Flash'!A22,'TY Actual-Forecast'!$AD:$AD),IF($A$3="November 2015",SUMIF('TY Actual-Forecast'!$A:$A,'Top Flash'!A22,'TY Actual-Forecast'!$AE:$AE),IF($A$3="December 2015",SUMIF('TY Actual-Forecast'!$A:$A,'Top Flash'!A22,'TY Actual-Forecast'!$AF:$AF),0))))))))))))</f>
        <v>45100461.600000001</v>
      </c>
      <c r="K22" s="31">
        <f>IF($A$3="January 2015",SUMIF('TY Budget'!$A:$A,'Top Flash'!A22,'TY Budget'!$U:$U),IF($A$3="February 2015",SUMIF('TY Budget'!$A:$A,'Top Flash'!A22,'TY Budget'!$V:$V),IF($A$3="March 2015",SUMIF('TY Budget'!$A:$A,'Top Flash'!A22,'TY Budget'!$W:$W),IF($A$3="April 2015",SUMIF('TY Budget'!$A:$A,'Top Flash'!A22,'TY Budget'!$X:$X),IF($A$3="May 2015",SUMIF('TY Budget'!$A:$A,'Top Flash'!A22,'TY Budget'!$Y:$Y),IF($A$3="June 2015",SUMIF('TY Budget'!$A:$A,'Top Flash'!A22,'TY Budget'!$Z:$Z),IF($A$3="July 2015",SUMIF('TY Budget'!$A:$A,'Top Flash'!A22,'TY Budget'!$AA:$AA),IF($A$3="August 2015",SUMIF('TY Budget'!$A:$A,'Top Flash'!A22,'TY Budget'!$AB:$AB),IF($A$3="September 2015",SUMIF('TY Budget'!$A:$A,'Top Flash'!A22,'TY Budget'!$AC:$AC),IF($A$3="October 2015",SUMIF('TY Budget'!$A:$A,'Top Flash'!A22,'TY Budget'!$AD:$AD),IF($A$3="November 2015",SUMIF('TY Budget'!$A:$A,'Top Flash'!A22,'TY Budget'!$AE:$AE),IF($A$3="December 2015",SUMIF('TY Budget'!$A:$A,'Top Flash'!A22,'TY Budget'!$AF:$AF),0))))))))))))</f>
        <v>44032685.515742466</v>
      </c>
      <c r="L22" s="31">
        <f>IF($A$3="January 2015",SUMIF('LY Actual'!$A:$A,'Top Flash'!A22,'LY Actual'!$U:$U),IF($A$3="February 2015",SUMIF('LY Actual'!$A:$A,'Top Flash'!A22,'LY Actual'!$V:$V),IF($A$3="March 2015",SUMIF('LY Actual'!$A:$A,'Top Flash'!A22,'LY Actual'!$W:$W),IF($A$3="April 2015",SUMIF('LY Actual'!$A:$A,'Top Flash'!A22,'LY Actual'!$X:$X),IF($A$3="May 2015",SUMIF('LY Actual'!$A:$A,'Top Flash'!A22,'LY Actual'!$Y:$Y),IF($A$3="June 2015",SUMIF('LY Actual'!$A:$A,'Top Flash'!A22,'LY Actual'!$Z:$Z),IF($A$3="July 2015",SUMIF('LY Actual'!$A:$A,'Top Flash'!A22,'LY Actual'!$AA:$AA),IF($A$3="August 2015",SUMIF('LY Actual'!$A:$A,'Top Flash'!A22,'LY Actual'!$AB:$AB),IF($A$3="September 2015",SUMIF('LY Actual'!$A:$A,'Top Flash'!A22,'LY Actual'!$AC:$AC),IF($A$3="October 2015",SUMIF('LY Actual'!$A:$A,'Top Flash'!A22,'LY Actual'!$AD:$AD),IF($A$3="November 2015",SUMIF('LY Actual'!$A:$A,'Top Flash'!A22,'LY Actual'!$AE:$AE),IF($A$3="December 2015",SUMIF('LY Actual'!$A:$A,'Top Flash'!A22,'LY Actual'!$AF:$AF),0))))))))))))</f>
        <v>36439792.746666662</v>
      </c>
      <c r="M22" s="32">
        <f t="shared" ref="M22:N29" si="9">-IFERROR((+$J22-K22)/K22,)</f>
        <v>-2.42496243813198E-2</v>
      </c>
      <c r="N22" s="32">
        <f t="shared" si="9"/>
        <v>-0.23767063971914537</v>
      </c>
      <c r="O22" s="28"/>
      <c r="P22" s="31">
        <f>'TY Actual-Forecast'!O22</f>
        <v>45100461.600000001</v>
      </c>
      <c r="Q22" s="31">
        <f>'Variance Analysis'!J22</f>
        <v>43548792.649999999</v>
      </c>
      <c r="R22" s="31">
        <f>'TY Budget'!O22</f>
        <v>44032685.515742466</v>
      </c>
      <c r="S22" s="31">
        <f>'LY Actual'!O22</f>
        <v>36439792.746666662</v>
      </c>
      <c r="T22" s="32">
        <f>-IFERROR((+P22-R22)/R22,)</f>
        <v>-2.42496243813198E-2</v>
      </c>
      <c r="U22" s="32">
        <f>-IFERROR((+P22-S22)/S22,)</f>
        <v>-0.23767063971914537</v>
      </c>
    </row>
    <row r="23" spans="1:21" ht="15" customHeight="1">
      <c r="A23" s="29" t="s">
        <v>186</v>
      </c>
      <c r="B23" s="36"/>
      <c r="C23" s="31">
        <f>SUBTOTAL(9,C24:C25)</f>
        <v>14673774.300000001</v>
      </c>
      <c r="D23" s="31">
        <f>SUBTOTAL(9,D24:D25)</f>
        <v>13490424.079999998</v>
      </c>
      <c r="E23" s="31">
        <f>SUBTOTAL(9,E24:E25)</f>
        <v>13912128.23</v>
      </c>
      <c r="F23" s="31">
        <f>SUBTOTAL(9,F24:F25)</f>
        <v>14030234.42</v>
      </c>
      <c r="G23" s="32">
        <f t="shared" ref="G23:G28" si="10">-IFERROR((+C23-E23)/E23,)</f>
        <v>-5.4746912723072298E-2</v>
      </c>
      <c r="H23" s="32">
        <f t="shared" ref="H23:H28" si="11">-IFERROR((+C23-F23)/F23,)</f>
        <v>-4.5868077519976382E-2</v>
      </c>
      <c r="I23" s="27"/>
      <c r="J23" s="31">
        <f>SUBTOTAL(9,J24:J25)</f>
        <v>120020326.65000001</v>
      </c>
      <c r="K23" s="31">
        <f>SUBTOTAL(9,K24:K25)</f>
        <v>123468942.99374202</v>
      </c>
      <c r="L23" s="31">
        <f>SUBTOTAL(9,L24:L25)</f>
        <v>102129382.11833334</v>
      </c>
      <c r="M23" s="32">
        <f t="shared" si="9"/>
        <v>2.7931042901345685E-2</v>
      </c>
      <c r="N23" s="32">
        <f t="shared" si="9"/>
        <v>-0.17517921053254906</v>
      </c>
      <c r="O23" s="28"/>
      <c r="P23" s="31">
        <f t="shared" ref="P23:S23" si="12">SUBTOTAL(9,P24:P25)</f>
        <v>120020326.65000001</v>
      </c>
      <c r="Q23" s="31">
        <f t="shared" si="12"/>
        <v>118802975.81999999</v>
      </c>
      <c r="R23" s="31">
        <f t="shared" si="12"/>
        <v>123468942.99374202</v>
      </c>
      <c r="S23" s="31">
        <f t="shared" si="12"/>
        <v>102129382.11833334</v>
      </c>
      <c r="T23" s="32">
        <f t="shared" ref="T23:T28" si="13">-IFERROR((+P23-R23)/R23,)</f>
        <v>2.7931042901345685E-2</v>
      </c>
      <c r="U23" s="32">
        <f t="shared" ref="U23:U28" si="14">-IFERROR((+P23-S23)/S23,)</f>
        <v>-0.17517921053254906</v>
      </c>
    </row>
    <row r="24" spans="1:21" ht="15" customHeight="1">
      <c r="A24" s="36" t="s">
        <v>187</v>
      </c>
      <c r="B24" s="36"/>
      <c r="C24" s="31">
        <f>IF($A$3="January 2015",SUMIF('TY Actual-Forecast'!$A:$A,'Top Flash'!A24,'TY Actual-Forecast'!$C:$C),IF($A$3="February 2015",SUMIF('TY Actual-Forecast'!$A:$A,'Top Flash'!A24,'TY Actual-Forecast'!$D:$D),IF($A$3="March 2015",SUMIF('TY Actual-Forecast'!$A:$A,'Top Flash'!A24,'TY Actual-Forecast'!$E:$E),IF($A$3="April 2015",SUMIF('TY Actual-Forecast'!$A:$A,'Top Flash'!A24,'TY Actual-Forecast'!$F:$F),IF($A$3="May 2015",SUMIF('TY Actual-Forecast'!$A:$A,'Top Flash'!A24,'TY Actual-Forecast'!$G:$G),IF($A$3="June 2015",SUMIF('TY Actual-Forecast'!$A:$A,'Top Flash'!A24,'TY Actual-Forecast'!$H:$H),IF($A$3="July 2015",SUMIF('TY Actual-Forecast'!$A:$A,'Top Flash'!A24,'TY Actual-Forecast'!$I:$I),IF($A$3="August 2015",SUMIF('TY Actual-Forecast'!$A:$A,'Top Flash'!A24,'TY Actual-Forecast'!$J:$J),IF($A$3="September 2015",SUMIF('TY Actual-Forecast'!$A:$A,'Top Flash'!A24,'TY Actual-Forecast'!$K:$K),IF($A$3="October 2015",SUMIF('TY Actual-Forecast'!$A:$A,'Top Flash'!A24,'TY Actual-Forecast'!$L:$L),IF($A$3="November 2015",SUMIF('TY Actual-Forecast'!$A:$A,'Top Flash'!A24,'TY Actual-Forecast'!$M:$M),IF($A$3="December 2015",SUMIF('TY Actual-Forecast'!$A:$A,'Top Flash'!A24,'TY Actual-Forecast'!$N:$N),0))))))))))))</f>
        <v>8661200.3800000008</v>
      </c>
      <c r="D24" s="31">
        <f>'Variance Analysis'!D24</f>
        <v>8288882.0799999991</v>
      </c>
      <c r="E24" s="31">
        <f>IF($A$3="January 2015",SUMIF('TY Budget'!$A:$A,'Top Flash'!A24,'TY Budget'!$C:$C),IF($A$3="February 2015",SUMIF('TY Budget'!$A:$A,'Top Flash'!A24,'TY Budget'!$D:$D),IF($A$3="March 2015",SUMIF('TY Budget'!$A:$A,'Top Flash'!A24,'TY Budget'!$E:$E),IF($A$3="April 2015",SUMIF('TY Budget'!$A:$A,'Top Flash'!A24,'TY Budget'!$F:$F),IF($A$3="May 2015",SUMIF('TY Budget'!$A:$A,'Top Flash'!A24,'TY Budget'!$G:$G),IF($A$3="June 2015",SUMIF('TY Budget'!$A:$A,'Top Flash'!A24,'TY Budget'!$H:$H),IF($A$3="July 2015",SUMIF('TY Budget'!$A:$A,'Top Flash'!A24,'TY Budget'!$I:$I),IF($A$3="August 2015",SUMIF('TY Budget'!$A:$A,'Top Flash'!A24,'TY Budget'!$J:$J),IF($A$3="September 2015",SUMIF('TY Budget'!$A:$A,'Top Flash'!A24,'TY Budget'!$K:$K),IF($A$3="October 2015",SUMIF('TY Budget'!$A:$A,'Top Flash'!A24,'TY Budget'!$L:$L),IF($A$3="November 2015",SUMIF('TY Budget'!$A:$A,'Top Flash'!A24,'TY Budget'!$M:$M),IF($A$3="December 2015",SUMIF('TY Budget'!$A:$A,'Top Flash'!A24,'TY Budget'!$N:$N),0))))))))))))</f>
        <v>7751291.25</v>
      </c>
      <c r="F24" s="31">
        <f>IF($A$3="January 2015",SUMIF('LY Actual'!$A:$A,'Top Flash'!A24,'LY Actual'!$C:$C),IF($A$3="February 2015",SUMIF('LY Actual'!$A:$A,'Top Flash'!A24,'LY Actual'!$D:$D),IF($A$3="March 2015",SUMIF('LY Actual'!$A:$A,'Top Flash'!A24,'LY Actual'!$E:$E),IF($A$3="April 2015",SUMIF('LY Actual'!$A:$A,'Top Flash'!A24,'LY Actual'!$F:$F),IF($A$3="May 2015",SUMIF('LY Actual'!$A:$A,'Top Flash'!A24,'LY Actual'!$G:$G),IF($A$3="June 2015",SUMIF('LY Actual'!$A:$A,'Top Flash'!A24,'LY Actual'!$H:$H),IF($A$3="July 2015",SUMIF('LY Actual'!$A:$A,'Top Flash'!A24,'LY Actual'!$I:$I),IF($A$3="August 2015",SUMIF('LY Actual'!$A:$A,'Top Flash'!A24,'LY Actual'!$J:$J),IF($A$3="September 2015",SUMIF('LY Actual'!$A:$A,'Top Flash'!A24,'LY Actual'!$K:$K),IF($A$3="October 2015",SUMIF('LY Actual'!$A:$A,'Top Flash'!A24,'LY Actual'!$L:$L),IF($A$3="November 2015",SUMIF('LY Actual'!$A:$A,'Top Flash'!A24,'LY Actual'!$M:$M),IF($A$3="December 2015",SUMIF('LY Actual'!$A:$A,'Top Flash'!A24,'LY Actual'!$N:$N),0))))))))))))</f>
        <v>7853506.9100000001</v>
      </c>
      <c r="G24" s="32">
        <f t="shared" si="10"/>
        <v>-0.11738807131005441</v>
      </c>
      <c r="H24" s="32">
        <f t="shared" si="11"/>
        <v>-0.10284494293518112</v>
      </c>
      <c r="I24" s="27"/>
      <c r="J24" s="31">
        <f>IF($A$3="January 2015",SUMIF('TY Actual-Forecast'!$A:$A,'Top Flash'!A24,'TY Actual-Forecast'!$U:$U),IF($A$3="February 2015",SUMIF('TY Actual-Forecast'!$A:$A,'Top Flash'!A24,'TY Actual-Forecast'!$V:$V),IF($A$3="March 2015",SUMIF('TY Actual-Forecast'!$A:$A,'Top Flash'!A24,'TY Actual-Forecast'!$W:$W),IF($A$3="April 2015",SUMIF('TY Actual-Forecast'!$A:$A,'Top Flash'!A24,'TY Actual-Forecast'!$X:$X),IF($A$3="May 2015",SUMIF('TY Actual-Forecast'!$A:$A,'Top Flash'!A24,'TY Actual-Forecast'!$Y:$Y),IF($A$3="June 2015",SUMIF('TY Actual-Forecast'!$A:$A,'Top Flash'!A24,'TY Actual-Forecast'!$Z:$Z),IF($A$3="July 2015",SUMIF('TY Actual-Forecast'!$A:$A,'Top Flash'!A24,'TY Actual-Forecast'!$AA:$AA),IF($A$3="August 2015",SUMIF('TY Actual-Forecast'!$A:$A,'Top Flash'!A24,'TY Actual-Forecast'!$AB:$AB),IF($A$3="September 2015",SUMIF('TY Actual-Forecast'!$A:$A,'Top Flash'!A24,'TY Actual-Forecast'!$AC:$AC),IF($A$3="October 2015",SUMIF('TY Actual-Forecast'!$A:$A,'Top Flash'!A24,'TY Actual-Forecast'!$AD:$AD),IF($A$3="November 2015",SUMIF('TY Actual-Forecast'!$A:$A,'Top Flash'!A24,'TY Actual-Forecast'!$AE:$AE),IF($A$3="December 2015",SUMIF('TY Actual-Forecast'!$A:$A,'Top Flash'!A24,'TY Actual-Forecast'!$AF:$AF),0))))))))))))</f>
        <v>63387385.549999997</v>
      </c>
      <c r="K24" s="31">
        <f>IF($A$3="January 2015",SUMIF('TY Budget'!$A:$A,'Top Flash'!A24,'TY Budget'!$U:$U),IF($A$3="February 2015",SUMIF('TY Budget'!$A:$A,'Top Flash'!A24,'TY Budget'!$V:$V),IF($A$3="March 2015",SUMIF('TY Budget'!$A:$A,'Top Flash'!A24,'TY Budget'!$W:$W),IF($A$3="April 2015",SUMIF('TY Budget'!$A:$A,'Top Flash'!A24,'TY Budget'!$X:$X),IF($A$3="May 2015",SUMIF('TY Budget'!$A:$A,'Top Flash'!A24,'TY Budget'!$Y:$Y),IF($A$3="June 2015",SUMIF('TY Budget'!$A:$A,'Top Flash'!A24,'TY Budget'!$Z:$Z),IF($A$3="July 2015",SUMIF('TY Budget'!$A:$A,'Top Flash'!A24,'TY Budget'!$AA:$AA),IF($A$3="August 2015",SUMIF('TY Budget'!$A:$A,'Top Flash'!A24,'TY Budget'!$AB:$AB),IF($A$3="September 2015",SUMIF('TY Budget'!$A:$A,'Top Flash'!A24,'TY Budget'!$AC:$AC),IF($A$3="October 2015",SUMIF('TY Budget'!$A:$A,'Top Flash'!A24,'TY Budget'!$AD:$AD),IF($A$3="November 2015",SUMIF('TY Budget'!$A:$A,'Top Flash'!A24,'TY Budget'!$AE:$AE),IF($A$3="December 2015",SUMIF('TY Budget'!$A:$A,'Top Flash'!A24,'TY Budget'!$AF:$AF),0))))))))))))</f>
        <v>65539458.603742018</v>
      </c>
      <c r="L24" s="31">
        <f>IF($A$3="January 2015",SUMIF('LY Actual'!$A:$A,'Top Flash'!A24,'LY Actual'!$U:$U),IF($A$3="February 2015",SUMIF('LY Actual'!$A:$A,'Top Flash'!A24,'LY Actual'!$V:$V),IF($A$3="March 2015",SUMIF('LY Actual'!$A:$A,'Top Flash'!A24,'LY Actual'!$W:$W),IF($A$3="April 2015",SUMIF('LY Actual'!$A:$A,'Top Flash'!A24,'LY Actual'!$X:$X),IF($A$3="May 2015",SUMIF('LY Actual'!$A:$A,'Top Flash'!A24,'LY Actual'!$Y:$Y),IF($A$3="June 2015",SUMIF('LY Actual'!$A:$A,'Top Flash'!A24,'LY Actual'!$Z:$Z),IF($A$3="July 2015",SUMIF('LY Actual'!$A:$A,'Top Flash'!A24,'LY Actual'!$AA:$AA),IF($A$3="August 2015",SUMIF('LY Actual'!$A:$A,'Top Flash'!A24,'LY Actual'!$AB:$AB),IF($A$3="September 2015",SUMIF('LY Actual'!$A:$A,'Top Flash'!A24,'LY Actual'!$AC:$AC),IF($A$3="October 2015",SUMIF('LY Actual'!$A:$A,'Top Flash'!A24,'LY Actual'!$AD:$AD),IF($A$3="November 2015",SUMIF('LY Actual'!$A:$A,'Top Flash'!A24,'LY Actual'!$AE:$AE),IF($A$3="December 2015",SUMIF('LY Actual'!$A:$A,'Top Flash'!A24,'LY Actual'!$AF:$AF),0))))))))))))</f>
        <v>53997416.530000001</v>
      </c>
      <c r="M24" s="32">
        <f t="shared" si="9"/>
        <v>3.2836295868015411E-2</v>
      </c>
      <c r="N24" s="32">
        <f t="shared" si="9"/>
        <v>-0.17389663475442566</v>
      </c>
      <c r="O24" s="28"/>
      <c r="P24" s="31">
        <f>'TY Actual-Forecast'!O24</f>
        <v>63387385.549999997</v>
      </c>
      <c r="Q24" s="31">
        <f>'Variance Analysis'!J24</f>
        <v>63015067.249999993</v>
      </c>
      <c r="R24" s="31">
        <f>'TY Budget'!O24</f>
        <v>65539458.603742018</v>
      </c>
      <c r="S24" s="31">
        <f>'LY Actual'!O24</f>
        <v>53997416.530000001</v>
      </c>
      <c r="T24" s="32">
        <f t="shared" si="13"/>
        <v>3.2836295868015411E-2</v>
      </c>
      <c r="U24" s="32">
        <f t="shared" si="14"/>
        <v>-0.17389663475442566</v>
      </c>
    </row>
    <row r="25" spans="1:21" s="24" customFormat="1" ht="15" customHeight="1">
      <c r="A25" s="36" t="s">
        <v>287</v>
      </c>
      <c r="B25" s="36"/>
      <c r="C25" s="31">
        <f>IF($A$3="January 2015",SUMIF('TY Actual-Forecast'!$A:$A,'Top Flash'!A25,'TY Actual-Forecast'!$C:$C),IF($A$3="February 2015",SUMIF('TY Actual-Forecast'!$A:$A,'Top Flash'!A25,'TY Actual-Forecast'!$D:$D),IF($A$3="March 2015",SUMIF('TY Actual-Forecast'!$A:$A,'Top Flash'!A25,'TY Actual-Forecast'!$E:$E),IF($A$3="April 2015",SUMIF('TY Actual-Forecast'!$A:$A,'Top Flash'!A25,'TY Actual-Forecast'!$F:$F),IF($A$3="May 2015",SUMIF('TY Actual-Forecast'!$A:$A,'Top Flash'!A25,'TY Actual-Forecast'!$G:$G),IF($A$3="June 2015",SUMIF('TY Actual-Forecast'!$A:$A,'Top Flash'!A25,'TY Actual-Forecast'!$H:$H),IF($A$3="July 2015",SUMIF('TY Actual-Forecast'!$A:$A,'Top Flash'!A25,'TY Actual-Forecast'!$I:$I),IF($A$3="August 2015",SUMIF('TY Actual-Forecast'!$A:$A,'Top Flash'!A25,'TY Actual-Forecast'!$J:$J),IF($A$3="September 2015",SUMIF('TY Actual-Forecast'!$A:$A,'Top Flash'!A25,'TY Actual-Forecast'!$K:$K),IF($A$3="October 2015",SUMIF('TY Actual-Forecast'!$A:$A,'Top Flash'!A25,'TY Actual-Forecast'!$L:$L),IF($A$3="November 2015",SUMIF('TY Actual-Forecast'!$A:$A,'Top Flash'!A25,'TY Actual-Forecast'!$M:$M),IF($A$3="December 2015",SUMIF('TY Actual-Forecast'!$A:$A,'Top Flash'!A25,'TY Actual-Forecast'!$N:$N),0))))))))))))</f>
        <v>6012573.9199999999</v>
      </c>
      <c r="D25" s="31">
        <f>'Variance Analysis'!D25</f>
        <v>5201542</v>
      </c>
      <c r="E25" s="31">
        <f>IF($A$3="January 2015",SUMIF('TY Budget'!$A:$A,'Top Flash'!A25,'TY Budget'!$C:$C),IF($A$3="February 2015",SUMIF('TY Budget'!$A:$A,'Top Flash'!A25,'TY Budget'!$D:$D),IF($A$3="March 2015",SUMIF('TY Budget'!$A:$A,'Top Flash'!A25,'TY Budget'!$E:$E),IF($A$3="April 2015",SUMIF('TY Budget'!$A:$A,'Top Flash'!A25,'TY Budget'!$F:$F),IF($A$3="May 2015",SUMIF('TY Budget'!$A:$A,'Top Flash'!A25,'TY Budget'!$G:$G),IF($A$3="June 2015",SUMIF('TY Budget'!$A:$A,'Top Flash'!A25,'TY Budget'!$H:$H),IF($A$3="July 2015",SUMIF('TY Budget'!$A:$A,'Top Flash'!A25,'TY Budget'!$I:$I),IF($A$3="August 2015",SUMIF('TY Budget'!$A:$A,'Top Flash'!A25,'TY Budget'!$J:$J),IF($A$3="September 2015",SUMIF('TY Budget'!$A:$A,'Top Flash'!A25,'TY Budget'!$K:$K),IF($A$3="October 2015",SUMIF('TY Budget'!$A:$A,'Top Flash'!A25,'TY Budget'!$L:$L),IF($A$3="November 2015",SUMIF('TY Budget'!$A:$A,'Top Flash'!A25,'TY Budget'!$M:$M),IF($A$3="December 2015",SUMIF('TY Budget'!$A:$A,'Top Flash'!A25,'TY Budget'!$N:$N),0))))))))))))</f>
        <v>6160836.9800000004</v>
      </c>
      <c r="F25" s="31">
        <f>IF($A$3="January 2015",SUMIF('LY Actual'!$A:$A,'Top Flash'!A25,'LY Actual'!$C:$C),IF($A$3="February 2015",SUMIF('LY Actual'!$A:$A,'Top Flash'!A25,'LY Actual'!$D:$D),IF($A$3="March 2015",SUMIF('LY Actual'!$A:$A,'Top Flash'!A25,'LY Actual'!$E:$E),IF($A$3="April 2015",SUMIF('LY Actual'!$A:$A,'Top Flash'!A25,'LY Actual'!$F:$F),IF($A$3="May 2015",SUMIF('LY Actual'!$A:$A,'Top Flash'!A25,'LY Actual'!$G:$G),IF($A$3="June 2015",SUMIF('LY Actual'!$A:$A,'Top Flash'!A25,'LY Actual'!$H:$H),IF($A$3="July 2015",SUMIF('LY Actual'!$A:$A,'Top Flash'!A25,'LY Actual'!$I:$I),IF($A$3="August 2015",SUMIF('LY Actual'!$A:$A,'Top Flash'!A25,'LY Actual'!$J:$J),IF($A$3="September 2015",SUMIF('LY Actual'!$A:$A,'Top Flash'!A25,'LY Actual'!$K:$K),IF($A$3="October 2015",SUMIF('LY Actual'!$A:$A,'Top Flash'!A25,'LY Actual'!$L:$L),IF($A$3="November 2015",SUMIF('LY Actual'!$A:$A,'Top Flash'!A25,'LY Actual'!$M:$M),IF($A$3="December 2015",SUMIF('LY Actual'!$A:$A,'Top Flash'!A25,'LY Actual'!$N:$N),0))))))))))))</f>
        <v>6176727.5099999998</v>
      </c>
      <c r="G25" s="32">
        <f t="shared" si="10"/>
        <v>2.4065408723085626E-2</v>
      </c>
      <c r="H25" s="32">
        <f t="shared" si="11"/>
        <v>2.6576142420762196E-2</v>
      </c>
      <c r="I25" s="37"/>
      <c r="J25" s="31">
        <f>IF($A$3="January 2015",SUMIF('TY Actual-Forecast'!$A:$A,'Top Flash'!A25,'TY Actual-Forecast'!$U:$U),IF($A$3="February 2015",SUMIF('TY Actual-Forecast'!$A:$A,'Top Flash'!A25,'TY Actual-Forecast'!$V:$V),IF($A$3="March 2015",SUMIF('TY Actual-Forecast'!$A:$A,'Top Flash'!A25,'TY Actual-Forecast'!$W:$W),IF($A$3="April 2015",SUMIF('TY Actual-Forecast'!$A:$A,'Top Flash'!A25,'TY Actual-Forecast'!$X:$X),IF($A$3="May 2015",SUMIF('TY Actual-Forecast'!$A:$A,'Top Flash'!A25,'TY Actual-Forecast'!$Y:$Y),IF($A$3="June 2015",SUMIF('TY Actual-Forecast'!$A:$A,'Top Flash'!A25,'TY Actual-Forecast'!$Z:$Z),IF($A$3="July 2015",SUMIF('TY Actual-Forecast'!$A:$A,'Top Flash'!A25,'TY Actual-Forecast'!$AA:$AA),IF($A$3="August 2015",SUMIF('TY Actual-Forecast'!$A:$A,'Top Flash'!A25,'TY Actual-Forecast'!$AB:$AB),IF($A$3="September 2015",SUMIF('TY Actual-Forecast'!$A:$A,'Top Flash'!A25,'TY Actual-Forecast'!$AC:$AC),IF($A$3="October 2015",SUMIF('TY Actual-Forecast'!$A:$A,'Top Flash'!A25,'TY Actual-Forecast'!$AD:$AD),IF($A$3="November 2015",SUMIF('TY Actual-Forecast'!$A:$A,'Top Flash'!A25,'TY Actual-Forecast'!$AE:$AE),IF($A$3="December 2015",SUMIF('TY Actual-Forecast'!$A:$A,'Top Flash'!A25,'TY Actual-Forecast'!$AF:$AF),0))))))))))))</f>
        <v>56632941.100000001</v>
      </c>
      <c r="K25" s="31">
        <f>IF($A$3="January 2015",SUMIF('TY Budget'!$A:$A,'Top Flash'!A25,'TY Budget'!$U:$U),IF($A$3="February 2015",SUMIF('TY Budget'!$A:$A,'Top Flash'!A25,'TY Budget'!$V:$V),IF($A$3="March 2015",SUMIF('TY Budget'!$A:$A,'Top Flash'!A25,'TY Budget'!$W:$W),IF($A$3="April 2015",SUMIF('TY Budget'!$A:$A,'Top Flash'!A25,'TY Budget'!$X:$X),IF($A$3="May 2015",SUMIF('TY Budget'!$A:$A,'Top Flash'!A25,'TY Budget'!$Y:$Y),IF($A$3="June 2015",SUMIF('TY Budget'!$A:$A,'Top Flash'!A25,'TY Budget'!$Z:$Z),IF($A$3="July 2015",SUMIF('TY Budget'!$A:$A,'Top Flash'!A25,'TY Budget'!$AA:$AA),IF($A$3="August 2015",SUMIF('TY Budget'!$A:$A,'Top Flash'!A25,'TY Budget'!$AB:$AB),IF($A$3="September 2015",SUMIF('TY Budget'!$A:$A,'Top Flash'!A25,'TY Budget'!$AC:$AC),IF($A$3="October 2015",SUMIF('TY Budget'!$A:$A,'Top Flash'!A25,'TY Budget'!$AD:$AD),IF($A$3="November 2015",SUMIF('TY Budget'!$A:$A,'Top Flash'!A25,'TY Budget'!$AE:$AE),IF($A$3="December 2015",SUMIF('TY Budget'!$A:$A,'Top Flash'!A25,'TY Budget'!$AF:$AF),0))))))))))))</f>
        <v>57929484.390000001</v>
      </c>
      <c r="L25" s="31">
        <f>IF($A$3="January 2015",SUMIF('LY Actual'!$A:$A,'Top Flash'!A25,'LY Actual'!$U:$U),IF($A$3="February 2015",SUMIF('LY Actual'!$A:$A,'Top Flash'!A25,'LY Actual'!$V:$V),IF($A$3="March 2015",SUMIF('LY Actual'!$A:$A,'Top Flash'!A25,'LY Actual'!$W:$W),IF($A$3="April 2015",SUMIF('LY Actual'!$A:$A,'Top Flash'!A25,'LY Actual'!$X:$X),IF($A$3="May 2015",SUMIF('LY Actual'!$A:$A,'Top Flash'!A25,'LY Actual'!$Y:$Y),IF($A$3="June 2015",SUMIF('LY Actual'!$A:$A,'Top Flash'!A25,'LY Actual'!$Z:$Z),IF($A$3="July 2015",SUMIF('LY Actual'!$A:$A,'Top Flash'!A25,'LY Actual'!$AA:$AA),IF($A$3="August 2015",SUMIF('LY Actual'!$A:$A,'Top Flash'!A25,'LY Actual'!$AB:$AB),IF($A$3="September 2015",SUMIF('LY Actual'!$A:$A,'Top Flash'!A25,'LY Actual'!$AC:$AC),IF($A$3="October 2015",SUMIF('LY Actual'!$A:$A,'Top Flash'!A25,'LY Actual'!$AD:$AD),IF($A$3="November 2015",SUMIF('LY Actual'!$A:$A,'Top Flash'!A25,'LY Actual'!$AE:$AE),IF($A$3="December 2015",SUMIF('LY Actual'!$A:$A,'Top Flash'!A25,'LY Actual'!$AF:$AF),0))))))))))))</f>
        <v>48131965.588333331</v>
      </c>
      <c r="M25" s="32">
        <f t="shared" si="9"/>
        <v>2.2381405663327691E-2</v>
      </c>
      <c r="N25" s="32">
        <f t="shared" si="9"/>
        <v>-0.17661808338297355</v>
      </c>
      <c r="O25" s="38"/>
      <c r="P25" s="31">
        <f>'TY Actual-Forecast'!O25</f>
        <v>56632941.100000001</v>
      </c>
      <c r="Q25" s="31">
        <f>'Variance Analysis'!J25</f>
        <v>55787908.57</v>
      </c>
      <c r="R25" s="31">
        <f>'TY Budget'!O25</f>
        <v>57929484.390000001</v>
      </c>
      <c r="S25" s="31">
        <f>'LY Actual'!O25</f>
        <v>48131965.588333331</v>
      </c>
      <c r="T25" s="32">
        <f t="shared" si="13"/>
        <v>2.2381405663327691E-2</v>
      </c>
      <c r="U25" s="32">
        <f t="shared" si="14"/>
        <v>-0.17661808338297355</v>
      </c>
    </row>
    <row r="26" spans="1:21" ht="15" customHeight="1">
      <c r="A26" s="29" t="s">
        <v>157</v>
      </c>
      <c r="B26" s="1"/>
      <c r="C26" s="31">
        <f>SUBTOTAL(9,C27:C28)</f>
        <v>172943.37</v>
      </c>
      <c r="D26" s="31">
        <f>SUBTOTAL(9,D27:D28)</f>
        <v>135407.35999999999</v>
      </c>
      <c r="E26" s="31">
        <f>SUBTOTAL(9,E27:E28)</f>
        <v>184647.02825577406</v>
      </c>
      <c r="F26" s="31">
        <f>SUBTOTAL(9,F27:F28)</f>
        <v>111392.01000000001</v>
      </c>
      <c r="G26" s="32">
        <f t="shared" si="10"/>
        <v>6.3383951349393453E-2</v>
      </c>
      <c r="H26" s="32">
        <f t="shared" si="11"/>
        <v>-0.55256530517763336</v>
      </c>
      <c r="I26" s="37"/>
      <c r="J26" s="31">
        <f>SUBTOTAL(9,J27:J28)</f>
        <v>2058661.78</v>
      </c>
      <c r="K26" s="31">
        <f>SUBTOTAL(9,K27:K28)</f>
        <v>1950609.7542008029</v>
      </c>
      <c r="L26" s="31">
        <f>SUBTOTAL(9,L27:L28)</f>
        <v>1295134.0449837309</v>
      </c>
      <c r="M26" s="32">
        <f t="shared" si="9"/>
        <v>-5.5393973892777879E-2</v>
      </c>
      <c r="N26" s="32">
        <f t="shared" si="9"/>
        <v>-0.58953568394988831</v>
      </c>
      <c r="O26" s="38"/>
      <c r="P26" s="31">
        <f t="shared" ref="P26:S26" si="15">SUBTOTAL(9,P27:P28)</f>
        <v>2058661.78</v>
      </c>
      <c r="Q26" s="31">
        <f t="shared" si="15"/>
        <v>2116740.3200000003</v>
      </c>
      <c r="R26" s="31">
        <f t="shared" si="15"/>
        <v>1950609.7542008029</v>
      </c>
      <c r="S26" s="31">
        <f t="shared" si="15"/>
        <v>1295134.0449837309</v>
      </c>
      <c r="T26" s="32">
        <f t="shared" si="13"/>
        <v>-5.5393973892777879E-2</v>
      </c>
      <c r="U26" s="32">
        <f t="shared" si="14"/>
        <v>-0.58953568394988831</v>
      </c>
    </row>
    <row r="27" spans="1:21" ht="15" customHeight="1">
      <c r="A27" s="36" t="s">
        <v>188</v>
      </c>
      <c r="B27" s="35"/>
      <c r="C27" s="31">
        <f>IF($A$3="January 2015",SUMIF('TY Actual-Forecast'!$A:$A,'Top Flash'!A27,'TY Actual-Forecast'!$C:$C),IF($A$3="February 2015",SUMIF('TY Actual-Forecast'!$A:$A,'Top Flash'!A27,'TY Actual-Forecast'!$D:$D),IF($A$3="March 2015",SUMIF('TY Actual-Forecast'!$A:$A,'Top Flash'!A27,'TY Actual-Forecast'!$E:$E),IF($A$3="April 2015",SUMIF('TY Actual-Forecast'!$A:$A,'Top Flash'!A27,'TY Actual-Forecast'!$F:$F),IF($A$3="May 2015",SUMIF('TY Actual-Forecast'!$A:$A,'Top Flash'!A27,'TY Actual-Forecast'!$G:$G),IF($A$3="June 2015",SUMIF('TY Actual-Forecast'!$A:$A,'Top Flash'!A27,'TY Actual-Forecast'!$H:$H),IF($A$3="July 2015",SUMIF('TY Actual-Forecast'!$A:$A,'Top Flash'!A27,'TY Actual-Forecast'!$I:$I),IF($A$3="August 2015",SUMIF('TY Actual-Forecast'!$A:$A,'Top Flash'!A27,'TY Actual-Forecast'!$J:$J),IF($A$3="September 2015",SUMIF('TY Actual-Forecast'!$A:$A,'Top Flash'!A27,'TY Actual-Forecast'!$K:$K),IF($A$3="October 2015",SUMIF('TY Actual-Forecast'!$A:$A,'Top Flash'!A27,'TY Actual-Forecast'!$L:$L),IF($A$3="November 2015",SUMIF('TY Actual-Forecast'!$A:$A,'Top Flash'!A27,'TY Actual-Forecast'!$M:$M),IF($A$3="December 2015",SUMIF('TY Actual-Forecast'!$A:$A,'Top Flash'!A27,'TY Actual-Forecast'!$N:$N),0))))))))))))</f>
        <v>15383</v>
      </c>
      <c r="D27" s="31">
        <f>'Variance Analysis'!D27</f>
        <v>15382.36</v>
      </c>
      <c r="E27" s="31">
        <f>IF($A$3="January 2015",SUMIF('TY Budget'!$A:$A,'Top Flash'!A27,'TY Budget'!$C:$C),IF($A$3="February 2015",SUMIF('TY Budget'!$A:$A,'Top Flash'!A27,'TY Budget'!$D:$D),IF($A$3="March 2015",SUMIF('TY Budget'!$A:$A,'Top Flash'!A27,'TY Budget'!$E:$E),IF($A$3="April 2015",SUMIF('TY Budget'!$A:$A,'Top Flash'!A27,'TY Budget'!$F:$F),IF($A$3="May 2015",SUMIF('TY Budget'!$A:$A,'Top Flash'!A27,'TY Budget'!$G:$G),IF($A$3="June 2015",SUMIF('TY Budget'!$A:$A,'Top Flash'!A27,'TY Budget'!$H:$H),IF($A$3="July 2015",SUMIF('TY Budget'!$A:$A,'Top Flash'!A27,'TY Budget'!$I:$I),IF($A$3="August 2015",SUMIF('TY Budget'!$A:$A,'Top Flash'!A27,'TY Budget'!$J:$J),IF($A$3="September 2015",SUMIF('TY Budget'!$A:$A,'Top Flash'!A27,'TY Budget'!$K:$K),IF($A$3="October 2015",SUMIF('TY Budget'!$A:$A,'Top Flash'!A27,'TY Budget'!$L:$L),IF($A$3="November 2015",SUMIF('TY Budget'!$A:$A,'Top Flash'!A27,'TY Budget'!$M:$M),IF($A$3="December 2015",SUMIF('TY Budget'!$A:$A,'Top Flash'!A27,'TY Budget'!$N:$N),0))))))))))))</f>
        <v>15382.367295693301</v>
      </c>
      <c r="F27" s="31">
        <f>IF($A$3="January 2015",SUMIF('LY Actual'!$A:$A,'Top Flash'!A27,'LY Actual'!$C:$C),IF($A$3="February 2015",SUMIF('LY Actual'!$A:$A,'Top Flash'!A27,'LY Actual'!$D:$D),IF($A$3="March 2015",SUMIF('LY Actual'!$A:$A,'Top Flash'!A27,'LY Actual'!$E:$E),IF($A$3="April 2015",SUMIF('LY Actual'!$A:$A,'Top Flash'!A27,'LY Actual'!$F:$F),IF($A$3="May 2015",SUMIF('LY Actual'!$A:$A,'Top Flash'!A27,'LY Actual'!$G:$G),IF($A$3="June 2015",SUMIF('LY Actual'!$A:$A,'Top Flash'!A27,'LY Actual'!$H:$H),IF($A$3="July 2015",SUMIF('LY Actual'!$A:$A,'Top Flash'!A27,'LY Actual'!$I:$I),IF($A$3="August 2015",SUMIF('LY Actual'!$A:$A,'Top Flash'!A27,'LY Actual'!$J:$J),IF($A$3="September 2015",SUMIF('LY Actual'!$A:$A,'Top Flash'!A27,'LY Actual'!$K:$K),IF($A$3="October 2015",SUMIF('LY Actual'!$A:$A,'Top Flash'!A27,'LY Actual'!$L:$L),IF($A$3="November 2015",SUMIF('LY Actual'!$A:$A,'Top Flash'!A27,'LY Actual'!$M:$M),IF($A$3="December 2015",SUMIF('LY Actual'!$A:$A,'Top Flash'!A27,'LY Actual'!$N:$N),0))))))))))))</f>
        <v>9688</v>
      </c>
      <c r="G27" s="32">
        <f t="shared" si="10"/>
        <v>-4.1131790350409477E-5</v>
      </c>
      <c r="H27" s="32">
        <f t="shared" si="11"/>
        <v>-0.58784062758051192</v>
      </c>
      <c r="I27" s="37"/>
      <c r="J27" s="31">
        <f>IF($A$3="January 2015",SUMIF('TY Actual-Forecast'!$A:$A,'Top Flash'!A27,'TY Actual-Forecast'!$U:$U),IF($A$3="February 2015",SUMIF('TY Actual-Forecast'!$A:$A,'Top Flash'!A27,'TY Actual-Forecast'!$V:$V),IF($A$3="March 2015",SUMIF('TY Actual-Forecast'!$A:$A,'Top Flash'!A27,'TY Actual-Forecast'!$W:$W),IF($A$3="April 2015",SUMIF('TY Actual-Forecast'!$A:$A,'Top Flash'!A27,'TY Actual-Forecast'!$X:$X),IF($A$3="May 2015",SUMIF('TY Actual-Forecast'!$A:$A,'Top Flash'!A27,'TY Actual-Forecast'!$Y:$Y),IF($A$3="June 2015",SUMIF('TY Actual-Forecast'!$A:$A,'Top Flash'!A27,'TY Actual-Forecast'!$Z:$Z),IF($A$3="July 2015",SUMIF('TY Actual-Forecast'!$A:$A,'Top Flash'!A27,'TY Actual-Forecast'!$AA:$AA),IF($A$3="August 2015",SUMIF('TY Actual-Forecast'!$A:$A,'Top Flash'!A27,'TY Actual-Forecast'!$AB:$AB),IF($A$3="September 2015",SUMIF('TY Actual-Forecast'!$A:$A,'Top Flash'!A27,'TY Actual-Forecast'!$AC:$AC),IF($A$3="October 2015",SUMIF('TY Actual-Forecast'!$A:$A,'Top Flash'!A27,'TY Actual-Forecast'!$AD:$AD),IF($A$3="November 2015",SUMIF('TY Actual-Forecast'!$A:$A,'Top Flash'!A27,'TY Actual-Forecast'!$AE:$AE),IF($A$3="December 2015",SUMIF('TY Actual-Forecast'!$A:$A,'Top Flash'!A27,'TY Actual-Forecast'!$AF:$AF),0))))))))))))</f>
        <v>150382.41</v>
      </c>
      <c r="K27" s="31">
        <f>IF($A$3="January 2015",SUMIF('TY Budget'!$A:$A,'Top Flash'!A27,'TY Budget'!$U:$U),IF($A$3="February 2015",SUMIF('TY Budget'!$A:$A,'Top Flash'!A27,'TY Budget'!$V:$V),IF($A$3="March 2015",SUMIF('TY Budget'!$A:$A,'Top Flash'!A27,'TY Budget'!$W:$W),IF($A$3="April 2015",SUMIF('TY Budget'!$A:$A,'Top Flash'!A27,'TY Budget'!$X:$X),IF($A$3="May 2015",SUMIF('TY Budget'!$A:$A,'Top Flash'!A27,'TY Budget'!$Y:$Y),IF($A$3="June 2015",SUMIF('TY Budget'!$A:$A,'Top Flash'!A27,'TY Budget'!$Z:$Z),IF($A$3="July 2015",SUMIF('TY Budget'!$A:$A,'Top Flash'!A27,'TY Budget'!$AA:$AA),IF($A$3="August 2015",SUMIF('TY Budget'!$A:$A,'Top Flash'!A27,'TY Budget'!$AB:$AB),IF($A$3="September 2015",SUMIF('TY Budget'!$A:$A,'Top Flash'!A27,'TY Budget'!$AC:$AC),IF($A$3="October 2015",SUMIF('TY Budget'!$A:$A,'Top Flash'!A27,'TY Budget'!$AD:$AD),IF($A$3="November 2015",SUMIF('TY Budget'!$A:$A,'Top Flash'!A27,'TY Budget'!$AE:$AE),IF($A$3="December 2015",SUMIF('TY Budget'!$A:$A,'Top Flash'!A27,'TY Budget'!$AF:$AF),0))))))))))))</f>
        <v>139462.3661030503</v>
      </c>
      <c r="L27" s="31">
        <f>IF($A$3="January 2015",SUMIF('LY Actual'!$A:$A,'Top Flash'!A27,'LY Actual'!$U:$U),IF($A$3="February 2015",SUMIF('LY Actual'!$A:$A,'Top Flash'!A27,'LY Actual'!$V:$V),IF($A$3="March 2015",SUMIF('LY Actual'!$A:$A,'Top Flash'!A27,'LY Actual'!$W:$W),IF($A$3="April 2015",SUMIF('LY Actual'!$A:$A,'Top Flash'!A27,'LY Actual'!$X:$X),IF($A$3="May 2015",SUMIF('LY Actual'!$A:$A,'Top Flash'!A27,'LY Actual'!$Y:$Y),IF($A$3="June 2015",SUMIF('LY Actual'!$A:$A,'Top Flash'!A27,'LY Actual'!$Z:$Z),IF($A$3="July 2015",SUMIF('LY Actual'!$A:$A,'Top Flash'!A27,'LY Actual'!$AA:$AA),IF($A$3="August 2015",SUMIF('LY Actual'!$A:$A,'Top Flash'!A27,'LY Actual'!$AB:$AB),IF($A$3="September 2015",SUMIF('LY Actual'!$A:$A,'Top Flash'!A27,'LY Actual'!$AC:$AC),IF($A$3="October 2015",SUMIF('LY Actual'!$A:$A,'Top Flash'!A27,'LY Actual'!$AD:$AD),IF($A$3="November 2015",SUMIF('LY Actual'!$A:$A,'Top Flash'!A27,'LY Actual'!$AE:$AE),IF($A$3="December 2015",SUMIF('LY Actual'!$A:$A,'Top Flash'!A27,'LY Actual'!$AF:$AF),0))))))))))))</f>
        <v>122065.3483170642</v>
      </c>
      <c r="M27" s="32">
        <f t="shared" si="9"/>
        <v>-7.830100838014438E-2</v>
      </c>
      <c r="N27" s="32">
        <f t="shared" si="9"/>
        <v>-0.23198280325537074</v>
      </c>
      <c r="O27" s="38"/>
      <c r="P27" s="31">
        <f>'TY Actual-Forecast'!O27</f>
        <v>150382.41</v>
      </c>
      <c r="Q27" s="31">
        <f>'Variance Analysis'!J27</f>
        <v>150381.77000000002</v>
      </c>
      <c r="R27" s="31">
        <f>'TY Budget'!O27</f>
        <v>139462.3661030503</v>
      </c>
      <c r="S27" s="31">
        <f>'LY Actual'!O27</f>
        <v>122065.3483170642</v>
      </c>
      <c r="T27" s="32">
        <f t="shared" si="13"/>
        <v>-7.830100838014438E-2</v>
      </c>
      <c r="U27" s="32">
        <f t="shared" si="14"/>
        <v>-0.23198280325537074</v>
      </c>
    </row>
    <row r="28" spans="1:21" ht="15" customHeight="1">
      <c r="A28" s="36" t="s">
        <v>288</v>
      </c>
      <c r="B28" s="36"/>
      <c r="C28" s="31">
        <f>IF($A$3="January 2015",SUMIF('TY Actual-Forecast'!$A:$A,'Top Flash'!A28,'TY Actual-Forecast'!$C:$C),IF($A$3="February 2015",SUMIF('TY Actual-Forecast'!$A:$A,'Top Flash'!A28,'TY Actual-Forecast'!$D:$D),IF($A$3="March 2015",SUMIF('TY Actual-Forecast'!$A:$A,'Top Flash'!A28,'TY Actual-Forecast'!$E:$E),IF($A$3="April 2015",SUMIF('TY Actual-Forecast'!$A:$A,'Top Flash'!A28,'TY Actual-Forecast'!$F:$F),IF($A$3="May 2015",SUMIF('TY Actual-Forecast'!$A:$A,'Top Flash'!A28,'TY Actual-Forecast'!$G:$G),IF($A$3="June 2015",SUMIF('TY Actual-Forecast'!$A:$A,'Top Flash'!A28,'TY Actual-Forecast'!$H:$H),IF($A$3="July 2015",SUMIF('TY Actual-Forecast'!$A:$A,'Top Flash'!A28,'TY Actual-Forecast'!$I:$I),IF($A$3="August 2015",SUMIF('TY Actual-Forecast'!$A:$A,'Top Flash'!A28,'TY Actual-Forecast'!$J:$J),IF($A$3="September 2015",SUMIF('TY Actual-Forecast'!$A:$A,'Top Flash'!A28,'TY Actual-Forecast'!$K:$K),IF($A$3="October 2015",SUMIF('TY Actual-Forecast'!$A:$A,'Top Flash'!A28,'TY Actual-Forecast'!$L:$L),IF($A$3="November 2015",SUMIF('TY Actual-Forecast'!$A:$A,'Top Flash'!A28,'TY Actual-Forecast'!$M:$M),IF($A$3="December 2015",SUMIF('TY Actual-Forecast'!$A:$A,'Top Flash'!A28,'TY Actual-Forecast'!$N:$N),0))))))))))))</f>
        <v>157560.37</v>
      </c>
      <c r="D28" s="31">
        <f>'Variance Analysis'!D28</f>
        <v>120025</v>
      </c>
      <c r="E28" s="31">
        <f>IF($A$3="January 2015",SUMIF('TY Budget'!$A:$A,'Top Flash'!A28,'TY Budget'!$C:$C),IF($A$3="February 2015",SUMIF('TY Budget'!$A:$A,'Top Flash'!A28,'TY Budget'!$D:$D),IF($A$3="March 2015",SUMIF('TY Budget'!$A:$A,'Top Flash'!A28,'TY Budget'!$E:$E),IF($A$3="April 2015",SUMIF('TY Budget'!$A:$A,'Top Flash'!A28,'TY Budget'!$F:$F),IF($A$3="May 2015",SUMIF('TY Budget'!$A:$A,'Top Flash'!A28,'TY Budget'!$G:$G),IF($A$3="June 2015",SUMIF('TY Budget'!$A:$A,'Top Flash'!A28,'TY Budget'!$H:$H),IF($A$3="July 2015",SUMIF('TY Budget'!$A:$A,'Top Flash'!A28,'TY Budget'!$I:$I),IF($A$3="August 2015",SUMIF('TY Budget'!$A:$A,'Top Flash'!A28,'TY Budget'!$J:$J),IF($A$3="September 2015",SUMIF('TY Budget'!$A:$A,'Top Flash'!A28,'TY Budget'!$K:$K),IF($A$3="October 2015",SUMIF('TY Budget'!$A:$A,'Top Flash'!A28,'TY Budget'!$L:$L),IF($A$3="November 2015",SUMIF('TY Budget'!$A:$A,'Top Flash'!A28,'TY Budget'!$M:$M),IF($A$3="December 2015",SUMIF('TY Budget'!$A:$A,'Top Flash'!A28,'TY Budget'!$N:$N),0))))))))))))</f>
        <v>169264.66096008077</v>
      </c>
      <c r="F28" s="31">
        <f>IF($A$3="January 2015",SUMIF('LY Actual'!$A:$A,'Top Flash'!A28,'LY Actual'!$C:$C),IF($A$3="February 2015",SUMIF('LY Actual'!$A:$A,'Top Flash'!A28,'LY Actual'!$D:$D),IF($A$3="March 2015",SUMIF('LY Actual'!$A:$A,'Top Flash'!A28,'LY Actual'!$E:$E),IF($A$3="April 2015",SUMIF('LY Actual'!$A:$A,'Top Flash'!A28,'LY Actual'!$F:$F),IF($A$3="May 2015",SUMIF('LY Actual'!$A:$A,'Top Flash'!A28,'LY Actual'!$G:$G),IF($A$3="June 2015",SUMIF('LY Actual'!$A:$A,'Top Flash'!A28,'LY Actual'!$H:$H),IF($A$3="July 2015",SUMIF('LY Actual'!$A:$A,'Top Flash'!A28,'LY Actual'!$I:$I),IF($A$3="August 2015",SUMIF('LY Actual'!$A:$A,'Top Flash'!A28,'LY Actual'!$J:$J),IF($A$3="September 2015",SUMIF('LY Actual'!$A:$A,'Top Flash'!A28,'LY Actual'!$K:$K),IF($A$3="October 2015",SUMIF('LY Actual'!$A:$A,'Top Flash'!A28,'LY Actual'!$L:$L),IF($A$3="November 2015",SUMIF('LY Actual'!$A:$A,'Top Flash'!A28,'LY Actual'!$M:$M),IF($A$3="December 2015",SUMIF('LY Actual'!$A:$A,'Top Flash'!A28,'LY Actual'!$N:$N),0))))))))))))</f>
        <v>101704.01000000001</v>
      </c>
      <c r="G28" s="32">
        <f t="shared" si="10"/>
        <v>6.9147871113162285E-2</v>
      </c>
      <c r="H28" s="32">
        <f t="shared" si="11"/>
        <v>-0.54920509034009557</v>
      </c>
      <c r="I28" s="37"/>
      <c r="J28" s="31">
        <f>IF($A$3="January 2015",SUMIF('TY Actual-Forecast'!$A:$A,'Top Flash'!A28,'TY Actual-Forecast'!$U:$U),IF($A$3="February 2015",SUMIF('TY Actual-Forecast'!$A:$A,'Top Flash'!A28,'TY Actual-Forecast'!$V:$V),IF($A$3="March 2015",SUMIF('TY Actual-Forecast'!$A:$A,'Top Flash'!A28,'TY Actual-Forecast'!$W:$W),IF($A$3="April 2015",SUMIF('TY Actual-Forecast'!$A:$A,'Top Flash'!A28,'TY Actual-Forecast'!$X:$X),IF($A$3="May 2015",SUMIF('TY Actual-Forecast'!$A:$A,'Top Flash'!A28,'TY Actual-Forecast'!$Y:$Y),IF($A$3="June 2015",SUMIF('TY Actual-Forecast'!$A:$A,'Top Flash'!A28,'TY Actual-Forecast'!$Z:$Z),IF($A$3="July 2015",SUMIF('TY Actual-Forecast'!$A:$A,'Top Flash'!A28,'TY Actual-Forecast'!$AA:$AA),IF($A$3="August 2015",SUMIF('TY Actual-Forecast'!$A:$A,'Top Flash'!A28,'TY Actual-Forecast'!$AB:$AB),IF($A$3="September 2015",SUMIF('TY Actual-Forecast'!$A:$A,'Top Flash'!A28,'TY Actual-Forecast'!$AC:$AC),IF($A$3="October 2015",SUMIF('TY Actual-Forecast'!$A:$A,'Top Flash'!A28,'TY Actual-Forecast'!$AD:$AD),IF($A$3="November 2015",SUMIF('TY Actual-Forecast'!$A:$A,'Top Flash'!A28,'TY Actual-Forecast'!$AE:$AE),IF($A$3="December 2015",SUMIF('TY Actual-Forecast'!$A:$A,'Top Flash'!A28,'TY Actual-Forecast'!$AF:$AF),0))))))))))))</f>
        <v>1908279.37</v>
      </c>
      <c r="K28" s="31">
        <f>IF($A$3="January 2015",SUMIF('TY Budget'!$A:$A,'Top Flash'!A28,'TY Budget'!$U:$U),IF($A$3="February 2015",SUMIF('TY Budget'!$A:$A,'Top Flash'!A28,'TY Budget'!$V:$V),IF($A$3="March 2015",SUMIF('TY Budget'!$A:$A,'Top Flash'!A28,'TY Budget'!$W:$W),IF($A$3="April 2015",SUMIF('TY Budget'!$A:$A,'Top Flash'!A28,'TY Budget'!$X:$X),IF($A$3="May 2015",SUMIF('TY Budget'!$A:$A,'Top Flash'!A28,'TY Budget'!$Y:$Y),IF($A$3="June 2015",SUMIF('TY Budget'!$A:$A,'Top Flash'!A28,'TY Budget'!$Z:$Z),IF($A$3="July 2015",SUMIF('TY Budget'!$A:$A,'Top Flash'!A28,'TY Budget'!$AA:$AA),IF($A$3="August 2015",SUMIF('TY Budget'!$A:$A,'Top Flash'!A28,'TY Budget'!$AB:$AB),IF($A$3="September 2015",SUMIF('TY Budget'!$A:$A,'Top Flash'!A28,'TY Budget'!$AC:$AC),IF($A$3="October 2015",SUMIF('TY Budget'!$A:$A,'Top Flash'!A28,'TY Budget'!$AD:$AD),IF($A$3="November 2015",SUMIF('TY Budget'!$A:$A,'Top Flash'!A28,'TY Budget'!$AE:$AE),IF($A$3="December 2015",SUMIF('TY Budget'!$A:$A,'Top Flash'!A28,'TY Budget'!$AF:$AF),0))))))))))))</f>
        <v>1811147.3880977526</v>
      </c>
      <c r="L28" s="31">
        <f>IF($A$3="January 2015",SUMIF('LY Actual'!$A:$A,'Top Flash'!A28,'LY Actual'!$U:$U),IF($A$3="February 2015",SUMIF('LY Actual'!$A:$A,'Top Flash'!A28,'LY Actual'!$V:$V),IF($A$3="March 2015",SUMIF('LY Actual'!$A:$A,'Top Flash'!A28,'LY Actual'!$W:$W),IF($A$3="April 2015",SUMIF('LY Actual'!$A:$A,'Top Flash'!A28,'LY Actual'!$X:$X),IF($A$3="May 2015",SUMIF('LY Actual'!$A:$A,'Top Flash'!A28,'LY Actual'!$Y:$Y),IF($A$3="June 2015",SUMIF('LY Actual'!$A:$A,'Top Flash'!A28,'LY Actual'!$Z:$Z),IF($A$3="July 2015",SUMIF('LY Actual'!$A:$A,'Top Flash'!A28,'LY Actual'!$AA:$AA),IF($A$3="August 2015",SUMIF('LY Actual'!$A:$A,'Top Flash'!A28,'LY Actual'!$AB:$AB),IF($A$3="September 2015",SUMIF('LY Actual'!$A:$A,'Top Flash'!A28,'LY Actual'!$AC:$AC),IF($A$3="October 2015",SUMIF('LY Actual'!$A:$A,'Top Flash'!A28,'LY Actual'!$AD:$AD),IF($A$3="November 2015",SUMIF('LY Actual'!$A:$A,'Top Flash'!A28,'LY Actual'!$AE:$AE),IF($A$3="December 2015",SUMIF('LY Actual'!$A:$A,'Top Flash'!A28,'LY Actual'!$AF:$AF),0))))))))))))</f>
        <v>1173068.6966666668</v>
      </c>
      <c r="M28" s="32">
        <f t="shared" si="9"/>
        <v>-5.3630081428251521E-2</v>
      </c>
      <c r="N28" s="32">
        <f t="shared" si="9"/>
        <v>-0.62674136256680546</v>
      </c>
      <c r="O28" s="38"/>
      <c r="P28" s="31">
        <f>'TY Actual-Forecast'!O28</f>
        <v>1908279.37</v>
      </c>
      <c r="Q28" s="31">
        <f>'Variance Analysis'!J28</f>
        <v>1966358.5500000003</v>
      </c>
      <c r="R28" s="31">
        <f>'TY Budget'!O28</f>
        <v>1811147.3880977526</v>
      </c>
      <c r="S28" s="31">
        <f>'LY Actual'!O28</f>
        <v>1173068.6966666668</v>
      </c>
      <c r="T28" s="32">
        <f t="shared" si="13"/>
        <v>-5.3630081428251521E-2</v>
      </c>
      <c r="U28" s="32">
        <f t="shared" si="14"/>
        <v>-0.62674136256680546</v>
      </c>
    </row>
    <row r="29" spans="1:21" s="24" customFormat="1" ht="15.75" customHeight="1">
      <c r="A29" s="39" t="s">
        <v>21</v>
      </c>
      <c r="B29" s="36"/>
      <c r="C29" s="22">
        <f>SUBTOTAL(9,C22:C28)</f>
        <v>20715618.240000002</v>
      </c>
      <c r="D29" s="22">
        <f>SUBTOTAL(9,D22:D28)</f>
        <v>18013579.439999998</v>
      </c>
      <c r="E29" s="22">
        <f>SUBTOTAL(9,E22:E28)</f>
        <v>18594247.838255778</v>
      </c>
      <c r="F29" s="22">
        <f>SUBTOTAL(9,F22:F28)</f>
        <v>18328006.620000001</v>
      </c>
      <c r="G29" s="23">
        <f>-IFERROR((+C29-E29)/E29,)</f>
        <v>-0.11408745436745872</v>
      </c>
      <c r="H29" s="23">
        <f>-IFERROR((+C29-F29)/F29,)</f>
        <v>-0.13027121113076076</v>
      </c>
      <c r="I29" s="37"/>
      <c r="J29" s="22">
        <f>SUBTOTAL(9,J22:J28)</f>
        <v>167179450.03</v>
      </c>
      <c r="K29" s="22">
        <f>SUBTOTAL(9,K22:K28)</f>
        <v>169452238.26368529</v>
      </c>
      <c r="L29" s="22">
        <f>SUBTOTAL(9,L22:L28)</f>
        <v>139864308.90998372</v>
      </c>
      <c r="M29" s="23">
        <f t="shared" si="9"/>
        <v>1.3412559532843645E-2</v>
      </c>
      <c r="N29" s="23">
        <f t="shared" si="9"/>
        <v>-0.19529743744414613</v>
      </c>
      <c r="O29" s="38"/>
      <c r="P29" s="22">
        <f t="shared" ref="P29:S29" si="16">SUBTOTAL(9,P22:P28)</f>
        <v>167179450.03</v>
      </c>
      <c r="Q29" s="22">
        <f t="shared" si="16"/>
        <v>164468508.79000002</v>
      </c>
      <c r="R29" s="22">
        <f t="shared" si="16"/>
        <v>169452238.26368529</v>
      </c>
      <c r="S29" s="22">
        <f t="shared" si="16"/>
        <v>139864308.90998372</v>
      </c>
      <c r="T29" s="23">
        <f>-IFERROR((+P29-R29)/R29,)</f>
        <v>1.3412559532843645E-2</v>
      </c>
      <c r="U29" s="23">
        <f>-IFERROR((+P29-S29)/S29,)</f>
        <v>-0.19529743744414613</v>
      </c>
    </row>
    <row r="30" spans="1:21" ht="15" customHeight="1">
      <c r="A30" s="18"/>
      <c r="B30" s="18"/>
      <c r="C30" s="40"/>
      <c r="D30" s="40"/>
      <c r="E30" s="40"/>
      <c r="F30" s="40"/>
      <c r="G30" s="26"/>
      <c r="H30" s="26"/>
      <c r="I30" s="27"/>
      <c r="J30" s="40"/>
      <c r="K30" s="40"/>
      <c r="L30" s="40"/>
      <c r="M30" s="26"/>
      <c r="N30" s="26"/>
      <c r="O30" s="28"/>
      <c r="P30" s="40"/>
      <c r="Q30" s="40"/>
      <c r="R30" s="40"/>
      <c r="S30" s="40"/>
      <c r="T30" s="26"/>
      <c r="U30" s="26"/>
    </row>
    <row r="31" spans="1:21" ht="15" customHeight="1">
      <c r="A31" s="18" t="s">
        <v>158</v>
      </c>
      <c r="B31" s="35"/>
      <c r="C31" s="26"/>
      <c r="D31" s="26"/>
      <c r="E31" s="26"/>
      <c r="F31" s="26"/>
      <c r="G31" s="26"/>
      <c r="H31" s="26"/>
      <c r="I31" s="27"/>
      <c r="J31" s="26"/>
      <c r="K31" s="26"/>
      <c r="L31" s="26"/>
      <c r="M31" s="26"/>
      <c r="N31" s="26"/>
      <c r="O31" s="28"/>
      <c r="P31" s="26"/>
      <c r="Q31" s="26"/>
      <c r="R31" s="26"/>
      <c r="S31" s="26"/>
      <c r="T31" s="26"/>
      <c r="U31" s="26"/>
    </row>
    <row r="32" spans="1:21" ht="15" customHeight="1">
      <c r="A32" s="39" t="s">
        <v>150</v>
      </c>
      <c r="B32" s="36"/>
      <c r="C32" s="31">
        <f>IF($A$3="January 2015",SUMIF('TY Actual-Forecast'!$A:$A,'Top Flash'!A32,'TY Actual-Forecast'!$C:$C),IF($A$3="February 2015",SUMIF('TY Actual-Forecast'!$A:$A,'Top Flash'!A32,'TY Actual-Forecast'!$D:$D),IF($A$3="March 2015",SUMIF('TY Actual-Forecast'!$A:$A,'Top Flash'!A32,'TY Actual-Forecast'!$E:$E),IF($A$3="April 2015",SUMIF('TY Actual-Forecast'!$A:$A,'Top Flash'!A32,'TY Actual-Forecast'!$F:$F),IF($A$3="May 2015",SUMIF('TY Actual-Forecast'!$A:$A,'Top Flash'!A32,'TY Actual-Forecast'!$G:$G),IF($A$3="June 2015",SUMIF('TY Actual-Forecast'!$A:$A,'Top Flash'!A32,'TY Actual-Forecast'!$H:$H),IF($A$3="July 2015",SUMIF('TY Actual-Forecast'!$A:$A,'Top Flash'!A32,'TY Actual-Forecast'!$I:$I),IF($A$3="August 2015",SUMIF('TY Actual-Forecast'!$A:$A,'Top Flash'!A32,'TY Actual-Forecast'!$J:$J),IF($A$3="September 2015",SUMIF('TY Actual-Forecast'!$A:$A,'Top Flash'!A32,'TY Actual-Forecast'!$K:$K),IF($A$3="October 2015",SUMIF('TY Actual-Forecast'!$A:$A,'Top Flash'!A32,'TY Actual-Forecast'!$L:$L),IF($A$3="November 2015",SUMIF('TY Actual-Forecast'!$A:$A,'Top Flash'!A32,'TY Actual-Forecast'!$M:$M),IF($A$3="December 2015",SUMIF('TY Actual-Forecast'!$A:$A,'Top Flash'!A32,'TY Actual-Forecast'!$N:$N),0))))))))))))</f>
        <v>4576031.4400000004</v>
      </c>
      <c r="D32" s="31">
        <f>'Variance Analysis'!D32</f>
        <v>3620428</v>
      </c>
      <c r="E32" s="31">
        <f>IF($A$3="January 2015",SUMIF('TY Budget'!$A:$A,'Top Flash'!A32,'TY Budget'!$C:$C),IF($A$3="February 2015",SUMIF('TY Budget'!$A:$A,'Top Flash'!A32,'TY Budget'!$D:$D),IF($A$3="March 2015",SUMIF('TY Budget'!$A:$A,'Top Flash'!A32,'TY Budget'!$E:$E),IF($A$3="April 2015",SUMIF('TY Budget'!$A:$A,'Top Flash'!A32,'TY Budget'!$F:$F),IF($A$3="May 2015",SUMIF('TY Budget'!$A:$A,'Top Flash'!A32,'TY Budget'!$G:$G),IF($A$3="June 2015",SUMIF('TY Budget'!$A:$A,'Top Flash'!A32,'TY Budget'!$H:$H),IF($A$3="July 2015",SUMIF('TY Budget'!$A:$A,'Top Flash'!A32,'TY Budget'!$I:$I),IF($A$3="August 2015",SUMIF('TY Budget'!$A:$A,'Top Flash'!A32,'TY Budget'!$J:$J),IF($A$3="September 2015",SUMIF('TY Budget'!$A:$A,'Top Flash'!A32,'TY Budget'!$K:$K),IF($A$3="October 2015",SUMIF('TY Budget'!$A:$A,'Top Flash'!A32,'TY Budget'!$L:$L),IF($A$3="November 2015",SUMIF('TY Budget'!$A:$A,'Top Flash'!A32,'TY Budget'!$M:$M),IF($A$3="December 2015",SUMIF('TY Budget'!$A:$A,'Top Flash'!A32,'TY Budget'!$N:$N),0))))))))))))</f>
        <v>4033754.08</v>
      </c>
      <c r="F32" s="31">
        <f>IF($A$3="January 2015",SUMIF('LY Actual'!$A:$A,'Top Flash'!A32,'LY Actual'!$C:$C),IF($A$3="February 2015",SUMIF('LY Actual'!$A:$A,'Top Flash'!A32,'LY Actual'!$D:$D),IF($A$3="March 2015",SUMIF('LY Actual'!$A:$A,'Top Flash'!A32,'LY Actual'!$E:$E),IF($A$3="April 2015",SUMIF('LY Actual'!$A:$A,'Top Flash'!A32,'LY Actual'!$F:$F),IF($A$3="May 2015",SUMIF('LY Actual'!$A:$A,'Top Flash'!A32,'LY Actual'!$G:$G),IF($A$3="June 2015",SUMIF('LY Actual'!$A:$A,'Top Flash'!A32,'LY Actual'!$H:$H),IF($A$3="July 2015",SUMIF('LY Actual'!$A:$A,'Top Flash'!A32,'LY Actual'!$I:$I),IF($A$3="August 2015",SUMIF('LY Actual'!$A:$A,'Top Flash'!A32,'LY Actual'!$J:$J),IF($A$3="September 2015",SUMIF('LY Actual'!$A:$A,'Top Flash'!A32,'LY Actual'!$K:$K),IF($A$3="October 2015",SUMIF('LY Actual'!$A:$A,'Top Flash'!A32,'LY Actual'!$L:$L),IF($A$3="November 2015",SUMIF('LY Actual'!$A:$A,'Top Flash'!A32,'LY Actual'!$M:$M),IF($A$3="December 2015",SUMIF('LY Actual'!$A:$A,'Top Flash'!A32,'LY Actual'!$N:$N),0))))))))))))</f>
        <v>5109676.6899999995</v>
      </c>
      <c r="G32" s="32">
        <f>-IFERROR((+C32-E32)/E32,)</f>
        <v>-0.13443490833729763</v>
      </c>
      <c r="H32" s="32">
        <f>-IFERROR((+C32-F32)/F32,)</f>
        <v>0.10443816358173517</v>
      </c>
      <c r="I32" s="27"/>
      <c r="J32" s="31">
        <f>IF($A$3="January 2015",SUMIF('TY Actual-Forecast'!$A:$A,'Top Flash'!A32,'TY Actual-Forecast'!$U:$U),IF($A$3="February 2015",SUMIF('TY Actual-Forecast'!$A:$A,'Top Flash'!A32,'TY Actual-Forecast'!$V:$V),IF($A$3="March 2015",SUMIF('TY Actual-Forecast'!$A:$A,'Top Flash'!A32,'TY Actual-Forecast'!$W:$W),IF($A$3="April 2015",SUMIF('TY Actual-Forecast'!$A:$A,'Top Flash'!A32,'TY Actual-Forecast'!$X:$X),IF($A$3="May 2015",SUMIF('TY Actual-Forecast'!$A:$A,'Top Flash'!A32,'TY Actual-Forecast'!$Y:$Y),IF($A$3="June 2015",SUMIF('TY Actual-Forecast'!$A:$A,'Top Flash'!A32,'TY Actual-Forecast'!$Z:$Z),IF($A$3="July 2015",SUMIF('TY Actual-Forecast'!$A:$A,'Top Flash'!A32,'TY Actual-Forecast'!$AA:$AA),IF($A$3="August 2015",SUMIF('TY Actual-Forecast'!$A:$A,'Top Flash'!A32,'TY Actual-Forecast'!$AB:$AB),IF($A$3="September 2015",SUMIF('TY Actual-Forecast'!$A:$A,'Top Flash'!A32,'TY Actual-Forecast'!$AC:$AC),IF($A$3="October 2015",SUMIF('TY Actual-Forecast'!$A:$A,'Top Flash'!A32,'TY Actual-Forecast'!$AD:$AD),IF($A$3="November 2015",SUMIF('TY Actual-Forecast'!$A:$A,'Top Flash'!A32,'TY Actual-Forecast'!$AE:$AE),IF($A$3="December 2015",SUMIF('TY Actual-Forecast'!$A:$A,'Top Flash'!A32,'TY Actual-Forecast'!$AF:$AF),0))))))))))))</f>
        <v>45813339.539999999</v>
      </c>
      <c r="K32" s="31">
        <f>IF($A$3="January 2015",SUMIF('TY Budget'!$A:$A,'Top Flash'!A32,'TY Budget'!$U:$U),IF($A$3="February 2015",SUMIF('TY Budget'!$A:$A,'Top Flash'!A32,'TY Budget'!$V:$V),IF($A$3="March 2015",SUMIF('TY Budget'!$A:$A,'Top Flash'!A32,'TY Budget'!$W:$W),IF($A$3="April 2015",SUMIF('TY Budget'!$A:$A,'Top Flash'!A32,'TY Budget'!$X:$X),IF($A$3="May 2015",SUMIF('TY Budget'!$A:$A,'Top Flash'!A32,'TY Budget'!$Y:$Y),IF($A$3="June 2015",SUMIF('TY Budget'!$A:$A,'Top Flash'!A32,'TY Budget'!$Z:$Z),IF($A$3="July 2015",SUMIF('TY Budget'!$A:$A,'Top Flash'!A32,'TY Budget'!$AA:$AA),IF($A$3="August 2015",SUMIF('TY Budget'!$A:$A,'Top Flash'!A32,'TY Budget'!$AB:$AB),IF($A$3="September 2015",SUMIF('TY Budget'!$A:$A,'Top Flash'!A32,'TY Budget'!$AC:$AC),IF($A$3="October 2015",SUMIF('TY Budget'!$A:$A,'Top Flash'!A32,'TY Budget'!$AD:$AD),IF($A$3="November 2015",SUMIF('TY Budget'!$A:$A,'Top Flash'!A32,'TY Budget'!$AE:$AE),IF($A$3="December 2015",SUMIF('TY Budget'!$A:$A,'Top Flash'!A32,'TY Budget'!$AF:$AF),0))))))))))))</f>
        <v>40748332.917999998</v>
      </c>
      <c r="L32" s="31">
        <f>IF($A$3="January 2015",SUMIF('LY Actual'!$A:$A,'Top Flash'!A32,'LY Actual'!$U:$U),IF($A$3="February 2015",SUMIF('LY Actual'!$A:$A,'Top Flash'!A32,'LY Actual'!$V:$V),IF($A$3="March 2015",SUMIF('LY Actual'!$A:$A,'Top Flash'!A32,'LY Actual'!$W:$W),IF($A$3="April 2015",SUMIF('LY Actual'!$A:$A,'Top Flash'!A32,'LY Actual'!$X:$X),IF($A$3="May 2015",SUMIF('LY Actual'!$A:$A,'Top Flash'!A32,'LY Actual'!$Y:$Y),IF($A$3="June 2015",SUMIF('LY Actual'!$A:$A,'Top Flash'!A32,'LY Actual'!$Z:$Z),IF($A$3="July 2015",SUMIF('LY Actual'!$A:$A,'Top Flash'!A32,'LY Actual'!$AA:$AA),IF($A$3="August 2015",SUMIF('LY Actual'!$A:$A,'Top Flash'!A32,'LY Actual'!$AB:$AB),IF($A$3="September 2015",SUMIF('LY Actual'!$A:$A,'Top Flash'!A32,'LY Actual'!$AC:$AC),IF($A$3="October 2015",SUMIF('LY Actual'!$A:$A,'Top Flash'!A32,'LY Actual'!$AD:$AD),IF($A$3="November 2015",SUMIF('LY Actual'!$A:$A,'Top Flash'!A32,'LY Actual'!$AE:$AE),IF($A$3="December 2015",SUMIF('LY Actual'!$A:$A,'Top Flash'!A32,'LY Actual'!$AF:$AF),0))))))))))))</f>
        <v>38741002.049999997</v>
      </c>
      <c r="M32" s="32">
        <f t="shared" ref="M32:N36" si="17">-IFERROR((+$J32-K32)/K32,)</f>
        <v>-0.12429972613094575</v>
      </c>
      <c r="N32" s="32">
        <f t="shared" si="17"/>
        <v>-0.18255432528235296</v>
      </c>
      <c r="O32" s="28"/>
      <c r="P32" s="31">
        <f>'TY Actual-Forecast'!O32</f>
        <v>45813339.539999999</v>
      </c>
      <c r="Q32" s="31">
        <f>'Variance Analysis'!J32</f>
        <v>44833406.639999993</v>
      </c>
      <c r="R32" s="31">
        <f>'TY Budget'!O32</f>
        <v>40748332.917999998</v>
      </c>
      <c r="S32" s="31">
        <f>'LY Actual'!O32</f>
        <v>38741002.049999997</v>
      </c>
      <c r="T32" s="32">
        <f>-IFERROR((+P32-R32)/R32,)</f>
        <v>-0.12429972613094575</v>
      </c>
      <c r="U32" s="32">
        <f>-IFERROR((+P32-S32)/S32,)</f>
        <v>-0.18255432528235296</v>
      </c>
    </row>
    <row r="33" spans="1:21" ht="15" customHeight="1">
      <c r="A33" s="39" t="s">
        <v>202</v>
      </c>
      <c r="B33" s="36"/>
      <c r="C33" s="31">
        <f>IF($A$3="January 2015",SUMIF('TY Actual-Forecast'!$A:$A,'Top Flash'!A33,'TY Actual-Forecast'!$C:$C),IF($A$3="February 2015",SUMIF('TY Actual-Forecast'!$A:$A,'Top Flash'!A33,'TY Actual-Forecast'!$D:$D),IF($A$3="March 2015",SUMIF('TY Actual-Forecast'!$A:$A,'Top Flash'!A33,'TY Actual-Forecast'!$E:$E),IF($A$3="April 2015",SUMIF('TY Actual-Forecast'!$A:$A,'Top Flash'!A33,'TY Actual-Forecast'!$F:$F),IF($A$3="May 2015",SUMIF('TY Actual-Forecast'!$A:$A,'Top Flash'!A33,'TY Actual-Forecast'!$G:$G),IF($A$3="June 2015",SUMIF('TY Actual-Forecast'!$A:$A,'Top Flash'!A33,'TY Actual-Forecast'!$H:$H),IF($A$3="July 2015",SUMIF('TY Actual-Forecast'!$A:$A,'Top Flash'!A33,'TY Actual-Forecast'!$I:$I),IF($A$3="August 2015",SUMIF('TY Actual-Forecast'!$A:$A,'Top Flash'!A33,'TY Actual-Forecast'!$J:$J),IF($A$3="September 2015",SUMIF('TY Actual-Forecast'!$A:$A,'Top Flash'!A33,'TY Actual-Forecast'!$K:$K),IF($A$3="October 2015",SUMIF('TY Actual-Forecast'!$A:$A,'Top Flash'!A33,'TY Actual-Forecast'!$L:$L),IF($A$3="November 2015",SUMIF('TY Actual-Forecast'!$A:$A,'Top Flash'!A33,'TY Actual-Forecast'!$M:$M),IF($A$3="December 2015",SUMIF('TY Actual-Forecast'!$A:$A,'Top Flash'!A33,'TY Actual-Forecast'!$N:$N),0))))))))))))</f>
        <v>486710.17</v>
      </c>
      <c r="D33" s="31">
        <f>'Variance Analysis'!D33</f>
        <v>428741</v>
      </c>
      <c r="E33" s="31">
        <f>IF($A$3="January 2015",SUMIF('TY Budget'!$A:$A,'Top Flash'!A33,'TY Budget'!$C:$C),IF($A$3="February 2015",SUMIF('TY Budget'!$A:$A,'Top Flash'!A33,'TY Budget'!$D:$D),IF($A$3="March 2015",SUMIF('TY Budget'!$A:$A,'Top Flash'!A33,'TY Budget'!$E:$E),IF($A$3="April 2015",SUMIF('TY Budget'!$A:$A,'Top Flash'!A33,'TY Budget'!$F:$F),IF($A$3="May 2015",SUMIF('TY Budget'!$A:$A,'Top Flash'!A33,'TY Budget'!$G:$G),IF($A$3="June 2015",SUMIF('TY Budget'!$A:$A,'Top Flash'!A33,'TY Budget'!$H:$H),IF($A$3="July 2015",SUMIF('TY Budget'!$A:$A,'Top Flash'!A33,'TY Budget'!$I:$I),IF($A$3="August 2015",SUMIF('TY Budget'!$A:$A,'Top Flash'!A33,'TY Budget'!$J:$J),IF($A$3="September 2015",SUMIF('TY Budget'!$A:$A,'Top Flash'!A33,'TY Budget'!$K:$K),IF($A$3="October 2015",SUMIF('TY Budget'!$A:$A,'Top Flash'!A33,'TY Budget'!$L:$L),IF($A$3="November 2015",SUMIF('TY Budget'!$A:$A,'Top Flash'!A33,'TY Budget'!$M:$M),IF($A$3="December 2015",SUMIF('TY Budget'!$A:$A,'Top Flash'!A33,'TY Budget'!$N:$N),0))))))))))))</f>
        <v>191142</v>
      </c>
      <c r="F33" s="31">
        <f>IF($A$3="January 2015",SUMIF('LY Actual'!$A:$A,'Top Flash'!A33,'LY Actual'!$C:$C),IF($A$3="February 2015",SUMIF('LY Actual'!$A:$A,'Top Flash'!A33,'LY Actual'!$D:$D),IF($A$3="March 2015",SUMIF('LY Actual'!$A:$A,'Top Flash'!A33,'LY Actual'!$E:$E),IF($A$3="April 2015",SUMIF('LY Actual'!$A:$A,'Top Flash'!A33,'LY Actual'!$F:$F),IF($A$3="May 2015",SUMIF('LY Actual'!$A:$A,'Top Flash'!A33,'LY Actual'!$G:$G),IF($A$3="June 2015",SUMIF('LY Actual'!$A:$A,'Top Flash'!A33,'LY Actual'!$H:$H),IF($A$3="July 2015",SUMIF('LY Actual'!$A:$A,'Top Flash'!A33,'LY Actual'!$I:$I),IF($A$3="August 2015",SUMIF('LY Actual'!$A:$A,'Top Flash'!A33,'LY Actual'!$J:$J),IF($A$3="September 2015",SUMIF('LY Actual'!$A:$A,'Top Flash'!A33,'LY Actual'!$K:$K),IF($A$3="October 2015",SUMIF('LY Actual'!$A:$A,'Top Flash'!A33,'LY Actual'!$L:$L),IF($A$3="November 2015",SUMIF('LY Actual'!$A:$A,'Top Flash'!A33,'LY Actual'!$M:$M),IF($A$3="December 2015",SUMIF('LY Actual'!$A:$A,'Top Flash'!A33,'LY Actual'!$N:$N),0))))))))))))</f>
        <v>243565.5</v>
      </c>
      <c r="G33" s="32">
        <f t="shared" ref="G33:G36" si="18">-IFERROR((+C33-E33)/E33,)</f>
        <v>-1.5463277040106307</v>
      </c>
      <c r="H33" s="32">
        <f t="shared" ref="H33:H36" si="19">-IFERROR((+C33-F33)/F33,)</f>
        <v>-0.99827221014470435</v>
      </c>
      <c r="I33" s="27"/>
      <c r="J33" s="31">
        <f>IF($A$3="January 2015",SUMIF('TY Actual-Forecast'!$A:$A,'Top Flash'!A33,'TY Actual-Forecast'!$U:$U),IF($A$3="February 2015",SUMIF('TY Actual-Forecast'!$A:$A,'Top Flash'!A33,'TY Actual-Forecast'!$V:$V),IF($A$3="March 2015",SUMIF('TY Actual-Forecast'!$A:$A,'Top Flash'!A33,'TY Actual-Forecast'!$W:$W),IF($A$3="April 2015",SUMIF('TY Actual-Forecast'!$A:$A,'Top Flash'!A33,'TY Actual-Forecast'!$X:$X),IF($A$3="May 2015",SUMIF('TY Actual-Forecast'!$A:$A,'Top Flash'!A33,'TY Actual-Forecast'!$Y:$Y),IF($A$3="June 2015",SUMIF('TY Actual-Forecast'!$A:$A,'Top Flash'!A33,'TY Actual-Forecast'!$Z:$Z),IF($A$3="July 2015",SUMIF('TY Actual-Forecast'!$A:$A,'Top Flash'!A33,'TY Actual-Forecast'!$AA:$AA),IF($A$3="August 2015",SUMIF('TY Actual-Forecast'!$A:$A,'Top Flash'!A33,'TY Actual-Forecast'!$AB:$AB),IF($A$3="September 2015",SUMIF('TY Actual-Forecast'!$A:$A,'Top Flash'!A33,'TY Actual-Forecast'!$AC:$AC),IF($A$3="October 2015",SUMIF('TY Actual-Forecast'!$A:$A,'Top Flash'!A33,'TY Actual-Forecast'!$AD:$AD),IF($A$3="November 2015",SUMIF('TY Actual-Forecast'!$A:$A,'Top Flash'!A33,'TY Actual-Forecast'!$AE:$AE),IF($A$3="December 2015",SUMIF('TY Actual-Forecast'!$A:$A,'Top Flash'!A33,'TY Actual-Forecast'!$AF:$AF),0))))))))))))</f>
        <v>3825204.4899999993</v>
      </c>
      <c r="K33" s="31">
        <f>IF($A$3="January 2015",SUMIF('TY Budget'!$A:$A,'Top Flash'!A33,'TY Budget'!$U:$U),IF($A$3="February 2015",SUMIF('TY Budget'!$A:$A,'Top Flash'!A33,'TY Budget'!$V:$V),IF($A$3="March 2015",SUMIF('TY Budget'!$A:$A,'Top Flash'!A33,'TY Budget'!$W:$W),IF($A$3="April 2015",SUMIF('TY Budget'!$A:$A,'Top Flash'!A33,'TY Budget'!$X:$X),IF($A$3="May 2015",SUMIF('TY Budget'!$A:$A,'Top Flash'!A33,'TY Budget'!$Y:$Y),IF($A$3="June 2015",SUMIF('TY Budget'!$A:$A,'Top Flash'!A33,'TY Budget'!$Z:$Z),IF($A$3="July 2015",SUMIF('TY Budget'!$A:$A,'Top Flash'!A33,'TY Budget'!$AA:$AA),IF($A$3="August 2015",SUMIF('TY Budget'!$A:$A,'Top Flash'!A33,'TY Budget'!$AB:$AB),IF($A$3="September 2015",SUMIF('TY Budget'!$A:$A,'Top Flash'!A33,'TY Budget'!$AC:$AC),IF($A$3="October 2015",SUMIF('TY Budget'!$A:$A,'Top Flash'!A33,'TY Budget'!$AD:$AD),IF($A$3="November 2015",SUMIF('TY Budget'!$A:$A,'Top Flash'!A33,'TY Budget'!$AE:$AE),IF($A$3="December 2015",SUMIF('TY Budget'!$A:$A,'Top Flash'!A33,'TY Budget'!$AF:$AF),0))))))))))))</f>
        <v>2436704</v>
      </c>
      <c r="L33" s="31">
        <f>IF($A$3="January 2015",SUMIF('LY Actual'!$A:$A,'Top Flash'!A33,'LY Actual'!$U:$U),IF($A$3="February 2015",SUMIF('LY Actual'!$A:$A,'Top Flash'!A33,'LY Actual'!$V:$V),IF($A$3="March 2015",SUMIF('LY Actual'!$A:$A,'Top Flash'!A33,'LY Actual'!$W:$W),IF($A$3="April 2015",SUMIF('LY Actual'!$A:$A,'Top Flash'!A33,'LY Actual'!$X:$X),IF($A$3="May 2015",SUMIF('LY Actual'!$A:$A,'Top Flash'!A33,'LY Actual'!$Y:$Y),IF($A$3="June 2015",SUMIF('LY Actual'!$A:$A,'Top Flash'!A33,'LY Actual'!$Z:$Z),IF($A$3="July 2015",SUMIF('LY Actual'!$A:$A,'Top Flash'!A33,'LY Actual'!$AA:$AA),IF($A$3="August 2015",SUMIF('LY Actual'!$A:$A,'Top Flash'!A33,'LY Actual'!$AB:$AB),IF($A$3="September 2015",SUMIF('LY Actual'!$A:$A,'Top Flash'!A33,'LY Actual'!$AC:$AC),IF($A$3="October 2015",SUMIF('LY Actual'!$A:$A,'Top Flash'!A33,'LY Actual'!$AD:$AD),IF($A$3="November 2015",SUMIF('LY Actual'!$A:$A,'Top Flash'!A33,'LY Actual'!$AE:$AE),IF($A$3="December 2015",SUMIF('LY Actual'!$A:$A,'Top Flash'!A33,'LY Actual'!$AF:$AF),0))))))))))))</f>
        <v>2060184.67</v>
      </c>
      <c r="M33" s="32">
        <f t="shared" si="17"/>
        <v>-0.56982731181136459</v>
      </c>
      <c r="N33" s="32">
        <f t="shared" si="17"/>
        <v>-0.85672893585796828</v>
      </c>
      <c r="O33" s="28"/>
      <c r="P33" s="31">
        <f>'TY Actual-Forecast'!O33</f>
        <v>3825204.4899999993</v>
      </c>
      <c r="Q33" s="31">
        <f>'Variance Analysis'!J33</f>
        <v>3767235.3199999994</v>
      </c>
      <c r="R33" s="31">
        <f>'TY Budget'!O33</f>
        <v>2436704</v>
      </c>
      <c r="S33" s="31">
        <f>'LY Actual'!O33</f>
        <v>2060184.67</v>
      </c>
      <c r="T33" s="32">
        <f t="shared" ref="T33:T36" si="20">-IFERROR((+P33-R33)/R33,)</f>
        <v>-0.56982731181136459</v>
      </c>
      <c r="U33" s="32">
        <f t="shared" ref="U33:U36" si="21">-IFERROR((+P33-S33)/S33,)</f>
        <v>-0.85672893585796828</v>
      </c>
    </row>
    <row r="34" spans="1:21" ht="15" customHeight="1">
      <c r="A34" s="39" t="s">
        <v>22</v>
      </c>
      <c r="B34" s="36"/>
      <c r="C34" s="31">
        <f>IF($A$3="January 2015",SUMIF('TY Actual-Forecast'!$A:$A,'Top Flash'!A34,'TY Actual-Forecast'!$C:$C),IF($A$3="February 2015",SUMIF('TY Actual-Forecast'!$A:$A,'Top Flash'!A34,'TY Actual-Forecast'!$D:$D),IF($A$3="March 2015",SUMIF('TY Actual-Forecast'!$A:$A,'Top Flash'!A34,'TY Actual-Forecast'!$E:$E),IF($A$3="April 2015",SUMIF('TY Actual-Forecast'!$A:$A,'Top Flash'!A34,'TY Actual-Forecast'!$F:$F),IF($A$3="May 2015",SUMIF('TY Actual-Forecast'!$A:$A,'Top Flash'!A34,'TY Actual-Forecast'!$G:$G),IF($A$3="June 2015",SUMIF('TY Actual-Forecast'!$A:$A,'Top Flash'!A34,'TY Actual-Forecast'!$H:$H),IF($A$3="July 2015",SUMIF('TY Actual-Forecast'!$A:$A,'Top Flash'!A34,'TY Actual-Forecast'!$I:$I),IF($A$3="August 2015",SUMIF('TY Actual-Forecast'!$A:$A,'Top Flash'!A34,'TY Actual-Forecast'!$J:$J),IF($A$3="September 2015",SUMIF('TY Actual-Forecast'!$A:$A,'Top Flash'!A34,'TY Actual-Forecast'!$K:$K),IF($A$3="October 2015",SUMIF('TY Actual-Forecast'!$A:$A,'Top Flash'!A34,'TY Actual-Forecast'!$L:$L),IF($A$3="November 2015",SUMIF('TY Actual-Forecast'!$A:$A,'Top Flash'!A34,'TY Actual-Forecast'!$M:$M),IF($A$3="December 2015",SUMIF('TY Actual-Forecast'!$A:$A,'Top Flash'!A34,'TY Actual-Forecast'!$N:$N),0))))))))))))</f>
        <v>2770191.5999999996</v>
      </c>
      <c r="D34" s="31">
        <f>'Variance Analysis'!D34</f>
        <v>2575505</v>
      </c>
      <c r="E34" s="31">
        <f>IF($A$3="January 2015",SUMIF('TY Budget'!$A:$A,'Top Flash'!A34,'TY Budget'!$C:$C),IF($A$3="February 2015",SUMIF('TY Budget'!$A:$A,'Top Flash'!A34,'TY Budget'!$D:$D),IF($A$3="March 2015",SUMIF('TY Budget'!$A:$A,'Top Flash'!A34,'TY Budget'!$E:$E),IF($A$3="April 2015",SUMIF('TY Budget'!$A:$A,'Top Flash'!A34,'TY Budget'!$F:$F),IF($A$3="May 2015",SUMIF('TY Budget'!$A:$A,'Top Flash'!A34,'TY Budget'!$G:$G),IF($A$3="June 2015",SUMIF('TY Budget'!$A:$A,'Top Flash'!A34,'TY Budget'!$H:$H),IF($A$3="July 2015",SUMIF('TY Budget'!$A:$A,'Top Flash'!A34,'TY Budget'!$I:$I),IF($A$3="August 2015",SUMIF('TY Budget'!$A:$A,'Top Flash'!A34,'TY Budget'!$J:$J),IF($A$3="September 2015",SUMIF('TY Budget'!$A:$A,'Top Flash'!A34,'TY Budget'!$K:$K),IF($A$3="October 2015",SUMIF('TY Budget'!$A:$A,'Top Flash'!A34,'TY Budget'!$L:$L),IF($A$3="November 2015",SUMIF('TY Budget'!$A:$A,'Top Flash'!A34,'TY Budget'!$M:$M),IF($A$3="December 2015",SUMIF('TY Budget'!$A:$A,'Top Flash'!A34,'TY Budget'!$N:$N),0))))))))))))</f>
        <v>1685865.33</v>
      </c>
      <c r="F34" s="31">
        <f>IF($A$3="January 2015",SUMIF('LY Actual'!$A:$A,'Top Flash'!A34,'LY Actual'!$C:$C),IF($A$3="February 2015",SUMIF('LY Actual'!$A:$A,'Top Flash'!A34,'LY Actual'!$D:$D),IF($A$3="March 2015",SUMIF('LY Actual'!$A:$A,'Top Flash'!A34,'LY Actual'!$E:$E),IF($A$3="April 2015",SUMIF('LY Actual'!$A:$A,'Top Flash'!A34,'LY Actual'!$F:$F),IF($A$3="May 2015",SUMIF('LY Actual'!$A:$A,'Top Flash'!A34,'LY Actual'!$G:$G),IF($A$3="June 2015",SUMIF('LY Actual'!$A:$A,'Top Flash'!A34,'LY Actual'!$H:$H),IF($A$3="July 2015",SUMIF('LY Actual'!$A:$A,'Top Flash'!A34,'LY Actual'!$I:$I),IF($A$3="August 2015",SUMIF('LY Actual'!$A:$A,'Top Flash'!A34,'LY Actual'!$J:$J),IF($A$3="September 2015",SUMIF('LY Actual'!$A:$A,'Top Flash'!A34,'LY Actual'!$K:$K),IF($A$3="October 2015",SUMIF('LY Actual'!$A:$A,'Top Flash'!A34,'LY Actual'!$L:$L),IF($A$3="November 2015",SUMIF('LY Actual'!$A:$A,'Top Flash'!A34,'LY Actual'!$M:$M),IF($A$3="December 2015",SUMIF('LY Actual'!$A:$A,'Top Flash'!A34,'LY Actual'!$N:$N),0))))))))))))</f>
        <v>2803416.08</v>
      </c>
      <c r="G34" s="32">
        <f t="shared" si="18"/>
        <v>-0.64318676628814686</v>
      </c>
      <c r="H34" s="32">
        <f t="shared" si="19"/>
        <v>1.1851426635178765E-2</v>
      </c>
      <c r="I34" s="27"/>
      <c r="J34" s="31">
        <f>IF($A$3="January 2015",SUMIF('TY Actual-Forecast'!$A:$A,'Top Flash'!A34,'TY Actual-Forecast'!$U:$U),IF($A$3="February 2015",SUMIF('TY Actual-Forecast'!$A:$A,'Top Flash'!A34,'TY Actual-Forecast'!$V:$V),IF($A$3="March 2015",SUMIF('TY Actual-Forecast'!$A:$A,'Top Flash'!A34,'TY Actual-Forecast'!$W:$W),IF($A$3="April 2015",SUMIF('TY Actual-Forecast'!$A:$A,'Top Flash'!A34,'TY Actual-Forecast'!$X:$X),IF($A$3="May 2015",SUMIF('TY Actual-Forecast'!$A:$A,'Top Flash'!A34,'TY Actual-Forecast'!$Y:$Y),IF($A$3="June 2015",SUMIF('TY Actual-Forecast'!$A:$A,'Top Flash'!A34,'TY Actual-Forecast'!$Z:$Z),IF($A$3="July 2015",SUMIF('TY Actual-Forecast'!$A:$A,'Top Flash'!A34,'TY Actual-Forecast'!$AA:$AA),IF($A$3="August 2015",SUMIF('TY Actual-Forecast'!$A:$A,'Top Flash'!A34,'TY Actual-Forecast'!$AB:$AB),IF($A$3="September 2015",SUMIF('TY Actual-Forecast'!$A:$A,'Top Flash'!A34,'TY Actual-Forecast'!$AC:$AC),IF($A$3="October 2015",SUMIF('TY Actual-Forecast'!$A:$A,'Top Flash'!A34,'TY Actual-Forecast'!$AD:$AD),IF($A$3="November 2015",SUMIF('TY Actual-Forecast'!$A:$A,'Top Flash'!A34,'TY Actual-Forecast'!$AE:$AE),IF($A$3="December 2015",SUMIF('TY Actual-Forecast'!$A:$A,'Top Flash'!A34,'TY Actual-Forecast'!$AF:$AF),0))))))))))))</f>
        <v>21954938.710000001</v>
      </c>
      <c r="K34" s="31">
        <f>IF($A$3="January 2015",SUMIF('TY Budget'!$A:$A,'Top Flash'!A34,'TY Budget'!$U:$U),IF($A$3="February 2015",SUMIF('TY Budget'!$A:$A,'Top Flash'!A34,'TY Budget'!$V:$V),IF($A$3="March 2015",SUMIF('TY Budget'!$A:$A,'Top Flash'!A34,'TY Budget'!$W:$W),IF($A$3="April 2015",SUMIF('TY Budget'!$A:$A,'Top Flash'!A34,'TY Budget'!$X:$X),IF($A$3="May 2015",SUMIF('TY Budget'!$A:$A,'Top Flash'!A34,'TY Budget'!$Y:$Y),IF($A$3="June 2015",SUMIF('TY Budget'!$A:$A,'Top Flash'!A34,'TY Budget'!$Z:$Z),IF($A$3="July 2015",SUMIF('TY Budget'!$A:$A,'Top Flash'!A34,'TY Budget'!$AA:$AA),IF($A$3="August 2015",SUMIF('TY Budget'!$A:$A,'Top Flash'!A34,'TY Budget'!$AB:$AB),IF($A$3="September 2015",SUMIF('TY Budget'!$A:$A,'Top Flash'!A34,'TY Budget'!$AC:$AC),IF($A$3="October 2015",SUMIF('TY Budget'!$A:$A,'Top Flash'!A34,'TY Budget'!$AD:$AD),IF($A$3="November 2015",SUMIF('TY Budget'!$A:$A,'Top Flash'!A34,'TY Budget'!$AE:$AE),IF($A$3="December 2015",SUMIF('TY Budget'!$A:$A,'Top Flash'!A34,'TY Budget'!$AF:$AF),0))))))))))))</f>
        <v>21720433.692666665</v>
      </c>
      <c r="L34" s="31">
        <f>IF($A$3="January 2015",SUMIF('LY Actual'!$A:$A,'Top Flash'!A34,'LY Actual'!$U:$U),IF($A$3="February 2015",SUMIF('LY Actual'!$A:$A,'Top Flash'!A34,'LY Actual'!$V:$V),IF($A$3="March 2015",SUMIF('LY Actual'!$A:$A,'Top Flash'!A34,'LY Actual'!$W:$W),IF($A$3="April 2015",SUMIF('LY Actual'!$A:$A,'Top Flash'!A34,'LY Actual'!$X:$X),IF($A$3="May 2015",SUMIF('LY Actual'!$A:$A,'Top Flash'!A34,'LY Actual'!$Y:$Y),IF($A$3="June 2015",SUMIF('LY Actual'!$A:$A,'Top Flash'!A34,'LY Actual'!$Z:$Z),IF($A$3="July 2015",SUMIF('LY Actual'!$A:$A,'Top Flash'!A34,'LY Actual'!$AA:$AA),IF($A$3="August 2015",SUMIF('LY Actual'!$A:$A,'Top Flash'!A34,'LY Actual'!$AB:$AB),IF($A$3="September 2015",SUMIF('LY Actual'!$A:$A,'Top Flash'!A34,'LY Actual'!$AC:$AC),IF($A$3="October 2015",SUMIF('LY Actual'!$A:$A,'Top Flash'!A34,'LY Actual'!$AD:$AD),IF($A$3="November 2015",SUMIF('LY Actual'!$A:$A,'Top Flash'!A34,'LY Actual'!$AE:$AE),IF($A$3="December 2015",SUMIF('LY Actual'!$A:$A,'Top Flash'!A34,'LY Actual'!$AF:$AF),0))))))))))))</f>
        <v>23110757.639166661</v>
      </c>
      <c r="M34" s="32">
        <f t="shared" si="17"/>
        <v>-1.0796516342696722E-2</v>
      </c>
      <c r="N34" s="32">
        <f t="shared" si="17"/>
        <v>5.0012160882508254E-2</v>
      </c>
      <c r="O34" s="28"/>
      <c r="P34" s="31">
        <f>'TY Actual-Forecast'!O34</f>
        <v>21954938.710000001</v>
      </c>
      <c r="Q34" s="31">
        <f>'Variance Analysis'!J34</f>
        <v>22121250.949999999</v>
      </c>
      <c r="R34" s="31">
        <f>'TY Budget'!O34</f>
        <v>21720433.692666665</v>
      </c>
      <c r="S34" s="31">
        <f>'LY Actual'!O34</f>
        <v>23110757.639166661</v>
      </c>
      <c r="T34" s="32">
        <f t="shared" si="20"/>
        <v>-1.0796516342696722E-2</v>
      </c>
      <c r="U34" s="32">
        <f t="shared" si="21"/>
        <v>5.0012160882508254E-2</v>
      </c>
    </row>
    <row r="35" spans="1:21" ht="15" customHeight="1">
      <c r="A35" s="39" t="s">
        <v>190</v>
      </c>
      <c r="B35" s="36"/>
      <c r="C35" s="31">
        <f>IF($A$3="January 2015",SUMIF('TY Actual-Forecast'!$A:$A,'Top Flash'!A35,'TY Actual-Forecast'!$C:$C),IF($A$3="February 2015",SUMIF('TY Actual-Forecast'!$A:$A,'Top Flash'!A35,'TY Actual-Forecast'!$D:$D),IF($A$3="March 2015",SUMIF('TY Actual-Forecast'!$A:$A,'Top Flash'!A35,'TY Actual-Forecast'!$E:$E),IF($A$3="April 2015",SUMIF('TY Actual-Forecast'!$A:$A,'Top Flash'!A35,'TY Actual-Forecast'!$F:$F),IF($A$3="May 2015",SUMIF('TY Actual-Forecast'!$A:$A,'Top Flash'!A35,'TY Actual-Forecast'!$G:$G),IF($A$3="June 2015",SUMIF('TY Actual-Forecast'!$A:$A,'Top Flash'!A35,'TY Actual-Forecast'!$H:$H),IF($A$3="July 2015",SUMIF('TY Actual-Forecast'!$A:$A,'Top Flash'!A35,'TY Actual-Forecast'!$I:$I),IF($A$3="August 2015",SUMIF('TY Actual-Forecast'!$A:$A,'Top Flash'!A35,'TY Actual-Forecast'!$J:$J),IF($A$3="September 2015",SUMIF('TY Actual-Forecast'!$A:$A,'Top Flash'!A35,'TY Actual-Forecast'!$K:$K),IF($A$3="October 2015",SUMIF('TY Actual-Forecast'!$A:$A,'Top Flash'!A35,'TY Actual-Forecast'!$L:$L),IF($A$3="November 2015",SUMIF('TY Actual-Forecast'!$A:$A,'Top Flash'!A35,'TY Actual-Forecast'!$M:$M),IF($A$3="December 2015",SUMIF('TY Actual-Forecast'!$A:$A,'Top Flash'!A35,'TY Actual-Forecast'!$N:$N),0))))))))))))</f>
        <v>2133498.66</v>
      </c>
      <c r="D35" s="31">
        <f>'Variance Analysis'!D35</f>
        <v>1646367</v>
      </c>
      <c r="E35" s="31">
        <f>IF($A$3="January 2015",SUMIF('TY Budget'!$A:$A,'Top Flash'!A35,'TY Budget'!$C:$C),IF($A$3="February 2015",SUMIF('TY Budget'!$A:$A,'Top Flash'!A35,'TY Budget'!$D:$D),IF($A$3="March 2015",SUMIF('TY Budget'!$A:$A,'Top Flash'!A35,'TY Budget'!$E:$E),IF($A$3="April 2015",SUMIF('TY Budget'!$A:$A,'Top Flash'!A35,'TY Budget'!$F:$F),IF($A$3="May 2015",SUMIF('TY Budget'!$A:$A,'Top Flash'!A35,'TY Budget'!$G:$G),IF($A$3="June 2015",SUMIF('TY Budget'!$A:$A,'Top Flash'!A35,'TY Budget'!$H:$H),IF($A$3="July 2015",SUMIF('TY Budget'!$A:$A,'Top Flash'!A35,'TY Budget'!$I:$I),IF($A$3="August 2015",SUMIF('TY Budget'!$A:$A,'Top Flash'!A35,'TY Budget'!$J:$J),IF($A$3="September 2015",SUMIF('TY Budget'!$A:$A,'Top Flash'!A35,'TY Budget'!$K:$K),IF($A$3="October 2015",SUMIF('TY Budget'!$A:$A,'Top Flash'!A35,'TY Budget'!$L:$L),IF($A$3="November 2015",SUMIF('TY Budget'!$A:$A,'Top Flash'!A35,'TY Budget'!$M:$M),IF($A$3="December 2015",SUMIF('TY Budget'!$A:$A,'Top Flash'!A35,'TY Budget'!$N:$N),0))))))))))))</f>
        <v>1580922.166666667</v>
      </c>
      <c r="F35" s="31">
        <f>IF($A$3="January 2015",SUMIF('LY Actual'!$A:$A,'Top Flash'!A35,'LY Actual'!$C:$C),IF($A$3="February 2015",SUMIF('LY Actual'!$A:$A,'Top Flash'!A35,'LY Actual'!$D:$D),IF($A$3="March 2015",SUMIF('LY Actual'!$A:$A,'Top Flash'!A35,'LY Actual'!$E:$E),IF($A$3="April 2015",SUMIF('LY Actual'!$A:$A,'Top Flash'!A35,'LY Actual'!$F:$F),IF($A$3="May 2015",SUMIF('LY Actual'!$A:$A,'Top Flash'!A35,'LY Actual'!$G:$G),IF($A$3="June 2015",SUMIF('LY Actual'!$A:$A,'Top Flash'!A35,'LY Actual'!$H:$H),IF($A$3="July 2015",SUMIF('LY Actual'!$A:$A,'Top Flash'!A35,'LY Actual'!$I:$I),IF($A$3="August 2015",SUMIF('LY Actual'!$A:$A,'Top Flash'!A35,'LY Actual'!$J:$J),IF($A$3="September 2015",SUMIF('LY Actual'!$A:$A,'Top Flash'!A35,'LY Actual'!$K:$K),IF($A$3="October 2015",SUMIF('LY Actual'!$A:$A,'Top Flash'!A35,'LY Actual'!$L:$L),IF($A$3="November 2015",SUMIF('LY Actual'!$A:$A,'Top Flash'!A35,'LY Actual'!$M:$M),IF($A$3="December 2015",SUMIF('LY Actual'!$A:$A,'Top Flash'!A35,'LY Actual'!$N:$N),0))))))))))))</f>
        <v>1459294.24</v>
      </c>
      <c r="G35" s="32">
        <f t="shared" si="18"/>
        <v>-0.34952795588819291</v>
      </c>
      <c r="H35" s="32">
        <f t="shared" si="19"/>
        <v>-0.46200718232122956</v>
      </c>
      <c r="I35" s="27"/>
      <c r="J35" s="31">
        <f>IF($A$3="January 2015",SUMIF('TY Actual-Forecast'!$A:$A,'Top Flash'!A35,'TY Actual-Forecast'!$U:$U),IF($A$3="February 2015",SUMIF('TY Actual-Forecast'!$A:$A,'Top Flash'!A35,'TY Actual-Forecast'!$V:$V),IF($A$3="March 2015",SUMIF('TY Actual-Forecast'!$A:$A,'Top Flash'!A35,'TY Actual-Forecast'!$W:$W),IF($A$3="April 2015",SUMIF('TY Actual-Forecast'!$A:$A,'Top Flash'!A35,'TY Actual-Forecast'!$X:$X),IF($A$3="May 2015",SUMIF('TY Actual-Forecast'!$A:$A,'Top Flash'!A35,'TY Actual-Forecast'!$Y:$Y),IF($A$3="June 2015",SUMIF('TY Actual-Forecast'!$A:$A,'Top Flash'!A35,'TY Actual-Forecast'!$Z:$Z),IF($A$3="July 2015",SUMIF('TY Actual-Forecast'!$A:$A,'Top Flash'!A35,'TY Actual-Forecast'!$AA:$AA),IF($A$3="August 2015",SUMIF('TY Actual-Forecast'!$A:$A,'Top Flash'!A35,'TY Actual-Forecast'!$AB:$AB),IF($A$3="September 2015",SUMIF('TY Actual-Forecast'!$A:$A,'Top Flash'!A35,'TY Actual-Forecast'!$AC:$AC),IF($A$3="October 2015",SUMIF('TY Actual-Forecast'!$A:$A,'Top Flash'!A35,'TY Actual-Forecast'!$AD:$AD),IF($A$3="November 2015",SUMIF('TY Actual-Forecast'!$A:$A,'Top Flash'!A35,'TY Actual-Forecast'!$AE:$AE),IF($A$3="December 2015",SUMIF('TY Actual-Forecast'!$A:$A,'Top Flash'!A35,'TY Actual-Forecast'!$AF:$AF),0))))))))))))</f>
        <v>21426226.859999999</v>
      </c>
      <c r="K35" s="31">
        <f>IF($A$3="January 2015",SUMIF('TY Budget'!$A:$A,'Top Flash'!A35,'TY Budget'!$U:$U),IF($A$3="February 2015",SUMIF('TY Budget'!$A:$A,'Top Flash'!A35,'TY Budget'!$V:$V),IF($A$3="March 2015",SUMIF('TY Budget'!$A:$A,'Top Flash'!A35,'TY Budget'!$W:$W),IF($A$3="April 2015",SUMIF('TY Budget'!$A:$A,'Top Flash'!A35,'TY Budget'!$X:$X),IF($A$3="May 2015",SUMIF('TY Budget'!$A:$A,'Top Flash'!A35,'TY Budget'!$Y:$Y),IF($A$3="June 2015",SUMIF('TY Budget'!$A:$A,'Top Flash'!A35,'TY Budget'!$Z:$Z),IF($A$3="July 2015",SUMIF('TY Budget'!$A:$A,'Top Flash'!A35,'TY Budget'!$AA:$AA),IF($A$3="August 2015",SUMIF('TY Budget'!$A:$A,'Top Flash'!A35,'TY Budget'!$AB:$AB),IF($A$3="September 2015",SUMIF('TY Budget'!$A:$A,'Top Flash'!A35,'TY Budget'!$AC:$AC),IF($A$3="October 2015",SUMIF('TY Budget'!$A:$A,'Top Flash'!A35,'TY Budget'!$AD:$AD),IF($A$3="November 2015",SUMIF('TY Budget'!$A:$A,'Top Flash'!A35,'TY Budget'!$AE:$AE),IF($A$3="December 2015",SUMIF('TY Budget'!$A:$A,'Top Flash'!A35,'TY Budget'!$AF:$AF),0))))))))))))</f>
        <v>18415479.680000003</v>
      </c>
      <c r="L35" s="31">
        <f>IF($A$3="January 2015",SUMIF('LY Actual'!$A:$A,'Top Flash'!A35,'LY Actual'!$U:$U),IF($A$3="February 2015",SUMIF('LY Actual'!$A:$A,'Top Flash'!A35,'LY Actual'!$V:$V),IF($A$3="March 2015",SUMIF('LY Actual'!$A:$A,'Top Flash'!A35,'LY Actual'!$W:$W),IF($A$3="April 2015",SUMIF('LY Actual'!$A:$A,'Top Flash'!A35,'LY Actual'!$X:$X),IF($A$3="May 2015",SUMIF('LY Actual'!$A:$A,'Top Flash'!A35,'LY Actual'!$Y:$Y),IF($A$3="June 2015",SUMIF('LY Actual'!$A:$A,'Top Flash'!A35,'LY Actual'!$Z:$Z),IF($A$3="July 2015",SUMIF('LY Actual'!$A:$A,'Top Flash'!A35,'LY Actual'!$AA:$AA),IF($A$3="August 2015",SUMIF('LY Actual'!$A:$A,'Top Flash'!A35,'LY Actual'!$AB:$AB),IF($A$3="September 2015",SUMIF('LY Actual'!$A:$A,'Top Flash'!A35,'LY Actual'!$AC:$AC),IF($A$3="October 2015",SUMIF('LY Actual'!$A:$A,'Top Flash'!A35,'LY Actual'!$AD:$AD),IF($A$3="November 2015",SUMIF('LY Actual'!$A:$A,'Top Flash'!A35,'LY Actual'!$AE:$AE),IF($A$3="December 2015",SUMIF('LY Actual'!$A:$A,'Top Flash'!A35,'LY Actual'!$AF:$AF),0))))))))))))</f>
        <v>17342849.064999998</v>
      </c>
      <c r="M35" s="32">
        <f t="shared" si="17"/>
        <v>-0.1634900221073142</v>
      </c>
      <c r="N35" s="32">
        <f t="shared" si="17"/>
        <v>-0.23545022964195431</v>
      </c>
      <c r="O35" s="28"/>
      <c r="P35" s="31">
        <f>'TY Actual-Forecast'!O35</f>
        <v>21426226.859999999</v>
      </c>
      <c r="Q35" s="31">
        <f>'Variance Analysis'!J35</f>
        <v>20869037.190000001</v>
      </c>
      <c r="R35" s="31">
        <f>'TY Budget'!O35</f>
        <v>18415479.680000003</v>
      </c>
      <c r="S35" s="31">
        <f>'LY Actual'!O35</f>
        <v>17342849.064999998</v>
      </c>
      <c r="T35" s="32">
        <f t="shared" si="20"/>
        <v>-0.1634900221073142</v>
      </c>
      <c r="U35" s="32">
        <f t="shared" si="21"/>
        <v>-0.23545022964195431</v>
      </c>
    </row>
    <row r="36" spans="1:21" ht="15.75" customHeight="1">
      <c r="A36" s="39" t="s">
        <v>20</v>
      </c>
      <c r="B36" s="36"/>
      <c r="C36" s="31">
        <f>IF($A$3="January 2015",SUMIF('TY Actual-Forecast'!$A:$A,'Top Flash'!A36,'TY Actual-Forecast'!$C:$C),IF($A$3="February 2015",SUMIF('TY Actual-Forecast'!$A:$A,'Top Flash'!A36,'TY Actual-Forecast'!$D:$D),IF($A$3="March 2015",SUMIF('TY Actual-Forecast'!$A:$A,'Top Flash'!A36,'TY Actual-Forecast'!$E:$E),IF($A$3="April 2015",SUMIF('TY Actual-Forecast'!$A:$A,'Top Flash'!A36,'TY Actual-Forecast'!$F:$F),IF($A$3="May 2015",SUMIF('TY Actual-Forecast'!$A:$A,'Top Flash'!A36,'TY Actual-Forecast'!$G:$G),IF($A$3="June 2015",SUMIF('TY Actual-Forecast'!$A:$A,'Top Flash'!A36,'TY Actual-Forecast'!$H:$H),IF($A$3="July 2015",SUMIF('TY Actual-Forecast'!$A:$A,'Top Flash'!A36,'TY Actual-Forecast'!$I:$I),IF($A$3="August 2015",SUMIF('TY Actual-Forecast'!$A:$A,'Top Flash'!A36,'TY Actual-Forecast'!$J:$J),IF($A$3="September 2015",SUMIF('TY Actual-Forecast'!$A:$A,'Top Flash'!A36,'TY Actual-Forecast'!$K:$K),IF($A$3="October 2015",SUMIF('TY Actual-Forecast'!$A:$A,'Top Flash'!A36,'TY Actual-Forecast'!$L:$L),IF($A$3="November 2015",SUMIF('TY Actual-Forecast'!$A:$A,'Top Flash'!A36,'TY Actual-Forecast'!$M:$M),IF($A$3="December 2015",SUMIF('TY Actual-Forecast'!$A:$A,'Top Flash'!A36,'TY Actual-Forecast'!$N:$N),0))))))))))))</f>
        <v>3737239.89</v>
      </c>
      <c r="D36" s="31">
        <f>'Variance Analysis'!D36</f>
        <v>3800000</v>
      </c>
      <c r="E36" s="31">
        <f>IF($A$3="January 2015",SUMIF('TY Budget'!$A:$A,'Top Flash'!A36,'TY Budget'!$C:$C),IF($A$3="February 2015",SUMIF('TY Budget'!$A:$A,'Top Flash'!A36,'TY Budget'!$D:$D),IF($A$3="March 2015",SUMIF('TY Budget'!$A:$A,'Top Flash'!A36,'TY Budget'!$E:$E),IF($A$3="April 2015",SUMIF('TY Budget'!$A:$A,'Top Flash'!A36,'TY Budget'!$F:$F),IF($A$3="May 2015",SUMIF('TY Budget'!$A:$A,'Top Flash'!A36,'TY Budget'!$G:$G),IF($A$3="June 2015",SUMIF('TY Budget'!$A:$A,'Top Flash'!A36,'TY Budget'!$H:$H),IF($A$3="July 2015",SUMIF('TY Budget'!$A:$A,'Top Flash'!A36,'TY Budget'!$I:$I),IF($A$3="August 2015",SUMIF('TY Budget'!$A:$A,'Top Flash'!A36,'TY Budget'!$J:$J),IF($A$3="September 2015",SUMIF('TY Budget'!$A:$A,'Top Flash'!A36,'TY Budget'!$K:$K),IF($A$3="October 2015",SUMIF('TY Budget'!$A:$A,'Top Flash'!A36,'TY Budget'!$L:$L),IF($A$3="November 2015",SUMIF('TY Budget'!$A:$A,'Top Flash'!A36,'TY Budget'!$M:$M),IF($A$3="December 2015",SUMIF('TY Budget'!$A:$A,'Top Flash'!A36,'TY Budget'!$N:$N),0))))))))))))</f>
        <v>5062837.45</v>
      </c>
      <c r="F36" s="31">
        <f>IF($A$3="January 2015",SUMIF('LY Actual'!$A:$A,'Top Flash'!A36,'LY Actual'!$C:$C),IF($A$3="February 2015",SUMIF('LY Actual'!$A:$A,'Top Flash'!A36,'LY Actual'!$D:$D),IF($A$3="March 2015",SUMIF('LY Actual'!$A:$A,'Top Flash'!A36,'LY Actual'!$E:$E),IF($A$3="April 2015",SUMIF('LY Actual'!$A:$A,'Top Flash'!A36,'LY Actual'!$F:$F),IF($A$3="May 2015",SUMIF('LY Actual'!$A:$A,'Top Flash'!A36,'LY Actual'!$G:$G),IF($A$3="June 2015",SUMIF('LY Actual'!$A:$A,'Top Flash'!A36,'LY Actual'!$H:$H),IF($A$3="July 2015",SUMIF('LY Actual'!$A:$A,'Top Flash'!A36,'LY Actual'!$I:$I),IF($A$3="August 2015",SUMIF('LY Actual'!$A:$A,'Top Flash'!A36,'LY Actual'!$J:$J),IF($A$3="September 2015",SUMIF('LY Actual'!$A:$A,'Top Flash'!A36,'LY Actual'!$K:$K),IF($A$3="October 2015",SUMIF('LY Actual'!$A:$A,'Top Flash'!A36,'LY Actual'!$L:$L),IF($A$3="November 2015",SUMIF('LY Actual'!$A:$A,'Top Flash'!A36,'LY Actual'!$M:$M),IF($A$3="December 2015",SUMIF('LY Actual'!$A:$A,'Top Flash'!A36,'LY Actual'!$N:$N),0))))))))))))</f>
        <v>3861096.49</v>
      </c>
      <c r="G36" s="32">
        <f t="shared" si="18"/>
        <v>0.26182897892564178</v>
      </c>
      <c r="H36" s="32">
        <f t="shared" si="19"/>
        <v>3.2078089817434242E-2</v>
      </c>
      <c r="I36" s="27"/>
      <c r="J36" s="31">
        <f>IF($A$3="January 2015",SUMIF('TY Actual-Forecast'!$A:$A,'Top Flash'!A36,'TY Actual-Forecast'!$U:$U),IF($A$3="February 2015",SUMIF('TY Actual-Forecast'!$A:$A,'Top Flash'!A36,'TY Actual-Forecast'!$V:$V),IF($A$3="March 2015",SUMIF('TY Actual-Forecast'!$A:$A,'Top Flash'!A36,'TY Actual-Forecast'!$W:$W),IF($A$3="April 2015",SUMIF('TY Actual-Forecast'!$A:$A,'Top Flash'!A36,'TY Actual-Forecast'!$X:$X),IF($A$3="May 2015",SUMIF('TY Actual-Forecast'!$A:$A,'Top Flash'!A36,'TY Actual-Forecast'!$Y:$Y),IF($A$3="June 2015",SUMIF('TY Actual-Forecast'!$A:$A,'Top Flash'!A36,'TY Actual-Forecast'!$Z:$Z),IF($A$3="July 2015",SUMIF('TY Actual-Forecast'!$A:$A,'Top Flash'!A36,'TY Actual-Forecast'!$AA:$AA),IF($A$3="August 2015",SUMIF('TY Actual-Forecast'!$A:$A,'Top Flash'!A36,'TY Actual-Forecast'!$AB:$AB),IF($A$3="September 2015",SUMIF('TY Actual-Forecast'!$A:$A,'Top Flash'!A36,'TY Actual-Forecast'!$AC:$AC),IF($A$3="October 2015",SUMIF('TY Actual-Forecast'!$A:$A,'Top Flash'!A36,'TY Actual-Forecast'!$AD:$AD),IF($A$3="November 2015",SUMIF('TY Actual-Forecast'!$A:$A,'Top Flash'!A36,'TY Actual-Forecast'!$AE:$AE),IF($A$3="December 2015",SUMIF('TY Actual-Forecast'!$A:$A,'Top Flash'!A36,'TY Actual-Forecast'!$AF:$AF),0))))))))))))</f>
        <v>46399048.970000006</v>
      </c>
      <c r="K36" s="31">
        <f>IF($A$3="January 2015",SUMIF('TY Budget'!$A:$A,'Top Flash'!A36,'TY Budget'!$U:$U),IF($A$3="February 2015",SUMIF('TY Budget'!$A:$A,'Top Flash'!A36,'TY Budget'!$V:$V),IF($A$3="March 2015",SUMIF('TY Budget'!$A:$A,'Top Flash'!A36,'TY Budget'!$W:$W),IF($A$3="April 2015",SUMIF('TY Budget'!$A:$A,'Top Flash'!A36,'TY Budget'!$X:$X),IF($A$3="May 2015",SUMIF('TY Budget'!$A:$A,'Top Flash'!A36,'TY Budget'!$Y:$Y),IF($A$3="June 2015",SUMIF('TY Budget'!$A:$A,'Top Flash'!A36,'TY Budget'!$Z:$Z),IF($A$3="July 2015",SUMIF('TY Budget'!$A:$A,'Top Flash'!A36,'TY Budget'!$AA:$AA),IF($A$3="August 2015",SUMIF('TY Budget'!$A:$A,'Top Flash'!A36,'TY Budget'!$AB:$AB),IF($A$3="September 2015",SUMIF('TY Budget'!$A:$A,'Top Flash'!A36,'TY Budget'!$AC:$AC),IF($A$3="October 2015",SUMIF('TY Budget'!$A:$A,'Top Flash'!A36,'TY Budget'!$AD:$AD),IF($A$3="November 2015",SUMIF('TY Budget'!$A:$A,'Top Flash'!A36,'TY Budget'!$AE:$AE),IF($A$3="December 2015",SUMIF('TY Budget'!$A:$A,'Top Flash'!A36,'TY Budget'!$AF:$AF),0))))))))))))</f>
        <v>53993114.410000004</v>
      </c>
      <c r="L36" s="31">
        <f>IF($A$3="January 2015",SUMIF('LY Actual'!$A:$A,'Top Flash'!A36,'LY Actual'!$U:$U),IF($A$3="February 2015",SUMIF('LY Actual'!$A:$A,'Top Flash'!A36,'LY Actual'!$V:$V),IF($A$3="March 2015",SUMIF('LY Actual'!$A:$A,'Top Flash'!A36,'LY Actual'!$W:$W),IF($A$3="April 2015",SUMIF('LY Actual'!$A:$A,'Top Flash'!A36,'LY Actual'!$X:$X),IF($A$3="May 2015",SUMIF('LY Actual'!$A:$A,'Top Flash'!A36,'LY Actual'!$Y:$Y),IF($A$3="June 2015",SUMIF('LY Actual'!$A:$A,'Top Flash'!A36,'LY Actual'!$Z:$Z),IF($A$3="July 2015",SUMIF('LY Actual'!$A:$A,'Top Flash'!A36,'LY Actual'!$AA:$AA),IF($A$3="August 2015",SUMIF('LY Actual'!$A:$A,'Top Flash'!A36,'LY Actual'!$AB:$AB),IF($A$3="September 2015",SUMIF('LY Actual'!$A:$A,'Top Flash'!A36,'LY Actual'!$AC:$AC),IF($A$3="October 2015",SUMIF('LY Actual'!$A:$A,'Top Flash'!A36,'LY Actual'!$AD:$AD),IF($A$3="November 2015",SUMIF('LY Actual'!$A:$A,'Top Flash'!A36,'LY Actual'!$AE:$AE),IF($A$3="December 2015",SUMIF('LY Actual'!$A:$A,'Top Flash'!A36,'LY Actual'!$AF:$AF),0))))))))))))</f>
        <v>45466212.380000003</v>
      </c>
      <c r="M36" s="32">
        <f t="shared" si="17"/>
        <v>0.14064877573710602</v>
      </c>
      <c r="N36" s="32">
        <f t="shared" si="17"/>
        <v>-2.051713879756446E-2</v>
      </c>
      <c r="O36" s="28"/>
      <c r="P36" s="31">
        <f>'TY Actual-Forecast'!O36</f>
        <v>46399048.970000006</v>
      </c>
      <c r="Q36" s="31">
        <f>'Variance Analysis'!J36</f>
        <v>46460319.800000004</v>
      </c>
      <c r="R36" s="31">
        <f>'TY Budget'!O36</f>
        <v>53993114.410000004</v>
      </c>
      <c r="S36" s="31">
        <f>'LY Actual'!O36</f>
        <v>45466212.380000003</v>
      </c>
      <c r="T36" s="32">
        <f t="shared" si="20"/>
        <v>0.14064877573710602</v>
      </c>
      <c r="U36" s="32">
        <f t="shared" si="21"/>
        <v>-2.051713879756446E-2</v>
      </c>
    </row>
    <row r="37" spans="1:21" s="24" customFormat="1" ht="15.75" customHeight="1">
      <c r="A37" s="39" t="s">
        <v>23</v>
      </c>
      <c r="B37" s="36"/>
      <c r="C37" s="22">
        <f>SUBTOTAL(9,C32:C36)</f>
        <v>13703671.760000002</v>
      </c>
      <c r="D37" s="22">
        <f>SUBTOTAL(9,D32:D36)</f>
        <v>12071041</v>
      </c>
      <c r="E37" s="22">
        <f>SUBTOTAL(9,E32:E36)</f>
        <v>12554521.026666667</v>
      </c>
      <c r="F37" s="22">
        <f>SUBTOTAL(9,F32:F36)</f>
        <v>13477049</v>
      </c>
      <c r="G37" s="23">
        <f>-IFERROR((+C37-E37)/E37,)</f>
        <v>-9.153282159410614E-2</v>
      </c>
      <c r="H37" s="23">
        <f>-IFERROR((+C37-F37)/F37,)</f>
        <v>-1.6815458636382612E-2</v>
      </c>
      <c r="I37" s="37"/>
      <c r="J37" s="22">
        <f>SUBTOTAL(9,J32:J36)</f>
        <v>139418758.57000002</v>
      </c>
      <c r="K37" s="22">
        <f>SUBTOTAL(9,K32:K36)</f>
        <v>137314064.70066667</v>
      </c>
      <c r="L37" s="22">
        <f>SUBTOTAL(9,L32:L36)</f>
        <v>126721005.80416664</v>
      </c>
      <c r="M37" s="23">
        <f>-IFERROR((+$J37-K37)/K37,)</f>
        <v>-1.5327591342674297E-2</v>
      </c>
      <c r="N37" s="23">
        <f>-IFERROR((+$J37-L37)/L37,)</f>
        <v>-0.10020243041202148</v>
      </c>
      <c r="O37" s="38"/>
      <c r="P37" s="22">
        <f t="shared" ref="P37:S37" si="22">SUBTOTAL(9,P32:P36)</f>
        <v>139418758.57000002</v>
      </c>
      <c r="Q37" s="22">
        <f t="shared" si="22"/>
        <v>138051249.90000001</v>
      </c>
      <c r="R37" s="22">
        <f t="shared" si="22"/>
        <v>137314064.70066667</v>
      </c>
      <c r="S37" s="22">
        <f t="shared" si="22"/>
        <v>126721005.80416664</v>
      </c>
      <c r="T37" s="23">
        <f>-IFERROR((+P37-R37)/R37,)</f>
        <v>-1.5327591342674297E-2</v>
      </c>
      <c r="U37" s="23">
        <f>-IFERROR((+P37-S37)/S37,)</f>
        <v>-0.10020243041202148</v>
      </c>
    </row>
    <row r="38" spans="1:21" ht="15" customHeight="1">
      <c r="A38" s="18"/>
      <c r="B38" s="18"/>
      <c r="C38" s="26"/>
      <c r="D38" s="26"/>
      <c r="E38" s="26"/>
      <c r="F38" s="26"/>
      <c r="G38" s="26"/>
      <c r="H38" s="26"/>
      <c r="I38" s="27"/>
      <c r="J38" s="26"/>
      <c r="K38" s="26"/>
      <c r="L38" s="26"/>
      <c r="M38" s="26"/>
      <c r="N38" s="26"/>
      <c r="O38" s="28"/>
      <c r="P38" s="26"/>
      <c r="Q38" s="26"/>
      <c r="R38" s="26"/>
      <c r="S38" s="26"/>
      <c r="T38" s="26"/>
      <c r="U38" s="26"/>
    </row>
    <row r="39" spans="1:21" s="24" customFormat="1" ht="15" customHeight="1">
      <c r="A39" s="18" t="s">
        <v>15</v>
      </c>
      <c r="B39" s="18"/>
      <c r="C39" s="22">
        <f>C29+C37</f>
        <v>34419290</v>
      </c>
      <c r="D39" s="22">
        <f>D29+D37</f>
        <v>30084620.439999998</v>
      </c>
      <c r="E39" s="22">
        <f>E29+E37</f>
        <v>31148768.864922445</v>
      </c>
      <c r="F39" s="22">
        <f>F29+F37</f>
        <v>31805055.620000001</v>
      </c>
      <c r="G39" s="23">
        <f>-IFERROR((+C39-E39)/E39,)</f>
        <v>-0.1049968025786273</v>
      </c>
      <c r="H39" s="23">
        <f>-IFERROR((+C39-F39)/F39,)</f>
        <v>-8.2195560706898679E-2</v>
      </c>
      <c r="I39" s="37"/>
      <c r="J39" s="22">
        <f>J29+J37</f>
        <v>306598208.60000002</v>
      </c>
      <c r="K39" s="22">
        <f>K29+K37</f>
        <v>306766302.96435195</v>
      </c>
      <c r="L39" s="22">
        <f>L29+L37</f>
        <v>266585314.71415037</v>
      </c>
      <c r="M39" s="23">
        <f>-IFERROR((+$J39-K39)/K39,)</f>
        <v>5.4795576543966687E-4</v>
      </c>
      <c r="N39" s="23">
        <f>-IFERROR((+$J39-L39)/L39,)</f>
        <v>-0.15009414126488554</v>
      </c>
      <c r="O39" s="38"/>
      <c r="P39" s="22">
        <f t="shared" ref="P39:S39" si="23">P29+P37</f>
        <v>306598208.60000002</v>
      </c>
      <c r="Q39" s="22">
        <f t="shared" si="23"/>
        <v>302519758.69000006</v>
      </c>
      <c r="R39" s="22">
        <f t="shared" si="23"/>
        <v>306766302.96435195</v>
      </c>
      <c r="S39" s="22">
        <f t="shared" si="23"/>
        <v>266585314.71415037</v>
      </c>
      <c r="T39" s="23">
        <f>-IFERROR((+P39-R39)/R39,)</f>
        <v>5.4795576543966687E-4</v>
      </c>
      <c r="U39" s="23">
        <f>-IFERROR((+P39-S39)/S39,)</f>
        <v>-0.15009414126488554</v>
      </c>
    </row>
    <row r="40" spans="1:21" s="44" customFormat="1" ht="15" customHeight="1">
      <c r="A40" s="41" t="s">
        <v>1</v>
      </c>
      <c r="B40" s="42"/>
      <c r="C40" s="32">
        <f>IFERROR(C39/C$8,)</f>
        <v>0.52516506938899199</v>
      </c>
      <c r="D40" s="32">
        <f>IFERROR(D39/D$8,)</f>
        <v>0.48084600140233652</v>
      </c>
      <c r="E40" s="32">
        <f>IFERROR(E39/E$8,)</f>
        <v>0.50896366943974725</v>
      </c>
      <c r="F40" s="32">
        <f>IFERROR(F39/F$8,)</f>
        <v>0.53369253548202733</v>
      </c>
      <c r="G40" s="23"/>
      <c r="H40" s="23"/>
      <c r="I40" s="43"/>
      <c r="J40" s="32">
        <f>IFERROR(J39/J$8,)</f>
        <v>0.62922610487186381</v>
      </c>
      <c r="K40" s="32">
        <f>IFERROR(K39/K$8,)</f>
        <v>0.59382530697911218</v>
      </c>
      <c r="L40" s="32">
        <f>IFERROR(L39/L$8,)</f>
        <v>0.66462400353390494</v>
      </c>
      <c r="M40" s="23"/>
      <c r="N40" s="23"/>
      <c r="O40" s="43"/>
      <c r="P40" s="32">
        <f t="shared" ref="P40:S40" si="24">IFERROR(P39/P$8,)</f>
        <v>0.62922610487186381</v>
      </c>
      <c r="Q40" s="32">
        <f t="shared" si="24"/>
        <v>0.62466786043659983</v>
      </c>
      <c r="R40" s="32">
        <f t="shared" si="24"/>
        <v>0.59382530697911218</v>
      </c>
      <c r="S40" s="32">
        <f t="shared" si="24"/>
        <v>0.66462400353390494</v>
      </c>
      <c r="T40" s="23"/>
      <c r="U40" s="23"/>
    </row>
    <row r="41" spans="1:21" ht="15" customHeight="1">
      <c r="A41" s="18"/>
      <c r="B41" s="18"/>
      <c r="C41" s="26"/>
      <c r="D41" s="26"/>
      <c r="E41" s="26"/>
      <c r="F41" s="26"/>
      <c r="G41" s="26"/>
      <c r="H41" s="26"/>
      <c r="I41" s="27"/>
      <c r="J41" s="26"/>
      <c r="K41" s="26"/>
      <c r="L41" s="26"/>
      <c r="M41" s="26"/>
      <c r="N41" s="26"/>
      <c r="O41" s="28"/>
      <c r="P41" s="26"/>
      <c r="Q41" s="26"/>
      <c r="R41" s="26"/>
      <c r="S41" s="26"/>
      <c r="T41" s="26"/>
      <c r="U41" s="26"/>
    </row>
    <row r="42" spans="1:21" s="24" customFormat="1" ht="15">
      <c r="A42" s="18" t="s">
        <v>2</v>
      </c>
      <c r="B42" s="18"/>
      <c r="C42" s="72">
        <f>C8-C39</f>
        <v>31120655.450000003</v>
      </c>
      <c r="D42" s="72">
        <f>D8-D39</f>
        <v>32481399.350663505</v>
      </c>
      <c r="E42" s="72">
        <f>E8-E39</f>
        <v>30051608.952241052</v>
      </c>
      <c r="F42" s="72">
        <f>F8-F39</f>
        <v>27789286.637895551</v>
      </c>
      <c r="G42" s="73">
        <f>IFERROR(IF(E42&lt;C42,ABS((+C42-E42)/E42),(+C42-E42)/E42),)</f>
        <v>3.5573685903404137E-2</v>
      </c>
      <c r="H42" s="73">
        <f>IFERROR(IF(F42&lt;C42,ABS((+C42-F42)/F42),(+C42-F42)/F42),)</f>
        <v>0.11987960884039206</v>
      </c>
      <c r="I42" s="37"/>
      <c r="J42" s="72">
        <f>J8-J39</f>
        <v>180664170.09999996</v>
      </c>
      <c r="K42" s="72">
        <f>K8-K39</f>
        <v>209827212.60156929</v>
      </c>
      <c r="L42" s="72">
        <f>L8-L39</f>
        <v>134521646.96143836</v>
      </c>
      <c r="M42" s="73">
        <f>IFERROR(IF(K42&lt;J42,ABS((+J42-K42)/K42),(+J42-K42)/K42),)</f>
        <v>-0.13898598823283048</v>
      </c>
      <c r="N42" s="73">
        <f>IFERROR(IF(L42&lt;J42,ABS((+J42-L42)/L42),(+J42-L42)/L42),)</f>
        <v>0.3430118808446399</v>
      </c>
      <c r="O42" s="38"/>
      <c r="P42" s="72">
        <f t="shared" ref="P42:S42" si="25">P8-P39</f>
        <v>180664170.09999996</v>
      </c>
      <c r="Q42" s="72">
        <f t="shared" si="25"/>
        <v>181769217.66066343</v>
      </c>
      <c r="R42" s="72">
        <f t="shared" si="25"/>
        <v>209827212.60156929</v>
      </c>
      <c r="S42" s="72">
        <f t="shared" si="25"/>
        <v>134521646.96143836</v>
      </c>
      <c r="T42" s="73">
        <f>IFERROR(IF(R42&lt;P42,ABS((+P42-R42)/R42),(+P42-R42)/R42),)</f>
        <v>-0.13898598823283048</v>
      </c>
      <c r="U42" s="73">
        <f>IFERROR(IF(S42&lt;P42,ABS((+P42-S42)/S42),(+P42-S42)/S42),)</f>
        <v>0.3430118808446399</v>
      </c>
    </row>
    <row r="43" spans="1:21" s="48" customFormat="1" ht="15">
      <c r="A43" s="45" t="s">
        <v>1</v>
      </c>
      <c r="B43" s="46"/>
      <c r="C43" s="32">
        <f>IFERROR(C42/C$8,)</f>
        <v>0.47483493061100801</v>
      </c>
      <c r="D43" s="32">
        <f>IFERROR(D42/D$8,)</f>
        <v>0.51915399859766342</v>
      </c>
      <c r="E43" s="32">
        <f>IFERROR(E42/E$8,)</f>
        <v>0.4910363305602527</v>
      </c>
      <c r="F43" s="32">
        <f>IFERROR(F42/F$8,)</f>
        <v>0.46630746451797267</v>
      </c>
      <c r="G43" s="23"/>
      <c r="H43" s="23"/>
      <c r="I43" s="47"/>
      <c r="J43" s="32">
        <f>IFERROR(J42/J$8,)</f>
        <v>0.37077389512813619</v>
      </c>
      <c r="K43" s="32">
        <f>IFERROR(K42/K$8,)</f>
        <v>0.40617469302088782</v>
      </c>
      <c r="L43" s="32">
        <f>IFERROR(L42/L$8,)</f>
        <v>0.33537599646609501</v>
      </c>
      <c r="M43" s="23"/>
      <c r="N43" s="23"/>
      <c r="O43" s="47"/>
      <c r="P43" s="32">
        <f t="shared" ref="P43:S43" si="26">IFERROR(P42/P$8,)</f>
        <v>0.37077389512813619</v>
      </c>
      <c r="Q43" s="32">
        <f t="shared" si="26"/>
        <v>0.37533213956340017</v>
      </c>
      <c r="R43" s="32">
        <f t="shared" si="26"/>
        <v>0.40617469302088782</v>
      </c>
      <c r="S43" s="32">
        <f t="shared" si="26"/>
        <v>0.33537599646609501</v>
      </c>
      <c r="T43" s="23"/>
      <c r="U43" s="23"/>
    </row>
    <row r="44" spans="1:21" ht="15">
      <c r="A44" s="18"/>
      <c r="B44" s="18"/>
      <c r="C44" s="40"/>
      <c r="D44" s="40"/>
      <c r="E44" s="40"/>
      <c r="F44" s="40"/>
      <c r="G44" s="40"/>
      <c r="H44" s="26"/>
      <c r="I44" s="27"/>
      <c r="J44" s="40"/>
      <c r="K44" s="40"/>
      <c r="L44" s="40"/>
      <c r="M44" s="40"/>
      <c r="N44" s="26"/>
      <c r="O44" s="28"/>
      <c r="P44" s="40"/>
      <c r="Q44" s="40"/>
      <c r="R44" s="40"/>
      <c r="S44" s="40"/>
      <c r="T44" s="40"/>
      <c r="U44" s="26"/>
    </row>
    <row r="45" spans="1:21" ht="15">
      <c r="A45" s="39" t="s">
        <v>191</v>
      </c>
      <c r="B45" s="36"/>
      <c r="C45" s="31">
        <f>IF($A$3="January 2015",SUMIF('TY Actual-Forecast'!$A:$A,'Top Flash'!A45,'TY Actual-Forecast'!$C:$C),IF($A$3="February 2015",SUMIF('TY Actual-Forecast'!$A:$A,'Top Flash'!A45,'TY Actual-Forecast'!$D:$D),IF($A$3="March 2015",SUMIF('TY Actual-Forecast'!$A:$A,'Top Flash'!A45,'TY Actual-Forecast'!$E:$E),IF($A$3="April 2015",SUMIF('TY Actual-Forecast'!$A:$A,'Top Flash'!A45,'TY Actual-Forecast'!$F:$F),IF($A$3="May 2015",SUMIF('TY Actual-Forecast'!$A:$A,'Top Flash'!A45,'TY Actual-Forecast'!$G:$G),IF($A$3="June 2015",SUMIF('TY Actual-Forecast'!$A:$A,'Top Flash'!A45,'TY Actual-Forecast'!$H:$H),IF($A$3="July 2015",SUMIF('TY Actual-Forecast'!$A:$A,'Top Flash'!A45,'TY Actual-Forecast'!$I:$I),IF($A$3="August 2015",SUMIF('TY Actual-Forecast'!$A:$A,'Top Flash'!A45,'TY Actual-Forecast'!$J:$J),IF($A$3="September 2015",SUMIF('TY Actual-Forecast'!$A:$A,'Top Flash'!A45,'TY Actual-Forecast'!$K:$K),IF($A$3="October 2015",SUMIF('TY Actual-Forecast'!$A:$A,'Top Flash'!A45,'TY Actual-Forecast'!$L:$L),IF($A$3="November 2015",SUMIF('TY Actual-Forecast'!$A:$A,'Top Flash'!A45,'TY Actual-Forecast'!$M:$M),IF($A$3="December 2015",SUMIF('TY Actual-Forecast'!$A:$A,'Top Flash'!A45,'TY Actual-Forecast'!$N:$N),0))))))))))))</f>
        <v>0</v>
      </c>
      <c r="D45" s="31">
        <f>'Variance Analysis'!D45</f>
        <v>0</v>
      </c>
      <c r="E45" s="31">
        <f>IF($A$3="January 2015",SUMIF('TY Budget'!$A:$A,'Top Flash'!A45,'TY Budget'!$C:$C),IF($A$3="February 2015",SUMIF('TY Budget'!$A:$A,'Top Flash'!A45,'TY Budget'!$D:$D),IF($A$3="March 2015",SUMIF('TY Budget'!$A:$A,'Top Flash'!A45,'TY Budget'!$E:$E),IF($A$3="April 2015",SUMIF('TY Budget'!$A:$A,'Top Flash'!A45,'TY Budget'!$F:$F),IF($A$3="May 2015",SUMIF('TY Budget'!$A:$A,'Top Flash'!A45,'TY Budget'!$G:$G),IF($A$3="June 2015",SUMIF('TY Budget'!$A:$A,'Top Flash'!A45,'TY Budget'!$H:$H),IF($A$3="July 2015",SUMIF('TY Budget'!$A:$A,'Top Flash'!A45,'TY Budget'!$I:$I),IF($A$3="August 2015",SUMIF('TY Budget'!$A:$A,'Top Flash'!A45,'TY Budget'!$J:$J),IF($A$3="September 2015",SUMIF('TY Budget'!$A:$A,'Top Flash'!A45,'TY Budget'!$K:$K),IF($A$3="October 2015",SUMIF('TY Budget'!$A:$A,'Top Flash'!A45,'TY Budget'!$L:$L),IF($A$3="November 2015",SUMIF('TY Budget'!$A:$A,'Top Flash'!A45,'TY Budget'!$M:$M),IF($A$3="December 2015",SUMIF('TY Budget'!$A:$A,'Top Flash'!A45,'TY Budget'!$N:$N),0))))))))))))</f>
        <v>0</v>
      </c>
      <c r="F45" s="31">
        <f>IF($A$3="January 2015",SUMIF('LY Actual'!$A:$A,'Top Flash'!A45,'LY Actual'!$C:$C),IF($A$3="February 2015",SUMIF('LY Actual'!$A:$A,'Top Flash'!A45,'LY Actual'!$D:$D),IF($A$3="March 2015",SUMIF('LY Actual'!$A:$A,'Top Flash'!A45,'LY Actual'!$E:$E),IF($A$3="April 2015",SUMIF('LY Actual'!$A:$A,'Top Flash'!A45,'LY Actual'!$F:$F),IF($A$3="May 2015",SUMIF('LY Actual'!$A:$A,'Top Flash'!A45,'LY Actual'!$G:$G),IF($A$3="June 2015",SUMIF('LY Actual'!$A:$A,'Top Flash'!A45,'LY Actual'!$H:$H),IF($A$3="July 2015",SUMIF('LY Actual'!$A:$A,'Top Flash'!A45,'LY Actual'!$I:$I),IF($A$3="August 2015",SUMIF('LY Actual'!$A:$A,'Top Flash'!A45,'LY Actual'!$J:$J),IF($A$3="September 2015",SUMIF('LY Actual'!$A:$A,'Top Flash'!A45,'LY Actual'!$K:$K),IF($A$3="October 2015",SUMIF('LY Actual'!$A:$A,'Top Flash'!A45,'LY Actual'!$L:$L),IF($A$3="November 2015",SUMIF('LY Actual'!$A:$A,'Top Flash'!A45,'LY Actual'!$M:$M),IF($A$3="December 2015",SUMIF('LY Actual'!$A:$A,'Top Flash'!A45,'LY Actual'!$N:$N),0))))))))))))</f>
        <v>0</v>
      </c>
      <c r="G45" s="32">
        <f>-IFERROR((+C45-E45)/E45,)</f>
        <v>0</v>
      </c>
      <c r="H45" s="32">
        <f>-IFERROR((+C45-F45)/F45,)</f>
        <v>0</v>
      </c>
      <c r="I45" s="27"/>
      <c r="J45" s="31">
        <f>IF($A$3="January 2015",SUMIF('TY Actual-Forecast'!$A:$A,'Top Flash'!A45,'TY Actual-Forecast'!$U:$U),IF($A$3="February 2015",SUMIF('TY Actual-Forecast'!$A:$A,'Top Flash'!A45,'TY Actual-Forecast'!$V:$V),IF($A$3="March 2015",SUMIF('TY Actual-Forecast'!$A:$A,'Top Flash'!A45,'TY Actual-Forecast'!$W:$W),IF($A$3="April 2015",SUMIF('TY Actual-Forecast'!$A:$A,'Top Flash'!A45,'TY Actual-Forecast'!$X:$X),IF($A$3="May 2015",SUMIF('TY Actual-Forecast'!$A:$A,'Top Flash'!A45,'TY Actual-Forecast'!$Y:$Y),IF($A$3="June 2015",SUMIF('TY Actual-Forecast'!$A:$A,'Top Flash'!A45,'TY Actual-Forecast'!$Z:$Z),IF($A$3="July 2015",SUMIF('TY Actual-Forecast'!$A:$A,'Top Flash'!A45,'TY Actual-Forecast'!$AA:$AA),IF($A$3="August 2015",SUMIF('TY Actual-Forecast'!$A:$A,'Top Flash'!A45,'TY Actual-Forecast'!$AB:$AB),IF($A$3="September 2015",SUMIF('TY Actual-Forecast'!$A:$A,'Top Flash'!A45,'TY Actual-Forecast'!$AC:$AC),IF($A$3="October 2015",SUMIF('TY Actual-Forecast'!$A:$A,'Top Flash'!A45,'TY Actual-Forecast'!$AD:$AD),IF($A$3="November 2015",SUMIF('TY Actual-Forecast'!$A:$A,'Top Flash'!A45,'TY Actual-Forecast'!$AE:$AE),IF($A$3="December 2015",SUMIF('TY Actual-Forecast'!$A:$A,'Top Flash'!A45,'TY Actual-Forecast'!$AF:$AF),0))))))))))))</f>
        <v>0</v>
      </c>
      <c r="K45" s="31">
        <f>IF($A$3="January 2015",SUMIF('TY Budget'!$A:$A,'Top Flash'!A45,'TY Budget'!$U:$U),IF($A$3="February 2015",SUMIF('TY Budget'!$A:$A,'Top Flash'!A45,'TY Budget'!$V:$V),IF($A$3="March 2015",SUMIF('TY Budget'!$A:$A,'Top Flash'!A45,'TY Budget'!$W:$W),IF($A$3="April 2015",SUMIF('TY Budget'!$A:$A,'Top Flash'!A45,'TY Budget'!$X:$X),IF($A$3="May 2015",SUMIF('TY Budget'!$A:$A,'Top Flash'!A45,'TY Budget'!$Y:$Y),IF($A$3="June 2015",SUMIF('TY Budget'!$A:$A,'Top Flash'!A45,'TY Budget'!$Z:$Z),IF($A$3="July 2015",SUMIF('TY Budget'!$A:$A,'Top Flash'!A45,'TY Budget'!$AA:$AA),IF($A$3="August 2015",SUMIF('TY Budget'!$A:$A,'Top Flash'!A45,'TY Budget'!$AB:$AB),IF($A$3="September 2015",SUMIF('TY Budget'!$A:$A,'Top Flash'!A45,'TY Budget'!$AC:$AC),IF($A$3="October 2015",SUMIF('TY Budget'!$A:$A,'Top Flash'!A45,'TY Budget'!$AD:$AD),IF($A$3="November 2015",SUMIF('TY Budget'!$A:$A,'Top Flash'!A45,'TY Budget'!$AE:$AE),IF($A$3="December 2015",SUMIF('TY Budget'!$A:$A,'Top Flash'!A45,'TY Budget'!$AF:$AF),0))))))))))))</f>
        <v>0</v>
      </c>
      <c r="L45" s="31">
        <f>IF($A$3="January 2015",SUMIF('LY Actual'!$A:$A,'Top Flash'!A45,'LY Actual'!$U:$U),IF($A$3="February 2015",SUMIF('LY Actual'!$A:$A,'Top Flash'!A45,'LY Actual'!$V:$V),IF($A$3="March 2015",SUMIF('LY Actual'!$A:$A,'Top Flash'!A45,'LY Actual'!$W:$W),IF($A$3="April 2015",SUMIF('LY Actual'!$A:$A,'Top Flash'!A45,'LY Actual'!$X:$X),IF($A$3="May 2015",SUMIF('LY Actual'!$A:$A,'Top Flash'!A45,'LY Actual'!$Y:$Y),IF($A$3="June 2015",SUMIF('LY Actual'!$A:$A,'Top Flash'!A45,'LY Actual'!$Z:$Z),IF($A$3="July 2015",SUMIF('LY Actual'!$A:$A,'Top Flash'!A45,'LY Actual'!$AA:$AA),IF($A$3="August 2015",SUMIF('LY Actual'!$A:$A,'Top Flash'!A45,'LY Actual'!$AB:$AB),IF($A$3="September 2015",SUMIF('LY Actual'!$A:$A,'Top Flash'!A45,'LY Actual'!$AC:$AC),IF($A$3="October 2015",SUMIF('LY Actual'!$A:$A,'Top Flash'!A45,'LY Actual'!$AD:$AD),IF($A$3="November 2015",SUMIF('LY Actual'!$A:$A,'Top Flash'!A45,'LY Actual'!$AE:$AE),IF($A$3="December 2015",SUMIF('LY Actual'!$A:$A,'Top Flash'!A45,'LY Actual'!$AF:$AF),0))))))))))))</f>
        <v>0</v>
      </c>
      <c r="M45" s="32">
        <f t="shared" ref="M45:N45" si="27">-IFERROR((+$J45-K45)/K45,)</f>
        <v>0</v>
      </c>
      <c r="N45" s="32">
        <f t="shared" si="27"/>
        <v>0</v>
      </c>
      <c r="O45" s="28"/>
      <c r="P45" s="31">
        <f>'TY Actual-Forecast'!O45</f>
        <v>0</v>
      </c>
      <c r="Q45" s="31">
        <f>'Variance Analysis'!J45</f>
        <v>0</v>
      </c>
      <c r="R45" s="31">
        <f>'TY Budget'!O45</f>
        <v>0</v>
      </c>
      <c r="S45" s="31">
        <f>'LY Actual'!O45</f>
        <v>0</v>
      </c>
      <c r="T45" s="32">
        <f>-IFERROR((+P45-R45)/R45,)</f>
        <v>0</v>
      </c>
      <c r="U45" s="32">
        <f>-IFERROR((+P45-S45)/S45,)</f>
        <v>0</v>
      </c>
    </row>
    <row r="46" spans="1:21" ht="15">
      <c r="A46" s="18"/>
      <c r="B46" s="18"/>
      <c r="C46" s="40"/>
      <c r="D46" s="40"/>
      <c r="E46" s="40"/>
      <c r="F46" s="40"/>
      <c r="G46" s="26"/>
      <c r="H46" s="26"/>
      <c r="I46" s="27"/>
      <c r="J46" s="40"/>
      <c r="K46" s="40"/>
      <c r="L46" s="40"/>
      <c r="M46" s="26"/>
      <c r="N46" s="26"/>
      <c r="O46" s="28"/>
      <c r="P46" s="40"/>
      <c r="Q46" s="40"/>
      <c r="R46" s="40"/>
      <c r="S46" s="40"/>
      <c r="T46" s="26"/>
      <c r="U46" s="26"/>
    </row>
    <row r="47" spans="1:21" s="24" customFormat="1" ht="30">
      <c r="A47" s="49" t="s">
        <v>192</v>
      </c>
      <c r="B47" s="18"/>
      <c r="C47" s="22">
        <f>C42-C45</f>
        <v>31120655.450000003</v>
      </c>
      <c r="D47" s="22">
        <f>D42-D45</f>
        <v>32481399.350663505</v>
      </c>
      <c r="E47" s="22">
        <f>E42-E45</f>
        <v>30051608.952241052</v>
      </c>
      <c r="F47" s="22">
        <f>F42-F45</f>
        <v>27789286.637895551</v>
      </c>
      <c r="G47" s="23">
        <f>IFERROR(IF(E47&lt;C47,ABS((+C47-E47)/E47),(+C47-E47)/E47),)</f>
        <v>3.5573685903404137E-2</v>
      </c>
      <c r="H47" s="23">
        <f>IFERROR(IF(F47&lt;C47,ABS((+C47-F47)/F47),(+C47-F47)/F47),)</f>
        <v>0.11987960884039206</v>
      </c>
      <c r="I47" s="37"/>
      <c r="J47" s="22">
        <f>J42-J45</f>
        <v>180664170.09999996</v>
      </c>
      <c r="K47" s="22">
        <f>K42-K45</f>
        <v>209827212.60156929</v>
      </c>
      <c r="L47" s="22">
        <f>L42-L45</f>
        <v>134521646.96143836</v>
      </c>
      <c r="M47" s="23">
        <f>IFERROR(IF(K47&lt;J47,ABS((+J47-K47)/K47),(+J47-K47)/K47),)</f>
        <v>-0.13898598823283048</v>
      </c>
      <c r="N47" s="23">
        <f>IFERROR(IF(L47&lt;J47,ABS((+J47-L47)/L47),(+J47-L47)/L47),)</f>
        <v>0.3430118808446399</v>
      </c>
      <c r="O47" s="38"/>
      <c r="P47" s="22">
        <f t="shared" ref="P47:S47" si="28">P42-P45</f>
        <v>180664170.09999996</v>
      </c>
      <c r="Q47" s="22">
        <f t="shared" si="28"/>
        <v>181769217.66066343</v>
      </c>
      <c r="R47" s="22">
        <f t="shared" si="28"/>
        <v>209827212.60156929</v>
      </c>
      <c r="S47" s="22">
        <f t="shared" si="28"/>
        <v>134521646.96143836</v>
      </c>
      <c r="T47" s="23">
        <f>IFERROR(IF(R47&lt;P47,ABS((+P47-R47)/R47),(+P47-R47)/R47),)</f>
        <v>-0.13898598823283048</v>
      </c>
      <c r="U47" s="23">
        <f>IFERROR(IF(S47&lt;P47,ABS((+P47-S47)/S47),(+P47-S47)/S47),)</f>
        <v>0.3430118808446399</v>
      </c>
    </row>
    <row r="48" spans="1:21" s="24" customFormat="1" ht="15">
      <c r="A48" s="49"/>
      <c r="B48" s="18"/>
      <c r="C48" s="32">
        <f>IFERROR(C47/C$8,)</f>
        <v>0.47483493061100801</v>
      </c>
      <c r="D48" s="32">
        <f>IFERROR(D47/D$8,)</f>
        <v>0.51915399859766342</v>
      </c>
      <c r="E48" s="32">
        <f>IFERROR(E47/E$8,)</f>
        <v>0.4910363305602527</v>
      </c>
      <c r="F48" s="32">
        <f>IFERROR(F47/F$8,)</f>
        <v>0.46630746451797267</v>
      </c>
      <c r="G48" s="23"/>
      <c r="H48" s="23"/>
      <c r="I48" s="37"/>
      <c r="J48" s="32">
        <f>IFERROR(J47/J$8,)</f>
        <v>0.37077389512813619</v>
      </c>
      <c r="K48" s="32">
        <f>IFERROR(K47/K$8,)</f>
        <v>0.40617469302088782</v>
      </c>
      <c r="L48" s="32">
        <f>IFERROR(L47/L$8,)</f>
        <v>0.33537599646609501</v>
      </c>
      <c r="M48" s="23"/>
      <c r="N48" s="23"/>
      <c r="O48" s="38"/>
      <c r="P48" s="32">
        <f t="shared" ref="P48:S48" si="29">IFERROR(P47/P$8,)</f>
        <v>0.37077389512813619</v>
      </c>
      <c r="Q48" s="32">
        <f t="shared" si="29"/>
        <v>0.37533213956340017</v>
      </c>
      <c r="R48" s="32">
        <f t="shared" si="29"/>
        <v>0.40617469302088782</v>
      </c>
      <c r="S48" s="32">
        <f t="shared" si="29"/>
        <v>0.33537599646609501</v>
      </c>
      <c r="T48" s="23"/>
      <c r="U48" s="23"/>
    </row>
    <row r="49" spans="1:21" ht="15">
      <c r="A49" s="18"/>
      <c r="B49" s="18"/>
      <c r="C49" s="40"/>
      <c r="D49" s="40"/>
      <c r="E49" s="40"/>
      <c r="F49" s="40"/>
      <c r="G49" s="26"/>
      <c r="H49" s="26"/>
      <c r="I49" s="27"/>
      <c r="J49" s="40"/>
      <c r="K49" s="40"/>
      <c r="L49" s="40"/>
      <c r="M49" s="26"/>
      <c r="N49" s="26"/>
      <c r="O49" s="28"/>
      <c r="P49" s="40"/>
      <c r="Q49" s="40"/>
      <c r="R49" s="40"/>
      <c r="S49" s="40"/>
      <c r="T49" s="26"/>
      <c r="U49" s="26"/>
    </row>
    <row r="50" spans="1:21" ht="15">
      <c r="A50" s="18" t="s">
        <v>195</v>
      </c>
      <c r="B50" s="18"/>
      <c r="C50" s="40"/>
      <c r="D50" s="40"/>
      <c r="E50" s="40"/>
      <c r="F50" s="40"/>
      <c r="G50" s="26"/>
      <c r="H50" s="26"/>
      <c r="I50" s="27"/>
      <c r="J50" s="40"/>
      <c r="K50" s="40"/>
      <c r="L50" s="40"/>
      <c r="M50" s="26"/>
      <c r="N50" s="26"/>
      <c r="O50" s="28"/>
      <c r="P50" s="40"/>
      <c r="Q50" s="40"/>
      <c r="R50" s="40"/>
      <c r="S50" s="40"/>
      <c r="T50" s="26"/>
      <c r="U50" s="26"/>
    </row>
    <row r="51" spans="1:21" ht="15">
      <c r="A51" s="39" t="s">
        <v>193</v>
      </c>
      <c r="B51" s="36"/>
      <c r="C51" s="31">
        <f>IF($A$3="January 2015",SUMIF('TY Actual-Forecast'!$A:$A,'Top Flash'!A51,'TY Actual-Forecast'!$C:$C),IF($A$3="February 2015",SUMIF('TY Actual-Forecast'!$A:$A,'Top Flash'!A51,'TY Actual-Forecast'!$D:$D),IF($A$3="March 2015",SUMIF('TY Actual-Forecast'!$A:$A,'Top Flash'!A51,'TY Actual-Forecast'!$E:$E),IF($A$3="April 2015",SUMIF('TY Actual-Forecast'!$A:$A,'Top Flash'!A51,'TY Actual-Forecast'!$F:$F),IF($A$3="May 2015",SUMIF('TY Actual-Forecast'!$A:$A,'Top Flash'!A51,'TY Actual-Forecast'!$G:$G),IF($A$3="June 2015",SUMIF('TY Actual-Forecast'!$A:$A,'Top Flash'!A51,'TY Actual-Forecast'!$H:$H),IF($A$3="July 2015",SUMIF('TY Actual-Forecast'!$A:$A,'Top Flash'!A51,'TY Actual-Forecast'!$I:$I),IF($A$3="August 2015",SUMIF('TY Actual-Forecast'!$A:$A,'Top Flash'!A51,'TY Actual-Forecast'!$J:$J),IF($A$3="September 2015",SUMIF('TY Actual-Forecast'!$A:$A,'Top Flash'!A51,'TY Actual-Forecast'!$K:$K),IF($A$3="October 2015",SUMIF('TY Actual-Forecast'!$A:$A,'Top Flash'!A51,'TY Actual-Forecast'!$L:$L),IF($A$3="November 2015",SUMIF('TY Actual-Forecast'!$A:$A,'Top Flash'!A51,'TY Actual-Forecast'!$M:$M),IF($A$3="December 2015",SUMIF('TY Actual-Forecast'!$A:$A,'Top Flash'!A51,'TY Actual-Forecast'!$N:$N),0))))))))))))</f>
        <v>0</v>
      </c>
      <c r="D51" s="31">
        <f>'Variance Analysis'!D51</f>
        <v>0</v>
      </c>
      <c r="E51" s="31">
        <f>IF($A$3="January 2015",SUMIF('TY Budget'!$A:$A,'Top Flash'!A51,'TY Budget'!$C:$C),IF($A$3="February 2015",SUMIF('TY Budget'!$A:$A,'Top Flash'!A51,'TY Budget'!$D:$D),IF($A$3="March 2015",SUMIF('TY Budget'!$A:$A,'Top Flash'!A51,'TY Budget'!$E:$E),IF($A$3="April 2015",SUMIF('TY Budget'!$A:$A,'Top Flash'!A51,'TY Budget'!$F:$F),IF($A$3="May 2015",SUMIF('TY Budget'!$A:$A,'Top Flash'!A51,'TY Budget'!$G:$G),IF($A$3="June 2015",SUMIF('TY Budget'!$A:$A,'Top Flash'!A51,'TY Budget'!$H:$H),IF($A$3="July 2015",SUMIF('TY Budget'!$A:$A,'Top Flash'!A51,'TY Budget'!$I:$I),IF($A$3="August 2015",SUMIF('TY Budget'!$A:$A,'Top Flash'!A51,'TY Budget'!$J:$J),IF($A$3="September 2015",SUMIF('TY Budget'!$A:$A,'Top Flash'!A51,'TY Budget'!$K:$K),IF($A$3="October 2015",SUMIF('TY Budget'!$A:$A,'Top Flash'!A51,'TY Budget'!$L:$L),IF($A$3="November 2015",SUMIF('TY Budget'!$A:$A,'Top Flash'!A51,'TY Budget'!$M:$M),IF($A$3="December 2015",SUMIF('TY Budget'!$A:$A,'Top Flash'!A51,'TY Budget'!$N:$N),0))))))))))))</f>
        <v>0</v>
      </c>
      <c r="F51" s="31">
        <f>IF($A$3="January 2015",SUMIF('LY Actual'!$A:$A,'Top Flash'!A51,'LY Actual'!$C:$C),IF($A$3="February 2015",SUMIF('LY Actual'!$A:$A,'Top Flash'!A51,'LY Actual'!$D:$D),IF($A$3="March 2015",SUMIF('LY Actual'!$A:$A,'Top Flash'!A51,'LY Actual'!$E:$E),IF($A$3="April 2015",SUMIF('LY Actual'!$A:$A,'Top Flash'!A51,'LY Actual'!$F:$F),IF($A$3="May 2015",SUMIF('LY Actual'!$A:$A,'Top Flash'!A51,'LY Actual'!$G:$G),IF($A$3="June 2015",SUMIF('LY Actual'!$A:$A,'Top Flash'!A51,'LY Actual'!$H:$H),IF($A$3="July 2015",SUMIF('LY Actual'!$A:$A,'Top Flash'!A51,'LY Actual'!$I:$I),IF($A$3="August 2015",SUMIF('LY Actual'!$A:$A,'Top Flash'!A51,'LY Actual'!$J:$J),IF($A$3="September 2015",SUMIF('LY Actual'!$A:$A,'Top Flash'!A51,'LY Actual'!$K:$K),IF($A$3="October 2015",SUMIF('LY Actual'!$A:$A,'Top Flash'!A51,'LY Actual'!$L:$L),IF($A$3="November 2015",SUMIF('LY Actual'!$A:$A,'Top Flash'!A51,'LY Actual'!$M:$M),IF($A$3="December 2015",SUMIF('LY Actual'!$A:$A,'Top Flash'!A51,'LY Actual'!$N:$N),0))))))))))))</f>
        <v>0</v>
      </c>
      <c r="G51" s="32">
        <f t="shared" ref="G51:G55" si="30">-IFERROR((+C51-E51)/E51,)</f>
        <v>0</v>
      </c>
      <c r="H51" s="32">
        <f t="shared" ref="H51:H55" si="31">-IFERROR((+C51-F51)/F51,)</f>
        <v>0</v>
      </c>
      <c r="I51" s="27"/>
      <c r="J51" s="31">
        <f>IF($A$3="January 2015",SUMIF('TY Actual-Forecast'!$A:$A,'Top Flash'!A51,'TY Actual-Forecast'!$U:$U),IF($A$3="February 2015",SUMIF('TY Actual-Forecast'!$A:$A,'Top Flash'!A51,'TY Actual-Forecast'!$V:$V),IF($A$3="March 2015",SUMIF('TY Actual-Forecast'!$A:$A,'Top Flash'!A51,'TY Actual-Forecast'!$W:$W),IF($A$3="April 2015",SUMIF('TY Actual-Forecast'!$A:$A,'Top Flash'!A51,'TY Actual-Forecast'!$X:$X),IF($A$3="May 2015",SUMIF('TY Actual-Forecast'!$A:$A,'Top Flash'!A51,'TY Actual-Forecast'!$Y:$Y),IF($A$3="June 2015",SUMIF('TY Actual-Forecast'!$A:$A,'Top Flash'!A51,'TY Actual-Forecast'!$Z:$Z),IF($A$3="July 2015",SUMIF('TY Actual-Forecast'!$A:$A,'Top Flash'!A51,'TY Actual-Forecast'!$AA:$AA),IF($A$3="August 2015",SUMIF('TY Actual-Forecast'!$A:$A,'Top Flash'!A51,'TY Actual-Forecast'!$AB:$AB),IF($A$3="September 2015",SUMIF('TY Actual-Forecast'!$A:$A,'Top Flash'!A51,'TY Actual-Forecast'!$AC:$AC),IF($A$3="October 2015",SUMIF('TY Actual-Forecast'!$A:$A,'Top Flash'!A51,'TY Actual-Forecast'!$AD:$AD),IF($A$3="November 2015",SUMIF('TY Actual-Forecast'!$A:$A,'Top Flash'!A51,'TY Actual-Forecast'!$AE:$AE),IF($A$3="December 2015",SUMIF('TY Actual-Forecast'!$A:$A,'Top Flash'!A51,'TY Actual-Forecast'!$AF:$AF),0))))))))))))</f>
        <v>0</v>
      </c>
      <c r="K51" s="31">
        <f>IF($A$3="January 2015",SUMIF('TY Budget'!$A:$A,'Top Flash'!A51,'TY Budget'!$U:$U),IF($A$3="February 2015",SUMIF('TY Budget'!$A:$A,'Top Flash'!A51,'TY Budget'!$V:$V),IF($A$3="March 2015",SUMIF('TY Budget'!$A:$A,'Top Flash'!A51,'TY Budget'!$W:$W),IF($A$3="April 2015",SUMIF('TY Budget'!$A:$A,'Top Flash'!A51,'TY Budget'!$X:$X),IF($A$3="May 2015",SUMIF('TY Budget'!$A:$A,'Top Flash'!A51,'TY Budget'!$Y:$Y),IF($A$3="June 2015",SUMIF('TY Budget'!$A:$A,'Top Flash'!A51,'TY Budget'!$Z:$Z),IF($A$3="July 2015",SUMIF('TY Budget'!$A:$A,'Top Flash'!A51,'TY Budget'!$AA:$AA),IF($A$3="August 2015",SUMIF('TY Budget'!$A:$A,'Top Flash'!A51,'TY Budget'!$AB:$AB),IF($A$3="September 2015",SUMIF('TY Budget'!$A:$A,'Top Flash'!A51,'TY Budget'!$AC:$AC),IF($A$3="October 2015",SUMIF('TY Budget'!$A:$A,'Top Flash'!A51,'TY Budget'!$AD:$AD),IF($A$3="November 2015",SUMIF('TY Budget'!$A:$A,'Top Flash'!A51,'TY Budget'!$AE:$AE),IF($A$3="December 2015",SUMIF('TY Budget'!$A:$A,'Top Flash'!A51,'TY Budget'!$AF:$AF),0))))))))))))</f>
        <v>0</v>
      </c>
      <c r="L51" s="31">
        <f>IF($A$3="January 2015",SUMIF('LY Actual'!$A:$A,'Top Flash'!A51,'LY Actual'!$U:$U),IF($A$3="February 2015",SUMIF('LY Actual'!$A:$A,'Top Flash'!A51,'LY Actual'!$V:$V),IF($A$3="March 2015",SUMIF('LY Actual'!$A:$A,'Top Flash'!A51,'LY Actual'!$W:$W),IF($A$3="April 2015",SUMIF('LY Actual'!$A:$A,'Top Flash'!A51,'LY Actual'!$X:$X),IF($A$3="May 2015",SUMIF('LY Actual'!$A:$A,'Top Flash'!A51,'LY Actual'!$Y:$Y),IF($A$3="June 2015",SUMIF('LY Actual'!$A:$A,'Top Flash'!A51,'LY Actual'!$Z:$Z),IF($A$3="July 2015",SUMIF('LY Actual'!$A:$A,'Top Flash'!A51,'LY Actual'!$AA:$AA),IF($A$3="August 2015",SUMIF('LY Actual'!$A:$A,'Top Flash'!A51,'LY Actual'!$AB:$AB),IF($A$3="September 2015",SUMIF('LY Actual'!$A:$A,'Top Flash'!A51,'LY Actual'!$AC:$AC),IF($A$3="October 2015",SUMIF('LY Actual'!$A:$A,'Top Flash'!A51,'LY Actual'!$AD:$AD),IF($A$3="November 2015",SUMIF('LY Actual'!$A:$A,'Top Flash'!A51,'LY Actual'!$AE:$AE),IF($A$3="December 2015",SUMIF('LY Actual'!$A:$A,'Top Flash'!A51,'LY Actual'!$AF:$AF),0))))))))))))</f>
        <v>0</v>
      </c>
      <c r="M51" s="32">
        <f t="shared" ref="M51:N56" si="32">-IFERROR((+$J51-K51)/K51,)</f>
        <v>0</v>
      </c>
      <c r="N51" s="32">
        <f t="shared" si="32"/>
        <v>0</v>
      </c>
      <c r="O51" s="28"/>
      <c r="P51" s="31">
        <f>'TY Actual-Forecast'!O51</f>
        <v>0</v>
      </c>
      <c r="Q51" s="31">
        <f>'Variance Analysis'!J51</f>
        <v>0</v>
      </c>
      <c r="R51" s="31">
        <f>'TY Budget'!O51</f>
        <v>0</v>
      </c>
      <c r="S51" s="31">
        <f>'LY Actual'!O51</f>
        <v>0</v>
      </c>
      <c r="T51" s="32">
        <f t="shared" ref="T51:T55" si="33">-IFERROR((+P51-R51)/R51,)</f>
        <v>0</v>
      </c>
      <c r="U51" s="32">
        <f t="shared" ref="U51:U55" si="34">-IFERROR((+P51-S51)/S51,)</f>
        <v>0</v>
      </c>
    </row>
    <row r="52" spans="1:21" ht="15">
      <c r="A52" s="39" t="s">
        <v>205</v>
      </c>
      <c r="B52" s="36"/>
      <c r="C52" s="31">
        <f>IF($A$3="January 2015",SUMIF('TY Actual-Forecast'!$A:$A,'Top Flash'!A52,'TY Actual-Forecast'!$C:$C),IF($A$3="February 2015",SUMIF('TY Actual-Forecast'!$A:$A,'Top Flash'!A52,'TY Actual-Forecast'!$D:$D),IF($A$3="March 2015",SUMIF('TY Actual-Forecast'!$A:$A,'Top Flash'!A52,'TY Actual-Forecast'!$E:$E),IF($A$3="April 2015",SUMIF('TY Actual-Forecast'!$A:$A,'Top Flash'!A52,'TY Actual-Forecast'!$F:$F),IF($A$3="May 2015",SUMIF('TY Actual-Forecast'!$A:$A,'Top Flash'!A52,'TY Actual-Forecast'!$G:$G),IF($A$3="June 2015",SUMIF('TY Actual-Forecast'!$A:$A,'Top Flash'!A52,'TY Actual-Forecast'!$H:$H),IF($A$3="July 2015",SUMIF('TY Actual-Forecast'!$A:$A,'Top Flash'!A52,'TY Actual-Forecast'!$I:$I),IF($A$3="August 2015",SUMIF('TY Actual-Forecast'!$A:$A,'Top Flash'!A52,'TY Actual-Forecast'!$J:$J),IF($A$3="September 2015",SUMIF('TY Actual-Forecast'!$A:$A,'Top Flash'!A52,'TY Actual-Forecast'!$K:$K),IF($A$3="October 2015",SUMIF('TY Actual-Forecast'!$A:$A,'Top Flash'!A52,'TY Actual-Forecast'!$L:$L),IF($A$3="November 2015",SUMIF('TY Actual-Forecast'!$A:$A,'Top Flash'!A52,'TY Actual-Forecast'!$M:$M),IF($A$3="December 2015",SUMIF('TY Actual-Forecast'!$A:$A,'Top Flash'!A52,'TY Actual-Forecast'!$N:$N),0))))))))))))</f>
        <v>1258733.55</v>
      </c>
      <c r="D52" s="31">
        <f>'Variance Analysis'!D52</f>
        <v>1946891.08</v>
      </c>
      <c r="E52" s="31">
        <f>IF($A$3="January 2015",SUMIF('TY Budget'!$A:$A,'Top Flash'!A52,'TY Budget'!$C:$C),IF($A$3="February 2015",SUMIF('TY Budget'!$A:$A,'Top Flash'!A52,'TY Budget'!$D:$D),IF($A$3="March 2015",SUMIF('TY Budget'!$A:$A,'Top Flash'!A52,'TY Budget'!$E:$E),IF($A$3="April 2015",SUMIF('TY Budget'!$A:$A,'Top Flash'!A52,'TY Budget'!$F:$F),IF($A$3="May 2015",SUMIF('TY Budget'!$A:$A,'Top Flash'!A52,'TY Budget'!$G:$G),IF($A$3="June 2015",SUMIF('TY Budget'!$A:$A,'Top Flash'!A52,'TY Budget'!$H:$H),IF($A$3="July 2015",SUMIF('TY Budget'!$A:$A,'Top Flash'!A52,'TY Budget'!$I:$I),IF($A$3="August 2015",SUMIF('TY Budget'!$A:$A,'Top Flash'!A52,'TY Budget'!$J:$J),IF($A$3="September 2015",SUMIF('TY Budget'!$A:$A,'Top Flash'!A52,'TY Budget'!$K:$K),IF($A$3="October 2015",SUMIF('TY Budget'!$A:$A,'Top Flash'!A52,'TY Budget'!$L:$L),IF($A$3="November 2015",SUMIF('TY Budget'!$A:$A,'Top Flash'!A52,'TY Budget'!$M:$M),IF($A$3="December 2015",SUMIF('TY Budget'!$A:$A,'Top Flash'!A52,'TY Budget'!$N:$N),0))))))))))))</f>
        <v>974368</v>
      </c>
      <c r="F52" s="31">
        <f>IF($A$3="January 2015",SUMIF('LY Actual'!$A:$A,'Top Flash'!A52,'LY Actual'!$C:$C),IF($A$3="February 2015",SUMIF('LY Actual'!$A:$A,'Top Flash'!A52,'LY Actual'!$D:$D),IF($A$3="March 2015",SUMIF('LY Actual'!$A:$A,'Top Flash'!A52,'LY Actual'!$E:$E),IF($A$3="April 2015",SUMIF('LY Actual'!$A:$A,'Top Flash'!A52,'LY Actual'!$F:$F),IF($A$3="May 2015",SUMIF('LY Actual'!$A:$A,'Top Flash'!A52,'LY Actual'!$G:$G),IF($A$3="June 2015",SUMIF('LY Actual'!$A:$A,'Top Flash'!A52,'LY Actual'!$H:$H),IF($A$3="July 2015",SUMIF('LY Actual'!$A:$A,'Top Flash'!A52,'LY Actual'!$I:$I),IF($A$3="August 2015",SUMIF('LY Actual'!$A:$A,'Top Flash'!A52,'LY Actual'!$J:$J),IF($A$3="September 2015",SUMIF('LY Actual'!$A:$A,'Top Flash'!A52,'LY Actual'!$K:$K),IF($A$3="October 2015",SUMIF('LY Actual'!$A:$A,'Top Flash'!A52,'LY Actual'!$L:$L),IF($A$3="November 2015",SUMIF('LY Actual'!$A:$A,'Top Flash'!A52,'LY Actual'!$M:$M),IF($A$3="December 2015",SUMIF('LY Actual'!$A:$A,'Top Flash'!A52,'LY Actual'!$N:$N),0))))))))))))</f>
        <v>999322.95</v>
      </c>
      <c r="G52" s="32">
        <f t="shared" si="30"/>
        <v>-0.29184615053039514</v>
      </c>
      <c r="H52" s="32">
        <f t="shared" si="31"/>
        <v>-0.25958635294025828</v>
      </c>
      <c r="I52" s="27"/>
      <c r="J52" s="31">
        <f>IF($A$3="January 2015",SUMIF('TY Actual-Forecast'!$A:$A,'Top Flash'!A52,'TY Actual-Forecast'!$U:$U),IF($A$3="February 2015",SUMIF('TY Actual-Forecast'!$A:$A,'Top Flash'!A52,'TY Actual-Forecast'!$V:$V),IF($A$3="March 2015",SUMIF('TY Actual-Forecast'!$A:$A,'Top Flash'!A52,'TY Actual-Forecast'!$W:$W),IF($A$3="April 2015",SUMIF('TY Actual-Forecast'!$A:$A,'Top Flash'!A52,'TY Actual-Forecast'!$X:$X),IF($A$3="May 2015",SUMIF('TY Actual-Forecast'!$A:$A,'Top Flash'!A52,'TY Actual-Forecast'!$Y:$Y),IF($A$3="June 2015",SUMIF('TY Actual-Forecast'!$A:$A,'Top Flash'!A52,'TY Actual-Forecast'!$Z:$Z),IF($A$3="July 2015",SUMIF('TY Actual-Forecast'!$A:$A,'Top Flash'!A52,'TY Actual-Forecast'!$AA:$AA),IF($A$3="August 2015",SUMIF('TY Actual-Forecast'!$A:$A,'Top Flash'!A52,'TY Actual-Forecast'!$AB:$AB),IF($A$3="September 2015",SUMIF('TY Actual-Forecast'!$A:$A,'Top Flash'!A52,'TY Actual-Forecast'!$AC:$AC),IF($A$3="October 2015",SUMIF('TY Actual-Forecast'!$A:$A,'Top Flash'!A52,'TY Actual-Forecast'!$AD:$AD),IF($A$3="November 2015",SUMIF('TY Actual-Forecast'!$A:$A,'Top Flash'!A52,'TY Actual-Forecast'!$AE:$AE),IF($A$3="December 2015",SUMIF('TY Actual-Forecast'!$A:$A,'Top Flash'!A52,'TY Actual-Forecast'!$AF:$AF),0))))))))))))</f>
        <v>19644031.040000003</v>
      </c>
      <c r="K52" s="31">
        <f>IF($A$3="January 2015",SUMIF('TY Budget'!$A:$A,'Top Flash'!A52,'TY Budget'!$U:$U),IF($A$3="February 2015",SUMIF('TY Budget'!$A:$A,'Top Flash'!A52,'TY Budget'!$V:$V),IF($A$3="March 2015",SUMIF('TY Budget'!$A:$A,'Top Flash'!A52,'TY Budget'!$W:$W),IF($A$3="April 2015",SUMIF('TY Budget'!$A:$A,'Top Flash'!A52,'TY Budget'!$X:$X),IF($A$3="May 2015",SUMIF('TY Budget'!$A:$A,'Top Flash'!A52,'TY Budget'!$Y:$Y),IF($A$3="June 2015",SUMIF('TY Budget'!$A:$A,'Top Flash'!A52,'TY Budget'!$Z:$Z),IF($A$3="July 2015",SUMIF('TY Budget'!$A:$A,'Top Flash'!A52,'TY Budget'!$AA:$AA),IF($A$3="August 2015",SUMIF('TY Budget'!$A:$A,'Top Flash'!A52,'TY Budget'!$AB:$AB),IF($A$3="September 2015",SUMIF('TY Budget'!$A:$A,'Top Flash'!A52,'TY Budget'!$AC:$AC),IF($A$3="October 2015",SUMIF('TY Budget'!$A:$A,'Top Flash'!A52,'TY Budget'!$AD:$AD),IF($A$3="November 2015",SUMIF('TY Budget'!$A:$A,'Top Flash'!A52,'TY Budget'!$AE:$AE),IF($A$3="December 2015",SUMIF('TY Budget'!$A:$A,'Top Flash'!A52,'TY Budget'!$AF:$AF),0))))))))))))</f>
        <v>11270410.060000001</v>
      </c>
      <c r="L52" s="31">
        <f>IF($A$3="January 2015",SUMIF('LY Actual'!$A:$A,'Top Flash'!A52,'LY Actual'!$U:$U),IF($A$3="February 2015",SUMIF('LY Actual'!$A:$A,'Top Flash'!A52,'LY Actual'!$V:$V),IF($A$3="March 2015",SUMIF('LY Actual'!$A:$A,'Top Flash'!A52,'LY Actual'!$W:$W),IF($A$3="April 2015",SUMIF('LY Actual'!$A:$A,'Top Flash'!A52,'LY Actual'!$X:$X),IF($A$3="May 2015",SUMIF('LY Actual'!$A:$A,'Top Flash'!A52,'LY Actual'!$Y:$Y),IF($A$3="June 2015",SUMIF('LY Actual'!$A:$A,'Top Flash'!A52,'LY Actual'!$Z:$Z),IF($A$3="July 2015",SUMIF('LY Actual'!$A:$A,'Top Flash'!A52,'LY Actual'!$AA:$AA),IF($A$3="August 2015",SUMIF('LY Actual'!$A:$A,'Top Flash'!A52,'LY Actual'!$AB:$AB),IF($A$3="September 2015",SUMIF('LY Actual'!$A:$A,'Top Flash'!A52,'LY Actual'!$AC:$AC),IF($A$3="October 2015",SUMIF('LY Actual'!$A:$A,'Top Flash'!A52,'LY Actual'!$AD:$AD),IF($A$3="November 2015",SUMIF('LY Actual'!$A:$A,'Top Flash'!A52,'LY Actual'!$AE:$AE),IF($A$3="December 2015",SUMIF('LY Actual'!$A:$A,'Top Flash'!A52,'LY Actual'!$AF:$AF),0))))))))))))</f>
        <v>11196107.65</v>
      </c>
      <c r="M52" s="32">
        <f t="shared" si="32"/>
        <v>-0.7429739410919004</v>
      </c>
      <c r="N52" s="32">
        <f t="shared" si="32"/>
        <v>-0.75454110071905234</v>
      </c>
      <c r="O52" s="28"/>
      <c r="P52" s="31">
        <f>'TY Actual-Forecast'!O52</f>
        <v>19644031.040000003</v>
      </c>
      <c r="Q52" s="31">
        <f>'Variance Analysis'!J52</f>
        <v>20676717.630000003</v>
      </c>
      <c r="R52" s="31">
        <f>'TY Budget'!O52</f>
        <v>11270410.060000001</v>
      </c>
      <c r="S52" s="31">
        <f>'LY Actual'!O52</f>
        <v>11196107.65</v>
      </c>
      <c r="T52" s="32">
        <f t="shared" si="33"/>
        <v>-0.7429739410919004</v>
      </c>
      <c r="U52" s="32">
        <f t="shared" si="34"/>
        <v>-0.75454110071905234</v>
      </c>
    </row>
    <row r="53" spans="1:21" ht="15">
      <c r="A53" s="39" t="s">
        <v>194</v>
      </c>
      <c r="B53" s="36"/>
      <c r="C53" s="31">
        <f>IF($A$3="January 2015",SUMIF('TY Actual-Forecast'!$A:$A,'Top Flash'!A53,'TY Actual-Forecast'!$C:$C),IF($A$3="February 2015",SUMIF('TY Actual-Forecast'!$A:$A,'Top Flash'!A53,'TY Actual-Forecast'!$D:$D),IF($A$3="March 2015",SUMIF('TY Actual-Forecast'!$A:$A,'Top Flash'!A53,'TY Actual-Forecast'!$E:$E),IF($A$3="April 2015",SUMIF('TY Actual-Forecast'!$A:$A,'Top Flash'!A53,'TY Actual-Forecast'!$F:$F),IF($A$3="May 2015",SUMIF('TY Actual-Forecast'!$A:$A,'Top Flash'!A53,'TY Actual-Forecast'!$G:$G),IF($A$3="June 2015",SUMIF('TY Actual-Forecast'!$A:$A,'Top Flash'!A53,'TY Actual-Forecast'!$H:$H),IF($A$3="July 2015",SUMIF('TY Actual-Forecast'!$A:$A,'Top Flash'!A53,'TY Actual-Forecast'!$I:$I),IF($A$3="August 2015",SUMIF('TY Actual-Forecast'!$A:$A,'Top Flash'!A53,'TY Actual-Forecast'!$J:$J),IF($A$3="September 2015",SUMIF('TY Actual-Forecast'!$A:$A,'Top Flash'!A53,'TY Actual-Forecast'!$K:$K),IF($A$3="October 2015",SUMIF('TY Actual-Forecast'!$A:$A,'Top Flash'!A53,'TY Actual-Forecast'!$L:$L),IF($A$3="November 2015",SUMIF('TY Actual-Forecast'!$A:$A,'Top Flash'!A53,'TY Actual-Forecast'!$M:$M),IF($A$3="December 2015",SUMIF('TY Actual-Forecast'!$A:$A,'Top Flash'!A53,'TY Actual-Forecast'!$N:$N),0))))))))))))</f>
        <v>0</v>
      </c>
      <c r="D53" s="31">
        <f>'Variance Analysis'!D53</f>
        <v>0</v>
      </c>
      <c r="E53" s="31">
        <f>IF($A$3="January 2015",SUMIF('TY Budget'!$A:$A,'Top Flash'!A53,'TY Budget'!$C:$C),IF($A$3="February 2015",SUMIF('TY Budget'!$A:$A,'Top Flash'!A53,'TY Budget'!$D:$D),IF($A$3="March 2015",SUMIF('TY Budget'!$A:$A,'Top Flash'!A53,'TY Budget'!$E:$E),IF($A$3="April 2015",SUMIF('TY Budget'!$A:$A,'Top Flash'!A53,'TY Budget'!$F:$F),IF($A$3="May 2015",SUMIF('TY Budget'!$A:$A,'Top Flash'!A53,'TY Budget'!$G:$G),IF($A$3="June 2015",SUMIF('TY Budget'!$A:$A,'Top Flash'!A53,'TY Budget'!$H:$H),IF($A$3="July 2015",SUMIF('TY Budget'!$A:$A,'Top Flash'!A53,'TY Budget'!$I:$I),IF($A$3="August 2015",SUMIF('TY Budget'!$A:$A,'Top Flash'!A53,'TY Budget'!$J:$J),IF($A$3="September 2015",SUMIF('TY Budget'!$A:$A,'Top Flash'!A53,'TY Budget'!$K:$K),IF($A$3="October 2015",SUMIF('TY Budget'!$A:$A,'Top Flash'!A53,'TY Budget'!$L:$L),IF($A$3="November 2015",SUMIF('TY Budget'!$A:$A,'Top Flash'!A53,'TY Budget'!$M:$M),IF($A$3="December 2015",SUMIF('TY Budget'!$A:$A,'Top Flash'!A53,'TY Budget'!$N:$N),0))))))))))))</f>
        <v>0</v>
      </c>
      <c r="F53" s="31">
        <f>IF($A$3="January 2015",SUMIF('LY Actual'!$A:$A,'Top Flash'!A53,'LY Actual'!$C:$C),IF($A$3="February 2015",SUMIF('LY Actual'!$A:$A,'Top Flash'!A53,'LY Actual'!$D:$D),IF($A$3="March 2015",SUMIF('LY Actual'!$A:$A,'Top Flash'!A53,'LY Actual'!$E:$E),IF($A$3="April 2015",SUMIF('LY Actual'!$A:$A,'Top Flash'!A53,'LY Actual'!$F:$F),IF($A$3="May 2015",SUMIF('LY Actual'!$A:$A,'Top Flash'!A53,'LY Actual'!$G:$G),IF($A$3="June 2015",SUMIF('LY Actual'!$A:$A,'Top Flash'!A53,'LY Actual'!$H:$H),IF($A$3="July 2015",SUMIF('LY Actual'!$A:$A,'Top Flash'!A53,'LY Actual'!$I:$I),IF($A$3="August 2015",SUMIF('LY Actual'!$A:$A,'Top Flash'!A53,'LY Actual'!$J:$J),IF($A$3="September 2015",SUMIF('LY Actual'!$A:$A,'Top Flash'!A53,'LY Actual'!$K:$K),IF($A$3="October 2015",SUMIF('LY Actual'!$A:$A,'Top Flash'!A53,'LY Actual'!$L:$L),IF($A$3="November 2015",SUMIF('LY Actual'!$A:$A,'Top Flash'!A53,'LY Actual'!$M:$M),IF($A$3="December 2015",SUMIF('LY Actual'!$A:$A,'Top Flash'!A53,'LY Actual'!$N:$N),0))))))))))))</f>
        <v>0</v>
      </c>
      <c r="G53" s="32">
        <f t="shared" si="30"/>
        <v>0</v>
      </c>
      <c r="H53" s="32">
        <f t="shared" si="31"/>
        <v>0</v>
      </c>
      <c r="I53" s="27"/>
      <c r="J53" s="31">
        <f>IF($A$3="January 2015",SUMIF('TY Actual-Forecast'!$A:$A,'Top Flash'!A53,'TY Actual-Forecast'!$U:$U),IF($A$3="February 2015",SUMIF('TY Actual-Forecast'!$A:$A,'Top Flash'!A53,'TY Actual-Forecast'!$V:$V),IF($A$3="March 2015",SUMIF('TY Actual-Forecast'!$A:$A,'Top Flash'!A53,'TY Actual-Forecast'!$W:$W),IF($A$3="April 2015",SUMIF('TY Actual-Forecast'!$A:$A,'Top Flash'!A53,'TY Actual-Forecast'!$X:$X),IF($A$3="May 2015",SUMIF('TY Actual-Forecast'!$A:$A,'Top Flash'!A53,'TY Actual-Forecast'!$Y:$Y),IF($A$3="June 2015",SUMIF('TY Actual-Forecast'!$A:$A,'Top Flash'!A53,'TY Actual-Forecast'!$Z:$Z),IF($A$3="July 2015",SUMIF('TY Actual-Forecast'!$A:$A,'Top Flash'!A53,'TY Actual-Forecast'!$AA:$AA),IF($A$3="August 2015",SUMIF('TY Actual-Forecast'!$A:$A,'Top Flash'!A53,'TY Actual-Forecast'!$AB:$AB),IF($A$3="September 2015",SUMIF('TY Actual-Forecast'!$A:$A,'Top Flash'!A53,'TY Actual-Forecast'!$AC:$AC),IF($A$3="October 2015",SUMIF('TY Actual-Forecast'!$A:$A,'Top Flash'!A53,'TY Actual-Forecast'!$AD:$AD),IF($A$3="November 2015",SUMIF('TY Actual-Forecast'!$A:$A,'Top Flash'!A53,'TY Actual-Forecast'!$AE:$AE),IF($A$3="December 2015",SUMIF('TY Actual-Forecast'!$A:$A,'Top Flash'!A53,'TY Actual-Forecast'!$AF:$AF),0))))))))))))</f>
        <v>0</v>
      </c>
      <c r="K53" s="31">
        <f>IF($A$3="January 2015",SUMIF('TY Budget'!$A:$A,'Top Flash'!A53,'TY Budget'!$U:$U),IF($A$3="February 2015",SUMIF('TY Budget'!$A:$A,'Top Flash'!A53,'TY Budget'!$V:$V),IF($A$3="March 2015",SUMIF('TY Budget'!$A:$A,'Top Flash'!A53,'TY Budget'!$W:$W),IF($A$3="April 2015",SUMIF('TY Budget'!$A:$A,'Top Flash'!A53,'TY Budget'!$X:$X),IF($A$3="May 2015",SUMIF('TY Budget'!$A:$A,'Top Flash'!A53,'TY Budget'!$Y:$Y),IF($A$3="June 2015",SUMIF('TY Budget'!$A:$A,'Top Flash'!A53,'TY Budget'!$Z:$Z),IF($A$3="July 2015",SUMIF('TY Budget'!$A:$A,'Top Flash'!A53,'TY Budget'!$AA:$AA),IF($A$3="August 2015",SUMIF('TY Budget'!$A:$A,'Top Flash'!A53,'TY Budget'!$AB:$AB),IF($A$3="September 2015",SUMIF('TY Budget'!$A:$A,'Top Flash'!A53,'TY Budget'!$AC:$AC),IF($A$3="October 2015",SUMIF('TY Budget'!$A:$A,'Top Flash'!A53,'TY Budget'!$AD:$AD),IF($A$3="November 2015",SUMIF('TY Budget'!$A:$A,'Top Flash'!A53,'TY Budget'!$AE:$AE),IF($A$3="December 2015",SUMIF('TY Budget'!$A:$A,'Top Flash'!A53,'TY Budget'!$AF:$AF),0))))))))))))</f>
        <v>0</v>
      </c>
      <c r="L53" s="31">
        <f>IF($A$3="January 2015",SUMIF('LY Actual'!$A:$A,'Top Flash'!A53,'LY Actual'!$U:$U),IF($A$3="February 2015",SUMIF('LY Actual'!$A:$A,'Top Flash'!A53,'LY Actual'!$V:$V),IF($A$3="March 2015",SUMIF('LY Actual'!$A:$A,'Top Flash'!A53,'LY Actual'!$W:$W),IF($A$3="April 2015",SUMIF('LY Actual'!$A:$A,'Top Flash'!A53,'LY Actual'!$X:$X),IF($A$3="May 2015",SUMIF('LY Actual'!$A:$A,'Top Flash'!A53,'LY Actual'!$Y:$Y),IF($A$3="June 2015",SUMIF('LY Actual'!$A:$A,'Top Flash'!A53,'LY Actual'!$Z:$Z),IF($A$3="July 2015",SUMIF('LY Actual'!$A:$A,'Top Flash'!A53,'LY Actual'!$AA:$AA),IF($A$3="August 2015",SUMIF('LY Actual'!$A:$A,'Top Flash'!A53,'LY Actual'!$AB:$AB),IF($A$3="September 2015",SUMIF('LY Actual'!$A:$A,'Top Flash'!A53,'LY Actual'!$AC:$AC),IF($A$3="October 2015",SUMIF('LY Actual'!$A:$A,'Top Flash'!A53,'LY Actual'!$AD:$AD),IF($A$3="November 2015",SUMIF('LY Actual'!$A:$A,'Top Flash'!A53,'LY Actual'!$AE:$AE),IF($A$3="December 2015",SUMIF('LY Actual'!$A:$A,'Top Flash'!A53,'LY Actual'!$AF:$AF),0))))))))))))</f>
        <v>0</v>
      </c>
      <c r="M53" s="32">
        <f t="shared" si="32"/>
        <v>0</v>
      </c>
      <c r="N53" s="32">
        <f t="shared" si="32"/>
        <v>0</v>
      </c>
      <c r="O53" s="28"/>
      <c r="P53" s="31">
        <f>'TY Actual-Forecast'!O53</f>
        <v>0</v>
      </c>
      <c r="Q53" s="31">
        <f>'Variance Analysis'!J53</f>
        <v>0</v>
      </c>
      <c r="R53" s="31">
        <f>'TY Budget'!O53</f>
        <v>0</v>
      </c>
      <c r="S53" s="31">
        <f>'LY Actual'!O53</f>
        <v>0</v>
      </c>
      <c r="T53" s="32">
        <f t="shared" si="33"/>
        <v>0</v>
      </c>
      <c r="U53" s="32">
        <f t="shared" si="34"/>
        <v>0</v>
      </c>
    </row>
    <row r="54" spans="1:21" ht="15">
      <c r="A54" s="39" t="s">
        <v>36</v>
      </c>
      <c r="B54" s="36"/>
      <c r="C54" s="31">
        <f>IF($A$3="January 2015",SUMIF('TY Actual-Forecast'!$A:$A,'Top Flash'!A54,'TY Actual-Forecast'!$C:$C),IF($A$3="February 2015",SUMIF('TY Actual-Forecast'!$A:$A,'Top Flash'!A54,'TY Actual-Forecast'!$D:$D),IF($A$3="March 2015",SUMIF('TY Actual-Forecast'!$A:$A,'Top Flash'!A54,'TY Actual-Forecast'!$E:$E),IF($A$3="April 2015",SUMIF('TY Actual-Forecast'!$A:$A,'Top Flash'!A54,'TY Actual-Forecast'!$F:$F),IF($A$3="May 2015",SUMIF('TY Actual-Forecast'!$A:$A,'Top Flash'!A54,'TY Actual-Forecast'!$G:$G),IF($A$3="June 2015",SUMIF('TY Actual-Forecast'!$A:$A,'Top Flash'!A54,'TY Actual-Forecast'!$H:$H),IF($A$3="July 2015",SUMIF('TY Actual-Forecast'!$A:$A,'Top Flash'!A54,'TY Actual-Forecast'!$I:$I),IF($A$3="August 2015",SUMIF('TY Actual-Forecast'!$A:$A,'Top Flash'!A54,'TY Actual-Forecast'!$J:$J),IF($A$3="September 2015",SUMIF('TY Actual-Forecast'!$A:$A,'Top Flash'!A54,'TY Actual-Forecast'!$K:$K),IF($A$3="October 2015",SUMIF('TY Actual-Forecast'!$A:$A,'Top Flash'!A54,'TY Actual-Forecast'!$L:$L),IF($A$3="November 2015",SUMIF('TY Actual-Forecast'!$A:$A,'Top Flash'!A54,'TY Actual-Forecast'!$M:$M),IF($A$3="December 2015",SUMIF('TY Actual-Forecast'!$A:$A,'Top Flash'!A54,'TY Actual-Forecast'!$N:$N),0))))))))))))</f>
        <v>0</v>
      </c>
      <c r="D54" s="31">
        <f>'Variance Analysis'!D54</f>
        <v>0</v>
      </c>
      <c r="E54" s="31">
        <f>IF($A$3="January 2015",SUMIF('TY Budget'!$A:$A,'Top Flash'!A54,'TY Budget'!$C:$C),IF($A$3="February 2015",SUMIF('TY Budget'!$A:$A,'Top Flash'!A54,'TY Budget'!$D:$D),IF($A$3="March 2015",SUMIF('TY Budget'!$A:$A,'Top Flash'!A54,'TY Budget'!$E:$E),IF($A$3="April 2015",SUMIF('TY Budget'!$A:$A,'Top Flash'!A54,'TY Budget'!$F:$F),IF($A$3="May 2015",SUMIF('TY Budget'!$A:$A,'Top Flash'!A54,'TY Budget'!$G:$G),IF($A$3="June 2015",SUMIF('TY Budget'!$A:$A,'Top Flash'!A54,'TY Budget'!$H:$H),IF($A$3="July 2015",SUMIF('TY Budget'!$A:$A,'Top Flash'!A54,'TY Budget'!$I:$I),IF($A$3="August 2015",SUMIF('TY Budget'!$A:$A,'Top Flash'!A54,'TY Budget'!$J:$J),IF($A$3="September 2015",SUMIF('TY Budget'!$A:$A,'Top Flash'!A54,'TY Budget'!$K:$K),IF($A$3="October 2015",SUMIF('TY Budget'!$A:$A,'Top Flash'!A54,'TY Budget'!$L:$L),IF($A$3="November 2015",SUMIF('TY Budget'!$A:$A,'Top Flash'!A54,'TY Budget'!$M:$M),IF($A$3="December 2015",SUMIF('TY Budget'!$A:$A,'Top Flash'!A54,'TY Budget'!$N:$N),0))))))))))))</f>
        <v>0</v>
      </c>
      <c r="F54" s="31">
        <f>IF($A$3="January 2015",SUMIF('LY Actual'!$A:$A,'Top Flash'!A54,'LY Actual'!$C:$C),IF($A$3="February 2015",SUMIF('LY Actual'!$A:$A,'Top Flash'!A54,'LY Actual'!$D:$D),IF($A$3="March 2015",SUMIF('LY Actual'!$A:$A,'Top Flash'!A54,'LY Actual'!$E:$E),IF($A$3="April 2015",SUMIF('LY Actual'!$A:$A,'Top Flash'!A54,'LY Actual'!$F:$F),IF($A$3="May 2015",SUMIF('LY Actual'!$A:$A,'Top Flash'!A54,'LY Actual'!$G:$G),IF($A$3="June 2015",SUMIF('LY Actual'!$A:$A,'Top Flash'!A54,'LY Actual'!$H:$H),IF($A$3="July 2015",SUMIF('LY Actual'!$A:$A,'Top Flash'!A54,'LY Actual'!$I:$I),IF($A$3="August 2015",SUMIF('LY Actual'!$A:$A,'Top Flash'!A54,'LY Actual'!$J:$J),IF($A$3="September 2015",SUMIF('LY Actual'!$A:$A,'Top Flash'!A54,'LY Actual'!$K:$K),IF($A$3="October 2015",SUMIF('LY Actual'!$A:$A,'Top Flash'!A54,'LY Actual'!$L:$L),IF($A$3="November 2015",SUMIF('LY Actual'!$A:$A,'Top Flash'!A54,'LY Actual'!$M:$M),IF($A$3="December 2015",SUMIF('LY Actual'!$A:$A,'Top Flash'!A54,'LY Actual'!$N:$N),0))))))))))))</f>
        <v>0</v>
      </c>
      <c r="G54" s="32">
        <f t="shared" si="30"/>
        <v>0</v>
      </c>
      <c r="H54" s="32">
        <f t="shared" si="31"/>
        <v>0</v>
      </c>
      <c r="I54" s="27"/>
      <c r="J54" s="31">
        <f>IF($A$3="January 2015",SUMIF('TY Actual-Forecast'!$A:$A,'Top Flash'!A54,'TY Actual-Forecast'!$U:$U),IF($A$3="February 2015",SUMIF('TY Actual-Forecast'!$A:$A,'Top Flash'!A54,'TY Actual-Forecast'!$V:$V),IF($A$3="March 2015",SUMIF('TY Actual-Forecast'!$A:$A,'Top Flash'!A54,'TY Actual-Forecast'!$W:$W),IF($A$3="April 2015",SUMIF('TY Actual-Forecast'!$A:$A,'Top Flash'!A54,'TY Actual-Forecast'!$X:$X),IF($A$3="May 2015",SUMIF('TY Actual-Forecast'!$A:$A,'Top Flash'!A54,'TY Actual-Forecast'!$Y:$Y),IF($A$3="June 2015",SUMIF('TY Actual-Forecast'!$A:$A,'Top Flash'!A54,'TY Actual-Forecast'!$Z:$Z),IF($A$3="July 2015",SUMIF('TY Actual-Forecast'!$A:$A,'Top Flash'!A54,'TY Actual-Forecast'!$AA:$AA),IF($A$3="August 2015",SUMIF('TY Actual-Forecast'!$A:$A,'Top Flash'!A54,'TY Actual-Forecast'!$AB:$AB),IF($A$3="September 2015",SUMIF('TY Actual-Forecast'!$A:$A,'Top Flash'!A54,'TY Actual-Forecast'!$AC:$AC),IF($A$3="October 2015",SUMIF('TY Actual-Forecast'!$A:$A,'Top Flash'!A54,'TY Actual-Forecast'!$AD:$AD),IF($A$3="November 2015",SUMIF('TY Actual-Forecast'!$A:$A,'Top Flash'!A54,'TY Actual-Forecast'!$AE:$AE),IF($A$3="December 2015",SUMIF('TY Actual-Forecast'!$A:$A,'Top Flash'!A54,'TY Actual-Forecast'!$AF:$AF),0))))))))))))</f>
        <v>0</v>
      </c>
      <c r="K54" s="31">
        <f>IF($A$3="January 2015",SUMIF('TY Budget'!$A:$A,'Top Flash'!A54,'TY Budget'!$U:$U),IF($A$3="February 2015",SUMIF('TY Budget'!$A:$A,'Top Flash'!A54,'TY Budget'!$V:$V),IF($A$3="March 2015",SUMIF('TY Budget'!$A:$A,'Top Flash'!A54,'TY Budget'!$W:$W),IF($A$3="April 2015",SUMIF('TY Budget'!$A:$A,'Top Flash'!A54,'TY Budget'!$X:$X),IF($A$3="May 2015",SUMIF('TY Budget'!$A:$A,'Top Flash'!A54,'TY Budget'!$Y:$Y),IF($A$3="June 2015",SUMIF('TY Budget'!$A:$A,'Top Flash'!A54,'TY Budget'!$Z:$Z),IF($A$3="July 2015",SUMIF('TY Budget'!$A:$A,'Top Flash'!A54,'TY Budget'!$AA:$AA),IF($A$3="August 2015",SUMIF('TY Budget'!$A:$A,'Top Flash'!A54,'TY Budget'!$AB:$AB),IF($A$3="September 2015",SUMIF('TY Budget'!$A:$A,'Top Flash'!A54,'TY Budget'!$AC:$AC),IF($A$3="October 2015",SUMIF('TY Budget'!$A:$A,'Top Flash'!A54,'TY Budget'!$AD:$AD),IF($A$3="November 2015",SUMIF('TY Budget'!$A:$A,'Top Flash'!A54,'TY Budget'!$AE:$AE),IF($A$3="December 2015",SUMIF('TY Budget'!$A:$A,'Top Flash'!A54,'TY Budget'!$AF:$AF),0))))))))))))</f>
        <v>0</v>
      </c>
      <c r="L54" s="31">
        <f>IF($A$3="January 2015",SUMIF('LY Actual'!$A:$A,'Top Flash'!A54,'LY Actual'!$U:$U),IF($A$3="February 2015",SUMIF('LY Actual'!$A:$A,'Top Flash'!A54,'LY Actual'!$V:$V),IF($A$3="March 2015",SUMIF('LY Actual'!$A:$A,'Top Flash'!A54,'LY Actual'!$W:$W),IF($A$3="April 2015",SUMIF('LY Actual'!$A:$A,'Top Flash'!A54,'LY Actual'!$X:$X),IF($A$3="May 2015",SUMIF('LY Actual'!$A:$A,'Top Flash'!A54,'LY Actual'!$Y:$Y),IF($A$3="June 2015",SUMIF('LY Actual'!$A:$A,'Top Flash'!A54,'LY Actual'!$Z:$Z),IF($A$3="July 2015",SUMIF('LY Actual'!$A:$A,'Top Flash'!A54,'LY Actual'!$AA:$AA),IF($A$3="August 2015",SUMIF('LY Actual'!$A:$A,'Top Flash'!A54,'LY Actual'!$AB:$AB),IF($A$3="September 2015",SUMIF('LY Actual'!$A:$A,'Top Flash'!A54,'LY Actual'!$AC:$AC),IF($A$3="October 2015",SUMIF('LY Actual'!$A:$A,'Top Flash'!A54,'LY Actual'!$AD:$AD),IF($A$3="November 2015",SUMIF('LY Actual'!$A:$A,'Top Flash'!A54,'LY Actual'!$AE:$AE),IF($A$3="December 2015",SUMIF('LY Actual'!$A:$A,'Top Flash'!A54,'LY Actual'!$AF:$AF),0))))))))))))</f>
        <v>0</v>
      </c>
      <c r="M54" s="32">
        <f t="shared" si="32"/>
        <v>0</v>
      </c>
      <c r="N54" s="32">
        <f t="shared" si="32"/>
        <v>0</v>
      </c>
      <c r="O54" s="28"/>
      <c r="P54" s="31">
        <f>'TY Actual-Forecast'!O54</f>
        <v>0</v>
      </c>
      <c r="Q54" s="31">
        <f>'Variance Analysis'!J54</f>
        <v>0</v>
      </c>
      <c r="R54" s="31">
        <f>'TY Budget'!O54</f>
        <v>0</v>
      </c>
      <c r="S54" s="31">
        <f>'LY Actual'!O54</f>
        <v>0</v>
      </c>
      <c r="T54" s="32">
        <f t="shared" si="33"/>
        <v>0</v>
      </c>
      <c r="U54" s="32">
        <f t="shared" si="34"/>
        <v>0</v>
      </c>
    </row>
    <row r="55" spans="1:21" ht="15.75" customHeight="1">
      <c r="A55" s="39" t="s">
        <v>204</v>
      </c>
      <c r="B55" s="36"/>
      <c r="C55" s="31">
        <f>IF($A$3="January 2015",SUMIF('TY Actual-Forecast'!$A:$A,'Top Flash'!A55,'TY Actual-Forecast'!$C:$C),IF($A$3="February 2015",SUMIF('TY Actual-Forecast'!$A:$A,'Top Flash'!A55,'TY Actual-Forecast'!$D:$D),IF($A$3="March 2015",SUMIF('TY Actual-Forecast'!$A:$A,'Top Flash'!A55,'TY Actual-Forecast'!$E:$E),IF($A$3="April 2015",SUMIF('TY Actual-Forecast'!$A:$A,'Top Flash'!A55,'TY Actual-Forecast'!$F:$F),IF($A$3="May 2015",SUMIF('TY Actual-Forecast'!$A:$A,'Top Flash'!A55,'TY Actual-Forecast'!$G:$G),IF($A$3="June 2015",SUMIF('TY Actual-Forecast'!$A:$A,'Top Flash'!A55,'TY Actual-Forecast'!$H:$H),IF($A$3="July 2015",SUMIF('TY Actual-Forecast'!$A:$A,'Top Flash'!A55,'TY Actual-Forecast'!$I:$I),IF($A$3="August 2015",SUMIF('TY Actual-Forecast'!$A:$A,'Top Flash'!A55,'TY Actual-Forecast'!$J:$J),IF($A$3="September 2015",SUMIF('TY Actual-Forecast'!$A:$A,'Top Flash'!A55,'TY Actual-Forecast'!$K:$K),IF($A$3="October 2015",SUMIF('TY Actual-Forecast'!$A:$A,'Top Flash'!A55,'TY Actual-Forecast'!$L:$L),IF($A$3="November 2015",SUMIF('TY Actual-Forecast'!$A:$A,'Top Flash'!A55,'TY Actual-Forecast'!$M:$M),IF($A$3="December 2015",SUMIF('TY Actual-Forecast'!$A:$A,'Top Flash'!A55,'TY Actual-Forecast'!$N:$N),0))))))))))))</f>
        <v>-5000000</v>
      </c>
      <c r="D55" s="31">
        <f>'Variance Analysis'!D55</f>
        <v>-15000000</v>
      </c>
      <c r="E55" s="31">
        <f>IF($A$3="January 2015",SUMIF('TY Budget'!$A:$A,'Top Flash'!A55,'TY Budget'!$C:$C),IF($A$3="February 2015",SUMIF('TY Budget'!$A:$A,'Top Flash'!A55,'TY Budget'!$D:$D),IF($A$3="March 2015",SUMIF('TY Budget'!$A:$A,'Top Flash'!A55,'TY Budget'!$E:$E),IF($A$3="April 2015",SUMIF('TY Budget'!$A:$A,'Top Flash'!A55,'TY Budget'!$F:$F),IF($A$3="May 2015",SUMIF('TY Budget'!$A:$A,'Top Flash'!A55,'TY Budget'!$G:$G),IF($A$3="June 2015",SUMIF('TY Budget'!$A:$A,'Top Flash'!A55,'TY Budget'!$H:$H),IF($A$3="July 2015",SUMIF('TY Budget'!$A:$A,'Top Flash'!A55,'TY Budget'!$I:$I),IF($A$3="August 2015",SUMIF('TY Budget'!$A:$A,'Top Flash'!A55,'TY Budget'!$J:$J),IF($A$3="September 2015",SUMIF('TY Budget'!$A:$A,'Top Flash'!A55,'TY Budget'!$K:$K),IF($A$3="October 2015",SUMIF('TY Budget'!$A:$A,'Top Flash'!A55,'TY Budget'!$L:$L),IF($A$3="November 2015",SUMIF('TY Budget'!$A:$A,'Top Flash'!A55,'TY Budget'!$M:$M),IF($A$3="December 2015",SUMIF('TY Budget'!$A:$A,'Top Flash'!A55,'TY Budget'!$N:$N),0))))))))))))</f>
        <v>0</v>
      </c>
      <c r="F55" s="31">
        <f>IF($A$3="January 2015",SUMIF('LY Actual'!$A:$A,'Top Flash'!A55,'LY Actual'!$C:$C),IF($A$3="February 2015",SUMIF('LY Actual'!$A:$A,'Top Flash'!A55,'LY Actual'!$D:$D),IF($A$3="March 2015",SUMIF('LY Actual'!$A:$A,'Top Flash'!A55,'LY Actual'!$E:$E),IF($A$3="April 2015",SUMIF('LY Actual'!$A:$A,'Top Flash'!A55,'LY Actual'!$F:$F),IF($A$3="May 2015",SUMIF('LY Actual'!$A:$A,'Top Flash'!A55,'LY Actual'!$G:$G),IF($A$3="June 2015",SUMIF('LY Actual'!$A:$A,'Top Flash'!A55,'LY Actual'!$H:$H),IF($A$3="July 2015",SUMIF('LY Actual'!$A:$A,'Top Flash'!A55,'LY Actual'!$I:$I),IF($A$3="August 2015",SUMIF('LY Actual'!$A:$A,'Top Flash'!A55,'LY Actual'!$J:$J),IF($A$3="September 2015",SUMIF('LY Actual'!$A:$A,'Top Flash'!A55,'LY Actual'!$K:$K),IF($A$3="October 2015",SUMIF('LY Actual'!$A:$A,'Top Flash'!A55,'LY Actual'!$L:$L),IF($A$3="November 2015",SUMIF('LY Actual'!$A:$A,'Top Flash'!A55,'LY Actual'!$M:$M),IF($A$3="December 2015",SUMIF('LY Actual'!$A:$A,'Top Flash'!A55,'LY Actual'!$N:$N),0))))))))))))</f>
        <v>0</v>
      </c>
      <c r="G55" s="32">
        <f t="shared" si="30"/>
        <v>0</v>
      </c>
      <c r="H55" s="32">
        <f t="shared" si="31"/>
        <v>0</v>
      </c>
      <c r="I55" s="27"/>
      <c r="J55" s="31">
        <f>IF($A$3="January 2015",SUMIF('TY Actual-Forecast'!$A:$A,'Top Flash'!A55,'TY Actual-Forecast'!$U:$U),IF($A$3="February 2015",SUMIF('TY Actual-Forecast'!$A:$A,'Top Flash'!A55,'TY Actual-Forecast'!$V:$V),IF($A$3="March 2015",SUMIF('TY Actual-Forecast'!$A:$A,'Top Flash'!A55,'TY Actual-Forecast'!$W:$W),IF($A$3="April 2015",SUMIF('TY Actual-Forecast'!$A:$A,'Top Flash'!A55,'TY Actual-Forecast'!$X:$X),IF($A$3="May 2015",SUMIF('TY Actual-Forecast'!$A:$A,'Top Flash'!A55,'TY Actual-Forecast'!$Y:$Y),IF($A$3="June 2015",SUMIF('TY Actual-Forecast'!$A:$A,'Top Flash'!A55,'TY Actual-Forecast'!$Z:$Z),IF($A$3="July 2015",SUMIF('TY Actual-Forecast'!$A:$A,'Top Flash'!A55,'TY Actual-Forecast'!$AA:$AA),IF($A$3="August 2015",SUMIF('TY Actual-Forecast'!$A:$A,'Top Flash'!A55,'TY Actual-Forecast'!$AB:$AB),IF($A$3="September 2015",SUMIF('TY Actual-Forecast'!$A:$A,'Top Flash'!A55,'TY Actual-Forecast'!$AC:$AC),IF($A$3="October 2015",SUMIF('TY Actual-Forecast'!$A:$A,'Top Flash'!A55,'TY Actual-Forecast'!$AD:$AD),IF($A$3="November 2015",SUMIF('TY Actual-Forecast'!$A:$A,'Top Flash'!A55,'TY Actual-Forecast'!$AE:$AE),IF($A$3="December 2015",SUMIF('TY Actual-Forecast'!$A:$A,'Top Flash'!A55,'TY Actual-Forecast'!$AF:$AF),0))))))))))))</f>
        <v>-489684.15000000037</v>
      </c>
      <c r="K55" s="31">
        <f>IF($A$3="January 2015",SUMIF('TY Budget'!$A:$A,'Top Flash'!A55,'TY Budget'!$U:$U),IF($A$3="February 2015",SUMIF('TY Budget'!$A:$A,'Top Flash'!A55,'TY Budget'!$V:$V),IF($A$3="March 2015",SUMIF('TY Budget'!$A:$A,'Top Flash'!A55,'TY Budget'!$W:$W),IF($A$3="April 2015",SUMIF('TY Budget'!$A:$A,'Top Flash'!A55,'TY Budget'!$X:$X),IF($A$3="May 2015",SUMIF('TY Budget'!$A:$A,'Top Flash'!A55,'TY Budget'!$Y:$Y),IF($A$3="June 2015",SUMIF('TY Budget'!$A:$A,'Top Flash'!A55,'TY Budget'!$Z:$Z),IF($A$3="July 2015",SUMIF('TY Budget'!$A:$A,'Top Flash'!A55,'TY Budget'!$AA:$AA),IF($A$3="August 2015",SUMIF('TY Budget'!$A:$A,'Top Flash'!A55,'TY Budget'!$AB:$AB),IF($A$3="September 2015",SUMIF('TY Budget'!$A:$A,'Top Flash'!A55,'TY Budget'!$AC:$AC),IF($A$3="October 2015",SUMIF('TY Budget'!$A:$A,'Top Flash'!A55,'TY Budget'!$AD:$AD),IF($A$3="November 2015",SUMIF('TY Budget'!$A:$A,'Top Flash'!A55,'TY Budget'!$AE:$AE),IF($A$3="December 2015",SUMIF('TY Budget'!$A:$A,'Top Flash'!A55,'TY Budget'!$AF:$AF),0))))))))))))</f>
        <v>0</v>
      </c>
      <c r="L55" s="31">
        <f>IF($A$3="January 2015",SUMIF('LY Actual'!$A:$A,'Top Flash'!A55,'LY Actual'!$U:$U),IF($A$3="February 2015",SUMIF('LY Actual'!$A:$A,'Top Flash'!A55,'LY Actual'!$V:$V),IF($A$3="March 2015",SUMIF('LY Actual'!$A:$A,'Top Flash'!A55,'LY Actual'!$W:$W),IF($A$3="April 2015",SUMIF('LY Actual'!$A:$A,'Top Flash'!A55,'LY Actual'!$X:$X),IF($A$3="May 2015",SUMIF('LY Actual'!$A:$A,'Top Flash'!A55,'LY Actual'!$Y:$Y),IF($A$3="June 2015",SUMIF('LY Actual'!$A:$A,'Top Flash'!A55,'LY Actual'!$Z:$Z),IF($A$3="July 2015",SUMIF('LY Actual'!$A:$A,'Top Flash'!A55,'LY Actual'!$AA:$AA),IF($A$3="August 2015",SUMIF('LY Actual'!$A:$A,'Top Flash'!A55,'LY Actual'!$AB:$AB),IF($A$3="September 2015",SUMIF('LY Actual'!$A:$A,'Top Flash'!A55,'LY Actual'!$AC:$AC),IF($A$3="October 2015",SUMIF('LY Actual'!$A:$A,'Top Flash'!A55,'LY Actual'!$AD:$AD),IF($A$3="November 2015",SUMIF('LY Actual'!$A:$A,'Top Flash'!A55,'LY Actual'!$AE:$AE),IF($A$3="December 2015",SUMIF('LY Actual'!$A:$A,'Top Flash'!A55,'LY Actual'!$AF:$AF),0))))))))))))</f>
        <v>0</v>
      </c>
      <c r="M55" s="32">
        <f t="shared" si="32"/>
        <v>0</v>
      </c>
      <c r="N55" s="32">
        <f t="shared" si="32"/>
        <v>0</v>
      </c>
      <c r="O55" s="28"/>
      <c r="P55" s="31">
        <f>'TY Actual-Forecast'!O55</f>
        <v>-489684.15000000037</v>
      </c>
      <c r="Q55" s="31">
        <f>'Variance Analysis'!J55</f>
        <v>-5489684.1500000004</v>
      </c>
      <c r="R55" s="31">
        <f>'TY Budget'!O55</f>
        <v>0</v>
      </c>
      <c r="S55" s="31">
        <f>'LY Actual'!O55</f>
        <v>0</v>
      </c>
      <c r="T55" s="32">
        <f t="shared" si="33"/>
        <v>0</v>
      </c>
      <c r="U55" s="32">
        <f t="shared" si="34"/>
        <v>0</v>
      </c>
    </row>
    <row r="56" spans="1:21" s="24" customFormat="1" ht="15">
      <c r="A56" s="39" t="s">
        <v>16</v>
      </c>
      <c r="B56" s="36"/>
      <c r="C56" s="22">
        <f>SUBTOTAL(9,C51:C55)</f>
        <v>-3741266.45</v>
      </c>
      <c r="D56" s="22">
        <f>SUBTOTAL(9,D51:D55)</f>
        <v>-13053108.92</v>
      </c>
      <c r="E56" s="22">
        <f>SUBTOTAL(9,E51:E55)</f>
        <v>974368</v>
      </c>
      <c r="F56" s="22">
        <f>SUBTOTAL(9,F51:F55)</f>
        <v>999322.95</v>
      </c>
      <c r="G56" s="23">
        <f>-IFERROR((+C56-E56)/E56,)</f>
        <v>4.8396852626523037</v>
      </c>
      <c r="H56" s="23">
        <f>-IFERROR((+C56-F56)/F56,)</f>
        <v>4.743801190596094</v>
      </c>
      <c r="I56" s="37"/>
      <c r="J56" s="22">
        <f>SUBTOTAL(9,J51:J55)</f>
        <v>19154346.890000001</v>
      </c>
      <c r="K56" s="22">
        <f>SUBTOTAL(9,K51:K55)</f>
        <v>11270410.060000001</v>
      </c>
      <c r="L56" s="22">
        <f>SUBTOTAL(9,L51:L55)</f>
        <v>11196107.65</v>
      </c>
      <c r="M56" s="23">
        <f t="shared" si="32"/>
        <v>-0.69952528683769999</v>
      </c>
      <c r="N56" s="23">
        <f t="shared" si="32"/>
        <v>-0.71080410163794738</v>
      </c>
      <c r="O56" s="38"/>
      <c r="P56" s="22">
        <f t="shared" ref="P56:S56" si="35">SUBTOTAL(9,P51:P55)</f>
        <v>19154346.890000001</v>
      </c>
      <c r="Q56" s="22">
        <f t="shared" si="35"/>
        <v>15187033.480000002</v>
      </c>
      <c r="R56" s="22">
        <f t="shared" si="35"/>
        <v>11270410.060000001</v>
      </c>
      <c r="S56" s="22">
        <f t="shared" si="35"/>
        <v>11196107.65</v>
      </c>
      <c r="T56" s="23">
        <f>-IFERROR((+P56-R56)/R56,)</f>
        <v>-0.69952528683769999</v>
      </c>
      <c r="U56" s="23">
        <f>-IFERROR((+P56-S56)/S56,)</f>
        <v>-0.71080410163794738</v>
      </c>
    </row>
    <row r="57" spans="1:21" ht="15">
      <c r="A57" s="18"/>
      <c r="B57" s="18"/>
      <c r="C57" s="40"/>
      <c r="D57" s="40"/>
      <c r="E57" s="40"/>
      <c r="F57" s="40"/>
      <c r="G57" s="26"/>
      <c r="H57" s="262"/>
      <c r="I57" s="27"/>
      <c r="J57" s="40"/>
      <c r="K57" s="40"/>
      <c r="L57" s="40"/>
      <c r="M57" s="26"/>
      <c r="N57" s="262"/>
      <c r="O57" s="28"/>
      <c r="P57" s="40"/>
      <c r="Q57" s="40"/>
      <c r="R57" s="40"/>
      <c r="S57" s="40"/>
      <c r="T57" s="26"/>
      <c r="U57" s="262"/>
    </row>
    <row r="58" spans="1:21" s="24" customFormat="1" ht="15">
      <c r="A58" s="18" t="s">
        <v>3</v>
      </c>
      <c r="B58" s="18"/>
      <c r="C58" s="22">
        <f>C47-C56</f>
        <v>34861921.900000006</v>
      </c>
      <c r="D58" s="22">
        <f>D47-D56</f>
        <v>45534508.270663507</v>
      </c>
      <c r="E58" s="22">
        <f>E47-E56</f>
        <v>29077240.952241052</v>
      </c>
      <c r="F58" s="22">
        <f>F47-F56</f>
        <v>26789963.687895551</v>
      </c>
      <c r="G58" s="23">
        <f>IFERROR(IF(E58&lt;C58,ABS((+C58-E58)/E58),(+C58-E58)/E58),)</f>
        <v>0.19894187888253254</v>
      </c>
      <c r="H58" s="23">
        <f>IFERROR(IF(F58&lt;C58,ABS((+C58-F58)/F58),(+C58-F58)/F58),)</f>
        <v>0.30130530620135143</v>
      </c>
      <c r="I58" s="37"/>
      <c r="J58" s="22">
        <f>J47-J56</f>
        <v>161509823.20999998</v>
      </c>
      <c r="K58" s="22">
        <f>K47-K56</f>
        <v>198556802.54156929</v>
      </c>
      <c r="L58" s="22">
        <f>L47-L56</f>
        <v>123325539.31143835</v>
      </c>
      <c r="M58" s="23">
        <f>IFERROR(IF(K58&lt;J58,ABS((+J58-K58)/K58),(+J58-K58)/K58),)</f>
        <v>-0.18658126469282393</v>
      </c>
      <c r="N58" s="23">
        <f>IFERROR(IF(L58&lt;J58,ABS((+J58-L58)/L58),(+J58-L58)/L58),)</f>
        <v>0.30962186836364447</v>
      </c>
      <c r="O58" s="38"/>
      <c r="P58" s="22">
        <f t="shared" ref="P58:S58" si="36">P47-P56</f>
        <v>161509823.20999998</v>
      </c>
      <c r="Q58" s="22">
        <f t="shared" si="36"/>
        <v>166582184.18066344</v>
      </c>
      <c r="R58" s="22">
        <f t="shared" si="36"/>
        <v>198556802.54156929</v>
      </c>
      <c r="S58" s="22">
        <f t="shared" si="36"/>
        <v>123325539.31143835</v>
      </c>
      <c r="T58" s="23">
        <f>IFERROR(IF(R58&lt;P58,ABS((+P58-R58)/R58),(+P58-R58)/R58),)</f>
        <v>-0.18658126469282393</v>
      </c>
      <c r="U58" s="23">
        <f>IFERROR(IF(S58&lt;P58,ABS((+P58-S58)/S58),(+P58-S58)/S58),)</f>
        <v>0.30962186836364447</v>
      </c>
    </row>
    <row r="59" spans="1:21" s="48" customFormat="1" ht="15">
      <c r="A59" s="45" t="s">
        <v>1</v>
      </c>
      <c r="B59" s="46"/>
      <c r="C59" s="32">
        <f>IFERROR(C58/C$8,)</f>
        <v>0.53191868959665123</v>
      </c>
      <c r="D59" s="32">
        <f>IFERROR(D58/D$8,)</f>
        <v>0.72778336264661114</v>
      </c>
      <c r="E59" s="32">
        <f>IFERROR(E58/E$8,)</f>
        <v>0.47511538309631823</v>
      </c>
      <c r="F59" s="32">
        <f>IFERROR(F58/F$8,)</f>
        <v>0.4495387090935834</v>
      </c>
      <c r="G59" s="23"/>
      <c r="H59" s="23"/>
      <c r="I59" s="47"/>
      <c r="J59" s="32">
        <f>IFERROR(J58/J$8,)</f>
        <v>0.33146376627906893</v>
      </c>
      <c r="K59" s="32">
        <f>IFERROR(K58/K$8,)</f>
        <v>0.38435790724948027</v>
      </c>
      <c r="L59" s="32">
        <f>IFERROR(L58/L$8,)</f>
        <v>0.3074629739565149</v>
      </c>
      <c r="M59" s="23"/>
      <c r="N59" s="23"/>
      <c r="O59" s="47"/>
      <c r="P59" s="32">
        <f t="shared" ref="P59:S59" si="37">IFERROR(P58/P$8,)</f>
        <v>0.33146376627906893</v>
      </c>
      <c r="Q59" s="32">
        <f t="shared" si="37"/>
        <v>0.34397269464181396</v>
      </c>
      <c r="R59" s="32">
        <f t="shared" si="37"/>
        <v>0.38435790724948027</v>
      </c>
      <c r="S59" s="32">
        <f t="shared" si="37"/>
        <v>0.3074629739565149</v>
      </c>
      <c r="T59" s="23"/>
      <c r="U59" s="23"/>
    </row>
    <row r="60" spans="1:21" ht="15">
      <c r="A60" s="18"/>
      <c r="B60" s="18"/>
      <c r="C60" s="40"/>
      <c r="D60" s="40"/>
      <c r="E60" s="40"/>
      <c r="F60" s="40"/>
      <c r="G60" s="26"/>
      <c r="H60" s="26"/>
      <c r="I60" s="27"/>
      <c r="J60" s="40"/>
      <c r="K60" s="40"/>
      <c r="L60" s="40"/>
      <c r="M60" s="26"/>
      <c r="N60" s="26"/>
      <c r="O60" s="28"/>
      <c r="P60" s="40"/>
      <c r="Q60" s="40"/>
      <c r="R60" s="40"/>
      <c r="S60" s="40"/>
      <c r="T60" s="26"/>
      <c r="U60" s="26"/>
    </row>
    <row r="61" spans="1:21" ht="15">
      <c r="A61" s="39" t="s">
        <v>14</v>
      </c>
      <c r="B61" s="36"/>
      <c r="C61" s="31">
        <f>IF($A$3="January 2015",SUMIF('TY Actual-Forecast'!$A:$A,'Top Flash'!A61,'TY Actual-Forecast'!$C:$C),IF($A$3="February 2015",SUMIF('TY Actual-Forecast'!$A:$A,'Top Flash'!A61,'TY Actual-Forecast'!$D:$D),IF($A$3="March 2015",SUMIF('TY Actual-Forecast'!$A:$A,'Top Flash'!A61,'TY Actual-Forecast'!$E:$E),IF($A$3="April 2015",SUMIF('TY Actual-Forecast'!$A:$A,'Top Flash'!A61,'TY Actual-Forecast'!$F:$F),IF($A$3="May 2015",SUMIF('TY Actual-Forecast'!$A:$A,'Top Flash'!A61,'TY Actual-Forecast'!$G:$G),IF($A$3="June 2015",SUMIF('TY Actual-Forecast'!$A:$A,'Top Flash'!A61,'TY Actual-Forecast'!$H:$H),IF($A$3="July 2015",SUMIF('TY Actual-Forecast'!$A:$A,'Top Flash'!A61,'TY Actual-Forecast'!$I:$I),IF($A$3="August 2015",SUMIF('TY Actual-Forecast'!$A:$A,'Top Flash'!A61,'TY Actual-Forecast'!$J:$J),IF($A$3="September 2015",SUMIF('TY Actual-Forecast'!$A:$A,'Top Flash'!A61,'TY Actual-Forecast'!$K:$K),IF($A$3="October 2015",SUMIF('TY Actual-Forecast'!$A:$A,'Top Flash'!A61,'TY Actual-Forecast'!$L:$L),IF($A$3="November 2015",SUMIF('TY Actual-Forecast'!$A:$A,'Top Flash'!A61,'TY Actual-Forecast'!$M:$M),IF($A$3="December 2015",SUMIF('TY Actual-Forecast'!$A:$A,'Top Flash'!A61,'TY Actual-Forecast'!$N:$N),0))))))))))))</f>
        <v>2706665.9099999992</v>
      </c>
      <c r="D61" s="31">
        <f>'Variance Analysis'!D61</f>
        <v>5299000</v>
      </c>
      <c r="E61" s="31">
        <f>IF($A$3="January 2015",SUMIF('TY Budget'!$A:$A,'Top Flash'!A61,'TY Budget'!$C:$C),IF($A$3="February 2015",SUMIF('TY Budget'!$A:$A,'Top Flash'!A61,'TY Budget'!$D:$D),IF($A$3="March 2015",SUMIF('TY Budget'!$A:$A,'Top Flash'!A61,'TY Budget'!$E:$E),IF($A$3="April 2015",SUMIF('TY Budget'!$A:$A,'Top Flash'!A61,'TY Budget'!$F:$F),IF($A$3="May 2015",SUMIF('TY Budget'!$A:$A,'Top Flash'!A61,'TY Budget'!$G:$G),IF($A$3="June 2015",SUMIF('TY Budget'!$A:$A,'Top Flash'!A61,'TY Budget'!$H:$H),IF($A$3="July 2015",SUMIF('TY Budget'!$A:$A,'Top Flash'!A61,'TY Budget'!$I:$I),IF($A$3="August 2015",SUMIF('TY Budget'!$A:$A,'Top Flash'!A61,'TY Budget'!$J:$J),IF($A$3="September 2015",SUMIF('TY Budget'!$A:$A,'Top Flash'!A61,'TY Budget'!$K:$K),IF($A$3="October 2015",SUMIF('TY Budget'!$A:$A,'Top Flash'!A61,'TY Budget'!$L:$L),IF($A$3="November 2015",SUMIF('TY Budget'!$A:$A,'Top Flash'!A61,'TY Budget'!$M:$M),IF($A$3="December 2015",SUMIF('TY Budget'!$A:$A,'Top Flash'!A61,'TY Budget'!$N:$N),0))))))))))))</f>
        <v>5039919</v>
      </c>
      <c r="F61" s="31">
        <f>IF($A$3="January 2015",SUMIF('LY Actual'!$A:$A,'Top Flash'!A61,'LY Actual'!$C:$C),IF($A$3="February 2015",SUMIF('LY Actual'!$A:$A,'Top Flash'!A61,'LY Actual'!$D:$D),IF($A$3="March 2015",SUMIF('LY Actual'!$A:$A,'Top Flash'!A61,'LY Actual'!$E:$E),IF($A$3="April 2015",SUMIF('LY Actual'!$A:$A,'Top Flash'!A61,'LY Actual'!$F:$F),IF($A$3="May 2015",SUMIF('LY Actual'!$A:$A,'Top Flash'!A61,'LY Actual'!$G:$G),IF($A$3="June 2015",SUMIF('LY Actual'!$A:$A,'Top Flash'!A61,'LY Actual'!$H:$H),IF($A$3="July 2015",SUMIF('LY Actual'!$A:$A,'Top Flash'!A61,'LY Actual'!$I:$I),IF($A$3="August 2015",SUMIF('LY Actual'!$A:$A,'Top Flash'!A61,'LY Actual'!$J:$J),IF($A$3="September 2015",SUMIF('LY Actual'!$A:$A,'Top Flash'!A61,'LY Actual'!$K:$K),IF($A$3="October 2015",SUMIF('LY Actual'!$A:$A,'Top Flash'!A61,'LY Actual'!$L:$L),IF($A$3="November 2015",SUMIF('LY Actual'!$A:$A,'Top Flash'!A61,'LY Actual'!$M:$M),IF($A$3="December 2015",SUMIF('LY Actual'!$A:$A,'Top Flash'!A61,'LY Actual'!$N:$N),0))))))))))))</f>
        <v>26424936.579999998</v>
      </c>
      <c r="G61" s="32">
        <f t="shared" ref="G61" si="38">-IFERROR((+C61-E61)/E61,)</f>
        <v>0.4629544820065562</v>
      </c>
      <c r="H61" s="32">
        <f t="shared" ref="H61" si="39">-IFERROR((+C61-F61)/F61,)</f>
        <v>0.89757152673552409</v>
      </c>
      <c r="I61" s="27"/>
      <c r="J61" s="31">
        <f>IF($A$3="January 2015",SUMIF('TY Actual-Forecast'!$A:$A,'Top Flash'!A61,'TY Actual-Forecast'!$U:$U),IF($A$3="February 2015",SUMIF('TY Actual-Forecast'!$A:$A,'Top Flash'!A61,'TY Actual-Forecast'!$V:$V),IF($A$3="March 2015",SUMIF('TY Actual-Forecast'!$A:$A,'Top Flash'!A61,'TY Actual-Forecast'!$W:$W),IF($A$3="April 2015",SUMIF('TY Actual-Forecast'!$A:$A,'Top Flash'!A61,'TY Actual-Forecast'!$X:$X),IF($A$3="May 2015",SUMIF('TY Actual-Forecast'!$A:$A,'Top Flash'!A61,'TY Actual-Forecast'!$Y:$Y),IF($A$3="June 2015",SUMIF('TY Actual-Forecast'!$A:$A,'Top Flash'!A61,'TY Actual-Forecast'!$Z:$Z),IF($A$3="July 2015",SUMIF('TY Actual-Forecast'!$A:$A,'Top Flash'!A61,'TY Actual-Forecast'!$AA:$AA),IF($A$3="August 2015",SUMIF('TY Actual-Forecast'!$A:$A,'Top Flash'!A61,'TY Actual-Forecast'!$AB:$AB),IF($A$3="September 2015",SUMIF('TY Actual-Forecast'!$A:$A,'Top Flash'!A61,'TY Actual-Forecast'!$AC:$AC),IF($A$3="October 2015",SUMIF('TY Actual-Forecast'!$A:$A,'Top Flash'!A61,'TY Actual-Forecast'!$AD:$AD),IF($A$3="November 2015",SUMIF('TY Actual-Forecast'!$A:$A,'Top Flash'!A61,'TY Actual-Forecast'!$AE:$AE),IF($A$3="December 2015",SUMIF('TY Actual-Forecast'!$A:$A,'Top Flash'!A61,'TY Actual-Forecast'!$AF:$AF),0))))))))))))</f>
        <v>48048956.889999993</v>
      </c>
      <c r="K61" s="31">
        <f>IF($A$3="January 2015",SUMIF('TY Budget'!$A:$A,'Top Flash'!A61,'TY Budget'!$U:$U),IF($A$3="February 2015",SUMIF('TY Budget'!$A:$A,'Top Flash'!A61,'TY Budget'!$V:$V),IF($A$3="March 2015",SUMIF('TY Budget'!$A:$A,'Top Flash'!A61,'TY Budget'!$W:$W),IF($A$3="April 2015",SUMIF('TY Budget'!$A:$A,'Top Flash'!A61,'TY Budget'!$X:$X),IF($A$3="May 2015",SUMIF('TY Budget'!$A:$A,'Top Flash'!A61,'TY Budget'!$Y:$Y),IF($A$3="June 2015",SUMIF('TY Budget'!$A:$A,'Top Flash'!A61,'TY Budget'!$Z:$Z),IF($A$3="July 2015",SUMIF('TY Budget'!$A:$A,'Top Flash'!A61,'TY Budget'!$AA:$AA),IF($A$3="August 2015",SUMIF('TY Budget'!$A:$A,'Top Flash'!A61,'TY Budget'!$AB:$AB),IF($A$3="September 2015",SUMIF('TY Budget'!$A:$A,'Top Flash'!A61,'TY Budget'!$AC:$AC),IF($A$3="October 2015",SUMIF('TY Budget'!$A:$A,'Top Flash'!A61,'TY Budget'!$AD:$AD),IF($A$3="November 2015",SUMIF('TY Budget'!$A:$A,'Top Flash'!A61,'TY Budget'!$AE:$AE),IF($A$3="December 2015",SUMIF('TY Budget'!$A:$A,'Top Flash'!A61,'TY Budget'!$AF:$AF),0))))))))))))</f>
        <v>60479028</v>
      </c>
      <c r="L61" s="31">
        <f>IF($A$3="January 2015",SUMIF('LY Actual'!$A:$A,'Top Flash'!A61,'LY Actual'!$U:$U),IF($A$3="February 2015",SUMIF('LY Actual'!$A:$A,'Top Flash'!A61,'LY Actual'!$V:$V),IF($A$3="March 2015",SUMIF('LY Actual'!$A:$A,'Top Flash'!A61,'LY Actual'!$W:$W),IF($A$3="April 2015",SUMIF('LY Actual'!$A:$A,'Top Flash'!A61,'LY Actual'!$X:$X),IF($A$3="May 2015",SUMIF('LY Actual'!$A:$A,'Top Flash'!A61,'LY Actual'!$Y:$Y),IF($A$3="June 2015",SUMIF('LY Actual'!$A:$A,'Top Flash'!A61,'LY Actual'!$Z:$Z),IF($A$3="July 2015",SUMIF('LY Actual'!$A:$A,'Top Flash'!A61,'LY Actual'!$AA:$AA),IF($A$3="August 2015",SUMIF('LY Actual'!$A:$A,'Top Flash'!A61,'LY Actual'!$AB:$AB),IF($A$3="September 2015",SUMIF('LY Actual'!$A:$A,'Top Flash'!A61,'LY Actual'!$AC:$AC),IF($A$3="October 2015",SUMIF('LY Actual'!$A:$A,'Top Flash'!A61,'LY Actual'!$AD:$AD),IF($A$3="November 2015",SUMIF('LY Actual'!$A:$A,'Top Flash'!A61,'LY Actual'!$AE:$AE),IF($A$3="December 2015",SUMIF('LY Actual'!$A:$A,'Top Flash'!A61,'LY Actual'!$AF:$AF),0))))))))))))</f>
        <v>58679605.560000002</v>
      </c>
      <c r="M61" s="32">
        <f t="shared" ref="M61:N61" si="40">-IFERROR((+$J61-K61)/K61,)</f>
        <v>0.20552696564501677</v>
      </c>
      <c r="N61" s="32">
        <f t="shared" si="40"/>
        <v>0.18116428303407991</v>
      </c>
      <c r="O61" s="28"/>
      <c r="P61" s="31">
        <f>'TY Actual-Forecast'!O61</f>
        <v>48048956.889999993</v>
      </c>
      <c r="Q61" s="31">
        <f>'Variance Analysis'!J61</f>
        <v>50641290.979999997</v>
      </c>
      <c r="R61" s="31">
        <f>'TY Budget'!O61</f>
        <v>60479028</v>
      </c>
      <c r="S61" s="31">
        <f>'LY Actual'!O61</f>
        <v>58679605.560000002</v>
      </c>
      <c r="T61" s="32">
        <f t="shared" ref="T61" si="41">-IFERROR((+P61-R61)/R61,)</f>
        <v>0.20552696564501677</v>
      </c>
      <c r="U61" s="32">
        <f t="shared" ref="U61" si="42">-IFERROR((+P61-S61)/S61,)</f>
        <v>0.18116428303407991</v>
      </c>
    </row>
    <row r="62" spans="1:21" ht="15">
      <c r="A62" s="18"/>
      <c r="B62" s="18"/>
      <c r="C62" s="40"/>
      <c r="D62" s="40"/>
      <c r="E62" s="40"/>
      <c r="F62" s="40"/>
      <c r="G62" s="26"/>
      <c r="H62" s="26"/>
      <c r="I62" s="27"/>
      <c r="J62" s="40"/>
      <c r="K62" s="40"/>
      <c r="L62" s="40"/>
      <c r="M62" s="26"/>
      <c r="N62" s="26"/>
      <c r="O62" s="28"/>
      <c r="P62" s="40"/>
      <c r="Q62" s="40"/>
      <c r="R62" s="40"/>
      <c r="S62" s="40"/>
      <c r="T62" s="26"/>
      <c r="U62" s="26"/>
    </row>
    <row r="63" spans="1:21" s="24" customFormat="1" ht="15">
      <c r="A63" s="18" t="s">
        <v>196</v>
      </c>
      <c r="B63" s="18"/>
      <c r="C63" s="22">
        <f>C58-C61</f>
        <v>32155255.990000006</v>
      </c>
      <c r="D63" s="22">
        <f>D58-D61</f>
        <v>40235508.270663507</v>
      </c>
      <c r="E63" s="22">
        <f>E58-E61</f>
        <v>24037321.952241052</v>
      </c>
      <c r="F63" s="22">
        <f>F58-F61</f>
        <v>365027.10789555311</v>
      </c>
      <c r="G63" s="23">
        <f>IFERROR(IF(E63&lt;C63,ABS((+C63-E63)/E63),(+C63-E63)/E63),)</f>
        <v>0.33772206628875734</v>
      </c>
      <c r="H63" s="23">
        <f>IFERROR(IF(F63&lt;C63,ABS((+C63-F63)/F63),(+C63-F63)/F63),)</f>
        <v>87.090049463396937</v>
      </c>
      <c r="I63" s="37"/>
      <c r="J63" s="22">
        <f>J58-J61</f>
        <v>113460866.31999999</v>
      </c>
      <c r="K63" s="22">
        <f>K58-K61</f>
        <v>138077774.54156929</v>
      </c>
      <c r="L63" s="22">
        <f>L58-L61</f>
        <v>64645933.751438349</v>
      </c>
      <c r="M63" s="23">
        <f>IFERROR(IF(K63&lt;J63,ABS((+J63-K63)/K63),(+J63-K63)/K63),)</f>
        <v>-0.17828291557638196</v>
      </c>
      <c r="N63" s="23">
        <f>IFERROR(IF(L63&lt;J63,ABS((+J63-L63)/L63),(+J63-L63)/L63),)</f>
        <v>0.75511218936450941</v>
      </c>
      <c r="O63" s="38"/>
      <c r="P63" s="22">
        <f t="shared" ref="P63:S63" si="43">P58-P61</f>
        <v>113460866.31999999</v>
      </c>
      <c r="Q63" s="31">
        <f>'Variance Analysis'!J63</f>
        <v>115940893.20066345</v>
      </c>
      <c r="R63" s="22">
        <f t="shared" si="43"/>
        <v>138077774.54156929</v>
      </c>
      <c r="S63" s="22">
        <f t="shared" si="43"/>
        <v>64645933.751438349</v>
      </c>
      <c r="T63" s="23">
        <f>IFERROR(IF(R63&lt;P63,ABS((+P63-R63)/R63),(+P63-R63)/R63),)</f>
        <v>-0.17828291557638196</v>
      </c>
      <c r="U63" s="23">
        <f>IFERROR(IF(S63&lt;P63,ABS((+P63-S63)/S63),(+P63-S63)/S63),)</f>
        <v>0.75511218936450941</v>
      </c>
    </row>
    <row r="64" spans="1:21" ht="15">
      <c r="A64" s="18"/>
      <c r="B64" s="18"/>
      <c r="C64" s="26"/>
      <c r="D64" s="26"/>
      <c r="E64" s="26"/>
      <c r="F64" s="26"/>
      <c r="G64" s="40"/>
      <c r="H64" s="262"/>
      <c r="I64" s="27"/>
      <c r="J64" s="26"/>
      <c r="K64" s="26"/>
      <c r="L64" s="26"/>
      <c r="M64" s="40"/>
      <c r="N64" s="262"/>
      <c r="O64" s="28"/>
      <c r="P64" s="26"/>
      <c r="Q64" s="26"/>
      <c r="R64" s="26"/>
      <c r="S64" s="26"/>
      <c r="T64" s="40"/>
      <c r="U64" s="262"/>
    </row>
    <row r="65" spans="1:21" ht="15">
      <c r="A65" s="39" t="s">
        <v>197</v>
      </c>
      <c r="B65" s="18"/>
      <c r="C65" s="31">
        <f>IF($A$3="January 2015",SUMIF('TY Actual-Forecast'!$A:$A,'Top Flash'!A65,'TY Actual-Forecast'!$C:$C),IF($A$3="February 2015",SUMIF('TY Actual-Forecast'!$A:$A,'Top Flash'!A65,'TY Actual-Forecast'!$D:$D),IF($A$3="March 2015",SUMIF('TY Actual-Forecast'!$A:$A,'Top Flash'!A65,'TY Actual-Forecast'!$E:$E),IF($A$3="April 2015",SUMIF('TY Actual-Forecast'!$A:$A,'Top Flash'!A65,'TY Actual-Forecast'!$F:$F),IF($A$3="May 2015",SUMIF('TY Actual-Forecast'!$A:$A,'Top Flash'!A65,'TY Actual-Forecast'!$G:$G),IF($A$3="June 2015",SUMIF('TY Actual-Forecast'!$A:$A,'Top Flash'!A65,'TY Actual-Forecast'!$H:$H),IF($A$3="July 2015",SUMIF('TY Actual-Forecast'!$A:$A,'Top Flash'!A65,'TY Actual-Forecast'!$I:$I),IF($A$3="August 2015",SUMIF('TY Actual-Forecast'!$A:$A,'Top Flash'!A65,'TY Actual-Forecast'!$J:$J),IF($A$3="September 2015",SUMIF('TY Actual-Forecast'!$A:$A,'Top Flash'!A65,'TY Actual-Forecast'!$K:$K),IF($A$3="October 2015",SUMIF('TY Actual-Forecast'!$A:$A,'Top Flash'!A65,'TY Actual-Forecast'!$L:$L),IF($A$3="November 2015",SUMIF('TY Actual-Forecast'!$A:$A,'Top Flash'!A65,'TY Actual-Forecast'!$M:$M),IF($A$3="December 2015",SUMIF('TY Actual-Forecast'!$A:$A,'Top Flash'!A65,'TY Actual-Forecast'!$N:$N),0))))))))))))</f>
        <v>7074156.3178000012</v>
      </c>
      <c r="D65" s="31">
        <f>'Variance Analysis'!D65</f>
        <v>8851811.8195459712</v>
      </c>
      <c r="E65" s="31">
        <f>IF($A$3="January 2015",SUMIF('TY Budget'!$A:$A,'Top Flash'!A65,'TY Budget'!$C:$C),IF($A$3="February 2015",SUMIF('TY Budget'!$A:$A,'Top Flash'!A65,'TY Budget'!$D:$D),IF($A$3="March 2015",SUMIF('TY Budget'!$A:$A,'Top Flash'!A65,'TY Budget'!$E:$E),IF($A$3="April 2015",SUMIF('TY Budget'!$A:$A,'Top Flash'!A65,'TY Budget'!$F:$F),IF($A$3="May 2015",SUMIF('TY Budget'!$A:$A,'Top Flash'!A65,'TY Budget'!$G:$G),IF($A$3="June 2015",SUMIF('TY Budget'!$A:$A,'Top Flash'!A65,'TY Budget'!$H:$H),IF($A$3="July 2015",SUMIF('TY Budget'!$A:$A,'Top Flash'!A65,'TY Budget'!$I:$I),IF($A$3="August 2015",SUMIF('TY Budget'!$A:$A,'Top Flash'!A65,'TY Budget'!$J:$J),IF($A$3="September 2015",SUMIF('TY Budget'!$A:$A,'Top Flash'!A65,'TY Budget'!$K:$K),IF($A$3="October 2015",SUMIF('TY Budget'!$A:$A,'Top Flash'!A65,'TY Budget'!$L:$L),IF($A$3="November 2015",SUMIF('TY Budget'!$A:$A,'Top Flash'!A65,'TY Budget'!$M:$M),IF($A$3="December 2015",SUMIF('TY Budget'!$A:$A,'Top Flash'!A65,'TY Budget'!$N:$N),0))))))))))))</f>
        <v>7211196.5856723152</v>
      </c>
      <c r="F65" s="31">
        <f>IF($A$3="January 2015",SUMIF('LY Actual'!$A:$A,'Top Flash'!A65,'LY Actual'!$C:$C),IF($A$3="February 2015",SUMIF('LY Actual'!$A:$A,'Top Flash'!A65,'LY Actual'!$D:$D),IF($A$3="March 2015",SUMIF('LY Actual'!$A:$A,'Top Flash'!A65,'LY Actual'!$E:$E),IF($A$3="April 2015",SUMIF('LY Actual'!$A:$A,'Top Flash'!A65,'LY Actual'!$F:$F),IF($A$3="May 2015",SUMIF('LY Actual'!$A:$A,'Top Flash'!A65,'LY Actual'!$G:$G),IF($A$3="June 2015",SUMIF('LY Actual'!$A:$A,'Top Flash'!A65,'LY Actual'!$H:$H),IF($A$3="July 2015",SUMIF('LY Actual'!$A:$A,'Top Flash'!A65,'LY Actual'!$I:$I),IF($A$3="August 2015",SUMIF('LY Actual'!$A:$A,'Top Flash'!A65,'LY Actual'!$J:$J),IF($A$3="September 2015",SUMIF('LY Actual'!$A:$A,'Top Flash'!A65,'LY Actual'!$K:$K),IF($A$3="October 2015",SUMIF('LY Actual'!$A:$A,'Top Flash'!A65,'LY Actual'!$L:$L),IF($A$3="November 2015",SUMIF('LY Actual'!$A:$A,'Top Flash'!A65,'LY Actual'!$M:$M),IF($A$3="December 2015",SUMIF('LY Actual'!$A:$A,'Top Flash'!A65,'LY Actual'!$N:$N),0))))))))))))</f>
        <v>-2689000</v>
      </c>
      <c r="G65" s="32">
        <f t="shared" ref="G65" si="44">-IFERROR((+C65-E65)/E65,)</f>
        <v>1.9003818054911258E-2</v>
      </c>
      <c r="H65" s="32">
        <f t="shared" ref="H65" si="45">-IFERROR((+C65-F65)/F65,)</f>
        <v>3.6307758712532543</v>
      </c>
      <c r="I65" s="27"/>
      <c r="J65" s="31">
        <f>IF($A$3="January 2015",SUMIF('TY Actual-Forecast'!$A:$A,'Top Flash'!A65,'TY Actual-Forecast'!$U:$U),IF($A$3="February 2015",SUMIF('TY Actual-Forecast'!$A:$A,'Top Flash'!A65,'TY Actual-Forecast'!$V:$V),IF($A$3="March 2015",SUMIF('TY Actual-Forecast'!$A:$A,'Top Flash'!A65,'TY Actual-Forecast'!$W:$W),IF($A$3="April 2015",SUMIF('TY Actual-Forecast'!$A:$A,'Top Flash'!A65,'TY Actual-Forecast'!$X:$X),IF($A$3="May 2015",SUMIF('TY Actual-Forecast'!$A:$A,'Top Flash'!A65,'TY Actual-Forecast'!$Y:$Y),IF($A$3="June 2015",SUMIF('TY Actual-Forecast'!$A:$A,'Top Flash'!A65,'TY Actual-Forecast'!$Z:$Z),IF($A$3="July 2015",SUMIF('TY Actual-Forecast'!$A:$A,'Top Flash'!A65,'TY Actual-Forecast'!$AA:$AA),IF($A$3="August 2015",SUMIF('TY Actual-Forecast'!$A:$A,'Top Flash'!A65,'TY Actual-Forecast'!$AB:$AB),IF($A$3="September 2015",SUMIF('TY Actual-Forecast'!$A:$A,'Top Flash'!A65,'TY Actual-Forecast'!$AC:$AC),IF($A$3="October 2015",SUMIF('TY Actual-Forecast'!$A:$A,'Top Flash'!A65,'TY Actual-Forecast'!$AD:$AD),IF($A$3="November 2015",SUMIF('TY Actual-Forecast'!$A:$A,'Top Flash'!A65,'TY Actual-Forecast'!$AE:$AE),IF($A$3="December 2015",SUMIF('TY Actual-Forecast'!$A:$A,'Top Flash'!A65,'TY Actual-Forecast'!$AF:$AF),0))))))))))))</f>
        <v>24961390.590399999</v>
      </c>
      <c r="K65" s="31">
        <f>IF($A$3="January 2015",SUMIF('TY Budget'!$A:$A,'Top Flash'!A65,'TY Budget'!$U:$U),IF($A$3="February 2015",SUMIF('TY Budget'!$A:$A,'Top Flash'!A65,'TY Budget'!$V:$V),IF($A$3="March 2015",SUMIF('TY Budget'!$A:$A,'Top Flash'!A65,'TY Budget'!$W:$W),IF($A$3="April 2015",SUMIF('TY Budget'!$A:$A,'Top Flash'!A65,'TY Budget'!$X:$X),IF($A$3="May 2015",SUMIF('TY Budget'!$A:$A,'Top Flash'!A65,'TY Budget'!$Y:$Y),IF($A$3="June 2015",SUMIF('TY Budget'!$A:$A,'Top Flash'!A65,'TY Budget'!$Z:$Z),IF($A$3="July 2015",SUMIF('TY Budget'!$A:$A,'Top Flash'!A65,'TY Budget'!$AA:$AA),IF($A$3="August 2015",SUMIF('TY Budget'!$A:$A,'Top Flash'!A65,'TY Budget'!$AB:$AB),IF($A$3="September 2015",SUMIF('TY Budget'!$A:$A,'Top Flash'!A65,'TY Budget'!$AC:$AC),IF($A$3="October 2015",SUMIF('TY Budget'!$A:$A,'Top Flash'!A65,'TY Budget'!$AD:$AD),IF($A$3="November 2015",SUMIF('TY Budget'!$A:$A,'Top Flash'!A65,'TY Budget'!$AE:$AE),IF($A$3="December 2015",SUMIF('TY Budget'!$A:$A,'Top Flash'!A65,'TY Budget'!$AF:$AF),0))))))))))))</f>
        <v>41423332.362470806</v>
      </c>
      <c r="L65" s="31">
        <f>IF($A$3="January 2015",SUMIF('LY Actual'!$A:$A,'Top Flash'!A65,'LY Actual'!$U:$U),IF($A$3="February 2015",SUMIF('LY Actual'!$A:$A,'Top Flash'!A65,'LY Actual'!$V:$V),IF($A$3="March 2015",SUMIF('LY Actual'!$A:$A,'Top Flash'!A65,'LY Actual'!$W:$W),IF($A$3="April 2015",SUMIF('LY Actual'!$A:$A,'Top Flash'!A65,'LY Actual'!$X:$X),IF($A$3="May 2015",SUMIF('LY Actual'!$A:$A,'Top Flash'!A65,'LY Actual'!$Y:$Y),IF($A$3="June 2015",SUMIF('LY Actual'!$A:$A,'Top Flash'!A65,'LY Actual'!$Z:$Z),IF($A$3="July 2015",SUMIF('LY Actual'!$A:$A,'Top Flash'!A65,'LY Actual'!$AA:$AA),IF($A$3="August 2015",SUMIF('LY Actual'!$A:$A,'Top Flash'!A65,'LY Actual'!$AB:$AB),IF($A$3="September 2015",SUMIF('LY Actual'!$A:$A,'Top Flash'!A65,'LY Actual'!$AC:$AC),IF($A$3="October 2015",SUMIF('LY Actual'!$A:$A,'Top Flash'!A65,'LY Actual'!$AD:$AD),IF($A$3="November 2015",SUMIF('LY Actual'!$A:$A,'Top Flash'!A65,'LY Actual'!$AE:$AE),IF($A$3="December 2015",SUMIF('LY Actual'!$A:$A,'Top Flash'!A65,'LY Actual'!$AF:$AF),0))))))))))))</f>
        <v>15740444.072615169</v>
      </c>
      <c r="M65" s="32">
        <f t="shared" ref="M65:N65" si="46">-IFERROR((+$J65-K65)/K65,)</f>
        <v>0.39740747142268035</v>
      </c>
      <c r="N65" s="32">
        <f t="shared" si="46"/>
        <v>-0.58581234908278113</v>
      </c>
      <c r="O65" s="28"/>
      <c r="P65" s="31">
        <f>'TY Actual-Forecast'!O65</f>
        <v>24961390.590399999</v>
      </c>
      <c r="Q65" s="31">
        <f>'Variance Analysis'!J65</f>
        <v>25837758.73594597</v>
      </c>
      <c r="R65" s="31">
        <f>'TY Budget'!O65</f>
        <v>41423332.362470806</v>
      </c>
      <c r="S65" s="31">
        <f>'LY Actual'!O65</f>
        <v>15740444.072615169</v>
      </c>
      <c r="T65" s="32">
        <f t="shared" ref="T65" si="47">-IFERROR((+P65-R65)/R65,)</f>
        <v>0.39740747142268035</v>
      </c>
      <c r="U65" s="32">
        <f t="shared" ref="U65" si="48">-IFERROR((+P65-S65)/S65,)</f>
        <v>-0.58581234908278113</v>
      </c>
    </row>
    <row r="66" spans="1:21" ht="15">
      <c r="A66" s="18"/>
      <c r="B66" s="18"/>
      <c r="C66" s="40"/>
      <c r="D66" s="40"/>
      <c r="E66" s="40"/>
      <c r="F66" s="40"/>
      <c r="G66" s="40"/>
      <c r="H66" s="26"/>
      <c r="I66" s="27"/>
      <c r="J66" s="40"/>
      <c r="K66" s="40"/>
      <c r="L66" s="40"/>
      <c r="M66" s="40"/>
      <c r="N66" s="26"/>
      <c r="O66" s="28"/>
      <c r="P66" s="40"/>
      <c r="Q66" s="40"/>
      <c r="R66" s="40"/>
      <c r="S66" s="40"/>
      <c r="T66" s="40"/>
      <c r="U66" s="26"/>
    </row>
    <row r="67" spans="1:21" s="24" customFormat="1" ht="24" customHeight="1" thickBot="1">
      <c r="A67" s="18" t="s">
        <v>25</v>
      </c>
      <c r="B67" s="18"/>
      <c r="C67" s="74">
        <f>C63-C65</f>
        <v>25081099.672200006</v>
      </c>
      <c r="D67" s="74">
        <f>D63-D65</f>
        <v>31383696.451117538</v>
      </c>
      <c r="E67" s="74">
        <f>E63-E65</f>
        <v>16826125.366568737</v>
      </c>
      <c r="F67" s="74">
        <f>F63-F65</f>
        <v>3054027.1078955531</v>
      </c>
      <c r="G67" s="75">
        <f>IFERROR(IF(E67&lt;C67,ABS((+C67-E67)/E67),(+C67-E67)/E67),)</f>
        <v>0.49060458815032959</v>
      </c>
      <c r="H67" s="75">
        <f>IFERROR(IF(F67&lt;C67,ABS((+C67-F67)/F67),(+C67-F67)/F67),)</f>
        <v>7.212467927137264</v>
      </c>
      <c r="I67" s="37"/>
      <c r="J67" s="74">
        <f>J63-J65</f>
        <v>88499475.729599997</v>
      </c>
      <c r="K67" s="74">
        <f>K63-K65</f>
        <v>96654442.179098487</v>
      </c>
      <c r="L67" s="74">
        <f>L63-L65</f>
        <v>48905489.67882318</v>
      </c>
      <c r="M67" s="75">
        <f>IFERROR(IF(K67&lt;J67,ABS((+J67-K67)/K67),(+J67-K67)/K67),)</f>
        <v>-8.4372391642253977E-2</v>
      </c>
      <c r="N67" s="75">
        <f>IFERROR(IF(L67&lt;J67,ABS((+J67-L67)/L67),(+J67-L67)/L67),)</f>
        <v>0.80960207761546277</v>
      </c>
      <c r="O67" s="38"/>
      <c r="P67" s="74">
        <f t="shared" ref="P67:S67" si="49">P63-P65</f>
        <v>88499475.729599997</v>
      </c>
      <c r="Q67" s="74">
        <f t="shared" si="49"/>
        <v>90103134.464717478</v>
      </c>
      <c r="R67" s="74">
        <f t="shared" si="49"/>
        <v>96654442.179098487</v>
      </c>
      <c r="S67" s="74">
        <f t="shared" si="49"/>
        <v>48905489.67882318</v>
      </c>
      <c r="T67" s="75">
        <f>IFERROR(IF(R67&lt;P67,ABS((+P67-R67)/R67),(+P67-R67)/R67),)</f>
        <v>-8.4372391642253977E-2</v>
      </c>
      <c r="U67" s="75">
        <f>IFERROR(IF(S67&lt;P67,ABS((+P67-S67)/S67),(+P67-S67)/S67),)</f>
        <v>0.80960207761546277</v>
      </c>
    </row>
    <row r="68" spans="1:21" s="44" customFormat="1" ht="15">
      <c r="A68" s="50"/>
      <c r="B68" s="50"/>
      <c r="C68" s="51">
        <f>IFERROR(C67/C$8,)</f>
        <v>0.38268417069913818</v>
      </c>
      <c r="D68" s="51">
        <f>IFERROR(D67/D$8,)</f>
        <v>0.50160928497805468</v>
      </c>
      <c r="E68" s="51">
        <f>IFERROR(E67/E$8,)</f>
        <v>0.27493499168970637</v>
      </c>
      <c r="F68" s="51">
        <f>IFERROR(F67/F$8,)</f>
        <v>5.124693036595987E-2</v>
      </c>
      <c r="G68" s="52"/>
      <c r="H68" s="52"/>
      <c r="I68" s="43"/>
      <c r="J68" s="51">
        <f>IFERROR(J67/J$8,)</f>
        <v>0.18162591572473477</v>
      </c>
      <c r="K68" s="51">
        <f>IFERROR(K67/K$8,)</f>
        <v>0.18709960397628075</v>
      </c>
      <c r="L68" s="51">
        <f>IFERROR(L67/L$8,)</f>
        <v>0.12192630483032466</v>
      </c>
      <c r="M68" s="52"/>
      <c r="N68" s="52"/>
      <c r="O68" s="43"/>
      <c r="P68" s="51">
        <f t="shared" ref="P68:S68" si="50">IFERROR(P67/P$8,)</f>
        <v>0.18162591572473477</v>
      </c>
      <c r="Q68" s="51">
        <f t="shared" si="50"/>
        <v>0.18605241676918882</v>
      </c>
      <c r="R68" s="51">
        <f t="shared" si="50"/>
        <v>0.18709960397628075</v>
      </c>
      <c r="S68" s="51">
        <f t="shared" si="50"/>
        <v>0.12192630483032466</v>
      </c>
      <c r="T68" s="52"/>
      <c r="U68" s="52"/>
    </row>
    <row r="69" spans="1:21" s="44" customFormat="1" ht="15">
      <c r="A69" s="50"/>
      <c r="B69" s="50"/>
      <c r="C69" s="26"/>
      <c r="D69" s="26"/>
      <c r="E69" s="26"/>
      <c r="F69" s="26"/>
      <c r="G69" s="43"/>
      <c r="H69" s="43"/>
      <c r="I69" s="43"/>
      <c r="J69" s="26"/>
      <c r="K69" s="26"/>
      <c r="L69" s="26"/>
      <c r="M69" s="43"/>
      <c r="N69" s="43"/>
      <c r="O69" s="43"/>
      <c r="P69" s="26"/>
      <c r="Q69" s="26"/>
      <c r="R69" s="26"/>
      <c r="S69" s="26"/>
      <c r="T69" s="43"/>
      <c r="U69" s="43"/>
    </row>
    <row r="70" spans="1:21" ht="15">
      <c r="A70" s="1" t="s">
        <v>4</v>
      </c>
      <c r="B70" s="1"/>
      <c r="E70" s="53"/>
      <c r="F70" s="53"/>
      <c r="G70" s="34"/>
      <c r="H70" s="26"/>
      <c r="J70" s="54"/>
      <c r="K70" s="33"/>
      <c r="L70" s="54"/>
      <c r="M70" s="55"/>
      <c r="N70" s="55"/>
      <c r="O70" s="54"/>
      <c r="P70" s="54"/>
      <c r="Q70" s="40"/>
      <c r="R70" s="20"/>
      <c r="S70" s="20"/>
      <c r="T70" s="26"/>
      <c r="U70" s="26"/>
    </row>
    <row r="71" spans="1:21" s="53" customFormat="1" ht="15">
      <c r="A71" s="56" t="s">
        <v>206</v>
      </c>
      <c r="B71" s="57"/>
      <c r="C71" s="58">
        <f>IF($A$3="January 2015",SUMIF('TY Actual-Forecast'!$A:$A,'Top Flash'!A71,'TY Actual-Forecast'!$C:$C),IF($A$3="February 2015",SUMIF('TY Actual-Forecast'!$A:$A,'Top Flash'!A71,'TY Actual-Forecast'!$D:$D),IF($A$3="March 2015",SUMIF('TY Actual-Forecast'!$A:$A,'Top Flash'!A71,'TY Actual-Forecast'!$E:$E),IF($A$3="April 2015",SUMIF('TY Actual-Forecast'!$A:$A,'Top Flash'!A71,'TY Actual-Forecast'!$F:$F),IF($A$3="May 2015",SUMIF('TY Actual-Forecast'!$A:$A,'Top Flash'!A71,'TY Actual-Forecast'!$G:$G),IF($A$3="June 2015",SUMIF('TY Actual-Forecast'!$A:$A,'Top Flash'!A71,'TY Actual-Forecast'!$H:$H),IF($A$3="July 2015",SUMIF('TY Actual-Forecast'!$A:$A,'Top Flash'!A71,'TY Actual-Forecast'!$I:$I),IF($A$3="August 2015",SUMIF('TY Actual-Forecast'!$A:$A,'Top Flash'!A71,'TY Actual-Forecast'!$J:$J),IF($A$3="September 2015",SUMIF('TY Actual-Forecast'!$A:$A,'Top Flash'!A71,'TY Actual-Forecast'!$K:$K),IF($A$3="October 2015",SUMIF('TY Actual-Forecast'!$A:$A,'Top Flash'!A71,'TY Actual-Forecast'!$L:$L),IF($A$3="November 2015",SUMIF('TY Actual-Forecast'!$A:$A,'Top Flash'!A71,'TY Actual-Forecast'!$M:$M),IF($A$3="December 2015",SUMIF('TY Actual-Forecast'!$A:$A,'Top Flash'!A71,'TY Actual-Forecast'!$N:$N),0))))))))))))</f>
        <v>8091</v>
      </c>
      <c r="D71" s="58">
        <f>'Variance Analysis'!D71</f>
        <v>8091</v>
      </c>
      <c r="E71" s="58">
        <f>IF($A$3="January 2015",SUMIF('TY Budget'!$A:$A,'Top Flash'!A71,'TY Budget'!$C:$C),IF($A$3="February 2015",SUMIF('TY Budget'!$A:$A,'Top Flash'!A71,'TY Budget'!$D:$D),IF($A$3="March 2015",SUMIF('TY Budget'!$A:$A,'Top Flash'!A71,'TY Budget'!$E:$E),IF($A$3="April 2015",SUMIF('TY Budget'!$A:$A,'Top Flash'!A71,'TY Budget'!$F:$F),IF($A$3="May 2015",SUMIF('TY Budget'!$A:$A,'Top Flash'!A71,'TY Budget'!$G:$G),IF($A$3="June 2015",SUMIF('TY Budget'!$A:$A,'Top Flash'!A71,'TY Budget'!$H:$H),IF($A$3="July 2015",SUMIF('TY Budget'!$A:$A,'Top Flash'!A71,'TY Budget'!$I:$I),IF($A$3="August 2015",SUMIF('TY Budget'!$A:$A,'Top Flash'!A71,'TY Budget'!$J:$J),IF($A$3="September 2015",SUMIF('TY Budget'!$A:$A,'Top Flash'!A71,'TY Budget'!$K:$K),IF($A$3="October 2015",SUMIF('TY Budget'!$A:$A,'Top Flash'!A71,'TY Budget'!$L:$L),IF($A$3="November 2015",SUMIF('TY Budget'!$A:$A,'Top Flash'!A71,'TY Budget'!$M:$M),IF($A$3="December 2015",SUMIF('TY Budget'!$A:$A,'Top Flash'!A71,'TY Budget'!$N:$N),0))))))))))))</f>
        <v>8091</v>
      </c>
      <c r="F71" s="58">
        <f>IF($A$3="January 2015",SUMIF('LY Actual'!$A:$A,'Top Flash'!A71,'LY Actual'!$C:$C),IF($A$3="February 2015",SUMIF('LY Actual'!$A:$A,'Top Flash'!A71,'LY Actual'!$D:$D),IF($A$3="March 2015",SUMIF('LY Actual'!$A:$A,'Top Flash'!A71,'LY Actual'!$E:$E),IF($A$3="April 2015",SUMIF('LY Actual'!$A:$A,'Top Flash'!A71,'LY Actual'!$F:$F),IF($A$3="May 2015",SUMIF('LY Actual'!$A:$A,'Top Flash'!A71,'LY Actual'!$G:$G),IF($A$3="June 2015",SUMIF('LY Actual'!$A:$A,'Top Flash'!A71,'LY Actual'!$H:$H),IF($A$3="July 2015",SUMIF('LY Actual'!$A:$A,'Top Flash'!A71,'LY Actual'!$I:$I),IF($A$3="August 2015",SUMIF('LY Actual'!$A:$A,'Top Flash'!A71,'LY Actual'!$J:$J),IF($A$3="September 2015",SUMIF('LY Actual'!$A:$A,'Top Flash'!A71,'LY Actual'!$K:$K),IF($A$3="October 2015",SUMIF('LY Actual'!$A:$A,'Top Flash'!A71,'LY Actual'!$L:$L),IF($A$3="November 2015",SUMIF('LY Actual'!$A:$A,'Top Flash'!A71,'LY Actual'!$M:$M),IF($A$3="December 2015",SUMIF('LY Actual'!$A:$A,'Top Flash'!A71,'LY Actual'!$N:$N),0))))))))))))</f>
        <v>8091</v>
      </c>
      <c r="G71" s="32">
        <f t="shared" ref="G71:G88" si="51">IFERROR((+C71-E71)/E71,)</f>
        <v>0</v>
      </c>
      <c r="H71" s="32">
        <f t="shared" ref="H71:H88" si="52">IFERROR((+C71-F71)/F71,)</f>
        <v>0</v>
      </c>
      <c r="J71" s="58">
        <f>IF($A$3="January 2015",SUMIF('TY Actual-Forecast'!$A:$A,'Top Flash'!A71,'TY Actual-Forecast'!$U:$U),IF($A$3="February 2015",SUMIF('TY Actual-Forecast'!$A:$A,'Top Flash'!A71,'TY Actual-Forecast'!$V:$V),IF($A$3="March 2015",SUMIF('TY Actual-Forecast'!$A:$A,'Top Flash'!A71,'TY Actual-Forecast'!$W:$W),IF($A$3="April 2015",SUMIF('TY Actual-Forecast'!$A:$A,'Top Flash'!A71,'TY Actual-Forecast'!$X:$X),IF($A$3="May 2015",SUMIF('TY Actual-Forecast'!$A:$A,'Top Flash'!A71,'TY Actual-Forecast'!$Y:$Y),IF($A$3="June 2015",SUMIF('TY Actual-Forecast'!$A:$A,'Top Flash'!A71,'TY Actual-Forecast'!$Z:$Z),IF($A$3="July 2015",SUMIF('TY Actual-Forecast'!$A:$A,'Top Flash'!A71,'TY Actual-Forecast'!$AA:$AA),IF($A$3="August 2015",SUMIF('TY Actual-Forecast'!$A:$A,'Top Flash'!A71,'TY Actual-Forecast'!$AB:$AB),IF($A$3="September 2015",SUMIF('TY Actual-Forecast'!$A:$A,'Top Flash'!A71,'TY Actual-Forecast'!$AC:$AC),IF($A$3="October 2015",SUMIF('TY Actual-Forecast'!$A:$A,'Top Flash'!A71,'TY Actual-Forecast'!$AD:$AD),IF($A$3="November 2015",SUMIF('TY Actual-Forecast'!$A:$A,'Top Flash'!A71,'TY Actual-Forecast'!$AE:$AE),IF($A$3="December 2015",SUMIF('TY Actual-Forecast'!$A:$A,'Top Flash'!A71,'TY Actual-Forecast'!$AF:$AF),0))))))))))))</f>
        <v>95265</v>
      </c>
      <c r="K71" s="58">
        <f>IF($A$3="January 2015",SUMIF('TY Budget'!$A:$A,'Top Flash'!A71,'TY Budget'!$U:$U),IF($A$3="February 2015",SUMIF('TY Budget'!$A:$A,'Top Flash'!A71,'TY Budget'!$V:$V),IF($A$3="March 2015",SUMIF('TY Budget'!$A:$A,'Top Flash'!A71,'TY Budget'!$W:$W),IF($A$3="April 2015",SUMIF('TY Budget'!$A:$A,'Top Flash'!A71,'TY Budget'!$X:$X),IF($A$3="May 2015",SUMIF('TY Budget'!$A:$A,'Top Flash'!A71,'TY Budget'!$Y:$Y),IF($A$3="June 2015",SUMIF('TY Budget'!$A:$A,'Top Flash'!A71,'TY Budget'!$Z:$Z),IF($A$3="July 2015",SUMIF('TY Budget'!$A:$A,'Top Flash'!A71,'TY Budget'!$AA:$AA),IF($A$3="August 2015",SUMIF('TY Budget'!$A:$A,'Top Flash'!A71,'TY Budget'!$AB:$AB),IF($A$3="September 2015",SUMIF('TY Budget'!$A:$A,'Top Flash'!A71,'TY Budget'!$AC:$AC),IF($A$3="October 2015",SUMIF('TY Budget'!$A:$A,'Top Flash'!A71,'TY Budget'!$AD:$AD),IF($A$3="November 2015",SUMIF('TY Budget'!$A:$A,'Top Flash'!A71,'TY Budget'!$AE:$AE),IF($A$3="December 2015",SUMIF('TY Budget'!$A:$A,'Top Flash'!A71,'TY Budget'!$AF:$AF),0))))))))))))</f>
        <v>95265</v>
      </c>
      <c r="L71" s="58">
        <f>IF($A$3="January 2015",SUMIF('LY Actual'!$A:$A,'Top Flash'!A71,'LY Actual'!$U:$U),IF($A$3="February 2015",SUMIF('LY Actual'!$A:$A,'Top Flash'!A71,'LY Actual'!$V:$V),IF($A$3="March 2015",SUMIF('LY Actual'!$A:$A,'Top Flash'!A71,'LY Actual'!$W:$W),IF($A$3="April 2015",SUMIF('LY Actual'!$A:$A,'Top Flash'!A71,'LY Actual'!$X:$X),IF($A$3="May 2015",SUMIF('LY Actual'!$A:$A,'Top Flash'!A71,'LY Actual'!$Y:$Y),IF($A$3="June 2015",SUMIF('LY Actual'!$A:$A,'Top Flash'!A71,'LY Actual'!$Z:$Z),IF($A$3="July 2015",SUMIF('LY Actual'!$A:$A,'Top Flash'!A71,'LY Actual'!$AA:$AA),IF($A$3="August 2015",SUMIF('LY Actual'!$A:$A,'Top Flash'!A71,'LY Actual'!$AB:$AB),IF($A$3="September 2015",SUMIF('LY Actual'!$A:$A,'Top Flash'!A71,'LY Actual'!$AC:$AC),IF($A$3="October 2015",SUMIF('LY Actual'!$A:$A,'Top Flash'!A71,'LY Actual'!$AD:$AD),IF($A$3="November 2015",SUMIF('LY Actual'!$A:$A,'Top Flash'!A71,'LY Actual'!$AE:$AE),IF($A$3="December 2015",SUMIF('LY Actual'!$A:$A,'Top Flash'!A71,'LY Actual'!$AF:$AF),0))))))))))))</f>
        <v>95265</v>
      </c>
      <c r="M71" s="32">
        <f t="shared" ref="M71:M88" si="53">IFERROR((+$J71-K71)/K71,)</f>
        <v>0</v>
      </c>
      <c r="N71" s="32">
        <f t="shared" ref="N71:N88" si="54">IFERROR((+$J71-L71)/L71,)</f>
        <v>0</v>
      </c>
      <c r="P71" s="58">
        <f>'TY Actual-Forecast'!O71</f>
        <v>95265</v>
      </c>
      <c r="Q71" s="58">
        <f>'Variance Analysis'!J71</f>
        <v>95265</v>
      </c>
      <c r="R71" s="58">
        <f>'TY Budget'!O71</f>
        <v>95265</v>
      </c>
      <c r="S71" s="58">
        <f>'LY Actual'!O71</f>
        <v>95265</v>
      </c>
      <c r="T71" s="32">
        <f t="shared" ref="T71:T88" si="55">IFERROR((+P71-R71)/R71,)</f>
        <v>0</v>
      </c>
      <c r="U71" s="32">
        <f t="shared" ref="U71:U88" si="56">IFERROR((+P71-S71)/S71,)</f>
        <v>0</v>
      </c>
    </row>
    <row r="72" spans="1:21" s="53" customFormat="1" ht="15.75" customHeight="1">
      <c r="A72" s="56" t="s">
        <v>13</v>
      </c>
      <c r="B72" s="57"/>
      <c r="C72" s="58">
        <f>IF($A$3="January 2015",SUMIF('TY Actual-Forecast'!$A:$A,'Top Flash'!A72,'TY Actual-Forecast'!$C:$C),IF($A$3="February 2015",SUMIF('TY Actual-Forecast'!$A:$A,'Top Flash'!A72,'TY Actual-Forecast'!$D:$D),IF($A$3="March 2015",SUMIF('TY Actual-Forecast'!$A:$A,'Top Flash'!A72,'TY Actual-Forecast'!$E:$E),IF($A$3="April 2015",SUMIF('TY Actual-Forecast'!$A:$A,'Top Flash'!A72,'TY Actual-Forecast'!$F:$F),IF($A$3="May 2015",SUMIF('TY Actual-Forecast'!$A:$A,'Top Flash'!A72,'TY Actual-Forecast'!$G:$G),IF($A$3="June 2015",SUMIF('TY Actual-Forecast'!$A:$A,'Top Flash'!A72,'TY Actual-Forecast'!$H:$H),IF($A$3="July 2015",SUMIF('TY Actual-Forecast'!$A:$A,'Top Flash'!A72,'TY Actual-Forecast'!$I:$I),IF($A$3="August 2015",SUMIF('TY Actual-Forecast'!$A:$A,'Top Flash'!A72,'TY Actual-Forecast'!$J:$J),IF($A$3="September 2015",SUMIF('TY Actual-Forecast'!$A:$A,'Top Flash'!A72,'TY Actual-Forecast'!$K:$K),IF($A$3="October 2015",SUMIF('TY Actual-Forecast'!$A:$A,'Top Flash'!A72,'TY Actual-Forecast'!$L:$L),IF($A$3="November 2015",SUMIF('TY Actual-Forecast'!$A:$A,'Top Flash'!A72,'TY Actual-Forecast'!$M:$M),IF($A$3="December 2015",SUMIF('TY Actual-Forecast'!$A:$A,'Top Flash'!A72,'TY Actual-Forecast'!$N:$N),0))))))))))))</f>
        <v>6114</v>
      </c>
      <c r="D72" s="58">
        <f>'Variance Analysis'!D72</f>
        <v>6006</v>
      </c>
      <c r="E72" s="58">
        <f>IF($A$3="January 2015",SUMIF('TY Budget'!$A:$A,'Top Flash'!A72,'TY Budget'!$C:$C),IF($A$3="February 2015",SUMIF('TY Budget'!$A:$A,'Top Flash'!A72,'TY Budget'!$D:$D),IF($A$3="March 2015",SUMIF('TY Budget'!$A:$A,'Top Flash'!A72,'TY Budget'!$E:$E),IF($A$3="April 2015",SUMIF('TY Budget'!$A:$A,'Top Flash'!A72,'TY Budget'!$F:$F),IF($A$3="May 2015",SUMIF('TY Budget'!$A:$A,'Top Flash'!A72,'TY Budget'!$G:$G),IF($A$3="June 2015",SUMIF('TY Budget'!$A:$A,'Top Flash'!A72,'TY Budget'!$H:$H),IF($A$3="July 2015",SUMIF('TY Budget'!$A:$A,'Top Flash'!A72,'TY Budget'!$I:$I),IF($A$3="August 2015",SUMIF('TY Budget'!$A:$A,'Top Flash'!A72,'TY Budget'!$J:$J),IF($A$3="September 2015",SUMIF('TY Budget'!$A:$A,'Top Flash'!A72,'TY Budget'!$K:$K),IF($A$3="October 2015",SUMIF('TY Budget'!$A:$A,'Top Flash'!A72,'TY Budget'!$L:$L),IF($A$3="November 2015",SUMIF('TY Budget'!$A:$A,'Top Flash'!A72,'TY Budget'!$M:$M),IF($A$3="December 2015",SUMIF('TY Budget'!$A:$A,'Top Flash'!A72,'TY Budget'!$N:$N),0))))))))))))</f>
        <v>6662</v>
      </c>
      <c r="F72" s="58">
        <f>IF($A$3="January 2015",SUMIF('LY Actual'!$A:$A,'Top Flash'!A72,'LY Actual'!$C:$C),IF($A$3="February 2015",SUMIF('LY Actual'!$A:$A,'Top Flash'!A72,'LY Actual'!$D:$D),IF($A$3="March 2015",SUMIF('LY Actual'!$A:$A,'Top Flash'!A72,'LY Actual'!$E:$E),IF($A$3="April 2015",SUMIF('LY Actual'!$A:$A,'Top Flash'!A72,'LY Actual'!$F:$F),IF($A$3="May 2015",SUMIF('LY Actual'!$A:$A,'Top Flash'!A72,'LY Actual'!$G:$G),IF($A$3="June 2015",SUMIF('LY Actual'!$A:$A,'Top Flash'!A72,'LY Actual'!$H:$H),IF($A$3="July 2015",SUMIF('LY Actual'!$A:$A,'Top Flash'!A72,'LY Actual'!$I:$I),IF($A$3="August 2015",SUMIF('LY Actual'!$A:$A,'Top Flash'!A72,'LY Actual'!$J:$J),IF($A$3="September 2015",SUMIF('LY Actual'!$A:$A,'Top Flash'!A72,'LY Actual'!$K:$K),IF($A$3="October 2015",SUMIF('LY Actual'!$A:$A,'Top Flash'!A72,'LY Actual'!$L:$L),IF($A$3="November 2015",SUMIF('LY Actual'!$A:$A,'Top Flash'!A72,'LY Actual'!$M:$M),IF($A$3="December 2015",SUMIF('LY Actual'!$A:$A,'Top Flash'!A72,'LY Actual'!$N:$N),0))))))))))))</f>
        <v>5734.9844000000003</v>
      </c>
      <c r="G72" s="32">
        <f t="shared" si="51"/>
        <v>-8.2257580306214356E-2</v>
      </c>
      <c r="H72" s="32">
        <f t="shared" si="52"/>
        <v>6.6088340187987205E-2</v>
      </c>
      <c r="J72" s="58">
        <f>IF($A$3="January 2015",SUMIF('TY Actual-Forecast'!$A:$A,'Top Flash'!A72,'TY Actual-Forecast'!$U:$U),IF($A$3="February 2015",SUMIF('TY Actual-Forecast'!$A:$A,'Top Flash'!A72,'TY Actual-Forecast'!$V:$V),IF($A$3="March 2015",SUMIF('TY Actual-Forecast'!$A:$A,'Top Flash'!A72,'TY Actual-Forecast'!$W:$W),IF($A$3="April 2015",SUMIF('TY Actual-Forecast'!$A:$A,'Top Flash'!A72,'TY Actual-Forecast'!$X:$X),IF($A$3="May 2015",SUMIF('TY Actual-Forecast'!$A:$A,'Top Flash'!A72,'TY Actual-Forecast'!$Y:$Y),IF($A$3="June 2015",SUMIF('TY Actual-Forecast'!$A:$A,'Top Flash'!A72,'TY Actual-Forecast'!$Z:$Z),IF($A$3="July 2015",SUMIF('TY Actual-Forecast'!$A:$A,'Top Flash'!A72,'TY Actual-Forecast'!$AA:$AA),IF($A$3="August 2015",SUMIF('TY Actual-Forecast'!$A:$A,'Top Flash'!A72,'TY Actual-Forecast'!$AB:$AB),IF($A$3="September 2015",SUMIF('TY Actual-Forecast'!$A:$A,'Top Flash'!A72,'TY Actual-Forecast'!$AC:$AC),IF($A$3="October 2015",SUMIF('TY Actual-Forecast'!$A:$A,'Top Flash'!A72,'TY Actual-Forecast'!$AD:$AD),IF($A$3="November 2015",SUMIF('TY Actual-Forecast'!$A:$A,'Top Flash'!A72,'TY Actual-Forecast'!$AE:$AE),IF($A$3="December 2015",SUMIF('TY Actual-Forecast'!$A:$A,'Top Flash'!A72,'TY Actual-Forecast'!$AF:$AF),0))))))))))))</f>
        <v>51980</v>
      </c>
      <c r="K72" s="58">
        <f>IF($A$3="January 2015",SUMIF('TY Budget'!$A:$A,'Top Flash'!A72,'TY Budget'!$U:$U),IF($A$3="February 2015",SUMIF('TY Budget'!$A:$A,'Top Flash'!A72,'TY Budget'!$V:$V),IF($A$3="March 2015",SUMIF('TY Budget'!$A:$A,'Top Flash'!A72,'TY Budget'!$W:$W),IF($A$3="April 2015",SUMIF('TY Budget'!$A:$A,'Top Flash'!A72,'TY Budget'!$X:$X),IF($A$3="May 2015",SUMIF('TY Budget'!$A:$A,'Top Flash'!A72,'TY Budget'!$Y:$Y),IF($A$3="June 2015",SUMIF('TY Budget'!$A:$A,'Top Flash'!A72,'TY Budget'!$Z:$Z),IF($A$3="July 2015",SUMIF('TY Budget'!$A:$A,'Top Flash'!A72,'TY Budget'!$AA:$AA),IF($A$3="August 2015",SUMIF('TY Budget'!$A:$A,'Top Flash'!A72,'TY Budget'!$AB:$AB),IF($A$3="September 2015",SUMIF('TY Budget'!$A:$A,'Top Flash'!A72,'TY Budget'!$AC:$AC),IF($A$3="October 2015",SUMIF('TY Budget'!$A:$A,'Top Flash'!A72,'TY Budget'!$AD:$AD),IF($A$3="November 2015",SUMIF('TY Budget'!$A:$A,'Top Flash'!A72,'TY Budget'!$AE:$AE),IF($A$3="December 2015",SUMIF('TY Budget'!$A:$A,'Top Flash'!A72,'TY Budget'!$AF:$AF),0))))))))))))</f>
        <v>62412</v>
      </c>
      <c r="L72" s="58">
        <f>IF($A$3="January 2015",SUMIF('LY Actual'!$A:$A,'Top Flash'!A72,'LY Actual'!$U:$U),IF($A$3="February 2015",SUMIF('LY Actual'!$A:$A,'Top Flash'!A72,'LY Actual'!$V:$V),IF($A$3="March 2015",SUMIF('LY Actual'!$A:$A,'Top Flash'!A72,'LY Actual'!$W:$W),IF($A$3="April 2015",SUMIF('LY Actual'!$A:$A,'Top Flash'!A72,'LY Actual'!$X:$X),IF($A$3="May 2015",SUMIF('LY Actual'!$A:$A,'Top Flash'!A72,'LY Actual'!$Y:$Y),IF($A$3="June 2015",SUMIF('LY Actual'!$A:$A,'Top Flash'!A72,'LY Actual'!$Z:$Z),IF($A$3="July 2015",SUMIF('LY Actual'!$A:$A,'Top Flash'!A72,'LY Actual'!$AA:$AA),IF($A$3="August 2015",SUMIF('LY Actual'!$A:$A,'Top Flash'!A72,'LY Actual'!$AB:$AB),IF($A$3="September 2015",SUMIF('LY Actual'!$A:$A,'Top Flash'!A72,'LY Actual'!$AC:$AC),IF($A$3="October 2015",SUMIF('LY Actual'!$A:$A,'Top Flash'!A72,'LY Actual'!$AD:$AD),IF($A$3="November 2015",SUMIF('LY Actual'!$A:$A,'Top Flash'!A72,'LY Actual'!$AE:$AE),IF($A$3="December 2015",SUMIF('LY Actual'!$A:$A,'Top Flash'!A72,'LY Actual'!$AF:$AF),0))))))))))))</f>
        <v>47932.984400000001</v>
      </c>
      <c r="M72" s="32">
        <f t="shared" si="53"/>
        <v>-0.16714734345959109</v>
      </c>
      <c r="N72" s="32">
        <f t="shared" si="54"/>
        <v>8.4430703630462844E-2</v>
      </c>
      <c r="P72" s="58">
        <f>'TY Actual-Forecast'!O72</f>
        <v>51980</v>
      </c>
      <c r="Q72" s="58">
        <f>'Variance Analysis'!J72</f>
        <v>51872</v>
      </c>
      <c r="R72" s="58">
        <f>'TY Budget'!O72</f>
        <v>62412</v>
      </c>
      <c r="S72" s="58">
        <f>'LY Actual'!O72</f>
        <v>47932.984400000001</v>
      </c>
      <c r="T72" s="32">
        <f t="shared" si="55"/>
        <v>-0.16714734345959109</v>
      </c>
      <c r="U72" s="32">
        <f t="shared" si="56"/>
        <v>8.4430703630462844E-2</v>
      </c>
    </row>
    <row r="73" spans="1:21" s="62" customFormat="1" ht="15">
      <c r="A73" s="59" t="s">
        <v>198</v>
      </c>
      <c r="B73" s="60"/>
      <c r="C73" s="61">
        <f>IFERROR(C72/C71,)</f>
        <v>0.75565443084909156</v>
      </c>
      <c r="D73" s="61">
        <f t="shared" ref="D73:F73" si="57">IFERROR(D72/D71,)</f>
        <v>0.7423062662217278</v>
      </c>
      <c r="E73" s="61">
        <f t="shared" si="57"/>
        <v>0.82338400692127056</v>
      </c>
      <c r="F73" s="61">
        <f t="shared" si="57"/>
        <v>0.7088103324681746</v>
      </c>
      <c r="G73" s="32">
        <f t="shared" si="51"/>
        <v>-8.2257580306214384E-2</v>
      </c>
      <c r="H73" s="32">
        <f t="shared" si="52"/>
        <v>6.6088340187987107E-2</v>
      </c>
      <c r="J73" s="61">
        <f t="shared" ref="J73:L73" si="58">IFERROR(J72/J71,)</f>
        <v>0.54563585787015167</v>
      </c>
      <c r="K73" s="61">
        <f t="shared" si="58"/>
        <v>0.65514092268934021</v>
      </c>
      <c r="L73" s="61">
        <f t="shared" si="58"/>
        <v>0.50315419513987303</v>
      </c>
      <c r="M73" s="32">
        <f t="shared" si="53"/>
        <v>-0.16714734345959106</v>
      </c>
      <c r="N73" s="32">
        <f t="shared" si="54"/>
        <v>8.4430703630462761E-2</v>
      </c>
      <c r="P73" s="61">
        <f>IFERROR(P72/P71,)</f>
        <v>0.54563585787015167</v>
      </c>
      <c r="Q73" s="61">
        <f t="shared" ref="Q73" si="59">IFERROR(Q72/Q71,)</f>
        <v>0.54450217813467694</v>
      </c>
      <c r="R73" s="61">
        <f t="shared" ref="R73" si="60">IFERROR(R72/R71,)</f>
        <v>0.65514092268934021</v>
      </c>
      <c r="S73" s="61">
        <f t="shared" ref="S73" si="61">IFERROR(S72/S71,)</f>
        <v>0.50315419513987303</v>
      </c>
      <c r="T73" s="32">
        <f t="shared" si="55"/>
        <v>-0.16714734345959106</v>
      </c>
      <c r="U73" s="32">
        <f t="shared" si="56"/>
        <v>8.4430703630462761E-2</v>
      </c>
    </row>
    <row r="74" spans="1:21" ht="15">
      <c r="A74" s="63" t="s">
        <v>199</v>
      </c>
      <c r="B74" s="64"/>
      <c r="C74" s="58">
        <f>IFERROR(SUM(C11:C12)/C72,)</f>
        <v>5168.7910729473342</v>
      </c>
      <c r="D74" s="58">
        <f t="shared" ref="D74:F74" si="62">IFERROR(SUM(D11:D12)/D72,)</f>
        <v>5049.5586413586416</v>
      </c>
      <c r="E74" s="58">
        <f t="shared" si="62"/>
        <v>4390.5031522065447</v>
      </c>
      <c r="F74" s="58">
        <f t="shared" si="62"/>
        <v>4723.3620731288402</v>
      </c>
      <c r="G74" s="32">
        <f t="shared" si="51"/>
        <v>0.17726622525020708</v>
      </c>
      <c r="H74" s="32">
        <f t="shared" si="52"/>
        <v>9.4303378170505964E-2</v>
      </c>
      <c r="I74" s="53"/>
      <c r="J74" s="58">
        <f t="shared" ref="J74:L74" si="63">IFERROR(SUM(J11:J12)/J72,)</f>
        <v>4351.6143716814149</v>
      </c>
      <c r="K74" s="58">
        <f t="shared" si="63"/>
        <v>3921.369822542139</v>
      </c>
      <c r="L74" s="58">
        <f t="shared" si="63"/>
        <v>3831.3539003900482</v>
      </c>
      <c r="M74" s="32">
        <f t="shared" si="53"/>
        <v>0.1097179222082037</v>
      </c>
      <c r="N74" s="32">
        <f t="shared" si="54"/>
        <v>0.13579024147009805</v>
      </c>
      <c r="O74" s="53"/>
      <c r="P74" s="58">
        <f t="shared" ref="P74:S74" si="64">IFERROR(SUM(P11:P12)/P72,)</f>
        <v>4351.6143716814149</v>
      </c>
      <c r="Q74" s="58">
        <f t="shared" si="64"/>
        <v>4336.1207790330036</v>
      </c>
      <c r="R74" s="58">
        <f t="shared" si="64"/>
        <v>3921.369822542139</v>
      </c>
      <c r="S74" s="58">
        <f t="shared" si="64"/>
        <v>3831.3539003900482</v>
      </c>
      <c r="T74" s="32">
        <f t="shared" si="55"/>
        <v>0.1097179222082037</v>
      </c>
      <c r="U74" s="32">
        <f t="shared" si="56"/>
        <v>0.13579024147009805</v>
      </c>
    </row>
    <row r="75" spans="1:21" ht="15">
      <c r="A75" s="63" t="s">
        <v>200</v>
      </c>
      <c r="B75" s="64"/>
      <c r="C75" s="58">
        <f>IFERROR(SUM(C11:C12)/C71,)</f>
        <v>3905.8198764058834</v>
      </c>
      <c r="D75" s="58">
        <f>IFERROR(SUM(D11:D12)/D71,)</f>
        <v>3748.3190211345941</v>
      </c>
      <c r="E75" s="58">
        <f>IFERROR(SUM(E11:E12)/E71,)</f>
        <v>3615.0700778642936</v>
      </c>
      <c r="F75" s="58">
        <f>IFERROR(SUM(F11:F12)/F71,)</f>
        <v>3347.9678414220193</v>
      </c>
      <c r="G75" s="32">
        <f t="shared" si="51"/>
        <v>8.042715418489442E-2</v>
      </c>
      <c r="H75" s="32">
        <f t="shared" si="52"/>
        <v>0.16662407209590205</v>
      </c>
      <c r="I75" s="53"/>
      <c r="J75" s="58">
        <f t="shared" ref="J75:L75" si="65">IFERROR(SUM(J11:J12)/J71,)</f>
        <v>2374.3968408124701</v>
      </c>
      <c r="K75" s="58">
        <f t="shared" si="65"/>
        <v>2569.0498437463916</v>
      </c>
      <c r="L75" s="58">
        <f t="shared" si="65"/>
        <v>1927.7617880467681</v>
      </c>
      <c r="M75" s="32">
        <f t="shared" si="53"/>
        <v>-7.5768480478394712E-2</v>
      </c>
      <c r="N75" s="32">
        <f t="shared" si="54"/>
        <v>0.23168581073403172</v>
      </c>
      <c r="O75" s="53"/>
      <c r="P75" s="58">
        <f t="shared" ref="P75:S75" si="66">IFERROR(SUM(P11:P12)/P71,)</f>
        <v>2374.3968408124701</v>
      </c>
      <c r="Q75" s="58">
        <f t="shared" si="66"/>
        <v>2361.0272088385032</v>
      </c>
      <c r="R75" s="58">
        <f t="shared" si="66"/>
        <v>2569.0498437463916</v>
      </c>
      <c r="S75" s="58">
        <f t="shared" si="66"/>
        <v>1927.7617880467681</v>
      </c>
      <c r="T75" s="32">
        <f t="shared" si="55"/>
        <v>-7.5768480478394712E-2</v>
      </c>
      <c r="U75" s="32">
        <f t="shared" si="56"/>
        <v>0.23168581073403172</v>
      </c>
    </row>
    <row r="76" spans="1:21" ht="15.75" customHeight="1">
      <c r="A76" s="63" t="s">
        <v>26</v>
      </c>
      <c r="B76" s="64"/>
      <c r="C76" s="31">
        <f>C10-C22</f>
        <v>26019833.02</v>
      </c>
      <c r="D76" s="31">
        <f t="shared" ref="D76:F76" si="67">D10-D22</f>
        <v>26243570.199999999</v>
      </c>
      <c r="E76" s="31">
        <f t="shared" si="67"/>
        <v>25055728.420000002</v>
      </c>
      <c r="F76" s="31">
        <f t="shared" si="67"/>
        <v>24843112.074945558</v>
      </c>
      <c r="G76" s="32">
        <f t="shared" si="51"/>
        <v>3.8478410359462131E-2</v>
      </c>
      <c r="H76" s="32">
        <f t="shared" si="52"/>
        <v>4.73660844705995E-2</v>
      </c>
      <c r="J76" s="31">
        <f t="shared" ref="J76:L76" si="68">J10-J22</f>
        <v>183624572.92999998</v>
      </c>
      <c r="K76" s="31">
        <f t="shared" si="68"/>
        <v>203345332.34875751</v>
      </c>
      <c r="L76" s="31">
        <f t="shared" si="68"/>
        <v>152381269.83160868</v>
      </c>
      <c r="M76" s="32">
        <f t="shared" si="53"/>
        <v>-9.6981618367981332E-2</v>
      </c>
      <c r="N76" s="32">
        <f t="shared" si="54"/>
        <v>0.20503374944254762</v>
      </c>
      <c r="O76" s="54"/>
      <c r="P76" s="31">
        <f>P10-P22</f>
        <v>183624572.92999998</v>
      </c>
      <c r="Q76" s="31">
        <f t="shared" ref="Q76:S76" si="69">Q10-Q22</f>
        <v>183919507.85999998</v>
      </c>
      <c r="R76" s="31">
        <f t="shared" si="69"/>
        <v>203345332.34875751</v>
      </c>
      <c r="S76" s="31">
        <f t="shared" si="69"/>
        <v>152381269.83160868</v>
      </c>
      <c r="T76" s="32">
        <f t="shared" si="55"/>
        <v>-9.6981618367981332E-2</v>
      </c>
      <c r="U76" s="32">
        <f t="shared" si="56"/>
        <v>0.20503374944254762</v>
      </c>
    </row>
    <row r="77" spans="1:21" ht="15">
      <c r="A77" s="63" t="s">
        <v>27</v>
      </c>
      <c r="B77" s="64"/>
      <c r="C77" s="61">
        <f>IFERROR(C76/C10,)</f>
        <v>0.81595692555691735</v>
      </c>
      <c r="D77" s="61">
        <f t="shared" ref="D77:F77" si="70">IFERROR(D76/D10,)</f>
        <v>0.85675614835276659</v>
      </c>
      <c r="E77" s="61">
        <f t="shared" si="70"/>
        <v>0.8478177514510189</v>
      </c>
      <c r="F77" s="61">
        <f t="shared" si="70"/>
        <v>0.85578872162861608</v>
      </c>
      <c r="G77" s="32">
        <f t="shared" si="51"/>
        <v>-3.7579805140400213E-2</v>
      </c>
      <c r="H77" s="32">
        <f t="shared" si="52"/>
        <v>-4.6543960051140303E-2</v>
      </c>
      <c r="J77" s="61">
        <f t="shared" ref="J77:L77" si="71">IFERROR(J76/J10,)</f>
        <v>0.80281799194969827</v>
      </c>
      <c r="K77" s="61">
        <f t="shared" si="71"/>
        <v>0.82200243216492597</v>
      </c>
      <c r="L77" s="61">
        <f t="shared" si="71"/>
        <v>0.80701415271635479</v>
      </c>
      <c r="M77" s="32">
        <f t="shared" si="53"/>
        <v>-2.333866599968714E-2</v>
      </c>
      <c r="N77" s="32">
        <f t="shared" si="54"/>
        <v>-5.1996123643340431E-3</v>
      </c>
      <c r="O77" s="54"/>
      <c r="P77" s="61">
        <f>IFERROR(P76/P10,)</f>
        <v>0.80281799194969827</v>
      </c>
      <c r="Q77" s="61">
        <f t="shared" ref="Q77" si="72">IFERROR(Q76/Q10,)</f>
        <v>0.80855005927260837</v>
      </c>
      <c r="R77" s="61">
        <f t="shared" ref="R77" si="73">IFERROR(R76/R10,)</f>
        <v>0.82200243216492597</v>
      </c>
      <c r="S77" s="61">
        <f t="shared" ref="S77" si="74">IFERROR(S76/S10,)</f>
        <v>0.80701415271635479</v>
      </c>
      <c r="T77" s="32">
        <f t="shared" si="55"/>
        <v>-2.333866599968714E-2</v>
      </c>
      <c r="U77" s="32">
        <f t="shared" si="56"/>
        <v>-5.1996123643340431E-3</v>
      </c>
    </row>
    <row r="78" spans="1:21" ht="15">
      <c r="A78" s="63" t="s">
        <v>28</v>
      </c>
      <c r="B78" s="64"/>
      <c r="C78" s="58">
        <f>IF($A$3="January 2015",SUMIF('TY Actual-Forecast'!$A:$A,'Top Flash'!A78,'TY Actual-Forecast'!$C:$C),IF($A$3="February 2015",SUMIF('TY Actual-Forecast'!$A:$A,'Top Flash'!A78,'TY Actual-Forecast'!$D:$D),IF($A$3="March 2015",SUMIF('TY Actual-Forecast'!$A:$A,'Top Flash'!A78,'TY Actual-Forecast'!$E:$E),IF($A$3="April 2015",SUMIF('TY Actual-Forecast'!$A:$A,'Top Flash'!A78,'TY Actual-Forecast'!$F:$F),IF($A$3="May 2015",SUMIF('TY Actual-Forecast'!$A:$A,'Top Flash'!A78,'TY Actual-Forecast'!$G:$G),IF($A$3="June 2015",SUMIF('TY Actual-Forecast'!$A:$A,'Top Flash'!A78,'TY Actual-Forecast'!$H:$H),IF($A$3="July 2015",SUMIF('TY Actual-Forecast'!$A:$A,'Top Flash'!A78,'TY Actual-Forecast'!$I:$I),IF($A$3="August 2015",SUMIF('TY Actual-Forecast'!$A:$A,'Top Flash'!A78,'TY Actual-Forecast'!$J:$J),IF($A$3="September 2015",SUMIF('TY Actual-Forecast'!$A:$A,'Top Flash'!A78,'TY Actual-Forecast'!$K:$K),IF($A$3="October 2015",SUMIF('TY Actual-Forecast'!$A:$A,'Top Flash'!A78,'TY Actual-Forecast'!$L:$L),IF($A$3="November 2015",SUMIF('TY Actual-Forecast'!$A:$A,'Top Flash'!A78,'TY Actual-Forecast'!$M:$M),IF($A$3="December 2015",SUMIF('TY Actual-Forecast'!$A:$A,'Top Flash'!A78,'TY Actual-Forecast'!$N:$N),0))))))))))))</f>
        <v>44625</v>
      </c>
      <c r="D78" s="58">
        <f>'Variance Analysis'!D78</f>
        <v>46416</v>
      </c>
      <c r="E78" s="58">
        <f>IF($A$3="January 2015",SUMIF('TY Budget'!$A:$A,'Top Flash'!A78,'TY Budget'!$C:$C),IF($A$3="February 2015",SUMIF('TY Budget'!$A:$A,'Top Flash'!A78,'TY Budget'!$D:$D),IF($A$3="March 2015",SUMIF('TY Budget'!$A:$A,'Top Flash'!A78,'TY Budget'!$E:$E),IF($A$3="April 2015",SUMIF('TY Budget'!$A:$A,'Top Flash'!A78,'TY Budget'!$F:$F),IF($A$3="May 2015",SUMIF('TY Budget'!$A:$A,'Top Flash'!A78,'TY Budget'!$G:$G),IF($A$3="June 2015",SUMIF('TY Budget'!$A:$A,'Top Flash'!A78,'TY Budget'!$H:$H),IF($A$3="July 2015",SUMIF('TY Budget'!$A:$A,'Top Flash'!A78,'TY Budget'!$I:$I),IF($A$3="August 2015",SUMIF('TY Budget'!$A:$A,'Top Flash'!A78,'TY Budget'!$J:$J),IF($A$3="September 2015",SUMIF('TY Budget'!$A:$A,'Top Flash'!A78,'TY Budget'!$K:$K),IF($A$3="October 2015",SUMIF('TY Budget'!$A:$A,'Top Flash'!A78,'TY Budget'!$L:$L),IF($A$3="November 2015",SUMIF('TY Budget'!$A:$A,'Top Flash'!A78,'TY Budget'!$M:$M),IF($A$3="December 2015",SUMIF('TY Budget'!$A:$A,'Top Flash'!A78,'TY Budget'!$N:$N),0))))))))))))</f>
        <v>46105</v>
      </c>
      <c r="F78" s="58">
        <f>IF($A$3="January 2015",SUMIF('LY Actual'!$A:$A,'Top Flash'!A78,'LY Actual'!$C:$C),IF($A$3="February 2015",SUMIF('LY Actual'!$A:$A,'Top Flash'!A78,'LY Actual'!$D:$D),IF($A$3="March 2015",SUMIF('LY Actual'!$A:$A,'Top Flash'!A78,'LY Actual'!$E:$E),IF($A$3="April 2015",SUMIF('LY Actual'!$A:$A,'Top Flash'!A78,'LY Actual'!$F:$F),IF($A$3="May 2015",SUMIF('LY Actual'!$A:$A,'Top Flash'!A78,'LY Actual'!$G:$G),IF($A$3="June 2015",SUMIF('LY Actual'!$A:$A,'Top Flash'!A78,'LY Actual'!$H:$H),IF($A$3="July 2015",SUMIF('LY Actual'!$A:$A,'Top Flash'!A78,'LY Actual'!$I:$I),IF($A$3="August 2015",SUMIF('LY Actual'!$A:$A,'Top Flash'!A78,'LY Actual'!$J:$J),IF($A$3="September 2015",SUMIF('LY Actual'!$A:$A,'Top Flash'!A78,'LY Actual'!$K:$K),IF($A$3="October 2015",SUMIF('LY Actual'!$A:$A,'Top Flash'!A78,'LY Actual'!$L:$L),IF($A$3="November 2015",SUMIF('LY Actual'!$A:$A,'Top Flash'!A78,'LY Actual'!$M:$M),IF($A$3="December 2015",SUMIF('LY Actual'!$A:$A,'Top Flash'!A78,'LY Actual'!$N:$N),0))))))))))))</f>
        <v>46207</v>
      </c>
      <c r="G78" s="32">
        <f t="shared" si="51"/>
        <v>-3.2100639843834725E-2</v>
      </c>
      <c r="H78" s="32">
        <f t="shared" si="52"/>
        <v>-3.4237236782305711E-2</v>
      </c>
      <c r="J78" s="58">
        <f>IF($A$3="January 2015",SUMIF('TY Actual-Forecast'!$A:$A,'Top Flash'!A78,'TY Actual-Forecast'!$U:$U),IF($A$3="February 2015",SUMIF('TY Actual-Forecast'!$A:$A,'Top Flash'!A78,'TY Actual-Forecast'!$V:$V),IF($A$3="March 2015",SUMIF('TY Actual-Forecast'!$A:$A,'Top Flash'!A78,'TY Actual-Forecast'!$W:$W),IF($A$3="April 2015",SUMIF('TY Actual-Forecast'!$A:$A,'Top Flash'!A78,'TY Actual-Forecast'!$X:$X),IF($A$3="May 2015",SUMIF('TY Actual-Forecast'!$A:$A,'Top Flash'!A78,'TY Actual-Forecast'!$Y:$Y),IF($A$3="June 2015",SUMIF('TY Actual-Forecast'!$A:$A,'Top Flash'!A78,'TY Actual-Forecast'!$Z:$Z),IF($A$3="July 2015",SUMIF('TY Actual-Forecast'!$A:$A,'Top Flash'!A78,'TY Actual-Forecast'!$AA:$AA),IF($A$3="August 2015",SUMIF('TY Actual-Forecast'!$A:$A,'Top Flash'!A78,'TY Actual-Forecast'!$AB:$AB),IF($A$3="September 2015",SUMIF('TY Actual-Forecast'!$A:$A,'Top Flash'!A78,'TY Actual-Forecast'!$AC:$AC),IF($A$3="October 2015",SUMIF('TY Actual-Forecast'!$A:$A,'Top Flash'!A78,'TY Actual-Forecast'!$AD:$AD),IF($A$3="November 2015",SUMIF('TY Actual-Forecast'!$A:$A,'Top Flash'!A78,'TY Actual-Forecast'!$AE:$AE),IF($A$3="December 2015",SUMIF('TY Actual-Forecast'!$A:$A,'Top Flash'!A78,'TY Actual-Forecast'!$AF:$AF),0))))))))))))</f>
        <v>419989</v>
      </c>
      <c r="K78" s="58">
        <f>IF($A$3="January 2015",SUMIF('TY Budget'!$A:$A,'Top Flash'!A78,'TY Budget'!$U:$U),IF($A$3="February 2015",SUMIF('TY Budget'!$A:$A,'Top Flash'!A78,'TY Budget'!$V:$V),IF($A$3="March 2015",SUMIF('TY Budget'!$A:$A,'Top Flash'!A78,'TY Budget'!$W:$W),IF($A$3="April 2015",SUMIF('TY Budget'!$A:$A,'Top Flash'!A78,'TY Budget'!$X:$X),IF($A$3="May 2015",SUMIF('TY Budget'!$A:$A,'Top Flash'!A78,'TY Budget'!$Y:$Y),IF($A$3="June 2015",SUMIF('TY Budget'!$A:$A,'Top Flash'!A78,'TY Budget'!$Z:$Z),IF($A$3="July 2015",SUMIF('TY Budget'!$A:$A,'Top Flash'!A78,'TY Budget'!$AA:$AA),IF($A$3="August 2015",SUMIF('TY Budget'!$A:$A,'Top Flash'!A78,'TY Budget'!$AB:$AB),IF($A$3="September 2015",SUMIF('TY Budget'!$A:$A,'Top Flash'!A78,'TY Budget'!$AC:$AC),IF($A$3="October 2015",SUMIF('TY Budget'!$A:$A,'Top Flash'!A78,'TY Budget'!$AD:$AD),IF($A$3="November 2015",SUMIF('TY Budget'!$A:$A,'Top Flash'!A78,'TY Budget'!$AE:$AE),IF($A$3="December 2015",SUMIF('TY Budget'!$A:$A,'Top Flash'!A78,'TY Budget'!$AF:$AF),0))))))))))))</f>
        <v>450274</v>
      </c>
      <c r="L78" s="58">
        <f>IF($A$3="January 2015",SUMIF('LY Actual'!$A:$A,'Top Flash'!A78,'LY Actual'!$U:$U),IF($A$3="February 2015",SUMIF('LY Actual'!$A:$A,'Top Flash'!A78,'LY Actual'!$V:$V),IF($A$3="March 2015",SUMIF('LY Actual'!$A:$A,'Top Flash'!A78,'LY Actual'!$W:$W),IF($A$3="April 2015",SUMIF('LY Actual'!$A:$A,'Top Flash'!A78,'LY Actual'!$X:$X),IF($A$3="May 2015",SUMIF('LY Actual'!$A:$A,'Top Flash'!A78,'LY Actual'!$Y:$Y),IF($A$3="June 2015",SUMIF('LY Actual'!$A:$A,'Top Flash'!A78,'LY Actual'!$Z:$Z),IF($A$3="July 2015",SUMIF('LY Actual'!$A:$A,'Top Flash'!A78,'LY Actual'!$AA:$AA),IF($A$3="August 2015",SUMIF('LY Actual'!$A:$A,'Top Flash'!A78,'LY Actual'!$AB:$AB),IF($A$3="September 2015",SUMIF('LY Actual'!$A:$A,'Top Flash'!A78,'LY Actual'!$AC:$AC),IF($A$3="October 2015",SUMIF('LY Actual'!$A:$A,'Top Flash'!A78,'LY Actual'!$AD:$AD),IF($A$3="November 2015",SUMIF('LY Actual'!$A:$A,'Top Flash'!A78,'LY Actual'!$AE:$AE),IF($A$3="December 2015",SUMIF('LY Actual'!$A:$A,'Top Flash'!A78,'LY Actual'!$AF:$AF),0))))))))))))</f>
        <v>371865.6421</v>
      </c>
      <c r="M78" s="32">
        <f t="shared" si="53"/>
        <v>-6.725904671377872E-2</v>
      </c>
      <c r="N78" s="32">
        <f t="shared" si="54"/>
        <v>0.12941060547631594</v>
      </c>
      <c r="O78" s="54"/>
      <c r="P78" s="58">
        <f>'TY Actual-Forecast'!O78</f>
        <v>419989</v>
      </c>
      <c r="Q78" s="58">
        <f>'Variance Analysis'!J78</f>
        <v>421780</v>
      </c>
      <c r="R78" s="58">
        <f>'TY Budget'!O78</f>
        <v>450274</v>
      </c>
      <c r="S78" s="58">
        <f>'LY Actual'!O78</f>
        <v>371865.6421</v>
      </c>
      <c r="T78" s="32">
        <f t="shared" si="55"/>
        <v>-6.725904671377872E-2</v>
      </c>
      <c r="U78" s="32">
        <f t="shared" si="56"/>
        <v>0.12941060547631594</v>
      </c>
    </row>
    <row r="79" spans="1:21" ht="15.75" customHeight="1">
      <c r="A79" s="63" t="s">
        <v>29</v>
      </c>
      <c r="B79" s="64"/>
      <c r="C79" s="58">
        <f>IFERROR((C15+C16)/C78,)</f>
        <v>658.15283383753501</v>
      </c>
      <c r="D79" s="58">
        <f t="shared" ref="D79:F79" si="75">IFERROR((D15+D16)/D78,)</f>
        <v>615.78662530162012</v>
      </c>
      <c r="E79" s="58">
        <f t="shared" si="75"/>
        <v>610.40375751003137</v>
      </c>
      <c r="F79" s="58">
        <f t="shared" si="75"/>
        <v>589.64316884779362</v>
      </c>
      <c r="G79" s="32">
        <f t="shared" si="51"/>
        <v>7.8225397108108288E-2</v>
      </c>
      <c r="H79" s="32">
        <f t="shared" si="52"/>
        <v>0.11618834679898751</v>
      </c>
      <c r="J79" s="58">
        <f t="shared" ref="J79:L79" si="76">IFERROR((J15+J16)/J78,)</f>
        <v>522.57240656302895</v>
      </c>
      <c r="K79" s="58">
        <f t="shared" si="76"/>
        <v>529.84302259824005</v>
      </c>
      <c r="L79" s="58">
        <f t="shared" si="76"/>
        <v>498.52724334629602</v>
      </c>
      <c r="M79" s="32">
        <f t="shared" si="53"/>
        <v>-1.3722207757983705E-2</v>
      </c>
      <c r="N79" s="32">
        <f t="shared" si="54"/>
        <v>4.8232395596543645E-2</v>
      </c>
      <c r="O79" s="54"/>
      <c r="P79" s="58">
        <f>IFERROR((P15+P16)/P78,)</f>
        <v>522.57240656302895</v>
      </c>
      <c r="Q79" s="58">
        <f t="shared" ref="Q79" si="77">IFERROR((Q15+Q16)/Q78,)</f>
        <v>518.48543361468069</v>
      </c>
      <c r="R79" s="58">
        <f t="shared" ref="R79" si="78">IFERROR((R15+R16)/R78,)</f>
        <v>529.84302259824005</v>
      </c>
      <c r="S79" s="58">
        <f t="shared" ref="S79" si="79">IFERROR((S15+S16)/S78,)</f>
        <v>498.52724334629602</v>
      </c>
      <c r="T79" s="32">
        <f t="shared" si="55"/>
        <v>-1.3722207757983705E-2</v>
      </c>
      <c r="U79" s="32">
        <f t="shared" si="56"/>
        <v>4.8232395596543645E-2</v>
      </c>
    </row>
    <row r="80" spans="1:21" ht="15">
      <c r="A80" s="63" t="s">
        <v>33</v>
      </c>
      <c r="B80" s="64"/>
      <c r="C80" s="31">
        <f t="shared" ref="C80:F80" si="80">C14-C23</f>
        <v>17772134.789999999</v>
      </c>
      <c r="D80" s="31">
        <f t="shared" si="80"/>
        <v>17081927.920000002</v>
      </c>
      <c r="E80" s="31">
        <f t="shared" si="80"/>
        <v>16372698.996499997</v>
      </c>
      <c r="F80" s="31">
        <f t="shared" si="80"/>
        <v>15205413.492950002</v>
      </c>
      <c r="G80" s="32">
        <f t="shared" si="51"/>
        <v>8.5473738557043086E-2</v>
      </c>
      <c r="H80" s="32">
        <f t="shared" si="52"/>
        <v>0.16880312385059829</v>
      </c>
      <c r="J80" s="31">
        <f t="shared" ref="J80:L80" si="81">J14-J23</f>
        <v>122592774.19999996</v>
      </c>
      <c r="K80" s="31">
        <f t="shared" si="81"/>
        <v>130747363.74369162</v>
      </c>
      <c r="L80" s="31">
        <f t="shared" si="81"/>
        <v>95695568.052979976</v>
      </c>
      <c r="M80" s="32">
        <f t="shared" si="53"/>
        <v>-6.2369055177872466E-2</v>
      </c>
      <c r="N80" s="32">
        <f t="shared" si="54"/>
        <v>0.28107055210883825</v>
      </c>
      <c r="O80" s="54"/>
      <c r="P80" s="31">
        <f t="shared" ref="P80:S80" si="82">P14-P23</f>
        <v>122592774.19999996</v>
      </c>
      <c r="Q80" s="31">
        <f t="shared" si="82"/>
        <v>121936409.88</v>
      </c>
      <c r="R80" s="31">
        <f t="shared" si="82"/>
        <v>130747363.74369162</v>
      </c>
      <c r="S80" s="31">
        <f t="shared" si="82"/>
        <v>95695568.052979976</v>
      </c>
      <c r="T80" s="32">
        <f t="shared" si="55"/>
        <v>-6.2369055177872466E-2</v>
      </c>
      <c r="U80" s="32">
        <f t="shared" si="56"/>
        <v>0.28107055210883825</v>
      </c>
    </row>
    <row r="81" spans="1:21" ht="15.75" customHeight="1">
      <c r="A81" s="63" t="s">
        <v>34</v>
      </c>
      <c r="B81" s="64"/>
      <c r="C81" s="61">
        <f>IFERROR(C80/C14,)</f>
        <v>0.54774655075013645</v>
      </c>
      <c r="D81" s="61">
        <f t="shared" ref="D81:F81" si="83">IFERROR(D80/D14,)</f>
        <v>0.55873777457488394</v>
      </c>
      <c r="E81" s="61">
        <f t="shared" si="83"/>
        <v>0.54062382043815882</v>
      </c>
      <c r="F81" s="61">
        <f t="shared" si="83"/>
        <v>0.52009839283276926</v>
      </c>
      <c r="G81" s="32">
        <f t="shared" si="51"/>
        <v>1.3175021230483112E-2</v>
      </c>
      <c r="H81" s="32">
        <f t="shared" si="52"/>
        <v>5.3159475780685764E-2</v>
      </c>
      <c r="J81" s="61">
        <f t="shared" ref="J81:L81" si="84">IFERROR(J80/J14,)</f>
        <v>0.5053015429525185</v>
      </c>
      <c r="K81" s="61">
        <f t="shared" si="84"/>
        <v>0.51431540888025551</v>
      </c>
      <c r="L81" s="61">
        <f t="shared" si="84"/>
        <v>0.48373861825876419</v>
      </c>
      <c r="M81" s="32">
        <f t="shared" si="53"/>
        <v>-1.7525949586775152E-2</v>
      </c>
      <c r="N81" s="32">
        <f t="shared" si="54"/>
        <v>4.4575570111335942E-2</v>
      </c>
      <c r="O81" s="54"/>
      <c r="P81" s="61">
        <f>IFERROR(P80/P14,)</f>
        <v>0.5053015429525185</v>
      </c>
      <c r="Q81" s="61">
        <f t="shared" ref="Q81" si="85">IFERROR(Q80/Q14,)</f>
        <v>0.5065079381400116</v>
      </c>
      <c r="R81" s="61">
        <f t="shared" ref="R81" si="86">IFERROR(R80/R14,)</f>
        <v>0.51431540888025551</v>
      </c>
      <c r="S81" s="61">
        <f t="shared" ref="S81" si="87">IFERROR(S80/S14,)</f>
        <v>0.48373861825876419</v>
      </c>
      <c r="T81" s="32">
        <f t="shared" si="55"/>
        <v>-1.7525949586775152E-2</v>
      </c>
      <c r="U81" s="32">
        <f t="shared" si="56"/>
        <v>4.4575570111335942E-2</v>
      </c>
    </row>
    <row r="82" spans="1:21" ht="15.75" customHeight="1">
      <c r="A82" s="63" t="s">
        <v>203</v>
      </c>
      <c r="B82" s="64"/>
      <c r="C82" s="32">
        <f>IFERROR(C24/(C15+C16),)</f>
        <v>0.29489886534391097</v>
      </c>
      <c r="D82" s="32">
        <f t="shared" ref="D82:F82" si="88">IFERROR(D24/(D15+D16),)</f>
        <v>0.28999999999999998</v>
      </c>
      <c r="E82" s="32">
        <f t="shared" si="88"/>
        <v>0.27542847075417937</v>
      </c>
      <c r="F82" s="32">
        <f t="shared" si="88"/>
        <v>0.28824818802120672</v>
      </c>
      <c r="G82" s="32">
        <f t="shared" ref="G82" si="89">IFERROR((+C82-E82)/E82,)</f>
        <v>7.069129250297794E-2</v>
      </c>
      <c r="H82" s="32">
        <f t="shared" ref="H82" si="90">IFERROR((+C82-F82)/F82,)</f>
        <v>2.3072746331418217E-2</v>
      </c>
      <c r="J82" s="32">
        <f t="shared" ref="J82:L82" si="91">IFERROR(J24/(J15+J16),)</f>
        <v>0.28881413845004805</v>
      </c>
      <c r="K82" s="32">
        <f t="shared" si="91"/>
        <v>0.27471271404165926</v>
      </c>
      <c r="L82" s="32">
        <f t="shared" si="91"/>
        <v>0.2912715259271344</v>
      </c>
      <c r="M82" s="32">
        <f t="shared" ref="M82" si="92">IFERROR((+$J82-K82)/K82,)</f>
        <v>5.133153176976863E-2</v>
      </c>
      <c r="N82" s="32">
        <f t="shared" ref="N82" si="93">IFERROR((+$J82-L82)/L82,)</f>
        <v>-8.4367583452050077E-3</v>
      </c>
      <c r="O82" s="54"/>
      <c r="P82" s="32">
        <f t="shared" ref="P82:S82" si="94">IFERROR(P24/(P15+P16),)</f>
        <v>0.28881413845004805</v>
      </c>
      <c r="Q82" s="32">
        <f t="shared" si="94"/>
        <v>0.28815214832070873</v>
      </c>
      <c r="R82" s="32">
        <f t="shared" si="94"/>
        <v>0.27471271404165926</v>
      </c>
      <c r="S82" s="32">
        <f t="shared" si="94"/>
        <v>0.2912715259271344</v>
      </c>
      <c r="T82" s="32">
        <f t="shared" ref="T82" si="95">IFERROR((+P82-R82)/R82,)</f>
        <v>5.133153176976863E-2</v>
      </c>
      <c r="U82" s="32">
        <f t="shared" ref="U82" si="96">IFERROR((+P82-S82)/S82,)</f>
        <v>-8.4367583452050077E-3</v>
      </c>
    </row>
    <row r="83" spans="1:21" ht="15">
      <c r="A83" s="63" t="s">
        <v>30</v>
      </c>
      <c r="B83" s="64"/>
      <c r="C83" s="31">
        <f>IF($A$3="January 2015",SUMIF('TY Actual-Forecast'!$A:$A,'Top Flash'!A83,'TY Actual-Forecast'!$C:$C),IF($A$3="February 2015",SUMIF('TY Actual-Forecast'!$A:$A,'Top Flash'!A83,'TY Actual-Forecast'!$D:$D),IF($A$3="March 2015",SUMIF('TY Actual-Forecast'!$A:$A,'Top Flash'!A83,'TY Actual-Forecast'!$E:$E),IF($A$3="April 2015",SUMIF('TY Actual-Forecast'!$A:$A,'Top Flash'!A83,'TY Actual-Forecast'!$F:$F),IF($A$3="May 2015",SUMIF('TY Actual-Forecast'!$A:$A,'Top Flash'!A83,'TY Actual-Forecast'!$G:$G),IF($A$3="June 2015",SUMIF('TY Actual-Forecast'!$A:$A,'Top Flash'!A83,'TY Actual-Forecast'!$H:$H),IF($A$3="July 2015",SUMIF('TY Actual-Forecast'!$A:$A,'Top Flash'!A83,'TY Actual-Forecast'!$I:$I),IF($A$3="August 2015",SUMIF('TY Actual-Forecast'!$A:$A,'Top Flash'!A83,'TY Actual-Forecast'!$J:$J),IF($A$3="September 2015",SUMIF('TY Actual-Forecast'!$A:$A,'Top Flash'!A83,'TY Actual-Forecast'!$K:$K),IF($A$3="October 2015",SUMIF('TY Actual-Forecast'!$A:$A,'Top Flash'!A83,'TY Actual-Forecast'!$L:$L),IF($A$3="November 2015",SUMIF('TY Actual-Forecast'!$A:$A,'Top Flash'!A83,'TY Actual-Forecast'!$M:$M),IF($A$3="December 2015",SUMIF('TY Actual-Forecast'!$A:$A,'Top Flash'!A83,'TY Actual-Forecast'!$N:$N),0))))))))))))</f>
        <v>10391996.359999999</v>
      </c>
      <c r="D83" s="31">
        <f>'Variance Analysis'!D83</f>
        <v>8388625.3900000006</v>
      </c>
      <c r="E83" s="31">
        <f>IF($A$3="January 2015",SUMIF('TY Budget'!$A:$A,'Top Flash'!A83,'TY Budget'!$C:$C),IF($A$3="February 2015",SUMIF('TY Budget'!$A:$A,'Top Flash'!A83,'TY Budget'!$D:$D),IF($A$3="March 2015",SUMIF('TY Budget'!$A:$A,'Top Flash'!A83,'TY Budget'!$E:$E),IF($A$3="April 2015",SUMIF('TY Budget'!$A:$A,'Top Flash'!A83,'TY Budget'!$F:$F),IF($A$3="May 2015",SUMIF('TY Budget'!$A:$A,'Top Flash'!A83,'TY Budget'!$G:$G),IF($A$3="June 2015",SUMIF('TY Budget'!$A:$A,'Top Flash'!A83,'TY Budget'!$H:$H),IF($A$3="July 2015",SUMIF('TY Budget'!$A:$A,'Top Flash'!A83,'TY Budget'!$I:$I),IF($A$3="August 2015",SUMIF('TY Budget'!$A:$A,'Top Flash'!A83,'TY Budget'!$J:$J),IF($A$3="September 2015",SUMIF('TY Budget'!$A:$A,'Top Flash'!A83,'TY Budget'!$K:$K),IF($A$3="October 2015",SUMIF('TY Budget'!$A:$A,'Top Flash'!A83,'TY Budget'!$L:$L),IF($A$3="November 2015",SUMIF('TY Budget'!$A:$A,'Top Flash'!A83,'TY Budget'!$M:$M),IF($A$3="December 2015",SUMIF('TY Budget'!$A:$A,'Top Flash'!A83,'TY Budget'!$N:$N),0))))))))))))</f>
        <v>8558820.916666666</v>
      </c>
      <c r="F83" s="31">
        <f>IF($A$3="January 2015",SUMIF('LY Actual'!$A:$A,'Top Flash'!A83,'LY Actual'!$C:$C),IF($A$3="February 2015",SUMIF('LY Actual'!$A:$A,'Top Flash'!A83,'LY Actual'!$D:$D),IF($A$3="March 2015",SUMIF('LY Actual'!$A:$A,'Top Flash'!A83,'LY Actual'!$E:$E),IF($A$3="April 2015",SUMIF('LY Actual'!$A:$A,'Top Flash'!A83,'LY Actual'!$F:$F),IF($A$3="May 2015",SUMIF('LY Actual'!$A:$A,'Top Flash'!A83,'LY Actual'!$G:$G),IF($A$3="June 2015",SUMIF('LY Actual'!$A:$A,'Top Flash'!A83,'LY Actual'!$H:$H),IF($A$3="July 2015",SUMIF('LY Actual'!$A:$A,'Top Flash'!A83,'LY Actual'!$I:$I),IF($A$3="August 2015",SUMIF('LY Actual'!$A:$A,'Top Flash'!A83,'LY Actual'!$J:$J),IF($A$3="September 2015",SUMIF('LY Actual'!$A:$A,'Top Flash'!A83,'LY Actual'!$K:$K),IF($A$3="October 2015",SUMIF('LY Actual'!$A:$A,'Top Flash'!A83,'LY Actual'!$L:$L),IF($A$3="November 2015",SUMIF('LY Actual'!$A:$A,'Top Flash'!A83,'LY Actual'!$M:$M),IF($A$3="December 2015",SUMIF('LY Actual'!$A:$A,'Top Flash'!A83,'LY Actual'!$N:$N),0))))))))))))</f>
        <v>8494144.7800000012</v>
      </c>
      <c r="G83" s="32">
        <f t="shared" si="51"/>
        <v>0.21418551237163697</v>
      </c>
      <c r="H83" s="32">
        <f t="shared" si="52"/>
        <v>0.22343056648488135</v>
      </c>
      <c r="J83" s="31">
        <f>IF($A$3="January 2015",SUMIF('TY Actual-Forecast'!$A:$A,'Top Flash'!A83,'TY Actual-Forecast'!$U:$U),IF($A$3="February 2015",SUMIF('TY Actual-Forecast'!$A:$A,'Top Flash'!A83,'TY Actual-Forecast'!$V:$V),IF($A$3="March 2015",SUMIF('TY Actual-Forecast'!$A:$A,'Top Flash'!A83,'TY Actual-Forecast'!$W:$W),IF($A$3="April 2015",SUMIF('TY Actual-Forecast'!$A:$A,'Top Flash'!A83,'TY Actual-Forecast'!$X:$X),IF($A$3="May 2015",SUMIF('TY Actual-Forecast'!$A:$A,'Top Flash'!A83,'TY Actual-Forecast'!$Y:$Y),IF($A$3="June 2015",SUMIF('TY Actual-Forecast'!$A:$A,'Top Flash'!A83,'TY Actual-Forecast'!$Z:$Z),IF($A$3="July 2015",SUMIF('TY Actual-Forecast'!$A:$A,'Top Flash'!A83,'TY Actual-Forecast'!$AA:$AA),IF($A$3="August 2015",SUMIF('TY Actual-Forecast'!$A:$A,'Top Flash'!A83,'TY Actual-Forecast'!$AB:$AB),IF($A$3="September 2015",SUMIF('TY Actual-Forecast'!$A:$A,'Top Flash'!A83,'TY Actual-Forecast'!$AC:$AC),IF($A$3="October 2015",SUMIF('TY Actual-Forecast'!$A:$A,'Top Flash'!A83,'TY Actual-Forecast'!$AD:$AD),IF($A$3="November 2015",SUMIF('TY Actual-Forecast'!$A:$A,'Top Flash'!A83,'TY Actual-Forecast'!$AE:$AE),IF($A$3="December 2015",SUMIF('TY Actual-Forecast'!$A:$A,'Top Flash'!A83,'TY Actual-Forecast'!$AF:$AF),0))))))))))))</f>
        <v>99514887.989999995</v>
      </c>
      <c r="K83" s="31">
        <f>IF($A$3="January 2015",SUMIF('TY Budget'!$A:$A,'Top Flash'!A83,'TY Budget'!$U:$U),IF($A$3="February 2015",SUMIF('TY Budget'!$A:$A,'Top Flash'!A83,'TY Budget'!$V:$V),IF($A$3="March 2015",SUMIF('TY Budget'!$A:$A,'Top Flash'!A83,'TY Budget'!$W:$W),IF($A$3="April 2015",SUMIF('TY Budget'!$A:$A,'Top Flash'!A83,'TY Budget'!$X:$X),IF($A$3="May 2015",SUMIF('TY Budget'!$A:$A,'Top Flash'!A83,'TY Budget'!$Y:$Y),IF($A$3="June 2015",SUMIF('TY Budget'!$A:$A,'Top Flash'!A83,'TY Budget'!$Z:$Z),IF($A$3="July 2015",SUMIF('TY Budget'!$A:$A,'Top Flash'!A83,'TY Budget'!$AA:$AA),IF($A$3="August 2015",SUMIF('TY Budget'!$A:$A,'Top Flash'!A83,'TY Budget'!$AB:$AB),IF($A$3="September 2015",SUMIF('TY Budget'!$A:$A,'Top Flash'!A83,'TY Budget'!$AC:$AC),IF($A$3="October 2015",SUMIF('TY Budget'!$A:$A,'Top Flash'!A83,'TY Budget'!$AD:$AD),IF($A$3="November 2015",SUMIF('TY Budget'!$A:$A,'Top Flash'!A83,'TY Budget'!$AE:$AE),IF($A$3="December 2015",SUMIF('TY Budget'!$A:$A,'Top Flash'!A83,'TY Budget'!$AF:$AF),0))))))))))))</f>
        <v>94797115.166666672</v>
      </c>
      <c r="L83" s="31">
        <f>IF($A$3="January 2015",SUMIF('LY Actual'!$A:$A,'Top Flash'!A83,'LY Actual'!$U:$U),IF($A$3="February 2015",SUMIF('LY Actual'!$A:$A,'Top Flash'!A83,'LY Actual'!$V:$V),IF($A$3="March 2015",SUMIF('LY Actual'!$A:$A,'Top Flash'!A83,'LY Actual'!$W:$W),IF($A$3="April 2015",SUMIF('LY Actual'!$A:$A,'Top Flash'!A83,'LY Actual'!$X:$X),IF($A$3="May 2015",SUMIF('LY Actual'!$A:$A,'Top Flash'!A83,'LY Actual'!$Y:$Y),IF($A$3="June 2015",SUMIF('LY Actual'!$A:$A,'Top Flash'!A83,'LY Actual'!$Z:$Z),IF($A$3="July 2015",SUMIF('LY Actual'!$A:$A,'Top Flash'!A83,'LY Actual'!$AA:$AA),IF($A$3="August 2015",SUMIF('LY Actual'!$A:$A,'Top Flash'!A83,'LY Actual'!$AB:$AB),IF($A$3="September 2015",SUMIF('LY Actual'!$A:$A,'Top Flash'!A83,'LY Actual'!$AC:$AC),IF($A$3="October 2015",SUMIF('LY Actual'!$A:$A,'Top Flash'!A83,'LY Actual'!$AD:$AD),IF($A$3="November 2015",SUMIF('LY Actual'!$A:$A,'Top Flash'!A83,'LY Actual'!$AE:$AE),IF($A$3="December 2015",SUMIF('LY Actual'!$A:$A,'Top Flash'!A83,'LY Actual'!$AF:$AF),0))))))))))))</f>
        <v>79688344.460000008</v>
      </c>
      <c r="M83" s="32">
        <f t="shared" si="53"/>
        <v>4.9767050558857349E-2</v>
      </c>
      <c r="N83" s="32">
        <f t="shared" si="54"/>
        <v>0.2488010469329304</v>
      </c>
      <c r="O83" s="54"/>
      <c r="P83" s="31">
        <f>'TY Actual-Forecast'!O83</f>
        <v>99514887.989999995</v>
      </c>
      <c r="Q83" s="31">
        <f>'Variance Analysis'!J83</f>
        <v>97511517.019999996</v>
      </c>
      <c r="R83" s="31">
        <f>'TY Budget'!O83</f>
        <v>94797115.166666672</v>
      </c>
      <c r="S83" s="31">
        <f>'LY Actual'!O83</f>
        <v>79688344.460000008</v>
      </c>
      <c r="T83" s="32">
        <f t="shared" si="55"/>
        <v>4.9767050558857349E-2</v>
      </c>
      <c r="U83" s="32">
        <f t="shared" si="56"/>
        <v>0.2488010469329304</v>
      </c>
    </row>
    <row r="84" spans="1:21" s="62" customFormat="1" ht="15">
      <c r="A84" s="59" t="s">
        <v>32</v>
      </c>
      <c r="B84" s="60"/>
      <c r="C84" s="61">
        <f>IFERROR(C83/C8,)</f>
        <v>0.15855973465720971</v>
      </c>
      <c r="D84" s="61">
        <f t="shared" ref="D84:F84" si="97">IFERROR(D83/D8,)</f>
        <v>0.1340763791282725</v>
      </c>
      <c r="E84" s="61">
        <f t="shared" si="97"/>
        <v>0.1398491516218445</v>
      </c>
      <c r="F84" s="61">
        <f t="shared" si="97"/>
        <v>0.14253273814553472</v>
      </c>
      <c r="G84" s="32">
        <f t="shared" si="51"/>
        <v>0.13379118012785007</v>
      </c>
      <c r="H84" s="32">
        <f t="shared" si="52"/>
        <v>0.11244431784724744</v>
      </c>
      <c r="J84" s="61">
        <f t="shared" ref="J84:L84" si="98">IFERROR(J83/J8,)</f>
        <v>0.20423265234533897</v>
      </c>
      <c r="K84" s="61">
        <f t="shared" si="98"/>
        <v>0.18350426846302495</v>
      </c>
      <c r="L84" s="61">
        <f t="shared" si="98"/>
        <v>0.19867105803177543</v>
      </c>
      <c r="M84" s="32">
        <f t="shared" si="53"/>
        <v>0.11295859249448831</v>
      </c>
      <c r="N84" s="32">
        <f t="shared" si="54"/>
        <v>2.7993983465241418E-2</v>
      </c>
      <c r="P84" s="61">
        <f>IFERROR(P83/P8,)</f>
        <v>0.20423265234533897</v>
      </c>
      <c r="Q84" s="61">
        <f t="shared" ref="Q84" si="99">IFERROR(Q83/Q8,)</f>
        <v>0.20134985882766399</v>
      </c>
      <c r="R84" s="61">
        <f t="shared" ref="R84" si="100">IFERROR(R83/R8,)</f>
        <v>0.18350426846302495</v>
      </c>
      <c r="S84" s="61">
        <f t="shared" ref="S84" si="101">IFERROR(S83/S8,)</f>
        <v>0.19867105803177543</v>
      </c>
      <c r="T84" s="32">
        <f t="shared" si="55"/>
        <v>0.11295859249448831</v>
      </c>
      <c r="U84" s="32">
        <f t="shared" si="56"/>
        <v>2.7993983465241418E-2</v>
      </c>
    </row>
    <row r="85" spans="1:21" ht="15.75" customHeight="1">
      <c r="A85" s="63" t="s">
        <v>31</v>
      </c>
      <c r="B85" s="64"/>
      <c r="C85" s="58">
        <f>C86+C87</f>
        <v>330</v>
      </c>
      <c r="D85" s="58">
        <f t="shared" ref="D85:F85" si="102">D86+D87</f>
        <v>290</v>
      </c>
      <c r="E85" s="58">
        <f t="shared" si="102"/>
        <v>307.5</v>
      </c>
      <c r="F85" s="58">
        <f t="shared" si="102"/>
        <v>284</v>
      </c>
      <c r="G85" s="32">
        <f t="shared" si="51"/>
        <v>7.3170731707317069E-2</v>
      </c>
      <c r="H85" s="32">
        <f t="shared" si="52"/>
        <v>0.1619718309859155</v>
      </c>
      <c r="J85" s="58">
        <f t="shared" ref="J85:L85" si="103">J86+J87</f>
        <v>284.91666666666669</v>
      </c>
      <c r="K85" s="58">
        <f t="shared" si="103"/>
        <v>282.375</v>
      </c>
      <c r="L85" s="58">
        <f t="shared" si="103"/>
        <v>261.41666666666663</v>
      </c>
      <c r="M85" s="32">
        <f t="shared" si="53"/>
        <v>9.0010329054154431E-3</v>
      </c>
      <c r="N85" s="32">
        <f t="shared" si="54"/>
        <v>8.98948039528214E-2</v>
      </c>
      <c r="O85" s="54"/>
      <c r="P85" s="58">
        <f>P86+P87</f>
        <v>284.91666666666669</v>
      </c>
      <c r="Q85" s="58">
        <f t="shared" ref="Q85" si="104">Q86+Q87</f>
        <v>281.58333333333331</v>
      </c>
      <c r="R85" s="58">
        <f t="shared" ref="R85" si="105">R86+R87</f>
        <v>282.375</v>
      </c>
      <c r="S85" s="58">
        <f t="shared" ref="S85" si="106">S86+S87</f>
        <v>261.41666666666663</v>
      </c>
      <c r="T85" s="32">
        <f t="shared" si="55"/>
        <v>9.0010329054154431E-3</v>
      </c>
      <c r="U85" s="32">
        <f t="shared" si="56"/>
        <v>8.98948039528214E-2</v>
      </c>
    </row>
    <row r="86" spans="1:21" ht="15.75" customHeight="1">
      <c r="A86" s="65" t="s">
        <v>159</v>
      </c>
      <c r="B86" s="64"/>
      <c r="C86" s="58">
        <f>IF($A$3="January 2015",SUMIF('TY Actual-Forecast'!$A:$A,'Top Flash'!A86,'TY Actual-Forecast'!$C:$C),IF($A$3="February 2015",SUMIF('TY Actual-Forecast'!$A:$A,'Top Flash'!A86,'TY Actual-Forecast'!$D:$D),IF($A$3="March 2015",SUMIF('TY Actual-Forecast'!$A:$A,'Top Flash'!A86,'TY Actual-Forecast'!$E:$E),IF($A$3="April 2015",SUMIF('TY Actual-Forecast'!$A:$A,'Top Flash'!A86,'TY Actual-Forecast'!$F:$F),IF($A$3="May 2015",SUMIF('TY Actual-Forecast'!$A:$A,'Top Flash'!A86,'TY Actual-Forecast'!$G:$G),IF($A$3="June 2015",SUMIF('TY Actual-Forecast'!$A:$A,'Top Flash'!A86,'TY Actual-Forecast'!$H:$H),IF($A$3="July 2015",SUMIF('TY Actual-Forecast'!$A:$A,'Top Flash'!A86,'TY Actual-Forecast'!$I:$I),IF($A$3="August 2015",SUMIF('TY Actual-Forecast'!$A:$A,'Top Flash'!A86,'TY Actual-Forecast'!$J:$J),IF($A$3="September 2015",SUMIF('TY Actual-Forecast'!$A:$A,'Top Flash'!A86,'TY Actual-Forecast'!$K:$K),IF($A$3="October 2015",SUMIF('TY Actual-Forecast'!$A:$A,'Top Flash'!A86,'TY Actual-Forecast'!$L:$L),IF($A$3="November 2015",SUMIF('TY Actual-Forecast'!$A:$A,'Top Flash'!A86,'TY Actual-Forecast'!$M:$M),IF($A$3="December 2015",SUMIF('TY Actual-Forecast'!$A:$A,'Top Flash'!A86,'TY Actual-Forecast'!$N:$N),0))))))))))))</f>
        <v>187</v>
      </c>
      <c r="D86" s="58">
        <f>'Variance Analysis'!D86</f>
        <v>180</v>
      </c>
      <c r="E86" s="58">
        <f>IF($A$3="January 2015",SUMIF('TY Budget'!$A:$A,'Top Flash'!A86,'TY Budget'!$C:$C),IF($A$3="February 2015",SUMIF('TY Budget'!$A:$A,'Top Flash'!A86,'TY Budget'!$D:$D),IF($A$3="March 2015",SUMIF('TY Budget'!$A:$A,'Top Flash'!A86,'TY Budget'!$E:$E),IF($A$3="April 2015",SUMIF('TY Budget'!$A:$A,'Top Flash'!A86,'TY Budget'!$F:$F),IF($A$3="May 2015",SUMIF('TY Budget'!$A:$A,'Top Flash'!A86,'TY Budget'!$G:$G),IF($A$3="June 2015",SUMIF('TY Budget'!$A:$A,'Top Flash'!A86,'TY Budget'!$H:$H),IF($A$3="July 2015",SUMIF('TY Budget'!$A:$A,'Top Flash'!A86,'TY Budget'!$I:$I),IF($A$3="August 2015",SUMIF('TY Budget'!$A:$A,'Top Flash'!A86,'TY Budget'!$J:$J),IF($A$3="September 2015",SUMIF('TY Budget'!$A:$A,'Top Flash'!A86,'TY Budget'!$K:$K),IF($A$3="October 2015",SUMIF('TY Budget'!$A:$A,'Top Flash'!A86,'TY Budget'!$L:$L),IF($A$3="November 2015",SUMIF('TY Budget'!$A:$A,'Top Flash'!A86,'TY Budget'!$M:$M),IF($A$3="December 2015",SUMIF('TY Budget'!$A:$A,'Top Flash'!A86,'TY Budget'!$N:$N),0))))))))))))</f>
        <v>181</v>
      </c>
      <c r="F86" s="58">
        <f>IF($A$3="January 2015",SUMIF('LY Actual'!$A:$A,'Top Flash'!A86,'LY Actual'!$C:$C),IF($A$3="February 2015",SUMIF('LY Actual'!$A:$A,'Top Flash'!A86,'LY Actual'!$D:$D),IF($A$3="March 2015",SUMIF('LY Actual'!$A:$A,'Top Flash'!A86,'LY Actual'!$E:$E),IF($A$3="April 2015",SUMIF('LY Actual'!$A:$A,'Top Flash'!A86,'LY Actual'!$F:$F),IF($A$3="May 2015",SUMIF('LY Actual'!$A:$A,'Top Flash'!A86,'LY Actual'!$G:$G),IF($A$3="June 2015",SUMIF('LY Actual'!$A:$A,'Top Flash'!A86,'LY Actual'!$H:$H),IF($A$3="July 2015",SUMIF('LY Actual'!$A:$A,'Top Flash'!A86,'LY Actual'!$I:$I),IF($A$3="August 2015",SUMIF('LY Actual'!$A:$A,'Top Flash'!A86,'LY Actual'!$J:$J),IF($A$3="September 2015",SUMIF('LY Actual'!$A:$A,'Top Flash'!A86,'LY Actual'!$K:$K),IF($A$3="October 2015",SUMIF('LY Actual'!$A:$A,'Top Flash'!A86,'LY Actual'!$L:$L),IF($A$3="November 2015",SUMIF('LY Actual'!$A:$A,'Top Flash'!A86,'LY Actual'!$M:$M),IF($A$3="December 2015",SUMIF('LY Actual'!$A:$A,'Top Flash'!A86,'LY Actual'!$N:$N),0))))))))))))</f>
        <v>164</v>
      </c>
      <c r="G86" s="32">
        <f t="shared" si="51"/>
        <v>3.3149171270718231E-2</v>
      </c>
      <c r="H86" s="32">
        <f t="shared" si="52"/>
        <v>0.1402439024390244</v>
      </c>
      <c r="J86" s="58">
        <f>IF($A$3="January 2015",SUMIF('TY Actual-Forecast'!$A:$A,'Top Flash'!A86,'TY Actual-Forecast'!$U:$U),IF($A$3="February 2015",SUMIF('TY Actual-Forecast'!$A:$A,'Top Flash'!A86,'TY Actual-Forecast'!$V:$V),IF($A$3="March 2015",SUMIF('TY Actual-Forecast'!$A:$A,'Top Flash'!A86,'TY Actual-Forecast'!$W:$W),IF($A$3="April 2015",SUMIF('TY Actual-Forecast'!$A:$A,'Top Flash'!A86,'TY Actual-Forecast'!$X:$X),IF($A$3="May 2015",SUMIF('TY Actual-Forecast'!$A:$A,'Top Flash'!A86,'TY Actual-Forecast'!$Y:$Y),IF($A$3="June 2015",SUMIF('TY Actual-Forecast'!$A:$A,'Top Flash'!A86,'TY Actual-Forecast'!$Z:$Z),IF($A$3="July 2015",SUMIF('TY Actual-Forecast'!$A:$A,'Top Flash'!A86,'TY Actual-Forecast'!$AA:$AA),IF($A$3="August 2015",SUMIF('TY Actual-Forecast'!$A:$A,'Top Flash'!A86,'TY Actual-Forecast'!$AB:$AB),IF($A$3="September 2015",SUMIF('TY Actual-Forecast'!$A:$A,'Top Flash'!A86,'TY Actual-Forecast'!$AC:$AC),IF($A$3="October 2015",SUMIF('TY Actual-Forecast'!$A:$A,'Top Flash'!A86,'TY Actual-Forecast'!$AD:$AD),IF($A$3="November 2015",SUMIF('TY Actual-Forecast'!$A:$A,'Top Flash'!A86,'TY Actual-Forecast'!$AE:$AE),IF($A$3="December 2015",SUMIF('TY Actual-Forecast'!$A:$A,'Top Flash'!A86,'TY Actual-Forecast'!$AF:$AF),0))))))))))))</f>
        <v>171.58333333333334</v>
      </c>
      <c r="K86" s="58">
        <f>IF($A$3="January 2015",SUMIF('TY Budget'!$A:$A,'Top Flash'!A86,'TY Budget'!$U:$U),IF($A$3="February 2015",SUMIF('TY Budget'!$A:$A,'Top Flash'!A86,'TY Budget'!$V:$V),IF($A$3="March 2015",SUMIF('TY Budget'!$A:$A,'Top Flash'!A86,'TY Budget'!$W:$W),IF($A$3="April 2015",SUMIF('TY Budget'!$A:$A,'Top Flash'!A86,'TY Budget'!$X:$X),IF($A$3="May 2015",SUMIF('TY Budget'!$A:$A,'Top Flash'!A86,'TY Budget'!$Y:$Y),IF($A$3="June 2015",SUMIF('TY Budget'!$A:$A,'Top Flash'!A86,'TY Budget'!$Z:$Z),IF($A$3="July 2015",SUMIF('TY Budget'!$A:$A,'Top Flash'!A86,'TY Budget'!$AA:$AA),IF($A$3="August 2015",SUMIF('TY Budget'!$A:$A,'Top Flash'!A86,'TY Budget'!$AB:$AB),IF($A$3="September 2015",SUMIF('TY Budget'!$A:$A,'Top Flash'!A86,'TY Budget'!$AC:$AC),IF($A$3="October 2015",SUMIF('TY Budget'!$A:$A,'Top Flash'!A86,'TY Budget'!$AD:$AD),IF($A$3="November 2015",SUMIF('TY Budget'!$A:$A,'Top Flash'!A86,'TY Budget'!$AE:$AE),IF($A$3="December 2015",SUMIF('TY Budget'!$A:$A,'Top Flash'!A86,'TY Budget'!$AF:$AF),0))))))))))))</f>
        <v>177.41666666666666</v>
      </c>
      <c r="L86" s="58">
        <f>IF($A$3="January 2015",SUMIF('LY Actual'!$A:$A,'Top Flash'!A86,'LY Actual'!$U:$U),IF($A$3="February 2015",SUMIF('LY Actual'!$A:$A,'Top Flash'!A86,'LY Actual'!$V:$V),IF($A$3="March 2015",SUMIF('LY Actual'!$A:$A,'Top Flash'!A86,'LY Actual'!$W:$W),IF($A$3="April 2015",SUMIF('LY Actual'!$A:$A,'Top Flash'!A86,'LY Actual'!$X:$X),IF($A$3="May 2015",SUMIF('LY Actual'!$A:$A,'Top Flash'!A86,'LY Actual'!$Y:$Y),IF($A$3="June 2015",SUMIF('LY Actual'!$A:$A,'Top Flash'!A86,'LY Actual'!$Z:$Z),IF($A$3="July 2015",SUMIF('LY Actual'!$A:$A,'Top Flash'!A86,'LY Actual'!$AA:$AA),IF($A$3="August 2015",SUMIF('LY Actual'!$A:$A,'Top Flash'!A86,'LY Actual'!$AB:$AB),IF($A$3="September 2015",SUMIF('LY Actual'!$A:$A,'Top Flash'!A86,'LY Actual'!$AC:$AC),IF($A$3="October 2015",SUMIF('LY Actual'!$A:$A,'Top Flash'!A86,'LY Actual'!$AD:$AD),IF($A$3="November 2015",SUMIF('LY Actual'!$A:$A,'Top Flash'!A86,'LY Actual'!$AE:$AE),IF($A$3="December 2015",SUMIF('LY Actual'!$A:$A,'Top Flash'!A86,'LY Actual'!$AF:$AF),0))))))))))))</f>
        <v>160.16666666666666</v>
      </c>
      <c r="M86" s="32">
        <f t="shared" si="53"/>
        <v>-3.2879286049788528E-2</v>
      </c>
      <c r="N86" s="32">
        <f t="shared" si="54"/>
        <v>7.1279916753382022E-2</v>
      </c>
      <c r="O86" s="54"/>
      <c r="P86" s="58">
        <f>'TY Actual-Forecast'!O86</f>
        <v>171.58333333333334</v>
      </c>
      <c r="Q86" s="58">
        <f>'Variance Analysis'!J86</f>
        <v>171</v>
      </c>
      <c r="R86" s="58">
        <f>'TY Budget'!O86</f>
        <v>177.41666666666666</v>
      </c>
      <c r="S86" s="58">
        <f>'LY Actual'!O86</f>
        <v>160.16666666666666</v>
      </c>
      <c r="T86" s="32">
        <f t="shared" si="55"/>
        <v>-3.2879286049788528E-2</v>
      </c>
      <c r="U86" s="32">
        <f t="shared" si="56"/>
        <v>7.1279916753382022E-2</v>
      </c>
    </row>
    <row r="87" spans="1:21" ht="15.75" customHeight="1">
      <c r="A87" s="65" t="s">
        <v>201</v>
      </c>
      <c r="B87" s="64"/>
      <c r="C87" s="58">
        <f>IF($A$3="January 2015",SUMIF('TY Actual-Forecast'!$A:$A,'Top Flash'!A87,'TY Actual-Forecast'!$C:$C),IF($A$3="February 2015",SUMIF('TY Actual-Forecast'!$A:$A,'Top Flash'!A87,'TY Actual-Forecast'!$D:$D),IF($A$3="March 2015",SUMIF('TY Actual-Forecast'!$A:$A,'Top Flash'!A87,'TY Actual-Forecast'!$E:$E),IF($A$3="April 2015",SUMIF('TY Actual-Forecast'!$A:$A,'Top Flash'!A87,'TY Actual-Forecast'!$F:$F),IF($A$3="May 2015",SUMIF('TY Actual-Forecast'!$A:$A,'Top Flash'!A87,'TY Actual-Forecast'!$G:$G),IF($A$3="June 2015",SUMIF('TY Actual-Forecast'!$A:$A,'Top Flash'!A87,'TY Actual-Forecast'!$H:$H),IF($A$3="July 2015",SUMIF('TY Actual-Forecast'!$A:$A,'Top Flash'!A87,'TY Actual-Forecast'!$I:$I),IF($A$3="August 2015",SUMIF('TY Actual-Forecast'!$A:$A,'Top Flash'!A87,'TY Actual-Forecast'!$J:$J),IF($A$3="September 2015",SUMIF('TY Actual-Forecast'!$A:$A,'Top Flash'!A87,'TY Actual-Forecast'!$K:$K),IF($A$3="October 2015",SUMIF('TY Actual-Forecast'!$A:$A,'Top Flash'!A87,'TY Actual-Forecast'!$L:$L),IF($A$3="November 2015",SUMIF('TY Actual-Forecast'!$A:$A,'Top Flash'!A87,'TY Actual-Forecast'!$M:$M),IF($A$3="December 2015",SUMIF('TY Actual-Forecast'!$A:$A,'Top Flash'!A87,'TY Actual-Forecast'!$N:$N),0))))))))))))</f>
        <v>143</v>
      </c>
      <c r="D87" s="58">
        <f>'Variance Analysis'!D87</f>
        <v>110</v>
      </c>
      <c r="E87" s="58">
        <f>IF($A$3="January 2015",SUMIF('TY Budget'!$A:$A,'Top Flash'!A87,'TY Budget'!$C:$C),IF($A$3="February 2015",SUMIF('TY Budget'!$A:$A,'Top Flash'!A87,'TY Budget'!$D:$D),IF($A$3="March 2015",SUMIF('TY Budget'!$A:$A,'Top Flash'!A87,'TY Budget'!$E:$E),IF($A$3="April 2015",SUMIF('TY Budget'!$A:$A,'Top Flash'!A87,'TY Budget'!$F:$F),IF($A$3="May 2015",SUMIF('TY Budget'!$A:$A,'Top Flash'!A87,'TY Budget'!$G:$G),IF($A$3="June 2015",SUMIF('TY Budget'!$A:$A,'Top Flash'!A87,'TY Budget'!$H:$H),IF($A$3="July 2015",SUMIF('TY Budget'!$A:$A,'Top Flash'!A87,'TY Budget'!$I:$I),IF($A$3="August 2015",SUMIF('TY Budget'!$A:$A,'Top Flash'!A87,'TY Budget'!$J:$J),IF($A$3="September 2015",SUMIF('TY Budget'!$A:$A,'Top Flash'!A87,'TY Budget'!$K:$K),IF($A$3="October 2015",SUMIF('TY Budget'!$A:$A,'Top Flash'!A87,'TY Budget'!$L:$L),IF($A$3="November 2015",SUMIF('TY Budget'!$A:$A,'Top Flash'!A87,'TY Budget'!$M:$M),IF($A$3="December 2015",SUMIF('TY Budget'!$A:$A,'Top Flash'!A87,'TY Budget'!$N:$N),0))))))))))))</f>
        <v>126.5</v>
      </c>
      <c r="F87" s="58">
        <f>IF($A$3="January 2015",SUMIF('LY Actual'!$A:$A,'Top Flash'!A87,'LY Actual'!$C:$C),IF($A$3="February 2015",SUMIF('LY Actual'!$A:$A,'Top Flash'!A87,'LY Actual'!$D:$D),IF($A$3="March 2015",SUMIF('LY Actual'!$A:$A,'Top Flash'!A87,'LY Actual'!$E:$E),IF($A$3="April 2015",SUMIF('LY Actual'!$A:$A,'Top Flash'!A87,'LY Actual'!$F:$F),IF($A$3="May 2015",SUMIF('LY Actual'!$A:$A,'Top Flash'!A87,'LY Actual'!$G:$G),IF($A$3="June 2015",SUMIF('LY Actual'!$A:$A,'Top Flash'!A87,'LY Actual'!$H:$H),IF($A$3="July 2015",SUMIF('LY Actual'!$A:$A,'Top Flash'!A87,'LY Actual'!$I:$I),IF($A$3="August 2015",SUMIF('LY Actual'!$A:$A,'Top Flash'!A87,'LY Actual'!$J:$J),IF($A$3="September 2015",SUMIF('LY Actual'!$A:$A,'Top Flash'!A87,'LY Actual'!$K:$K),IF($A$3="October 2015",SUMIF('LY Actual'!$A:$A,'Top Flash'!A87,'LY Actual'!$L:$L),IF($A$3="November 2015",SUMIF('LY Actual'!$A:$A,'Top Flash'!A87,'LY Actual'!$M:$M),IF($A$3="December 2015",SUMIF('LY Actual'!$A:$A,'Top Flash'!A87,'LY Actual'!$N:$N),0))))))))))))</f>
        <v>120</v>
      </c>
      <c r="G87" s="32">
        <f t="shared" si="51"/>
        <v>0.13043478260869565</v>
      </c>
      <c r="H87" s="32">
        <f t="shared" si="52"/>
        <v>0.19166666666666668</v>
      </c>
      <c r="J87" s="58">
        <f>IF($A$3="January 2015",SUMIF('TY Actual-Forecast'!$A:$A,'Top Flash'!A87,'TY Actual-Forecast'!$U:$U),IF($A$3="February 2015",SUMIF('TY Actual-Forecast'!$A:$A,'Top Flash'!A87,'TY Actual-Forecast'!$V:$V),IF($A$3="March 2015",SUMIF('TY Actual-Forecast'!$A:$A,'Top Flash'!A87,'TY Actual-Forecast'!$W:$W),IF($A$3="April 2015",SUMIF('TY Actual-Forecast'!$A:$A,'Top Flash'!A87,'TY Actual-Forecast'!$X:$X),IF($A$3="May 2015",SUMIF('TY Actual-Forecast'!$A:$A,'Top Flash'!A87,'TY Actual-Forecast'!$Y:$Y),IF($A$3="June 2015",SUMIF('TY Actual-Forecast'!$A:$A,'Top Flash'!A87,'TY Actual-Forecast'!$Z:$Z),IF($A$3="July 2015",SUMIF('TY Actual-Forecast'!$A:$A,'Top Flash'!A87,'TY Actual-Forecast'!$AA:$AA),IF($A$3="August 2015",SUMIF('TY Actual-Forecast'!$A:$A,'Top Flash'!A87,'TY Actual-Forecast'!$AB:$AB),IF($A$3="September 2015",SUMIF('TY Actual-Forecast'!$A:$A,'Top Flash'!A87,'TY Actual-Forecast'!$AC:$AC),IF($A$3="October 2015",SUMIF('TY Actual-Forecast'!$A:$A,'Top Flash'!A87,'TY Actual-Forecast'!$AD:$AD),IF($A$3="November 2015",SUMIF('TY Actual-Forecast'!$A:$A,'Top Flash'!A87,'TY Actual-Forecast'!$AE:$AE),IF($A$3="December 2015",SUMIF('TY Actual-Forecast'!$A:$A,'Top Flash'!A87,'TY Actual-Forecast'!$AF:$AF),0))))))))))))</f>
        <v>113.33333333333333</v>
      </c>
      <c r="K87" s="58">
        <f>IF($A$3="January 2015",SUMIF('TY Budget'!$A:$A,'Top Flash'!A87,'TY Budget'!$U:$U),IF($A$3="February 2015",SUMIF('TY Budget'!$A:$A,'Top Flash'!A87,'TY Budget'!$V:$V),IF($A$3="March 2015",SUMIF('TY Budget'!$A:$A,'Top Flash'!A87,'TY Budget'!$W:$W),IF($A$3="April 2015",SUMIF('TY Budget'!$A:$A,'Top Flash'!A87,'TY Budget'!$X:$X),IF($A$3="May 2015",SUMIF('TY Budget'!$A:$A,'Top Flash'!A87,'TY Budget'!$Y:$Y),IF($A$3="June 2015",SUMIF('TY Budget'!$A:$A,'Top Flash'!A87,'TY Budget'!$Z:$Z),IF($A$3="July 2015",SUMIF('TY Budget'!$A:$A,'Top Flash'!A87,'TY Budget'!$AA:$AA),IF($A$3="August 2015",SUMIF('TY Budget'!$A:$A,'Top Flash'!A87,'TY Budget'!$AB:$AB),IF($A$3="September 2015",SUMIF('TY Budget'!$A:$A,'Top Flash'!A87,'TY Budget'!$AC:$AC),IF($A$3="October 2015",SUMIF('TY Budget'!$A:$A,'Top Flash'!A87,'TY Budget'!$AD:$AD),IF($A$3="November 2015",SUMIF('TY Budget'!$A:$A,'Top Flash'!A87,'TY Budget'!$AE:$AE),IF($A$3="December 2015",SUMIF('TY Budget'!$A:$A,'Top Flash'!A87,'TY Budget'!$AF:$AF),0))))))))))))</f>
        <v>104.95833333333333</v>
      </c>
      <c r="L87" s="58">
        <f>IF($A$3="January 2015",SUMIF('LY Actual'!$A:$A,'Top Flash'!A87,'LY Actual'!$U:$U),IF($A$3="February 2015",SUMIF('LY Actual'!$A:$A,'Top Flash'!A87,'LY Actual'!$V:$V),IF($A$3="March 2015",SUMIF('LY Actual'!$A:$A,'Top Flash'!A87,'LY Actual'!$W:$W),IF($A$3="April 2015",SUMIF('LY Actual'!$A:$A,'Top Flash'!A87,'LY Actual'!$X:$X),IF($A$3="May 2015",SUMIF('LY Actual'!$A:$A,'Top Flash'!A87,'LY Actual'!$Y:$Y),IF($A$3="June 2015",SUMIF('LY Actual'!$A:$A,'Top Flash'!A87,'LY Actual'!$Z:$Z),IF($A$3="July 2015",SUMIF('LY Actual'!$A:$A,'Top Flash'!A87,'LY Actual'!$AA:$AA),IF($A$3="August 2015",SUMIF('LY Actual'!$A:$A,'Top Flash'!A87,'LY Actual'!$AB:$AB),IF($A$3="September 2015",SUMIF('LY Actual'!$A:$A,'Top Flash'!A87,'LY Actual'!$AC:$AC),IF($A$3="October 2015",SUMIF('LY Actual'!$A:$A,'Top Flash'!A87,'LY Actual'!$AD:$AD),IF($A$3="November 2015",SUMIF('LY Actual'!$A:$A,'Top Flash'!A87,'LY Actual'!$AE:$AE),IF($A$3="December 2015",SUMIF('LY Actual'!$A:$A,'Top Flash'!A87,'LY Actual'!$AF:$AF),0))))))))))))</f>
        <v>101.25</v>
      </c>
      <c r="M87" s="32">
        <f t="shared" si="53"/>
        <v>7.9793568876538309E-2</v>
      </c>
      <c r="N87" s="32">
        <f t="shared" si="54"/>
        <v>0.11934156378600819</v>
      </c>
      <c r="O87" s="54"/>
      <c r="P87" s="58">
        <f>'TY Actual-Forecast'!O87</f>
        <v>113.33333333333333</v>
      </c>
      <c r="Q87" s="58">
        <f>'Variance Analysis'!J87</f>
        <v>110.58333333333333</v>
      </c>
      <c r="R87" s="58">
        <f>'TY Budget'!O87</f>
        <v>104.95833333333333</v>
      </c>
      <c r="S87" s="58">
        <f>'LY Actual'!O87</f>
        <v>101.25</v>
      </c>
      <c r="T87" s="32">
        <f t="shared" si="55"/>
        <v>7.9793568876538309E-2</v>
      </c>
      <c r="U87" s="32">
        <f t="shared" si="56"/>
        <v>0.11934156378600819</v>
      </c>
    </row>
    <row r="88" spans="1:21" s="62" customFormat="1" ht="15">
      <c r="A88" s="59" t="s">
        <v>37</v>
      </c>
      <c r="B88" s="60"/>
      <c r="C88" s="32">
        <f>IF($A$3="January 2015",SUMIF('TY Actual-Forecast'!$A:$A,'Top Flash'!A88,'TY Actual-Forecast'!$C:$C),IF($A$3="February 2015",SUMIF('TY Actual-Forecast'!$A:$A,'Top Flash'!A88,'TY Actual-Forecast'!$D:$D),IF($A$3="March 2015",SUMIF('TY Actual-Forecast'!$A:$A,'Top Flash'!A88,'TY Actual-Forecast'!$E:$E),IF($A$3="April 2015",SUMIF('TY Actual-Forecast'!$A:$A,'Top Flash'!A88,'TY Actual-Forecast'!$F:$F),IF($A$3="May 2015",SUMIF('TY Actual-Forecast'!$A:$A,'Top Flash'!A88,'TY Actual-Forecast'!$G:$G),IF($A$3="June 2015",SUMIF('TY Actual-Forecast'!$A:$A,'Top Flash'!A88,'TY Actual-Forecast'!$H:$H),IF($A$3="July 2015",SUMIF('TY Actual-Forecast'!$A:$A,'Top Flash'!A88,'TY Actual-Forecast'!$I:$I),IF($A$3="August 2015",SUMIF('TY Actual-Forecast'!$A:$A,'Top Flash'!A88,'TY Actual-Forecast'!$J:$J),IF($A$3="September 2015",SUMIF('TY Actual-Forecast'!$A:$A,'Top Flash'!A88,'TY Actual-Forecast'!$K:$K),IF($A$3="October 2015",SUMIF('TY Actual-Forecast'!$A:$A,'Top Flash'!A88,'TY Actual-Forecast'!$L:$L),IF($A$3="November 2015",SUMIF('TY Actual-Forecast'!$A:$A,'Top Flash'!A88,'TY Actual-Forecast'!$M:$M),IF($A$3="December 2015",SUMIF('TY Actual-Forecast'!$A:$A,'Top Flash'!A88,'TY Actual-Forecast'!$N:$N),0))))))))))))</f>
        <v>2.6308741019184793E-2</v>
      </c>
      <c r="D88" s="32">
        <f>'Variance Analysis'!D88</f>
        <v>3.2973358868302473E-2</v>
      </c>
      <c r="E88" s="32">
        <f>IF($A$3="January 2015",SUMIF('TY Budget'!$A:$A,'Top Flash'!A88,'TY Budget'!$C:$C),IF($A$3="February 2015",SUMIF('TY Budget'!$A:$A,'Top Flash'!A88,'TY Budget'!$D:$D),IF($A$3="March 2015",SUMIF('TY Budget'!$A:$A,'Top Flash'!A88,'TY Budget'!$E:$E),IF($A$3="April 2015",SUMIF('TY Budget'!$A:$A,'Top Flash'!A88,'TY Budget'!$F:$F),IF($A$3="May 2015",SUMIF('TY Budget'!$A:$A,'Top Flash'!A88,'TY Budget'!$G:$G),IF($A$3="June 2015",SUMIF('TY Budget'!$A:$A,'Top Flash'!A88,'TY Budget'!$H:$H),IF($A$3="July 2015",SUMIF('TY Budget'!$A:$A,'Top Flash'!A88,'TY Budget'!$I:$I),IF($A$3="August 2015",SUMIF('TY Budget'!$A:$A,'Top Flash'!A88,'TY Budget'!$J:$J),IF($A$3="September 2015",SUMIF('TY Budget'!$A:$A,'Top Flash'!A88,'TY Budget'!$K:$K),IF($A$3="October 2015",SUMIF('TY Budget'!$A:$A,'Top Flash'!A88,'TY Budget'!$L:$L),IF($A$3="November 2015",SUMIF('TY Budget'!$A:$A,'Top Flash'!A88,'TY Budget'!$M:$M),IF($A$3="December 2015",SUMIF('TY Budget'!$A:$A,'Top Flash'!A88,'TY Budget'!$N:$N),0))))))))))))</f>
        <v>1.7425211379645797E-2</v>
      </c>
      <c r="F88" s="32">
        <f>IF($A$3="January 2015",SUMIF('LY Actual'!$A:$A,'Top Flash'!A88,'LY Actual'!$C:$C),IF($A$3="February 2015",SUMIF('LY Actual'!$A:$A,'Top Flash'!A88,'LY Actual'!$D:$D),IF($A$3="March 2015",SUMIF('LY Actual'!$A:$A,'Top Flash'!A88,'LY Actual'!$E:$E),IF($A$3="April 2015",SUMIF('LY Actual'!$A:$A,'Top Flash'!A88,'LY Actual'!$F:$F),IF($A$3="May 2015",SUMIF('LY Actual'!$A:$A,'Top Flash'!A88,'LY Actual'!$G:$G),IF($A$3="June 2015",SUMIF('LY Actual'!$A:$A,'Top Flash'!A88,'LY Actual'!$H:$H),IF($A$3="July 2015",SUMIF('LY Actual'!$A:$A,'Top Flash'!A88,'LY Actual'!$I:$I),IF($A$3="August 2015",SUMIF('LY Actual'!$A:$A,'Top Flash'!A88,'LY Actual'!$J:$J),IF($A$3="September 2015",SUMIF('LY Actual'!$A:$A,'Top Flash'!A88,'LY Actual'!$K:$K),IF($A$3="October 2015",SUMIF('LY Actual'!$A:$A,'Top Flash'!A88,'LY Actual'!$L:$L),IF($A$3="November 2015",SUMIF('LY Actual'!$A:$A,'Top Flash'!A88,'LY Actual'!$M:$M),IF($A$3="December 2015",SUMIF('LY Actual'!$A:$A,'Top Flash'!A88,'LY Actual'!$N:$N),0))))))))))))</f>
        <v>3.4869246498063183E-3</v>
      </c>
      <c r="G88" s="32">
        <f t="shared" si="51"/>
        <v>0.5098090029436172</v>
      </c>
      <c r="H88" s="32">
        <f t="shared" si="52"/>
        <v>6.5449697545503644</v>
      </c>
      <c r="J88" s="32">
        <f>IF($A$3="January 2015",SUMIF('TY Actual-Forecast'!$A:$A,'Top Flash'!A88,'TY Actual-Forecast'!$U:$U),IF($A$3="February 2015",SUMIF('TY Actual-Forecast'!$A:$A,'Top Flash'!A88,'TY Actual-Forecast'!$V:$V),IF($A$3="March 2015",SUMIF('TY Actual-Forecast'!$A:$A,'Top Flash'!A88,'TY Actual-Forecast'!$W:$W),IF($A$3="April 2015",SUMIF('TY Actual-Forecast'!$A:$A,'Top Flash'!A88,'TY Actual-Forecast'!$X:$X),IF($A$3="May 2015",SUMIF('TY Actual-Forecast'!$A:$A,'Top Flash'!A88,'TY Actual-Forecast'!$Y:$Y),IF($A$3="June 2015",SUMIF('TY Actual-Forecast'!$A:$A,'Top Flash'!A88,'TY Actual-Forecast'!$Z:$Z),IF($A$3="July 2015",SUMIF('TY Actual-Forecast'!$A:$A,'Top Flash'!A88,'TY Actual-Forecast'!$AA:$AA),IF($A$3="August 2015",SUMIF('TY Actual-Forecast'!$A:$A,'Top Flash'!A88,'TY Actual-Forecast'!$AB:$AB),IF($A$3="September 2015",SUMIF('TY Actual-Forecast'!$A:$A,'Top Flash'!A88,'TY Actual-Forecast'!$AC:$AC),IF($A$3="October 2015",SUMIF('TY Actual-Forecast'!$A:$A,'Top Flash'!A88,'TY Actual-Forecast'!$AD:$AD),IF($A$3="November 2015",SUMIF('TY Actual-Forecast'!$A:$A,'Top Flash'!A88,'TY Actual-Forecast'!$AE:$AE),IF($A$3="December 2015",SUMIF('TY Actual-Forecast'!$A:$A,'Top Flash'!A88,'TY Actual-Forecast'!$AF:$AF),0))))))))))))</f>
        <v>9.283124814038296E-2</v>
      </c>
      <c r="K88" s="32">
        <f>IF($A$3="January 2015",SUMIF('TY Budget'!$A:$A,'Top Flash'!A88,'TY Budget'!$U:$U),IF($A$3="February 2015",SUMIF('TY Budget'!$A:$A,'Top Flash'!A88,'TY Budget'!$V:$V),IF($A$3="March 2015",SUMIF('TY Budget'!$A:$A,'Top Flash'!A88,'TY Budget'!$W:$W),IF($A$3="April 2015",SUMIF('TY Budget'!$A:$A,'Top Flash'!A88,'TY Budget'!$X:$X),IF($A$3="May 2015",SUMIF('TY Budget'!$A:$A,'Top Flash'!A88,'TY Budget'!$Y:$Y),IF($A$3="June 2015",SUMIF('TY Budget'!$A:$A,'Top Flash'!A88,'TY Budget'!$Z:$Z),IF($A$3="July 2015",SUMIF('TY Budget'!$A:$A,'Top Flash'!A88,'TY Budget'!$AA:$AA),IF($A$3="August 2015",SUMIF('TY Budget'!$A:$A,'Top Flash'!A88,'TY Budget'!$AB:$AB),IF($A$3="September 2015",SUMIF('TY Budget'!$A:$A,'Top Flash'!A88,'TY Budget'!$AC:$AC),IF($A$3="October 2015",SUMIF('TY Budget'!$A:$A,'Top Flash'!A88,'TY Budget'!$AD:$AD),IF($A$3="November 2015",SUMIF('TY Budget'!$A:$A,'Top Flash'!A88,'TY Budget'!$AE:$AE),IF($A$3="December 2015",SUMIF('TY Budget'!$A:$A,'Top Flash'!A88,'TY Budget'!$AF:$AF),0))))))))))))</f>
        <v>0.10009577660100358</v>
      </c>
      <c r="L88" s="32">
        <f>IF($A$3="January 2015",SUMIF('LY Actual'!$A:$A,'Top Flash'!A88,'LY Actual'!$U:$U),IF($A$3="February 2015",SUMIF('LY Actual'!$A:$A,'Top Flash'!A88,'LY Actual'!$V:$V),IF($A$3="March 2015",SUMIF('LY Actual'!$A:$A,'Top Flash'!A88,'LY Actual'!$W:$W),IF($A$3="April 2015",SUMIF('LY Actual'!$A:$A,'Top Flash'!A88,'LY Actual'!$X:$X),IF($A$3="May 2015",SUMIF('LY Actual'!$A:$A,'Top Flash'!A88,'LY Actual'!$Y:$Y),IF($A$3="June 2015",SUMIF('LY Actual'!$A:$A,'Top Flash'!A88,'LY Actual'!$Z:$Z),IF($A$3="July 2015",SUMIF('LY Actual'!$A:$A,'Top Flash'!A88,'LY Actual'!$AA:$AA),IF($A$3="August 2015",SUMIF('LY Actual'!$A:$A,'Top Flash'!A88,'LY Actual'!$AB:$AB),IF($A$3="September 2015",SUMIF('LY Actual'!$A:$A,'Top Flash'!A88,'LY Actual'!$AC:$AC),IF($A$3="October 2015",SUMIF('LY Actual'!$A:$A,'Top Flash'!A88,'LY Actual'!$AD:$AD),IF($A$3="November 2015",SUMIF('LY Actual'!$A:$A,'Top Flash'!A88,'LY Actual'!$AE:$AE),IF($A$3="December 2015",SUMIF('LY Actual'!$A:$A,'Top Flash'!A88,'LY Actual'!$AF:$AF),0))))))))))))</f>
        <v>5.5837669885466228E-2</v>
      </c>
      <c r="M88" s="32">
        <f t="shared" si="53"/>
        <v>-7.2575773996720078E-2</v>
      </c>
      <c r="N88" s="32">
        <f t="shared" si="54"/>
        <v>0.6625200931700348</v>
      </c>
      <c r="P88" s="32">
        <f>'TY Actual-Forecast'!O88</f>
        <v>9.283124814038296E-2</v>
      </c>
      <c r="Q88" s="32">
        <f>'Variance Analysis'!J88</f>
        <v>9.4667082715753512E-2</v>
      </c>
      <c r="R88" s="32">
        <f>'TY Budget'!O88</f>
        <v>0.10009577660100363</v>
      </c>
      <c r="S88" s="32">
        <f>'LY Actual'!O88</f>
        <v>5.5837669885466075E-2</v>
      </c>
      <c r="T88" s="32">
        <f t="shared" si="55"/>
        <v>-7.2575773996720591E-2</v>
      </c>
      <c r="U88" s="32">
        <f t="shared" si="56"/>
        <v>0.66252009317003935</v>
      </c>
    </row>
    <row r="89" spans="1:21" ht="15">
      <c r="A89" s="66" t="s">
        <v>17</v>
      </c>
      <c r="B89" s="67"/>
      <c r="C89" s="68"/>
      <c r="D89" s="68"/>
      <c r="E89" s="68"/>
      <c r="F89" s="68"/>
      <c r="G89" s="32">
        <f>IFERROR(IF(C10-E10&gt;0.1,(C76-E76)/(C10-E10),1-((C76-E76)/(C10-E10))),)</f>
        <v>0.41279860710485644</v>
      </c>
      <c r="H89" s="32">
        <f>IFERROR(IF(C10-F10&gt;0.1,(C76-F76)/(C10-F10),1-((C76-F76)/(C10-F10))),)</f>
        <v>0.41155006215924661</v>
      </c>
      <c r="J89" s="68"/>
      <c r="K89" s="68"/>
      <c r="L89" s="68"/>
      <c r="M89" s="32">
        <f>IFERROR(IF(J10-K10&gt;0.1,(J76-K76)/(J10-K10),1-((J76-K76)/(J10-K10))),)</f>
        <v>-5.7244252305881149E-2</v>
      </c>
      <c r="N89" s="32">
        <f>IFERROR(IF(J10-L10&gt;0.1,(J76-L76)/(J10-L10),1-((J76-L76)/(J10-L10))),)</f>
        <v>0.78296223584431879</v>
      </c>
      <c r="O89" s="54"/>
      <c r="P89" s="68"/>
      <c r="Q89" s="68"/>
      <c r="R89" s="68"/>
      <c r="S89" s="68"/>
      <c r="T89" s="32">
        <f>IFERROR(IF(P10-R10&gt;0.1,(P76-R76)/(P10-R10),1-((P76-R76)/(P10-R10))),)</f>
        <v>-5.7244252305881149E-2</v>
      </c>
      <c r="U89" s="32">
        <f>IFERROR(IF(P10-S10&gt;0.1,(P76-S76)/(P10-S10),1-((P76-S76)/(P10-S10))),)</f>
        <v>0.78296223584431879</v>
      </c>
    </row>
    <row r="90" spans="1:21" ht="15">
      <c r="A90" s="66" t="s">
        <v>18</v>
      </c>
      <c r="B90" s="67"/>
      <c r="C90" s="68"/>
      <c r="D90" s="68"/>
      <c r="E90" s="68"/>
      <c r="F90" s="68"/>
      <c r="G90" s="32">
        <f>IFERROR(IF(C14-E14&gt;0.1,(C80-E80)/(C14-E14),1-((C80-E80)/(C14-E14))),)</f>
        <v>0.6475626014618121</v>
      </c>
      <c r="H90" s="32">
        <f>IFERROR(IF(C14-F14&gt;0.1,(C80-F80)/(C14-F14),1-((C80-F80)/(C14-F14))),)</f>
        <v>0.79953659702187585</v>
      </c>
      <c r="J90" s="68"/>
      <c r="K90" s="68"/>
      <c r="L90" s="68"/>
      <c r="M90" s="32">
        <f>IFERROR(IF(J14-K14&gt;0.1,(J80-K80)/(J14-K14),1-((J80-K80)/(J14-K14))),)</f>
        <v>0.29721237192532102</v>
      </c>
      <c r="N90" s="32">
        <f>IFERROR(IF(J14-L14&gt;0.1,(J80-L80)/(J14-L14),1-((J80-L80)/(J14-L14))),)</f>
        <v>0.60054290564445123</v>
      </c>
      <c r="O90" s="69"/>
      <c r="P90" s="68"/>
      <c r="Q90" s="68"/>
      <c r="R90" s="68"/>
      <c r="S90" s="68"/>
      <c r="T90" s="32">
        <f>IFERROR(IF(P14-R14&gt;0.1,(P80-R80)/(P14-R14),1-((P80-R80)/(P14-R14))),)</f>
        <v>0.29721237192532102</v>
      </c>
      <c r="U90" s="32">
        <f>IFERROR(IF(P14-S14&gt;0.1,(P80-S80)/(P14-S14),1-((P80-S80)/(P14-S14))),)</f>
        <v>0.60054290564445123</v>
      </c>
    </row>
    <row r="91" spans="1:21" ht="15">
      <c r="A91" s="66" t="s">
        <v>290</v>
      </c>
      <c r="B91" s="67"/>
      <c r="C91" s="68"/>
      <c r="D91" s="68"/>
      <c r="E91" s="68"/>
      <c r="F91" s="68"/>
      <c r="G91" s="32">
        <f>IFERROR(IF(C8-E8&gt;0.1,(C42-E42)/(C8-E8),1-((C42-E42)/(C8-E8))),)</f>
        <v>0.24634862000299826</v>
      </c>
      <c r="H91" s="32">
        <f>IFERROR(IF(C8-F8&gt;0.1,(C42-F42)/(C8-F8),1-((C42-F42)/(C8-F8))),)</f>
        <v>0.56030796278641526</v>
      </c>
      <c r="J91" s="68"/>
      <c r="K91" s="68"/>
      <c r="L91" s="68"/>
      <c r="M91" s="32">
        <f>IFERROR(IF(J8-K8&gt;0.1,(J42-K42)/(J8-K8),1-((J42-K42)/(J8-K8))),)</f>
        <v>5.7309188225578289E-3</v>
      </c>
      <c r="N91" s="32">
        <f>IFERROR(IF(J8-L8&gt;0.1,(J42-L42)/(J8-L8),1-((J42-L42)/(J8-L8))),)</f>
        <v>0.53557309258322772</v>
      </c>
      <c r="O91" s="54"/>
      <c r="P91" s="68"/>
      <c r="Q91" s="68"/>
      <c r="R91" s="68"/>
      <c r="S91" s="68"/>
      <c r="T91" s="32">
        <f>IFERROR(IF(P8-R8&gt;0.1,(P42-R42)/(P8-R8),1-((P42-R42)/(P8-R8))),)</f>
        <v>5.7309188225578289E-3</v>
      </c>
      <c r="U91" s="32">
        <f>IFERROR(IF(P8-S8&gt;0.1,(P42-S42)/(P8-S8),1-((P42-S42)/(P8-S8))),)</f>
        <v>0.53557309258322772</v>
      </c>
    </row>
    <row r="92" spans="1:21">
      <c r="J92" s="54"/>
      <c r="K92" s="54"/>
      <c r="L92" s="54"/>
      <c r="O92" s="54"/>
      <c r="P92" s="54"/>
      <c r="Q92" s="54"/>
      <c r="R92" s="54"/>
      <c r="S92" s="54"/>
    </row>
    <row r="374" spans="32:34" ht="15">
      <c r="AF374" s="24" t="s">
        <v>286</v>
      </c>
      <c r="AG374" s="24" t="s">
        <v>56</v>
      </c>
    </row>
    <row r="375" spans="32:34" ht="15">
      <c r="AF375" s="24" t="s">
        <v>9</v>
      </c>
      <c r="AG375" s="70" t="s">
        <v>165</v>
      </c>
      <c r="AH375" s="24"/>
    </row>
    <row r="376" spans="32:34" ht="15">
      <c r="AF376" s="24" t="s">
        <v>39</v>
      </c>
      <c r="AG376" s="71" t="s">
        <v>166</v>
      </c>
    </row>
    <row r="377" spans="32:34" ht="15">
      <c r="AF377" s="24" t="s">
        <v>40</v>
      </c>
      <c r="AG377" s="71" t="s">
        <v>167</v>
      </c>
    </row>
    <row r="378" spans="32:34" ht="15">
      <c r="AF378" s="24" t="s">
        <v>42</v>
      </c>
      <c r="AG378" s="71" t="s">
        <v>168</v>
      </c>
    </row>
    <row r="379" spans="32:34" ht="15">
      <c r="AF379" s="24" t="s">
        <v>163</v>
      </c>
      <c r="AG379" s="71" t="s">
        <v>169</v>
      </c>
    </row>
    <row r="380" spans="32:34" ht="15">
      <c r="AF380" s="24" t="s">
        <v>164</v>
      </c>
      <c r="AG380" s="71" t="s">
        <v>170</v>
      </c>
    </row>
    <row r="381" spans="32:34" ht="15">
      <c r="AG381" s="71" t="s">
        <v>171</v>
      </c>
    </row>
    <row r="382" spans="32:34" ht="15">
      <c r="AG382" s="71" t="s">
        <v>172</v>
      </c>
    </row>
    <row r="383" spans="32:34" ht="15">
      <c r="AG383" s="71" t="s">
        <v>173</v>
      </c>
    </row>
    <row r="384" spans="32:34" ht="15">
      <c r="AG384" s="71" t="s">
        <v>174</v>
      </c>
    </row>
    <row r="385" spans="33:33" ht="15">
      <c r="AG385" s="71" t="s">
        <v>175</v>
      </c>
    </row>
    <row r="386" spans="33:33" ht="15">
      <c r="AG386" s="71" t="s">
        <v>176</v>
      </c>
    </row>
  </sheetData>
  <sheetProtection password="CE24" sheet="1" objects="1" scenarios="1"/>
  <protectedRanges>
    <protectedRange sqref="A3" name="Reporting Month"/>
    <protectedRange sqref="A1" name="Hotel Name"/>
  </protectedRanges>
  <dataConsolidate>
    <dataRefs count="2">
      <dataRef ref="A3" sheet="Top Flash"/>
      <dataRef ref="A6:XFD6" sheet="TY Actual-Forecast"/>
    </dataRefs>
  </dataConsolidate>
  <mergeCells count="14">
    <mergeCell ref="T5:U5"/>
    <mergeCell ref="M5:N5"/>
    <mergeCell ref="P5:P6"/>
    <mergeCell ref="Q5:Q6"/>
    <mergeCell ref="R5:R6"/>
    <mergeCell ref="S5:S6"/>
    <mergeCell ref="J5:J6"/>
    <mergeCell ref="K5:K6"/>
    <mergeCell ref="L5:L6"/>
    <mergeCell ref="C5:C6"/>
    <mergeCell ref="D5:D6"/>
    <mergeCell ref="E5:E6"/>
    <mergeCell ref="F5:F6"/>
    <mergeCell ref="G5:H5"/>
  </mergeCells>
  <dataValidations count="2">
    <dataValidation type="list" allowBlank="1" showInputMessage="1" showErrorMessage="1" promptTitle="Property Name" prompt="Select property name" sqref="A1">
      <formula1>$AF$374:$AF$380</formula1>
    </dataValidation>
    <dataValidation type="list" allowBlank="1" showInputMessage="1" showErrorMessage="1" promptTitle="Month" prompt="Choose the report month" sqref="A3">
      <formula1>$AG$374:$AG$386</formula1>
    </dataValidation>
  </dataValidations>
  <printOptions horizontalCentered="1"/>
  <pageMargins left="0" right="0" top="0" bottom="0" header="0" footer="0"/>
  <pageSetup paperSize="8" scale="80" fitToHeight="0" orientation="landscape" r:id="rId1"/>
  <headerFooter scaleWithDoc="0"/>
  <rowBreaks count="1" manualBreakCount="1">
    <brk id="63" max="2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50"/>
    <pageSetUpPr fitToPage="1"/>
  </sheetPr>
  <dimension ref="A1:AD383"/>
  <sheetViews>
    <sheetView view="pageBreakPreview" zoomScaleNormal="90" zoomScaleSheetLayoutView="100" workbookViewId="0">
      <pane xSplit="2" ySplit="6" topLeftCell="C7" activePane="bottomRight" state="frozen"/>
      <selection pane="topRight"/>
      <selection pane="bottomLeft"/>
      <selection pane="bottomRight" activeCell="C92" sqref="C92"/>
    </sheetView>
  </sheetViews>
  <sheetFormatPr defaultRowHeight="14.25"/>
  <cols>
    <col min="1" max="1" width="47.42578125" style="7" customWidth="1"/>
    <col min="2" max="2" width="2.28515625" style="7" customWidth="1"/>
    <col min="3" max="5" width="12.28515625" style="21" customWidth="1"/>
    <col min="6" max="6" width="1.7109375" style="13" customWidth="1"/>
    <col min="7" max="9" width="12.28515625" style="13" customWidth="1"/>
    <col min="10" max="10" width="1.42578125" style="13" customWidth="1"/>
    <col min="11" max="13" width="12.28515625" style="13" customWidth="1"/>
    <col min="14" max="14" width="2.140625" style="13" customWidth="1"/>
    <col min="15" max="15" width="13.28515625" style="13" bestFit="1" customWidth="1"/>
    <col min="16" max="16" width="11.85546875" style="13" customWidth="1"/>
    <col min="17" max="16384" width="9.140625" style="13"/>
  </cols>
  <sheetData>
    <row r="1" spans="1:16" s="3" customFormat="1" ht="15">
      <c r="A1" s="4" t="str">
        <f>'Top Flash'!A1</f>
        <v>TAAL VISTA HOTEL</v>
      </c>
      <c r="B1" s="2"/>
      <c r="C1" s="2"/>
      <c r="D1" s="2"/>
      <c r="E1" s="2"/>
    </row>
    <row r="2" spans="1:16" s="3" customFormat="1" ht="15">
      <c r="A2" s="4" t="s">
        <v>207</v>
      </c>
      <c r="B2" s="2"/>
      <c r="C2" s="2"/>
      <c r="D2" s="2"/>
      <c r="E2" s="2"/>
    </row>
    <row r="3" spans="1:16" s="7" customFormat="1" ht="15">
      <c r="A3" s="4" t="str">
        <f>'Top Flash'!A3</f>
        <v>December 2015</v>
      </c>
      <c r="B3" s="6"/>
      <c r="C3" s="6"/>
      <c r="D3" s="6"/>
      <c r="E3" s="6"/>
      <c r="G3" s="6"/>
      <c r="H3" s="6"/>
      <c r="I3" s="6"/>
      <c r="K3" s="6"/>
      <c r="L3" s="6"/>
      <c r="M3" s="6"/>
    </row>
    <row r="4" spans="1:16" ht="15.75" customHeight="1">
      <c r="A4" s="8" t="s">
        <v>38</v>
      </c>
      <c r="B4" s="8"/>
      <c r="C4" s="289" t="str">
        <f>VLOOKUP($A$3,AA372:AB383,2,)</f>
        <v>JANUARY 2016</v>
      </c>
      <c r="D4" s="290"/>
      <c r="E4" s="291"/>
      <c r="G4" s="289" t="str">
        <f>VLOOKUP($A$3,AA372:AC383,3,)</f>
        <v>FEBRUARY 2016</v>
      </c>
      <c r="H4" s="290"/>
      <c r="I4" s="291"/>
      <c r="K4" s="289" t="str">
        <f>VLOOKUP($A$3,AA372:AD383,4,)</f>
        <v>MARCH 2016</v>
      </c>
      <c r="L4" s="290"/>
      <c r="M4" s="291"/>
      <c r="O4" s="285" t="s">
        <v>213</v>
      </c>
      <c r="P4" s="286"/>
    </row>
    <row r="5" spans="1:16" ht="15.75" customHeight="1">
      <c r="A5" s="8"/>
      <c r="B5" s="8"/>
      <c r="C5" s="283" t="s">
        <v>5</v>
      </c>
      <c r="D5" s="284" t="s">
        <v>0</v>
      </c>
      <c r="E5" s="281" t="s">
        <v>10</v>
      </c>
      <c r="F5" s="17"/>
      <c r="G5" s="280" t="s">
        <v>5</v>
      </c>
      <c r="H5" s="282" t="s">
        <v>0</v>
      </c>
      <c r="I5" s="282" t="s">
        <v>10</v>
      </c>
      <c r="J5" s="17"/>
      <c r="K5" s="280" t="s">
        <v>5</v>
      </c>
      <c r="L5" s="282" t="s">
        <v>0</v>
      </c>
      <c r="M5" s="282" t="s">
        <v>10</v>
      </c>
      <c r="O5" s="287"/>
      <c r="P5" s="288"/>
    </row>
    <row r="6" spans="1:16" ht="30" customHeight="1">
      <c r="A6" s="18"/>
      <c r="B6" s="18"/>
      <c r="C6" s="283"/>
      <c r="D6" s="284"/>
      <c r="E6" s="282"/>
      <c r="F6" s="17"/>
      <c r="G6" s="283"/>
      <c r="H6" s="284"/>
      <c r="I6" s="284"/>
      <c r="J6" s="17"/>
      <c r="K6" s="283"/>
      <c r="L6" s="284"/>
      <c r="M6" s="284"/>
      <c r="O6" s="77" t="s">
        <v>0</v>
      </c>
      <c r="P6" s="77" t="s">
        <v>212</v>
      </c>
    </row>
    <row r="7" spans="1:16" ht="15" customHeight="1">
      <c r="C7" s="20"/>
    </row>
    <row r="8" spans="1:16" s="24" customFormat="1" ht="15" customHeight="1">
      <c r="A8" s="18" t="s">
        <v>177</v>
      </c>
      <c r="B8" s="18"/>
      <c r="C8" s="72">
        <f>SUBTOTAL(9,C10:C19)</f>
        <v>48879420.471325003</v>
      </c>
      <c r="D8" s="72">
        <f>SUBTOTAL(9,D10:D19)</f>
        <v>50957300</v>
      </c>
      <c r="E8" s="72">
        <f>SUBTOTAL(9,E10:E19)</f>
        <v>43755174.729999997</v>
      </c>
      <c r="G8" s="72">
        <f>SUBTOTAL(9,G10:G19)</f>
        <v>41574028.573865496</v>
      </c>
      <c r="H8" s="72">
        <f>SUBTOTAL(9,H10:H19)</f>
        <v>44559000</v>
      </c>
      <c r="I8" s="72">
        <f>SUBTOTAL(9,I10:I19)</f>
        <v>37394758.769999988</v>
      </c>
      <c r="J8" s="25"/>
      <c r="K8" s="72">
        <f t="shared" ref="K8:M8" si="0">SUBTOTAL(9,K10:K19)</f>
        <v>44033314.341335818</v>
      </c>
      <c r="L8" s="72">
        <f t="shared" si="0"/>
        <v>48671800</v>
      </c>
      <c r="M8" s="72">
        <f t="shared" si="0"/>
        <v>46987771.669999994</v>
      </c>
      <c r="O8" s="72">
        <f>(C8+G8+K8)-(D8+H8+L8)</f>
        <v>-9701336.6134736836</v>
      </c>
      <c r="P8" s="72">
        <f>(C8+G8+K8)-(E8+I8+M8)</f>
        <v>6349058.2165263295</v>
      </c>
    </row>
    <row r="9" spans="1:16" ht="15" customHeight="1">
      <c r="A9" s="1"/>
      <c r="B9" s="1"/>
      <c r="C9" s="20"/>
      <c r="D9" s="20"/>
      <c r="E9" s="20"/>
      <c r="F9" s="27"/>
      <c r="G9" s="20"/>
      <c r="H9" s="20"/>
      <c r="I9" s="20"/>
      <c r="J9" s="28"/>
      <c r="K9" s="20"/>
      <c r="L9" s="20"/>
      <c r="M9" s="20"/>
      <c r="O9" s="20"/>
      <c r="P9" s="20"/>
    </row>
    <row r="10" spans="1:16" ht="15" customHeight="1">
      <c r="A10" s="29" t="s">
        <v>156</v>
      </c>
      <c r="B10" s="30"/>
      <c r="C10" s="31">
        <f>SUBTOTAL(9,C11:C13)</f>
        <v>23802693</v>
      </c>
      <c r="D10" s="31">
        <f>SUBTOTAL(9,D11:D13)</f>
        <v>23796700</v>
      </c>
      <c r="E10" s="31">
        <f>SUBTOTAL(9,E11:E13)</f>
        <v>21269822.830000002</v>
      </c>
      <c r="F10" s="27"/>
      <c r="G10" s="31">
        <f>SUBTOTAL(9,G11:G13)</f>
        <v>20925893</v>
      </c>
      <c r="H10" s="31">
        <f>SUBTOTAL(9,H11:H13)</f>
        <v>20753000</v>
      </c>
      <c r="I10" s="31">
        <f>SUBTOTAL(9,I11:I13)</f>
        <v>17434626.979999997</v>
      </c>
      <c r="J10" s="28"/>
      <c r="K10" s="31">
        <f t="shared" ref="K10:M10" si="1">SUBTOTAL(9,K11:K13)</f>
        <v>22502105</v>
      </c>
      <c r="L10" s="31">
        <f>SUBTOTAL(9,L11:L13)</f>
        <v>23352000</v>
      </c>
      <c r="M10" s="31">
        <f t="shared" si="1"/>
        <v>19280875.809999999</v>
      </c>
      <c r="O10" s="31">
        <f t="shared" ref="O10:O19" si="2">(C10+G10+K10)-(D10+H10+L10)</f>
        <v>-671009</v>
      </c>
      <c r="P10" s="31">
        <f t="shared" ref="P10:P19" si="3">(C10+G10+K10)-(E10+I10+M10)</f>
        <v>9245365.3799999952</v>
      </c>
    </row>
    <row r="11" spans="1:16" ht="15" customHeight="1">
      <c r="A11" s="30" t="s">
        <v>179</v>
      </c>
      <c r="B11" s="30"/>
      <c r="C11" s="31">
        <f>IF($C$4="FEBRUARY 2015",SUMIF('TY Actual-Forecast'!$A:$A,'Next 3-Months'!$A11,'TY Actual-Forecast'!$D:$D),IF($C$4="MARCH 2015",SUMIF('TY Actual-Forecast'!$A:$A,'Next 3-Months'!$A11,'TY Actual-Forecast'!$E:$E),IF($C$4="APRIL 2015",SUMIF('TY Actual-Forecast'!$A:$A,'Next 3-Months'!$A11,'TY Actual-Forecast'!$F:$F),IF($C$4="MAY 2015",SUMIF('TY Actual-Forecast'!$A:$A,'Next 3-Months'!$A11,'TY Actual-Forecast'!$G:$G),IF($C$4="JUNE 2015",SUMIF('TY Actual-Forecast'!$A:$A,'Next 3-Months'!$A11,'TY Actual-Forecast'!$H:$H),IF($C$4="JULY 2015",SUMIF('TY Actual-Forecast'!$A:$A,'Next 3-Months'!$A11,'TY Actual-Forecast'!$I:$I),IF($C$4="AUGUST 2015",SUMIF('TY Actual-Forecast'!$A:$A,'Next 3-Months'!$A11,'TY Actual-Forecast'!$J:$J),IF($C$4="SEPTEMBER 2015",SUMIF('TY Actual-Forecast'!$A:$A,'Next 3-Months'!$A11,'TY Actual-Forecast'!$K:$K),IF($C$4="OCTOBER 2015",SUMIF('TY Actual-Forecast'!$A:$A,'Next 3-Months'!$A11,'TY Actual-Forecast'!$L:$L),IF($C$4="NOVEMBER 2015",SUMIF('TY Actual-Forecast'!$A:$A,'Next 3-Months'!$A11,'TY Actual-Forecast'!$M:$M),IF($C$4="DECEMBER 2015",SUMIF('TY Actual-Forecast'!$A:$A,'Next 3-Months'!$A11,'TY Actual-Forecast'!$N:$N),IF($C$4="JANUARY 2016",SUMIF('TY Actual-Forecast'!$A:$A,'Next 3-Months'!$A11,'TY Actual-Forecast'!$Q:$Q),IF($C$4="FEBRUARY 2016",SUMIF('TY Actual-Forecast'!$A:$A,'Next 3-Months'!$A11,'TY Actual-Forecast'!$R:$R),IF($C$4="MARCH 2016",SUMIF('TY Actual-Forecast'!$A:$A,'Next 3-Months'!$A11,'TY Actual-Forecast'!$S:$S),0))))))))))))))</f>
        <v>17157500</v>
      </c>
      <c r="D11" s="31">
        <f>IF($C$4="FEBRUARY 2015",SUMIF('TY Budget'!$A:$A,'Next 3-Months'!$A11,'TY Budget'!$D:$D),IF($C$4="MARCH 2015",SUMIF('TY Budget'!$A:$A,'Next 3-Months'!$A11,'TY Budget'!$E:$E),IF($C$4="APRIL 2015",SUMIF('TY Budget'!$A:$A,'Next 3-Months'!$A11,'TY Budget'!$F:$F),IF($C$4="MAY 2015",SUMIF('TY Budget'!$A:$A,'Next 3-Months'!$A11,'TY Budget'!$G:$G),IF($C$4="JUNE 2015",SUMIF('TY Budget'!$A:$A,'Next 3-Months'!$A11,'TY Budget'!$H:$H),IF($C$4="JULY 2015",SUMIF('TY Budget'!$A:$A,'Next 3-Months'!$A11,'TY Budget'!$I:$I),IF($C$4="AUGUST 2015",SUMIF('TY Budget'!$A:$A,'Next 3-Months'!$A11,'TY Budget'!$J:$J),IF($C$4="SEPTEMBER 2015",SUMIF('TY Budget'!$A:$A,'Next 3-Months'!$A11,'TY Budget'!$K:$K),IF($C$4="OCTOBER 2015",SUMIF('TY Budget'!$A:$A,'Next 3-Months'!$A11,'TY Budget'!$L:$L),IF($C$4="NOVEMBER 2015",SUMIF('TY Budget'!$A:$A,'Next 3-Months'!$A11,'TY Budget'!$M:$M),IF($C$4="DECEMBER 2015",SUMIF('TY Budget'!$A:$A,'Next 3-Months'!$A11,'TY Budget'!$N:$N),IF($C$4="JANUARY 2016",SUMIF('TY Budget'!$A:$A,'Next 3-Months'!$A11,'TY Budget'!$Q:$Q),IF($C$4="FEBRUARY 2016",SUMIF('TY Budget'!$A:$A,'Next 3-Months'!$A11,'TY Budget'!$R:$R),IF($C$4="MARCH 2016",SUMIF('TY Budget'!$A:$A,'Next 3-Months'!$A11,'TY Budget'!$S:$S),0))))))))))))))</f>
        <v>16328700</v>
      </c>
      <c r="E11" s="31">
        <f>IF($C$4="FEBRUARY 2015",SUMIF('TY Budget'!$A:$A,'Next 3-Months'!$A11,'LY Actual'!$D:$D),IF($C$4="MARCH 2015",SUMIF('TY Budget'!$A:$A,'Next 3-Months'!$A11,'LY Actual'!$E:$E),IF($C$4="APRIL 2015",SUMIF('TY Budget'!$A:$A,'Next 3-Months'!$A11,'LY Actual'!$F:$F),IF($C$4="MAY 2015",SUMIF('TY Budget'!$A:$A,'Next 3-Months'!$A11,'LY Actual'!$G:$G),IF($C$4="JUNE 2015",SUMIF('TY Budget'!$A:$A,'Next 3-Months'!$A11,'LY Actual'!$H:$H),IF($C$4="JULY 2015",SUMIF('TY Budget'!$A:$A,'Next 3-Months'!$A11,'LY Actual'!$I:$I),IF($C$4="AUGUST 2015",SUMIF('TY Budget'!$A:$A,'Next 3-Months'!$A11,'LY Actual'!$J:$J),IF($C$4="SEPTEMBER 2015",SUMIF('TY Budget'!$A:$A,'Next 3-Months'!$A11,'LY Actual'!$K:$K),IF($C$4="OCTOBER 2015",SUMIF('TY Budget'!$A:$A,'Next 3-Months'!$A11,'LY Actual'!$L:$L),IF($C$4="NOVEMBER 2015",SUMIF('TY Budget'!$A:$A,'Next 3-Months'!$A11,'LY Actual'!$M:$M),IF($C$4="DECEMBER 2015",SUMIF('TY Budget'!$A:$A,'Next 3-Months'!$A11,'LY Actual'!$N:$N),IF($C$4="JANUARY 2016",SUMIF('TY Budget'!$A:$A,'Next 3-Months'!$A11,'LY Actual'!$Q:$Q),IF($C$4="FEBRUARY 2016",SUMIF('TY Budget'!$A:$A,'Next 3-Months'!$A11,'LY Actual'!$R:$R),IF($C$4="MARCH 2016",SUMIF('TY Budget'!$A:$A,'Next 3-Months'!$A11,'LY Actual'!$S:$S),0))))))))))))))</f>
        <v>16430289.15</v>
      </c>
      <c r="F11" s="27"/>
      <c r="G11" s="31">
        <f>IF($G$4="FEBRUARY 2015",SUMIF('TY Actual-Forecast'!$A:$A,'Next 3-Months'!$A11,'TY Actual-Forecast'!$D:$D),IF($G$4="MARCH 2015",SUMIF('TY Actual-Forecast'!$A:$A,'Next 3-Months'!$A11,'TY Actual-Forecast'!$E:$E),IF($G$4="APRIL 2015",SUMIF('TY Actual-Forecast'!$A:$A,'Next 3-Months'!$A11,'TY Actual-Forecast'!$F:$F),IF($G$4="MAY 2015",SUMIF('TY Actual-Forecast'!$A:$A,'Next 3-Months'!$A11,'TY Actual-Forecast'!$G:$G),IF($G$4="JUNE 2015",SUMIF('TY Actual-Forecast'!$A:$A,'Next 3-Months'!$A11,'TY Actual-Forecast'!$H:$H),IF($G$4="JULY 2015",SUMIF('TY Actual-Forecast'!$A:$A,'Next 3-Months'!$A11,'TY Actual-Forecast'!$I:$I),IF($G$4="AUGUST 2015",SUMIF('TY Actual-Forecast'!$A:$A,'Next 3-Months'!$A11,'TY Actual-Forecast'!$J:$J),IF($G$4="SEPTEMBER 2015",SUMIF('TY Actual-Forecast'!$A:$A,'Next 3-Months'!$A11,'TY Actual-Forecast'!$K:$K),IF($G$4="OCTOBER 2015",SUMIF('TY Actual-Forecast'!$A:$A,'Next 3-Months'!$A11,'TY Actual-Forecast'!$L:$L),IF($G$4="NOVEMBER 2015",SUMIF('TY Actual-Forecast'!$A:$A,'Next 3-Months'!$A11,'TY Actual-Forecast'!$M:$M),IF($G$4="DECEMBER 2015",SUMIF('TY Actual-Forecast'!$A:$A,'Next 3-Months'!$A11,'TY Actual-Forecast'!$N:$N),IF($G$4="JANUARY 2016",SUMIF('TY Actual-Forecast'!$A:$A,'Next 3-Months'!$A11,'TY Actual-Forecast'!$Q:$Q),IF($G$4="FEBRUARY 2016",SUMIF('TY Actual-Forecast'!$A:$A,'Next 3-Months'!$A11,'TY Actual-Forecast'!$R:$R),IF($G$4="MARCH 2016",SUMIF('TY Actual-Forecast'!$A:$A,'Next 3-Months'!$A11,'TY Actual-Forecast'!$S:$S),0))))))))))))))</f>
        <v>13352000</v>
      </c>
      <c r="H11" s="31">
        <f>IF($G$4="FEBRUARY 2015",SUMIF('TY Budget'!$A:$A,'Next 3-Months'!$A11,'TY Budget'!$D:$D),IF($G$4="MARCH 2015",SUMIF('TY Budget'!$A:$A,'Next 3-Months'!$A11,'TY Budget'!$E:$E),IF($G$4="APRIL 2015",SUMIF('TY Budget'!$A:$A,'Next 3-Months'!$A11,'TY Budget'!$F:$F),IF($G$4="MAY 2015",SUMIF('TY Budget'!$A:$A,'Next 3-Months'!$A11,'TY Budget'!$G:$G),IF($G$4="JUNE 2015",SUMIF('TY Budget'!$A:$A,'Next 3-Months'!$A11,'TY Budget'!$H:$H),IF($G$4="JULY 2015",SUMIF('TY Budget'!$A:$A,'Next 3-Months'!$A11,'TY Budget'!$I:$I),IF($G$4="AUGUST 2015",SUMIF('TY Budget'!$A:$A,'Next 3-Months'!$A11,'TY Budget'!$J:$J),IF($G$4="SEPTEMBER 2015",SUMIF('TY Budget'!$A:$A,'Next 3-Months'!$A11,'TY Budget'!$K:$K),IF($G$4="OCTOBER 2015",SUMIF('TY Budget'!$A:$A,'Next 3-Months'!$A11,'TY Budget'!$L:$L),IF($G$4="NOVEMBER 2015",SUMIF('TY Budget'!$A:$A,'Next 3-Months'!$A11,'TY Budget'!$M:$M),IF($G$4="DECEMBER 2015",SUMIF('TY Budget'!$A:$A,'Next 3-Months'!$A11,'TY Budget'!$N:$N),IF($G$4="JANUARY 2016",SUMIF('TY Budget'!$A:$A,'Next 3-Months'!$A11,'TY Budget'!$Q:$Q),IF($G$4="FEBRUARY 2016",SUMIF('TY Budget'!$A:$A,'Next 3-Months'!$A11,'TY Budget'!$R:$R),IF($G$4="MARCH 2016",SUMIF('TY Budget'!$A:$A,'Next 3-Months'!$A11,'TY Budget'!$S:$S),0))))))))))))))</f>
        <v>12227000</v>
      </c>
      <c r="I11" s="31">
        <f>IF($G$4="FEBRUARY 2015",SUMIF('TY Budget'!$A:$A,'Next 3-Months'!$A11,'LY Actual'!$D:$D),IF($G$4="MARCH 2015",SUMIF('TY Budget'!$A:$A,'Next 3-Months'!$A11,'LY Actual'!$E:$E),IF($G$4="APRIL 2015",SUMIF('TY Budget'!$A:$A,'Next 3-Months'!$A11,'LY Actual'!$F:$F),IF($G$4="MAY 2015",SUMIF('TY Budget'!$A:$A,'Next 3-Months'!$A11,'LY Actual'!$G:$G),IF($G$4="JUNE 2015",SUMIF('TY Budget'!$A:$A,'Next 3-Months'!$A11,'LY Actual'!$H:$H),IF($G$4="JULY 2015",SUMIF('TY Budget'!$A:$A,'Next 3-Months'!$A11,'LY Actual'!$I:$I),IF($G$4="AUGUST 2015",SUMIF('TY Budget'!$A:$A,'Next 3-Months'!$A11,'LY Actual'!$J:$J),IF($G$4="SEPTEMBER 2015",SUMIF('TY Budget'!$A:$A,'Next 3-Months'!$A11,'LY Actual'!$K:$K),IF($G$4="OCTOBER 2015",SUMIF('TY Budget'!$A:$A,'Next 3-Months'!$A11,'LY Actual'!$L:$L),IF($G$4="NOVEMBER 2015",SUMIF('TY Budget'!$A:$A,'Next 3-Months'!$A11,'LY Actual'!$M:$M),IF($G$4="DECEMBER 2015",SUMIF('TY Budget'!$A:$A,'Next 3-Months'!$A11,'LY Actual'!$N:$N),IF($G$4="JANUARY 2016",SUMIF('TY Budget'!$A:$A,'Next 3-Months'!$A11,'LY Actual'!$Q:$Q),IF($G$4="FEBRUARY 2016",SUMIF('TY Budget'!$A:$A,'Next 3-Months'!$A11,'LY Actual'!$R:$R),IF($G$4="MARCH 2016",SUMIF('TY Budget'!$A:$A,'Next 3-Months'!$A11,'LY Actual'!$S:$S),0))))))))))))))</f>
        <v>10251835.939999999</v>
      </c>
      <c r="J11" s="28"/>
      <c r="K11" s="31">
        <f>IF($K$4="FEBRUARY 2015",SUMIF('TY Actual-Forecast'!$A:$A,'Next 3-Months'!$A11,'TY Actual-Forecast'!$D:$D),IF($K$4="MARCH 2015",SUMIF('TY Actual-Forecast'!$A:$A,'Next 3-Months'!$A11,'TY Actual-Forecast'!$E:$E),IF($K$4="APRIL 2015",SUMIF('TY Actual-Forecast'!$A:$A,'Next 3-Months'!$A11,'TY Actual-Forecast'!$F:$F),IF($K$4="MAY 2015",SUMIF('TY Actual-Forecast'!$A:$A,'Next 3-Months'!$A11,'TY Actual-Forecast'!$G:$G),IF($K$4="JUNE 2015",SUMIF('TY Actual-Forecast'!$A:$A,'Next 3-Months'!$A11,'TY Actual-Forecast'!$H:$H),IF($K$4="JULY 2015",SUMIF('TY Actual-Forecast'!$A:$A,'Next 3-Months'!$A11,'TY Actual-Forecast'!$I:$I),IF($K$4="AUGUST 2015",SUMIF('TY Actual-Forecast'!$A:$A,'Next 3-Months'!$A11,'TY Actual-Forecast'!$J:$J),IF($K$4="SEPTEMBER 2015",SUMIF('TY Actual-Forecast'!$A:$A,'Next 3-Months'!$A11,'TY Actual-Forecast'!$K:$K),IF($K$4="OCTOBER 2015",SUMIF('TY Actual-Forecast'!$A:$A,'Next 3-Months'!$A11,'TY Actual-Forecast'!$L:$L),IF($K$4="NOVEMBER 2015",SUMIF('TY Actual-Forecast'!$A:$A,'Next 3-Months'!$A11,'TY Actual-Forecast'!$M:$M),IF($K$4="DECEMBER 2015",SUMIF('TY Actual-Forecast'!$A:$A,'Next 3-Months'!$A11,'TY Actual-Forecast'!$N:$N),IF($K$4="JANUARY 2016",SUMIF('TY Actual-Forecast'!$A:$A,'Next 3-Months'!$A11,'TY Actual-Forecast'!$Q:$Q),IF($K$4="FEBRUARY 2016",SUMIF('TY Actual-Forecast'!$A:$A,'Next 3-Months'!$A11,'TY Actual-Forecast'!$R:$R),IF($K$4="MARCH 2016",SUMIF('TY Actual-Forecast'!$A:$A,'Next 3-Months'!$A11,'TY Actual-Forecast'!$S:$S),0))))))))))))))</f>
        <v>15425000</v>
      </c>
      <c r="L11" s="31">
        <f>IF($K$4="FEBRUARY 2015",SUMIF('TY Budget'!$A:$A,'Next 3-Months'!$A11,'TY Budget'!$D:$D),IF($K$4="MARCH 2015",SUMIF('TY Budget'!$A:$A,'Next 3-Months'!$A11,'TY Budget'!$E:$E),IF($K$4="APRIL 2015",SUMIF('TY Budget'!$A:$A,'Next 3-Months'!$A11,'TY Budget'!$F:$F),IF($K$4="MAY 2015",SUMIF('TY Budget'!$A:$A,'Next 3-Months'!$A11,'TY Budget'!$G:$G),IF($K$4="JUNE 2015",SUMIF('TY Budget'!$A:$A,'Next 3-Months'!$A11,'TY Budget'!$H:$H),IF($K$4="JULY 2015",SUMIF('TY Budget'!$A:$A,'Next 3-Months'!$A11,'TY Budget'!$I:$I),IF($K$4="AUGUST 2015",SUMIF('TY Budget'!$A:$A,'Next 3-Months'!$A11,'TY Budget'!$J:$J),IF($K$4="SEPTEMBER 2015",SUMIF('TY Budget'!$A:$A,'Next 3-Months'!$A11,'TY Budget'!$K:$K),IF($K$4="OCTOBER 2015",SUMIF('TY Budget'!$A:$A,'Next 3-Months'!$A11,'TY Budget'!$L:$L),IF($K$4="NOVEMBER 2015",SUMIF('TY Budget'!$A:$A,'Next 3-Months'!$A11,'TY Budget'!$M:$M),IF($K$4="DECEMBER 2015",SUMIF('TY Budget'!$A:$A,'Next 3-Months'!$A11,'TY Budget'!$N:$N),IF($K$4="JANUARY 2016",SUMIF('TY Budget'!$A:$A,'Next 3-Months'!$A11,'TY Budget'!$Q:$Q),IF($K$4="FEBRUARY 2016",SUMIF('TY Budget'!$A:$A,'Next 3-Months'!$A11,'TY Budget'!$R:$R),IF($K$4="MARCH 2016",SUMIF('TY Budget'!$A:$A,'Next 3-Months'!$A11,'TY Budget'!$S:$S),0))))))))))))))</f>
        <v>15379000</v>
      </c>
      <c r="M11" s="31">
        <f>IF($K$4="FEBRUARY 2015",SUMIF('TY Budget'!$A:$A,'Next 3-Months'!$A11,'LY Actual'!$D:$D),IF($K$4="MARCH 2015",SUMIF('TY Budget'!$A:$A,'Next 3-Months'!$A11,'LY Actual'!$E:$E),IF($K$4="APRIL 2015",SUMIF('TY Budget'!$A:$A,'Next 3-Months'!$A11,'LY Actual'!$F:$F),IF($K$4="MAY 2015",SUMIF('TY Budget'!$A:$A,'Next 3-Months'!$A11,'LY Actual'!$G:$G),IF($K$4="JUNE 2015",SUMIF('TY Budget'!$A:$A,'Next 3-Months'!$A11,'LY Actual'!$H:$H),IF($K$4="JULY 2015",SUMIF('TY Budget'!$A:$A,'Next 3-Months'!$A11,'LY Actual'!$I:$I),IF($K$4="AUGUST 2015",SUMIF('TY Budget'!$A:$A,'Next 3-Months'!$A11,'LY Actual'!$J:$J),IF($K$4="SEPTEMBER 2015",SUMIF('TY Budget'!$A:$A,'Next 3-Months'!$A11,'LY Actual'!$K:$K),IF($K$4="OCTOBER 2015",SUMIF('TY Budget'!$A:$A,'Next 3-Months'!$A11,'LY Actual'!$L:$L),IF($K$4="NOVEMBER 2015",SUMIF('TY Budget'!$A:$A,'Next 3-Months'!$A11,'LY Actual'!$M:$M),IF($K$4="DECEMBER 2015",SUMIF('TY Budget'!$A:$A,'Next 3-Months'!$A11,'LY Actual'!$N:$N),IF($K$4="JANUARY 2016",SUMIF('TY Budget'!$A:$A,'Next 3-Months'!$A11,'LY Actual'!$Q:$Q),IF($K$4="FEBRUARY 2016",SUMIF('TY Budget'!$A:$A,'Next 3-Months'!$A11,'LY Actual'!$R:$R),IF($K$4="MARCH 2016",SUMIF('TY Budget'!$A:$A,'Next 3-Months'!$A11,'LY Actual'!$S:$S),0))))))))))))))</f>
        <v>8621323.0899999999</v>
      </c>
      <c r="O11" s="31">
        <f t="shared" si="2"/>
        <v>1999800</v>
      </c>
      <c r="P11" s="31">
        <f t="shared" si="3"/>
        <v>10631051.82</v>
      </c>
    </row>
    <row r="12" spans="1:16" ht="15" customHeight="1">
      <c r="A12" s="30" t="s">
        <v>180</v>
      </c>
      <c r="B12" s="30"/>
      <c r="C12" s="31">
        <f>IF($C$4="FEBRUARY 2015",SUMIF('TY Actual-Forecast'!$A:$A,'Next 3-Months'!A12,'TY Actual-Forecast'!$D:$D),IF($C$4="MARCH 2015",SUMIF('TY Actual-Forecast'!$A:$A,'Next 3-Months'!A12,'TY Actual-Forecast'!$E:$E),IF($C$4="APRIL 2015",SUMIF('TY Actual-Forecast'!$A:$A,'Next 3-Months'!A12,'TY Actual-Forecast'!$F:$F),IF($C$4="MAY 2015",SUMIF('TY Actual-Forecast'!$A:$A,'Next 3-Months'!A12,'TY Actual-Forecast'!$G:$G),IF($C$4="JUNE 2015",SUMIF('TY Actual-Forecast'!$A:$A,'Next 3-Months'!A12,'TY Actual-Forecast'!$H:$H),IF($C$4="JULY 2015",SUMIF('TY Actual-Forecast'!$A:$A,'Next 3-Months'!A12,'TY Actual-Forecast'!$I:$I),IF($C$4="AUGUST 2015",SUMIF('TY Actual-Forecast'!$A:$A,'Next 3-Months'!A12,'TY Actual-Forecast'!$J:$J),IF($C$4="SEPTEMBER 2015",SUMIF('TY Actual-Forecast'!$A:$A,'Next 3-Months'!A12,'TY Actual-Forecast'!$K:$K),IF($C$4="OCTOBER 2015",SUMIF('TY Actual-Forecast'!$A:$A,'Next 3-Months'!A12,'TY Actual-Forecast'!$L:$L),IF($C$4="NOVEMBER 2015",SUMIF('TY Actual-Forecast'!$A:$A,'Next 3-Months'!A12,'TY Actual-Forecast'!$M:$M),IF($C$4="DECEMBER 2015",SUMIF('TY Actual-Forecast'!$A:$A,'Next 3-Months'!A12,'TY Actual-Forecast'!$N:$N),IF($C$4="JANUARY 2016",SUMIF('TY Actual-Forecast'!$A:$A,'Next 3-Months'!A12,'TY Actual-Forecast'!$Q:$Q),IF($C$4="FEBRUARY 2016",SUMIF('TY Actual-Forecast'!$A:$A,'Next 3-Months'!A12,'TY Actual-Forecast'!$R:$R),IF($C$4="MARCH 2016",SUMIF('TY Actual-Forecast'!$A:$A,'Next 3-Months'!A12,'TY Actual-Forecast'!$S:$S),0))))))))))))))</f>
        <v>6491300</v>
      </c>
      <c r="D12" s="31">
        <f>IF($C$4="FEBRUARY 2015",SUMIF('TY Budget'!$A:$A,'Next 3-Months'!$A12,'TY Budget'!$D:$D),IF($C$4="MARCH 2015",SUMIF('TY Budget'!$A:$A,'Next 3-Months'!$A12,'TY Budget'!$E:$E),IF($C$4="APRIL 2015",SUMIF('TY Budget'!$A:$A,'Next 3-Months'!$A12,'TY Budget'!$F:$F),IF($C$4="MAY 2015",SUMIF('TY Budget'!$A:$A,'Next 3-Months'!$A12,'TY Budget'!$G:$G),IF($C$4="JUNE 2015",SUMIF('TY Budget'!$A:$A,'Next 3-Months'!$A12,'TY Budget'!$H:$H),IF($C$4="JULY 2015",SUMIF('TY Budget'!$A:$A,'Next 3-Months'!$A12,'TY Budget'!$I:$I),IF($C$4="AUGUST 2015",SUMIF('TY Budget'!$A:$A,'Next 3-Months'!$A12,'TY Budget'!$J:$J),IF($C$4="SEPTEMBER 2015",SUMIF('TY Budget'!$A:$A,'Next 3-Months'!$A12,'TY Budget'!$K:$K),IF($C$4="OCTOBER 2015",SUMIF('TY Budget'!$A:$A,'Next 3-Months'!$A12,'TY Budget'!$L:$L),IF($C$4="NOVEMBER 2015",SUMIF('TY Budget'!$A:$A,'Next 3-Months'!$A12,'TY Budget'!$M:$M),IF($C$4="DECEMBER 2015",SUMIF('TY Budget'!$A:$A,'Next 3-Months'!$A12,'TY Budget'!$N:$N),IF($C$4="JANUARY 2016",SUMIF('TY Budget'!$A:$A,'Next 3-Months'!$A12,'TY Budget'!$Q:$Q),IF($C$4="FEBRUARY 2016",SUMIF('TY Budget'!$A:$A,'Next 3-Months'!$A12,'TY Budget'!$R:$R),IF($C$4="MARCH 2016",SUMIF('TY Budget'!$A:$A,'Next 3-Months'!$A12,'TY Budget'!$S:$S),0))))))))))))))</f>
        <v>7314000</v>
      </c>
      <c r="E12" s="31">
        <f>IF($C$4="FEBRUARY 2015",SUMIF('TY Budget'!$A:$A,'Next 3-Months'!$A12,'LY Actual'!$D:$D),IF($C$4="MARCH 2015",SUMIF('TY Budget'!$A:$A,'Next 3-Months'!$A12,'LY Actual'!$E:$E),IF($C$4="APRIL 2015",SUMIF('TY Budget'!$A:$A,'Next 3-Months'!$A12,'LY Actual'!$F:$F),IF($C$4="MAY 2015",SUMIF('TY Budget'!$A:$A,'Next 3-Months'!$A12,'LY Actual'!$G:$G),IF($C$4="JUNE 2015",SUMIF('TY Budget'!$A:$A,'Next 3-Months'!$A12,'LY Actual'!$H:$H),IF($C$4="JULY 2015",SUMIF('TY Budget'!$A:$A,'Next 3-Months'!$A12,'LY Actual'!$I:$I),IF($C$4="AUGUST 2015",SUMIF('TY Budget'!$A:$A,'Next 3-Months'!$A12,'LY Actual'!$J:$J),IF($C$4="SEPTEMBER 2015",SUMIF('TY Budget'!$A:$A,'Next 3-Months'!$A12,'LY Actual'!$K:$K),IF($C$4="OCTOBER 2015",SUMIF('TY Budget'!$A:$A,'Next 3-Months'!$A12,'LY Actual'!$L:$L),IF($C$4="NOVEMBER 2015",SUMIF('TY Budget'!$A:$A,'Next 3-Months'!$A12,'LY Actual'!$M:$M),IF($C$4="DECEMBER 2015",SUMIF('TY Budget'!$A:$A,'Next 3-Months'!$A12,'LY Actual'!$N:$N),IF($C$4="JANUARY 2016",SUMIF('TY Budget'!$A:$A,'Next 3-Months'!$A12,'LY Actual'!$Q:$Q),IF($C$4="FEBRUARY 2016",SUMIF('TY Budget'!$A:$A,'Next 3-Months'!$A12,'LY Actual'!$R:$R),IF($C$4="MARCH 2016",SUMIF('TY Budget'!$A:$A,'Next 3-Months'!$A12,'LY Actual'!$S:$S),0))))))))))))))</f>
        <v>4659306.66</v>
      </c>
      <c r="F12" s="27"/>
      <c r="G12" s="31">
        <f>IF($G$4="FEBRUARY 2015",SUMIF('TY Actual-Forecast'!$A:$A,'Next 3-Months'!$A12,'TY Actual-Forecast'!$D:$D),IF($G$4="MARCH 2015",SUMIF('TY Actual-Forecast'!$A:$A,'Next 3-Months'!$A12,'TY Actual-Forecast'!$E:$E),IF($G$4="APRIL 2015",SUMIF('TY Actual-Forecast'!$A:$A,'Next 3-Months'!$A12,'TY Actual-Forecast'!$F:$F),IF($G$4="MAY 2015",SUMIF('TY Actual-Forecast'!$A:$A,'Next 3-Months'!$A12,'TY Actual-Forecast'!$G:$G),IF($G$4="JUNE 2015",SUMIF('TY Actual-Forecast'!$A:$A,'Next 3-Months'!$A12,'TY Actual-Forecast'!$H:$H),IF($G$4="JULY 2015",SUMIF('TY Actual-Forecast'!$A:$A,'Next 3-Months'!$A12,'TY Actual-Forecast'!$I:$I),IF($G$4="AUGUST 2015",SUMIF('TY Actual-Forecast'!$A:$A,'Next 3-Months'!$A12,'TY Actual-Forecast'!$J:$J),IF($G$4="SEPTEMBER 2015",SUMIF('TY Actual-Forecast'!$A:$A,'Next 3-Months'!$A12,'TY Actual-Forecast'!$K:$K),IF($G$4="OCTOBER 2015",SUMIF('TY Actual-Forecast'!$A:$A,'Next 3-Months'!$A12,'TY Actual-Forecast'!$L:$L),IF($G$4="NOVEMBER 2015",SUMIF('TY Actual-Forecast'!$A:$A,'Next 3-Months'!$A12,'TY Actual-Forecast'!$M:$M),IF($G$4="DECEMBER 2015",SUMIF('TY Actual-Forecast'!$A:$A,'Next 3-Months'!$A12,'TY Actual-Forecast'!$N:$N),IF($G$4="JANUARY 2016",SUMIF('TY Actual-Forecast'!$A:$A,'Next 3-Months'!$A12,'TY Actual-Forecast'!$Q:$Q),IF($G$4="FEBRUARY 2016",SUMIF('TY Actual-Forecast'!$A:$A,'Next 3-Months'!$A12,'TY Actual-Forecast'!$R:$R),IF($G$4="MARCH 2016",SUMIF('TY Actual-Forecast'!$A:$A,'Next 3-Months'!$A12,'TY Actual-Forecast'!$S:$S),0))))))))))))))</f>
        <v>7420000</v>
      </c>
      <c r="H12" s="31">
        <f>IF($G$4="FEBRUARY 2015",SUMIF('TY Budget'!$A:$A,'Next 3-Months'!$A12,'TY Budget'!$D:$D),IF($G$4="MARCH 2015",SUMIF('TY Budget'!$A:$A,'Next 3-Months'!$A12,'TY Budget'!$E:$E),IF($G$4="APRIL 2015",SUMIF('TY Budget'!$A:$A,'Next 3-Months'!$A12,'TY Budget'!$F:$F),IF($G$4="MAY 2015",SUMIF('TY Budget'!$A:$A,'Next 3-Months'!$A12,'TY Budget'!$G:$G),IF($G$4="JUNE 2015",SUMIF('TY Budget'!$A:$A,'Next 3-Months'!$A12,'TY Budget'!$H:$H),IF($G$4="JULY 2015",SUMIF('TY Budget'!$A:$A,'Next 3-Months'!$A12,'TY Budget'!$I:$I),IF($G$4="AUGUST 2015",SUMIF('TY Budget'!$A:$A,'Next 3-Months'!$A12,'TY Budget'!$J:$J),IF($G$4="SEPTEMBER 2015",SUMIF('TY Budget'!$A:$A,'Next 3-Months'!$A12,'TY Budget'!$K:$K),IF($G$4="OCTOBER 2015",SUMIF('TY Budget'!$A:$A,'Next 3-Months'!$A12,'TY Budget'!$L:$L),IF($G$4="NOVEMBER 2015",SUMIF('TY Budget'!$A:$A,'Next 3-Months'!$A12,'TY Budget'!$M:$M),IF($G$4="DECEMBER 2015",SUMIF('TY Budget'!$A:$A,'Next 3-Months'!$A12,'TY Budget'!$N:$N),IF($G$4="JANUARY 2016",SUMIF('TY Budget'!$A:$A,'Next 3-Months'!$A12,'TY Budget'!$Q:$Q),IF($G$4="FEBRUARY 2016",SUMIF('TY Budget'!$A:$A,'Next 3-Months'!$A12,'TY Budget'!$R:$R),IF($G$4="MARCH 2016",SUMIF('TY Budget'!$A:$A,'Next 3-Months'!$A12,'TY Budget'!$S:$S),0))))))))))))))</f>
        <v>8372000</v>
      </c>
      <c r="I12" s="31">
        <f>IF($G$4="FEBRUARY 2015",SUMIF('TY Budget'!$A:$A,'Next 3-Months'!$A12,'LY Actual'!$D:$D),IF($G$4="MARCH 2015",SUMIF('TY Budget'!$A:$A,'Next 3-Months'!$A12,'LY Actual'!$E:$E),IF($G$4="APRIL 2015",SUMIF('TY Budget'!$A:$A,'Next 3-Months'!$A12,'LY Actual'!$F:$F),IF($G$4="MAY 2015",SUMIF('TY Budget'!$A:$A,'Next 3-Months'!$A12,'LY Actual'!$G:$G),IF($G$4="JUNE 2015",SUMIF('TY Budget'!$A:$A,'Next 3-Months'!$A12,'LY Actual'!$H:$H),IF($G$4="JULY 2015",SUMIF('TY Budget'!$A:$A,'Next 3-Months'!$A12,'LY Actual'!$I:$I),IF($G$4="AUGUST 2015",SUMIF('TY Budget'!$A:$A,'Next 3-Months'!$A12,'LY Actual'!$J:$J),IF($G$4="SEPTEMBER 2015",SUMIF('TY Budget'!$A:$A,'Next 3-Months'!$A12,'LY Actual'!$K:$K),IF($G$4="OCTOBER 2015",SUMIF('TY Budget'!$A:$A,'Next 3-Months'!$A12,'LY Actual'!$L:$L),IF($G$4="NOVEMBER 2015",SUMIF('TY Budget'!$A:$A,'Next 3-Months'!$A12,'LY Actual'!$M:$M),IF($G$4="DECEMBER 2015",SUMIF('TY Budget'!$A:$A,'Next 3-Months'!$A12,'LY Actual'!$N:$N),IF($G$4="JANUARY 2016",SUMIF('TY Budget'!$A:$A,'Next 3-Months'!$A12,'LY Actual'!$Q:$Q),IF($G$4="FEBRUARY 2016",SUMIF('TY Budget'!$A:$A,'Next 3-Months'!$A12,'LY Actual'!$R:$R),IF($G$4="MARCH 2016",SUMIF('TY Budget'!$A:$A,'Next 3-Months'!$A12,'LY Actual'!$S:$S),0))))))))))))))</f>
        <v>7059130</v>
      </c>
      <c r="J12" s="28"/>
      <c r="K12" s="31">
        <f>IF($K$4="FEBRUARY 2015",SUMIF('TY Actual-Forecast'!$A:$A,'Next 3-Months'!$A12,'TY Actual-Forecast'!$D:$D),IF($K$4="MARCH 2015",SUMIF('TY Actual-Forecast'!$A:$A,'Next 3-Months'!$A12,'TY Actual-Forecast'!$E:$E),IF($K$4="APRIL 2015",SUMIF('TY Actual-Forecast'!$A:$A,'Next 3-Months'!$A12,'TY Actual-Forecast'!$F:$F),IF($K$4="MAY 2015",SUMIF('TY Actual-Forecast'!$A:$A,'Next 3-Months'!$A12,'TY Actual-Forecast'!$G:$G),IF($K$4="JUNE 2015",SUMIF('TY Actual-Forecast'!$A:$A,'Next 3-Months'!$A12,'TY Actual-Forecast'!$H:$H),IF($K$4="JULY 2015",SUMIF('TY Actual-Forecast'!$A:$A,'Next 3-Months'!$A12,'TY Actual-Forecast'!$I:$I),IF($K$4="AUGUST 2015",SUMIF('TY Actual-Forecast'!$A:$A,'Next 3-Months'!$A12,'TY Actual-Forecast'!$J:$J),IF($K$4="SEPTEMBER 2015",SUMIF('TY Actual-Forecast'!$A:$A,'Next 3-Months'!$A12,'TY Actual-Forecast'!$K:$K),IF($K$4="OCTOBER 2015",SUMIF('TY Actual-Forecast'!$A:$A,'Next 3-Months'!$A12,'TY Actual-Forecast'!$L:$L),IF($K$4="NOVEMBER 2015",SUMIF('TY Actual-Forecast'!$A:$A,'Next 3-Months'!$A12,'TY Actual-Forecast'!$M:$M),IF($K$4="DECEMBER 2015",SUMIF('TY Actual-Forecast'!$A:$A,'Next 3-Months'!$A12,'TY Actual-Forecast'!$N:$N),IF($K$4="JANUARY 2016",SUMIF('TY Actual-Forecast'!$A:$A,'Next 3-Months'!$A12,'TY Actual-Forecast'!$Q:$Q),IF($K$4="FEBRUARY 2016",SUMIF('TY Actual-Forecast'!$A:$A,'Next 3-Months'!$A12,'TY Actual-Forecast'!$R:$R),IF($K$4="MARCH 2016",SUMIF('TY Actual-Forecast'!$A:$A,'Next 3-Months'!$A12,'TY Actual-Forecast'!$S:$S),0))))))))))))))</f>
        <v>6884400</v>
      </c>
      <c r="L12" s="31">
        <f>IF($K$4="FEBRUARY 2015",SUMIF('TY Budget'!$A:$A,'Next 3-Months'!$A12,'TY Budget'!$D:$D),IF($K$4="MARCH 2015",SUMIF('TY Budget'!$A:$A,'Next 3-Months'!$A12,'TY Budget'!$E:$E),IF($K$4="APRIL 2015",SUMIF('TY Budget'!$A:$A,'Next 3-Months'!$A12,'TY Budget'!$F:$F),IF($K$4="MAY 2015",SUMIF('TY Budget'!$A:$A,'Next 3-Months'!$A12,'TY Budget'!$G:$G),IF($K$4="JUNE 2015",SUMIF('TY Budget'!$A:$A,'Next 3-Months'!$A12,'TY Budget'!$H:$H),IF($K$4="JULY 2015",SUMIF('TY Budget'!$A:$A,'Next 3-Months'!$A12,'TY Budget'!$I:$I),IF($K$4="AUGUST 2015",SUMIF('TY Budget'!$A:$A,'Next 3-Months'!$A12,'TY Budget'!$J:$J),IF($K$4="SEPTEMBER 2015",SUMIF('TY Budget'!$A:$A,'Next 3-Months'!$A12,'TY Budget'!$K:$K),IF($K$4="OCTOBER 2015",SUMIF('TY Budget'!$A:$A,'Next 3-Months'!$A12,'TY Budget'!$L:$L),IF($K$4="NOVEMBER 2015",SUMIF('TY Budget'!$A:$A,'Next 3-Months'!$A12,'TY Budget'!$M:$M),IF($K$4="DECEMBER 2015",SUMIF('TY Budget'!$A:$A,'Next 3-Months'!$A12,'TY Budget'!$N:$N),IF($K$4="JANUARY 2016",SUMIF('TY Budget'!$A:$A,'Next 3-Months'!$A12,'TY Budget'!$Q:$Q),IF($K$4="FEBRUARY 2016",SUMIF('TY Budget'!$A:$A,'Next 3-Months'!$A12,'TY Budget'!$R:$R),IF($K$4="MARCH 2016",SUMIF('TY Budget'!$A:$A,'Next 3-Months'!$A12,'TY Budget'!$S:$S),0))))))))))))))</f>
        <v>7780000</v>
      </c>
      <c r="M12" s="31">
        <f>IF($K$4="FEBRUARY 2015",SUMIF('TY Budget'!$A:$A,'Next 3-Months'!$A12,'LY Actual'!$D:$D),IF($K$4="MARCH 2015",SUMIF('TY Budget'!$A:$A,'Next 3-Months'!$A12,'LY Actual'!$E:$E),IF($K$4="APRIL 2015",SUMIF('TY Budget'!$A:$A,'Next 3-Months'!$A12,'LY Actual'!$F:$F),IF($K$4="MAY 2015",SUMIF('TY Budget'!$A:$A,'Next 3-Months'!$A12,'LY Actual'!$G:$G),IF($K$4="JUNE 2015",SUMIF('TY Budget'!$A:$A,'Next 3-Months'!$A12,'LY Actual'!$H:$H),IF($K$4="JULY 2015",SUMIF('TY Budget'!$A:$A,'Next 3-Months'!$A12,'LY Actual'!$I:$I),IF($K$4="AUGUST 2015",SUMIF('TY Budget'!$A:$A,'Next 3-Months'!$A12,'LY Actual'!$J:$J),IF($K$4="SEPTEMBER 2015",SUMIF('TY Budget'!$A:$A,'Next 3-Months'!$A12,'LY Actual'!$K:$K),IF($K$4="OCTOBER 2015",SUMIF('TY Budget'!$A:$A,'Next 3-Months'!$A12,'LY Actual'!$L:$L),IF($K$4="NOVEMBER 2015",SUMIF('TY Budget'!$A:$A,'Next 3-Months'!$A12,'LY Actual'!$M:$M),IF($K$4="DECEMBER 2015",SUMIF('TY Budget'!$A:$A,'Next 3-Months'!$A12,'LY Actual'!$N:$N),IF($K$4="JANUARY 2016",SUMIF('TY Budget'!$A:$A,'Next 3-Months'!$A12,'LY Actual'!$Q:$Q),IF($K$4="FEBRUARY 2016",SUMIF('TY Budget'!$A:$A,'Next 3-Months'!$A12,'LY Actual'!$R:$R),IF($K$4="MARCH 2016",SUMIF('TY Budget'!$A:$A,'Next 3-Months'!$A12,'LY Actual'!$S:$S),0))))))))))))))</f>
        <v>10570699.609999999</v>
      </c>
      <c r="O12" s="31">
        <f t="shared" si="2"/>
        <v>-2670300</v>
      </c>
      <c r="P12" s="31">
        <f t="shared" si="3"/>
        <v>-1493436.2699999996</v>
      </c>
    </row>
    <row r="13" spans="1:16" ht="15" customHeight="1">
      <c r="A13" s="30" t="s">
        <v>181</v>
      </c>
      <c r="B13" s="30"/>
      <c r="C13" s="31">
        <f>IF($C$4="FEBRUARY 2015",SUMIF('TY Actual-Forecast'!$A:$A,'Next 3-Months'!A13,'TY Actual-Forecast'!$D:$D),IF($C$4="MARCH 2015",SUMIF('TY Actual-Forecast'!$A:$A,'Next 3-Months'!A13,'TY Actual-Forecast'!$E:$E),IF($C$4="APRIL 2015",SUMIF('TY Actual-Forecast'!$A:$A,'Next 3-Months'!A13,'TY Actual-Forecast'!$F:$F),IF($C$4="MAY 2015",SUMIF('TY Actual-Forecast'!$A:$A,'Next 3-Months'!A13,'TY Actual-Forecast'!$G:$G),IF($C$4="JUNE 2015",SUMIF('TY Actual-Forecast'!$A:$A,'Next 3-Months'!A13,'TY Actual-Forecast'!$H:$H),IF($C$4="JULY 2015",SUMIF('TY Actual-Forecast'!$A:$A,'Next 3-Months'!A13,'TY Actual-Forecast'!$I:$I),IF($C$4="AUGUST 2015",SUMIF('TY Actual-Forecast'!$A:$A,'Next 3-Months'!A13,'TY Actual-Forecast'!$J:$J),IF($C$4="SEPTEMBER 2015",SUMIF('TY Actual-Forecast'!$A:$A,'Next 3-Months'!A13,'TY Actual-Forecast'!$K:$K),IF($C$4="OCTOBER 2015",SUMIF('TY Actual-Forecast'!$A:$A,'Next 3-Months'!A13,'TY Actual-Forecast'!$L:$L),IF($C$4="NOVEMBER 2015",SUMIF('TY Actual-Forecast'!$A:$A,'Next 3-Months'!A13,'TY Actual-Forecast'!$M:$M),IF($C$4="DECEMBER 2015",SUMIF('TY Actual-Forecast'!$A:$A,'Next 3-Months'!A13,'TY Actual-Forecast'!$N:$N),IF($C$4="JANUARY 2016",SUMIF('TY Actual-Forecast'!$A:$A,'Next 3-Months'!A13,'TY Actual-Forecast'!$Q:$Q),IF($C$4="FEBRUARY 2016",SUMIF('TY Actual-Forecast'!$A:$A,'Next 3-Months'!A13,'TY Actual-Forecast'!$R:$R),IF($C$4="MARCH 2016",SUMIF('TY Actual-Forecast'!$A:$A,'Next 3-Months'!A13,'TY Actual-Forecast'!$S:$S),0))))))))))))))</f>
        <v>153893</v>
      </c>
      <c r="D13" s="31">
        <f>IF($C$4="FEBRUARY 2015",SUMIF('TY Budget'!$A:$A,'Next 3-Months'!$A13,'TY Budget'!$D:$D),IF($C$4="MARCH 2015",SUMIF('TY Budget'!$A:$A,'Next 3-Months'!$A13,'TY Budget'!$E:$E),IF($C$4="APRIL 2015",SUMIF('TY Budget'!$A:$A,'Next 3-Months'!$A13,'TY Budget'!$F:$F),IF($C$4="MAY 2015",SUMIF('TY Budget'!$A:$A,'Next 3-Months'!$A13,'TY Budget'!$G:$G),IF($C$4="JUNE 2015",SUMIF('TY Budget'!$A:$A,'Next 3-Months'!$A13,'TY Budget'!$H:$H),IF($C$4="JULY 2015",SUMIF('TY Budget'!$A:$A,'Next 3-Months'!$A13,'TY Budget'!$I:$I),IF($C$4="AUGUST 2015",SUMIF('TY Budget'!$A:$A,'Next 3-Months'!$A13,'TY Budget'!$J:$J),IF($C$4="SEPTEMBER 2015",SUMIF('TY Budget'!$A:$A,'Next 3-Months'!$A13,'TY Budget'!$K:$K),IF($C$4="OCTOBER 2015",SUMIF('TY Budget'!$A:$A,'Next 3-Months'!$A13,'TY Budget'!$L:$L),IF($C$4="NOVEMBER 2015",SUMIF('TY Budget'!$A:$A,'Next 3-Months'!$A13,'TY Budget'!$M:$M),IF($C$4="DECEMBER 2015",SUMIF('TY Budget'!$A:$A,'Next 3-Months'!$A13,'TY Budget'!$N:$N),IF($C$4="JANUARY 2016",SUMIF('TY Budget'!$A:$A,'Next 3-Months'!$A13,'TY Budget'!$Q:$Q),IF($C$4="FEBRUARY 2016",SUMIF('TY Budget'!$A:$A,'Next 3-Months'!$A13,'TY Budget'!$R:$R),IF($C$4="MARCH 2016",SUMIF('TY Budget'!$A:$A,'Next 3-Months'!$A13,'TY Budget'!$S:$S),0))))))))))))))</f>
        <v>154000</v>
      </c>
      <c r="E13" s="31">
        <f>IF($C$4="FEBRUARY 2015",SUMIF('TY Budget'!$A:$A,'Next 3-Months'!$A13,'LY Actual'!$D:$D),IF($C$4="MARCH 2015",SUMIF('TY Budget'!$A:$A,'Next 3-Months'!$A13,'LY Actual'!$E:$E),IF($C$4="APRIL 2015",SUMIF('TY Budget'!$A:$A,'Next 3-Months'!$A13,'LY Actual'!$F:$F),IF($C$4="MAY 2015",SUMIF('TY Budget'!$A:$A,'Next 3-Months'!$A13,'LY Actual'!$G:$G),IF($C$4="JUNE 2015",SUMIF('TY Budget'!$A:$A,'Next 3-Months'!$A13,'LY Actual'!$H:$H),IF($C$4="JULY 2015",SUMIF('TY Budget'!$A:$A,'Next 3-Months'!$A13,'LY Actual'!$I:$I),IF($C$4="AUGUST 2015",SUMIF('TY Budget'!$A:$A,'Next 3-Months'!$A13,'LY Actual'!$J:$J),IF($C$4="SEPTEMBER 2015",SUMIF('TY Budget'!$A:$A,'Next 3-Months'!$A13,'LY Actual'!$K:$K),IF($C$4="OCTOBER 2015",SUMIF('TY Budget'!$A:$A,'Next 3-Months'!$A13,'LY Actual'!$L:$L),IF($C$4="NOVEMBER 2015",SUMIF('TY Budget'!$A:$A,'Next 3-Months'!$A13,'LY Actual'!$M:$M),IF($C$4="DECEMBER 2015",SUMIF('TY Budget'!$A:$A,'Next 3-Months'!$A13,'LY Actual'!$N:$N),IF($C$4="JANUARY 2016",SUMIF('TY Budget'!$A:$A,'Next 3-Months'!$A13,'LY Actual'!$Q:$Q),IF($C$4="FEBRUARY 2016",SUMIF('TY Budget'!$A:$A,'Next 3-Months'!$A13,'LY Actual'!$R:$R),IF($C$4="MARCH 2016",SUMIF('TY Budget'!$A:$A,'Next 3-Months'!$A13,'LY Actual'!$S:$S),0))))))))))))))</f>
        <v>180227.02</v>
      </c>
      <c r="F13" s="27"/>
      <c r="G13" s="31">
        <f>IF($G$4="FEBRUARY 2015",SUMIF('TY Actual-Forecast'!$A:$A,'Next 3-Months'!$A13,'TY Actual-Forecast'!$D:$D),IF($G$4="MARCH 2015",SUMIF('TY Actual-Forecast'!$A:$A,'Next 3-Months'!$A13,'TY Actual-Forecast'!$E:$E),IF($G$4="APRIL 2015",SUMIF('TY Actual-Forecast'!$A:$A,'Next 3-Months'!$A13,'TY Actual-Forecast'!$F:$F),IF($G$4="MAY 2015",SUMIF('TY Actual-Forecast'!$A:$A,'Next 3-Months'!$A13,'TY Actual-Forecast'!$G:$G),IF($G$4="JUNE 2015",SUMIF('TY Actual-Forecast'!$A:$A,'Next 3-Months'!$A13,'TY Actual-Forecast'!$H:$H),IF($G$4="JULY 2015",SUMIF('TY Actual-Forecast'!$A:$A,'Next 3-Months'!$A13,'TY Actual-Forecast'!$I:$I),IF($G$4="AUGUST 2015",SUMIF('TY Actual-Forecast'!$A:$A,'Next 3-Months'!$A13,'TY Actual-Forecast'!$J:$J),IF($G$4="SEPTEMBER 2015",SUMIF('TY Actual-Forecast'!$A:$A,'Next 3-Months'!$A13,'TY Actual-Forecast'!$K:$K),IF($G$4="OCTOBER 2015",SUMIF('TY Actual-Forecast'!$A:$A,'Next 3-Months'!$A13,'TY Actual-Forecast'!$L:$L),IF($G$4="NOVEMBER 2015",SUMIF('TY Actual-Forecast'!$A:$A,'Next 3-Months'!$A13,'TY Actual-Forecast'!$M:$M),IF($G$4="DECEMBER 2015",SUMIF('TY Actual-Forecast'!$A:$A,'Next 3-Months'!$A13,'TY Actual-Forecast'!$N:$N),IF($G$4="JANUARY 2016",SUMIF('TY Actual-Forecast'!$A:$A,'Next 3-Months'!$A13,'TY Actual-Forecast'!$Q:$Q),IF($G$4="FEBRUARY 2016",SUMIF('TY Actual-Forecast'!$A:$A,'Next 3-Months'!$A13,'TY Actual-Forecast'!$R:$R),IF($G$4="MARCH 2016",SUMIF('TY Actual-Forecast'!$A:$A,'Next 3-Months'!$A13,'TY Actual-Forecast'!$S:$S),0))))))))))))))</f>
        <v>153893</v>
      </c>
      <c r="H13" s="31">
        <f>IF($G$4="FEBRUARY 2015",SUMIF('TY Budget'!$A:$A,'Next 3-Months'!$A13,'TY Budget'!$D:$D),IF($G$4="MARCH 2015",SUMIF('TY Budget'!$A:$A,'Next 3-Months'!$A13,'TY Budget'!$E:$E),IF($G$4="APRIL 2015",SUMIF('TY Budget'!$A:$A,'Next 3-Months'!$A13,'TY Budget'!$F:$F),IF($G$4="MAY 2015",SUMIF('TY Budget'!$A:$A,'Next 3-Months'!$A13,'TY Budget'!$G:$G),IF($G$4="JUNE 2015",SUMIF('TY Budget'!$A:$A,'Next 3-Months'!$A13,'TY Budget'!$H:$H),IF($G$4="JULY 2015",SUMIF('TY Budget'!$A:$A,'Next 3-Months'!$A13,'TY Budget'!$I:$I),IF($G$4="AUGUST 2015",SUMIF('TY Budget'!$A:$A,'Next 3-Months'!$A13,'TY Budget'!$J:$J),IF($G$4="SEPTEMBER 2015",SUMIF('TY Budget'!$A:$A,'Next 3-Months'!$A13,'TY Budget'!$K:$K),IF($G$4="OCTOBER 2015",SUMIF('TY Budget'!$A:$A,'Next 3-Months'!$A13,'TY Budget'!$L:$L),IF($G$4="NOVEMBER 2015",SUMIF('TY Budget'!$A:$A,'Next 3-Months'!$A13,'TY Budget'!$M:$M),IF($G$4="DECEMBER 2015",SUMIF('TY Budget'!$A:$A,'Next 3-Months'!$A13,'TY Budget'!$N:$N),IF($G$4="JANUARY 2016",SUMIF('TY Budget'!$A:$A,'Next 3-Months'!$A13,'TY Budget'!$Q:$Q),IF($G$4="FEBRUARY 2016",SUMIF('TY Budget'!$A:$A,'Next 3-Months'!$A13,'TY Budget'!$R:$R),IF($G$4="MARCH 2016",SUMIF('TY Budget'!$A:$A,'Next 3-Months'!$A13,'TY Budget'!$S:$S),0))))))))))))))</f>
        <v>154000</v>
      </c>
      <c r="I13" s="31">
        <f>IF($G$4="FEBRUARY 2015",SUMIF('TY Budget'!$A:$A,'Next 3-Months'!$A13,'LY Actual'!$D:$D),IF($G$4="MARCH 2015",SUMIF('TY Budget'!$A:$A,'Next 3-Months'!$A13,'LY Actual'!$E:$E),IF($G$4="APRIL 2015",SUMIF('TY Budget'!$A:$A,'Next 3-Months'!$A13,'LY Actual'!$F:$F),IF($G$4="MAY 2015",SUMIF('TY Budget'!$A:$A,'Next 3-Months'!$A13,'LY Actual'!$G:$G),IF($G$4="JUNE 2015",SUMIF('TY Budget'!$A:$A,'Next 3-Months'!$A13,'LY Actual'!$H:$H),IF($G$4="JULY 2015",SUMIF('TY Budget'!$A:$A,'Next 3-Months'!$A13,'LY Actual'!$I:$I),IF($G$4="AUGUST 2015",SUMIF('TY Budget'!$A:$A,'Next 3-Months'!$A13,'LY Actual'!$J:$J),IF($G$4="SEPTEMBER 2015",SUMIF('TY Budget'!$A:$A,'Next 3-Months'!$A13,'LY Actual'!$K:$K),IF($G$4="OCTOBER 2015",SUMIF('TY Budget'!$A:$A,'Next 3-Months'!$A13,'LY Actual'!$L:$L),IF($G$4="NOVEMBER 2015",SUMIF('TY Budget'!$A:$A,'Next 3-Months'!$A13,'LY Actual'!$M:$M),IF($G$4="DECEMBER 2015",SUMIF('TY Budget'!$A:$A,'Next 3-Months'!$A13,'LY Actual'!$N:$N),IF($G$4="JANUARY 2016",SUMIF('TY Budget'!$A:$A,'Next 3-Months'!$A13,'LY Actual'!$Q:$Q),IF($G$4="FEBRUARY 2016",SUMIF('TY Budget'!$A:$A,'Next 3-Months'!$A13,'LY Actual'!$R:$R),IF($G$4="MARCH 2016",SUMIF('TY Budget'!$A:$A,'Next 3-Months'!$A13,'LY Actual'!$S:$S),0))))))))))))))</f>
        <v>123661.04</v>
      </c>
      <c r="J13" s="28"/>
      <c r="K13" s="31">
        <f>IF($K$4="FEBRUARY 2015",SUMIF('TY Actual-Forecast'!$A:$A,'Next 3-Months'!$A13,'TY Actual-Forecast'!$D:$D),IF($K$4="MARCH 2015",SUMIF('TY Actual-Forecast'!$A:$A,'Next 3-Months'!$A13,'TY Actual-Forecast'!$E:$E),IF($K$4="APRIL 2015",SUMIF('TY Actual-Forecast'!$A:$A,'Next 3-Months'!$A13,'TY Actual-Forecast'!$F:$F),IF($K$4="MAY 2015",SUMIF('TY Actual-Forecast'!$A:$A,'Next 3-Months'!$A13,'TY Actual-Forecast'!$G:$G),IF($K$4="JUNE 2015",SUMIF('TY Actual-Forecast'!$A:$A,'Next 3-Months'!$A13,'TY Actual-Forecast'!$H:$H),IF($K$4="JULY 2015",SUMIF('TY Actual-Forecast'!$A:$A,'Next 3-Months'!$A13,'TY Actual-Forecast'!$I:$I),IF($K$4="AUGUST 2015",SUMIF('TY Actual-Forecast'!$A:$A,'Next 3-Months'!$A13,'TY Actual-Forecast'!$J:$J),IF($K$4="SEPTEMBER 2015",SUMIF('TY Actual-Forecast'!$A:$A,'Next 3-Months'!$A13,'TY Actual-Forecast'!$K:$K),IF($K$4="OCTOBER 2015",SUMIF('TY Actual-Forecast'!$A:$A,'Next 3-Months'!$A13,'TY Actual-Forecast'!$L:$L),IF($K$4="NOVEMBER 2015",SUMIF('TY Actual-Forecast'!$A:$A,'Next 3-Months'!$A13,'TY Actual-Forecast'!$M:$M),IF($K$4="DECEMBER 2015",SUMIF('TY Actual-Forecast'!$A:$A,'Next 3-Months'!$A13,'TY Actual-Forecast'!$N:$N),IF($K$4="JANUARY 2016",SUMIF('TY Actual-Forecast'!$A:$A,'Next 3-Months'!$A13,'TY Actual-Forecast'!$Q:$Q),IF($K$4="FEBRUARY 2016",SUMIF('TY Actual-Forecast'!$A:$A,'Next 3-Months'!$A13,'TY Actual-Forecast'!$R:$R),IF($K$4="MARCH 2016",SUMIF('TY Actual-Forecast'!$A:$A,'Next 3-Months'!$A13,'TY Actual-Forecast'!$S:$S),0))))))))))))))</f>
        <v>192705</v>
      </c>
      <c r="L13" s="31">
        <f>IF($K$4="FEBRUARY 2015",SUMIF('TY Budget'!$A:$A,'Next 3-Months'!$A13,'TY Budget'!$D:$D),IF($K$4="MARCH 2015",SUMIF('TY Budget'!$A:$A,'Next 3-Months'!$A13,'TY Budget'!$E:$E),IF($K$4="APRIL 2015",SUMIF('TY Budget'!$A:$A,'Next 3-Months'!$A13,'TY Budget'!$F:$F),IF($K$4="MAY 2015",SUMIF('TY Budget'!$A:$A,'Next 3-Months'!$A13,'TY Budget'!$G:$G),IF($K$4="JUNE 2015",SUMIF('TY Budget'!$A:$A,'Next 3-Months'!$A13,'TY Budget'!$H:$H),IF($K$4="JULY 2015",SUMIF('TY Budget'!$A:$A,'Next 3-Months'!$A13,'TY Budget'!$I:$I),IF($K$4="AUGUST 2015",SUMIF('TY Budget'!$A:$A,'Next 3-Months'!$A13,'TY Budget'!$J:$J),IF($K$4="SEPTEMBER 2015",SUMIF('TY Budget'!$A:$A,'Next 3-Months'!$A13,'TY Budget'!$K:$K),IF($K$4="OCTOBER 2015",SUMIF('TY Budget'!$A:$A,'Next 3-Months'!$A13,'TY Budget'!$L:$L),IF($K$4="NOVEMBER 2015",SUMIF('TY Budget'!$A:$A,'Next 3-Months'!$A13,'TY Budget'!$M:$M),IF($K$4="DECEMBER 2015",SUMIF('TY Budget'!$A:$A,'Next 3-Months'!$A13,'TY Budget'!$N:$N),IF($K$4="JANUARY 2016",SUMIF('TY Budget'!$A:$A,'Next 3-Months'!$A13,'TY Budget'!$Q:$Q),IF($K$4="FEBRUARY 2016",SUMIF('TY Budget'!$A:$A,'Next 3-Months'!$A13,'TY Budget'!$R:$R),IF($K$4="MARCH 2016",SUMIF('TY Budget'!$A:$A,'Next 3-Months'!$A13,'TY Budget'!$S:$S),0))))))))))))))</f>
        <v>193000</v>
      </c>
      <c r="M13" s="31">
        <f>IF($K$4="FEBRUARY 2015",SUMIF('TY Budget'!$A:$A,'Next 3-Months'!$A13,'LY Actual'!$D:$D),IF($K$4="MARCH 2015",SUMIF('TY Budget'!$A:$A,'Next 3-Months'!$A13,'LY Actual'!$E:$E),IF($K$4="APRIL 2015",SUMIF('TY Budget'!$A:$A,'Next 3-Months'!$A13,'LY Actual'!$F:$F),IF($K$4="MAY 2015",SUMIF('TY Budget'!$A:$A,'Next 3-Months'!$A13,'LY Actual'!$G:$G),IF($K$4="JUNE 2015",SUMIF('TY Budget'!$A:$A,'Next 3-Months'!$A13,'LY Actual'!$H:$H),IF($K$4="JULY 2015",SUMIF('TY Budget'!$A:$A,'Next 3-Months'!$A13,'LY Actual'!$I:$I),IF($K$4="AUGUST 2015",SUMIF('TY Budget'!$A:$A,'Next 3-Months'!$A13,'LY Actual'!$J:$J),IF($K$4="SEPTEMBER 2015",SUMIF('TY Budget'!$A:$A,'Next 3-Months'!$A13,'LY Actual'!$K:$K),IF($K$4="OCTOBER 2015",SUMIF('TY Budget'!$A:$A,'Next 3-Months'!$A13,'LY Actual'!$L:$L),IF($K$4="NOVEMBER 2015",SUMIF('TY Budget'!$A:$A,'Next 3-Months'!$A13,'LY Actual'!$M:$M),IF($K$4="DECEMBER 2015",SUMIF('TY Budget'!$A:$A,'Next 3-Months'!$A13,'LY Actual'!$N:$N),IF($K$4="JANUARY 2016",SUMIF('TY Budget'!$A:$A,'Next 3-Months'!$A13,'LY Actual'!$Q:$Q),IF($K$4="FEBRUARY 2016",SUMIF('TY Budget'!$A:$A,'Next 3-Months'!$A13,'LY Actual'!$R:$R),IF($K$4="MARCH 2016",SUMIF('TY Budget'!$A:$A,'Next 3-Months'!$A13,'LY Actual'!$S:$S),0))))))))))))))</f>
        <v>88853.11</v>
      </c>
      <c r="O13" s="31">
        <f t="shared" si="2"/>
        <v>-509</v>
      </c>
      <c r="P13" s="31">
        <f t="shared" si="3"/>
        <v>107749.83000000002</v>
      </c>
    </row>
    <row r="14" spans="1:16" ht="15" customHeight="1">
      <c r="A14" s="29" t="s">
        <v>182</v>
      </c>
      <c r="B14" s="30"/>
      <c r="C14" s="31">
        <f>SUBTOTAL(9,C15:C17)</f>
        <v>23355412.883078821</v>
      </c>
      <c r="D14" s="31">
        <f>SUBTOTAL(9,D15:D17)</f>
        <v>25409000</v>
      </c>
      <c r="E14" s="31">
        <f>SUBTOTAL(9,E15:E17)</f>
        <v>21311952.359999999</v>
      </c>
      <c r="F14" s="27"/>
      <c r="G14" s="31">
        <f>SUBTOTAL(9,G15:G17)</f>
        <v>19093895.742724586</v>
      </c>
      <c r="H14" s="31">
        <f>SUBTOTAL(9,H15:H17)</f>
        <v>22208000</v>
      </c>
      <c r="I14" s="31">
        <f>SUBTOTAL(9,I15:I17)</f>
        <v>18603283.07</v>
      </c>
      <c r="J14" s="28"/>
      <c r="K14" s="31">
        <f t="shared" ref="K14:M14" si="4">SUBTOTAL(9,K15:K17)</f>
        <v>19871659.868316248</v>
      </c>
      <c r="L14" s="31">
        <f t="shared" si="4"/>
        <v>23591800</v>
      </c>
      <c r="M14" s="31">
        <f t="shared" si="4"/>
        <v>26633579.57</v>
      </c>
      <c r="O14" s="31">
        <f t="shared" si="2"/>
        <v>-8887831.5058803409</v>
      </c>
      <c r="P14" s="31">
        <f t="shared" si="3"/>
        <v>-4227846.5058803409</v>
      </c>
    </row>
    <row r="15" spans="1:16" ht="15" customHeight="1">
      <c r="A15" s="30" t="s">
        <v>183</v>
      </c>
      <c r="B15" s="30"/>
      <c r="C15" s="31">
        <f>IF($C$4="FEBRUARY 2015",SUMIF('TY Actual-Forecast'!$A:$A,'Next 3-Months'!A15,'TY Actual-Forecast'!$D:$D),IF($C$4="MARCH 2015",SUMIF('TY Actual-Forecast'!$A:$A,'Next 3-Months'!A15,'TY Actual-Forecast'!$E:$E),IF($C$4="APRIL 2015",SUMIF('TY Actual-Forecast'!$A:$A,'Next 3-Months'!A15,'TY Actual-Forecast'!$F:$F),IF($C$4="MAY 2015",SUMIF('TY Actual-Forecast'!$A:$A,'Next 3-Months'!A15,'TY Actual-Forecast'!$G:$G),IF($C$4="JUNE 2015",SUMIF('TY Actual-Forecast'!$A:$A,'Next 3-Months'!A15,'TY Actual-Forecast'!$H:$H),IF($C$4="JULY 2015",SUMIF('TY Actual-Forecast'!$A:$A,'Next 3-Months'!A15,'TY Actual-Forecast'!$I:$I),IF($C$4="AUGUST 2015",SUMIF('TY Actual-Forecast'!$A:$A,'Next 3-Months'!A15,'TY Actual-Forecast'!$J:$J),IF($C$4="SEPTEMBER 2015",SUMIF('TY Actual-Forecast'!$A:$A,'Next 3-Months'!A15,'TY Actual-Forecast'!$K:$K),IF($C$4="OCTOBER 2015",SUMIF('TY Actual-Forecast'!$A:$A,'Next 3-Months'!A15,'TY Actual-Forecast'!$L:$L),IF($C$4="NOVEMBER 2015",SUMIF('TY Actual-Forecast'!$A:$A,'Next 3-Months'!A15,'TY Actual-Forecast'!$M:$M),IF($C$4="DECEMBER 2015",SUMIF('TY Actual-Forecast'!$A:$A,'Next 3-Months'!A15,'TY Actual-Forecast'!$N:$N),IF($C$4="JANUARY 2016",SUMIF('TY Actual-Forecast'!$A:$A,'Next 3-Months'!A15,'TY Actual-Forecast'!$Q:$Q),IF($C$4="FEBRUARY 2016",SUMIF('TY Actual-Forecast'!$A:$A,'Next 3-Months'!A15,'TY Actual-Forecast'!$R:$R),IF($C$4="MARCH 2016",SUMIF('TY Actual-Forecast'!$A:$A,'Next 3-Months'!A15,'TY Actual-Forecast'!$S:$S),0))))))))))))))</f>
        <v>12377644</v>
      </c>
      <c r="D15" s="31">
        <f>IF($C$4="FEBRUARY 2015",SUMIF('TY Budget'!$A:$A,'Next 3-Months'!$A15,'TY Budget'!$D:$D),IF($C$4="MARCH 2015",SUMIF('TY Budget'!$A:$A,'Next 3-Months'!$A15,'TY Budget'!$E:$E),IF($C$4="APRIL 2015",SUMIF('TY Budget'!$A:$A,'Next 3-Months'!$A15,'TY Budget'!$F:$F),IF($C$4="MAY 2015",SUMIF('TY Budget'!$A:$A,'Next 3-Months'!$A15,'TY Budget'!$G:$G),IF($C$4="JUNE 2015",SUMIF('TY Budget'!$A:$A,'Next 3-Months'!$A15,'TY Budget'!$H:$H),IF($C$4="JULY 2015",SUMIF('TY Budget'!$A:$A,'Next 3-Months'!$A15,'TY Budget'!$I:$I),IF($C$4="AUGUST 2015",SUMIF('TY Budget'!$A:$A,'Next 3-Months'!$A15,'TY Budget'!$J:$J),IF($C$4="SEPTEMBER 2015",SUMIF('TY Budget'!$A:$A,'Next 3-Months'!$A15,'TY Budget'!$K:$K),IF($C$4="OCTOBER 2015",SUMIF('TY Budget'!$A:$A,'Next 3-Months'!$A15,'TY Budget'!$L:$L),IF($C$4="NOVEMBER 2015",SUMIF('TY Budget'!$A:$A,'Next 3-Months'!$A15,'TY Budget'!$M:$M),IF($C$4="DECEMBER 2015",SUMIF('TY Budget'!$A:$A,'Next 3-Months'!$A15,'TY Budget'!$N:$N),IF($C$4="JANUARY 2016",SUMIF('TY Budget'!$A:$A,'Next 3-Months'!$A15,'TY Budget'!$Q:$Q),IF($C$4="FEBRUARY 2016",SUMIF('TY Budget'!$A:$A,'Next 3-Months'!$A15,'TY Budget'!$R:$R),IF($C$4="MARCH 2016",SUMIF('TY Budget'!$A:$A,'Next 3-Months'!$A15,'TY Budget'!$S:$S),0))))))))))))))</f>
        <v>12786000</v>
      </c>
      <c r="E15" s="31">
        <f>IF($C$4="FEBRUARY 2015",SUMIF('TY Budget'!$A:$A,'Next 3-Months'!$A15,'LY Actual'!$D:$D),IF($C$4="MARCH 2015",SUMIF('TY Budget'!$A:$A,'Next 3-Months'!$A15,'LY Actual'!$E:$E),IF($C$4="APRIL 2015",SUMIF('TY Budget'!$A:$A,'Next 3-Months'!$A15,'LY Actual'!$F:$F),IF($C$4="MAY 2015",SUMIF('TY Budget'!$A:$A,'Next 3-Months'!$A15,'LY Actual'!$G:$G),IF($C$4="JUNE 2015",SUMIF('TY Budget'!$A:$A,'Next 3-Months'!$A15,'LY Actual'!$H:$H),IF($C$4="JULY 2015",SUMIF('TY Budget'!$A:$A,'Next 3-Months'!$A15,'LY Actual'!$I:$I),IF($C$4="AUGUST 2015",SUMIF('TY Budget'!$A:$A,'Next 3-Months'!$A15,'LY Actual'!$J:$J),IF($C$4="SEPTEMBER 2015",SUMIF('TY Budget'!$A:$A,'Next 3-Months'!$A15,'LY Actual'!$K:$K),IF($C$4="OCTOBER 2015",SUMIF('TY Budget'!$A:$A,'Next 3-Months'!$A15,'LY Actual'!$L:$L),IF($C$4="NOVEMBER 2015",SUMIF('TY Budget'!$A:$A,'Next 3-Months'!$A15,'LY Actual'!$M:$M),IF($C$4="DECEMBER 2015",SUMIF('TY Budget'!$A:$A,'Next 3-Months'!$A15,'LY Actual'!$N:$N),IF($C$4="JANUARY 2016",SUMIF('TY Budget'!$A:$A,'Next 3-Months'!$A15,'LY Actual'!$Q:$Q),IF($C$4="FEBRUARY 2016",SUMIF('TY Budget'!$A:$A,'Next 3-Months'!$A15,'LY Actual'!$R:$R),IF($C$4="MARCH 2016",SUMIF('TY Budget'!$A:$A,'Next 3-Months'!$A15,'LY Actual'!$S:$S),0))))))))))))))</f>
        <v>11252145.279999999</v>
      </c>
      <c r="F15" s="27"/>
      <c r="G15" s="31">
        <f>IF($G$4="FEBRUARY 2015",SUMIF('TY Actual-Forecast'!$A:$A,'Next 3-Months'!$A15,'TY Actual-Forecast'!$D:$D),IF($G$4="MARCH 2015",SUMIF('TY Actual-Forecast'!$A:$A,'Next 3-Months'!$A15,'TY Actual-Forecast'!$E:$E),IF($G$4="APRIL 2015",SUMIF('TY Actual-Forecast'!$A:$A,'Next 3-Months'!$A15,'TY Actual-Forecast'!$F:$F),IF($G$4="MAY 2015",SUMIF('TY Actual-Forecast'!$A:$A,'Next 3-Months'!$A15,'TY Actual-Forecast'!$G:$G),IF($G$4="JUNE 2015",SUMIF('TY Actual-Forecast'!$A:$A,'Next 3-Months'!$A15,'TY Actual-Forecast'!$H:$H),IF($G$4="JULY 2015",SUMIF('TY Actual-Forecast'!$A:$A,'Next 3-Months'!$A15,'TY Actual-Forecast'!$I:$I),IF($G$4="AUGUST 2015",SUMIF('TY Actual-Forecast'!$A:$A,'Next 3-Months'!$A15,'TY Actual-Forecast'!$J:$J),IF($G$4="SEPTEMBER 2015",SUMIF('TY Actual-Forecast'!$A:$A,'Next 3-Months'!$A15,'TY Actual-Forecast'!$K:$K),IF($G$4="OCTOBER 2015",SUMIF('TY Actual-Forecast'!$A:$A,'Next 3-Months'!$A15,'TY Actual-Forecast'!$L:$L),IF($G$4="NOVEMBER 2015",SUMIF('TY Actual-Forecast'!$A:$A,'Next 3-Months'!$A15,'TY Actual-Forecast'!$M:$M),IF($G$4="DECEMBER 2015",SUMIF('TY Actual-Forecast'!$A:$A,'Next 3-Months'!$A15,'TY Actual-Forecast'!$N:$N),IF($G$4="JANUARY 2016",SUMIF('TY Actual-Forecast'!$A:$A,'Next 3-Months'!$A15,'TY Actual-Forecast'!$Q:$Q),IF($G$4="FEBRUARY 2016",SUMIF('TY Actual-Forecast'!$A:$A,'Next 3-Months'!$A15,'TY Actual-Forecast'!$R:$R),IF($G$4="MARCH 2016",SUMIF('TY Actual-Forecast'!$A:$A,'Next 3-Months'!$A15,'TY Actual-Forecast'!$S:$S),0))))))))))))))</f>
        <v>10388679.999997418</v>
      </c>
      <c r="H15" s="31">
        <f>IF($G$4="FEBRUARY 2015",SUMIF('TY Budget'!$A:$A,'Next 3-Months'!$A15,'TY Budget'!$D:$D),IF($G$4="MARCH 2015",SUMIF('TY Budget'!$A:$A,'Next 3-Months'!$A15,'TY Budget'!$E:$E),IF($G$4="APRIL 2015",SUMIF('TY Budget'!$A:$A,'Next 3-Months'!$A15,'TY Budget'!$F:$F),IF($G$4="MAY 2015",SUMIF('TY Budget'!$A:$A,'Next 3-Months'!$A15,'TY Budget'!$G:$G),IF($G$4="JUNE 2015",SUMIF('TY Budget'!$A:$A,'Next 3-Months'!$A15,'TY Budget'!$H:$H),IF($G$4="JULY 2015",SUMIF('TY Budget'!$A:$A,'Next 3-Months'!$A15,'TY Budget'!$I:$I),IF($G$4="AUGUST 2015",SUMIF('TY Budget'!$A:$A,'Next 3-Months'!$A15,'TY Budget'!$J:$J),IF($G$4="SEPTEMBER 2015",SUMIF('TY Budget'!$A:$A,'Next 3-Months'!$A15,'TY Budget'!$K:$K),IF($G$4="OCTOBER 2015",SUMIF('TY Budget'!$A:$A,'Next 3-Months'!$A15,'TY Budget'!$L:$L),IF($G$4="NOVEMBER 2015",SUMIF('TY Budget'!$A:$A,'Next 3-Months'!$A15,'TY Budget'!$M:$M),IF($G$4="DECEMBER 2015",SUMIF('TY Budget'!$A:$A,'Next 3-Months'!$A15,'TY Budget'!$N:$N),IF($G$4="JANUARY 2016",SUMIF('TY Budget'!$A:$A,'Next 3-Months'!$A15,'TY Budget'!$Q:$Q),IF($G$4="FEBRUARY 2016",SUMIF('TY Budget'!$A:$A,'Next 3-Months'!$A15,'TY Budget'!$R:$R),IF($G$4="MARCH 2016",SUMIF('TY Budget'!$A:$A,'Next 3-Months'!$A15,'TY Budget'!$S:$S),0))))))))))))))</f>
        <v>10994000</v>
      </c>
      <c r="I15" s="31">
        <f>IF($G$4="FEBRUARY 2015",SUMIF('TY Budget'!$A:$A,'Next 3-Months'!$A15,'LY Actual'!$D:$D),IF($G$4="MARCH 2015",SUMIF('TY Budget'!$A:$A,'Next 3-Months'!$A15,'LY Actual'!$E:$E),IF($G$4="APRIL 2015",SUMIF('TY Budget'!$A:$A,'Next 3-Months'!$A15,'LY Actual'!$F:$F),IF($G$4="MAY 2015",SUMIF('TY Budget'!$A:$A,'Next 3-Months'!$A15,'LY Actual'!$G:$G),IF($G$4="JUNE 2015",SUMIF('TY Budget'!$A:$A,'Next 3-Months'!$A15,'LY Actual'!$H:$H),IF($G$4="JULY 2015",SUMIF('TY Budget'!$A:$A,'Next 3-Months'!$A15,'LY Actual'!$I:$I),IF($G$4="AUGUST 2015",SUMIF('TY Budget'!$A:$A,'Next 3-Months'!$A15,'LY Actual'!$J:$J),IF($G$4="SEPTEMBER 2015",SUMIF('TY Budget'!$A:$A,'Next 3-Months'!$A15,'LY Actual'!$K:$K),IF($G$4="OCTOBER 2015",SUMIF('TY Budget'!$A:$A,'Next 3-Months'!$A15,'LY Actual'!$L:$L),IF($G$4="NOVEMBER 2015",SUMIF('TY Budget'!$A:$A,'Next 3-Months'!$A15,'LY Actual'!$M:$M),IF($G$4="DECEMBER 2015",SUMIF('TY Budget'!$A:$A,'Next 3-Months'!$A15,'LY Actual'!$N:$N),IF($G$4="JANUARY 2016",SUMIF('TY Budget'!$A:$A,'Next 3-Months'!$A15,'LY Actual'!$Q:$Q),IF($G$4="FEBRUARY 2016",SUMIF('TY Budget'!$A:$A,'Next 3-Months'!$A15,'LY Actual'!$R:$R),IF($G$4="MARCH 2016",SUMIF('TY Budget'!$A:$A,'Next 3-Months'!$A15,'LY Actual'!$S:$S),0))))))))))))))</f>
        <v>9498881.4499999993</v>
      </c>
      <c r="J15" s="28"/>
      <c r="K15" s="31">
        <f>IF($K$4="FEBRUARY 2015",SUMIF('TY Actual-Forecast'!$A:$A,'Next 3-Months'!$A15,'TY Actual-Forecast'!$D:$D),IF($K$4="MARCH 2015",SUMIF('TY Actual-Forecast'!$A:$A,'Next 3-Months'!$A15,'TY Actual-Forecast'!$E:$E),IF($K$4="APRIL 2015",SUMIF('TY Actual-Forecast'!$A:$A,'Next 3-Months'!$A15,'TY Actual-Forecast'!$F:$F),IF($K$4="MAY 2015",SUMIF('TY Actual-Forecast'!$A:$A,'Next 3-Months'!$A15,'TY Actual-Forecast'!$G:$G),IF($K$4="JUNE 2015",SUMIF('TY Actual-Forecast'!$A:$A,'Next 3-Months'!$A15,'TY Actual-Forecast'!$H:$H),IF($K$4="JULY 2015",SUMIF('TY Actual-Forecast'!$A:$A,'Next 3-Months'!$A15,'TY Actual-Forecast'!$I:$I),IF($K$4="AUGUST 2015",SUMIF('TY Actual-Forecast'!$A:$A,'Next 3-Months'!$A15,'TY Actual-Forecast'!$J:$J),IF($K$4="SEPTEMBER 2015",SUMIF('TY Actual-Forecast'!$A:$A,'Next 3-Months'!$A15,'TY Actual-Forecast'!$K:$K),IF($K$4="OCTOBER 2015",SUMIF('TY Actual-Forecast'!$A:$A,'Next 3-Months'!$A15,'TY Actual-Forecast'!$L:$L),IF($K$4="NOVEMBER 2015",SUMIF('TY Actual-Forecast'!$A:$A,'Next 3-Months'!$A15,'TY Actual-Forecast'!$M:$M),IF($K$4="DECEMBER 2015",SUMIF('TY Actual-Forecast'!$A:$A,'Next 3-Months'!$A15,'TY Actual-Forecast'!$N:$N),IF($K$4="JANUARY 2016",SUMIF('TY Actual-Forecast'!$A:$A,'Next 3-Months'!$A15,'TY Actual-Forecast'!$Q:$Q),IF($K$4="FEBRUARY 2016",SUMIF('TY Actual-Forecast'!$A:$A,'Next 3-Months'!$A15,'TY Actual-Forecast'!$R:$R),IF($K$4="MARCH 2016",SUMIF('TY Actual-Forecast'!$A:$A,'Next 3-Months'!$A15,'TY Actual-Forecast'!$S:$S),0))))))))))))))</f>
        <v>10440325.580344992</v>
      </c>
      <c r="L15" s="31">
        <f>IF($K$4="FEBRUARY 2015",SUMIF('TY Budget'!$A:$A,'Next 3-Months'!$A15,'TY Budget'!$D:$D),IF($K$4="MARCH 2015",SUMIF('TY Budget'!$A:$A,'Next 3-Months'!$A15,'TY Budget'!$E:$E),IF($K$4="APRIL 2015",SUMIF('TY Budget'!$A:$A,'Next 3-Months'!$A15,'TY Budget'!$F:$F),IF($K$4="MAY 2015",SUMIF('TY Budget'!$A:$A,'Next 3-Months'!$A15,'TY Budget'!$G:$G),IF($K$4="JUNE 2015",SUMIF('TY Budget'!$A:$A,'Next 3-Months'!$A15,'TY Budget'!$H:$H),IF($K$4="JULY 2015",SUMIF('TY Budget'!$A:$A,'Next 3-Months'!$A15,'TY Budget'!$I:$I),IF($K$4="AUGUST 2015",SUMIF('TY Budget'!$A:$A,'Next 3-Months'!$A15,'TY Budget'!$J:$J),IF($K$4="SEPTEMBER 2015",SUMIF('TY Budget'!$A:$A,'Next 3-Months'!$A15,'TY Budget'!$K:$K),IF($K$4="OCTOBER 2015",SUMIF('TY Budget'!$A:$A,'Next 3-Months'!$A15,'TY Budget'!$L:$L),IF($K$4="NOVEMBER 2015",SUMIF('TY Budget'!$A:$A,'Next 3-Months'!$A15,'TY Budget'!$M:$M),IF($K$4="DECEMBER 2015",SUMIF('TY Budget'!$A:$A,'Next 3-Months'!$A15,'TY Budget'!$N:$N),IF($K$4="JANUARY 2016",SUMIF('TY Budget'!$A:$A,'Next 3-Months'!$A15,'TY Budget'!$Q:$Q),IF($K$4="FEBRUARY 2016",SUMIF('TY Budget'!$A:$A,'Next 3-Months'!$A15,'TY Budget'!$R:$R),IF($K$4="MARCH 2016",SUMIF('TY Budget'!$A:$A,'Next 3-Months'!$A15,'TY Budget'!$S:$S),0))))))))))))))</f>
        <v>11732400</v>
      </c>
      <c r="M15" s="31">
        <f>IF($K$4="FEBRUARY 2015",SUMIF('TY Budget'!$A:$A,'Next 3-Months'!$A15,'LY Actual'!$D:$D),IF($K$4="MARCH 2015",SUMIF('TY Budget'!$A:$A,'Next 3-Months'!$A15,'LY Actual'!$E:$E),IF($K$4="APRIL 2015",SUMIF('TY Budget'!$A:$A,'Next 3-Months'!$A15,'LY Actual'!$F:$F),IF($K$4="MAY 2015",SUMIF('TY Budget'!$A:$A,'Next 3-Months'!$A15,'LY Actual'!$G:$G),IF($K$4="JUNE 2015",SUMIF('TY Budget'!$A:$A,'Next 3-Months'!$A15,'LY Actual'!$H:$H),IF($K$4="JULY 2015",SUMIF('TY Budget'!$A:$A,'Next 3-Months'!$A15,'LY Actual'!$I:$I),IF($K$4="AUGUST 2015",SUMIF('TY Budget'!$A:$A,'Next 3-Months'!$A15,'LY Actual'!$J:$J),IF($K$4="SEPTEMBER 2015",SUMIF('TY Budget'!$A:$A,'Next 3-Months'!$A15,'LY Actual'!$K:$K),IF($K$4="OCTOBER 2015",SUMIF('TY Budget'!$A:$A,'Next 3-Months'!$A15,'LY Actual'!$L:$L),IF($K$4="NOVEMBER 2015",SUMIF('TY Budget'!$A:$A,'Next 3-Months'!$A15,'LY Actual'!$M:$M),IF($K$4="DECEMBER 2015",SUMIF('TY Budget'!$A:$A,'Next 3-Months'!$A15,'LY Actual'!$N:$N),IF($K$4="JANUARY 2016",SUMIF('TY Budget'!$A:$A,'Next 3-Months'!$A15,'LY Actual'!$Q:$Q),IF($K$4="FEBRUARY 2016",SUMIF('TY Budget'!$A:$A,'Next 3-Months'!$A15,'LY Actual'!$R:$R),IF($K$4="MARCH 2016",SUMIF('TY Budget'!$A:$A,'Next 3-Months'!$A15,'LY Actual'!$S:$S),0))))))))))))))</f>
        <v>9337140.9499999993</v>
      </c>
      <c r="O15" s="31">
        <f t="shared" si="2"/>
        <v>-2305750.419657588</v>
      </c>
      <c r="P15" s="31">
        <f t="shared" si="3"/>
        <v>3118481.900342416</v>
      </c>
    </row>
    <row r="16" spans="1:16" ht="15.75" customHeight="1">
      <c r="A16" s="30" t="s">
        <v>184</v>
      </c>
      <c r="B16" s="30"/>
      <c r="C16" s="31">
        <f>IF($C$4="FEBRUARY 2015",SUMIF('TY Actual-Forecast'!$A:$A,'Next 3-Months'!A16,'TY Actual-Forecast'!$D:$D),IF($C$4="MARCH 2015",SUMIF('TY Actual-Forecast'!$A:$A,'Next 3-Months'!A16,'TY Actual-Forecast'!$E:$E),IF($C$4="APRIL 2015",SUMIF('TY Actual-Forecast'!$A:$A,'Next 3-Months'!A16,'TY Actual-Forecast'!$F:$F),IF($C$4="MAY 2015",SUMIF('TY Actual-Forecast'!$A:$A,'Next 3-Months'!A16,'TY Actual-Forecast'!$G:$G),IF($C$4="JUNE 2015",SUMIF('TY Actual-Forecast'!$A:$A,'Next 3-Months'!A16,'TY Actual-Forecast'!$H:$H),IF($C$4="JULY 2015",SUMIF('TY Actual-Forecast'!$A:$A,'Next 3-Months'!A16,'TY Actual-Forecast'!$I:$I),IF($C$4="AUGUST 2015",SUMIF('TY Actual-Forecast'!$A:$A,'Next 3-Months'!A16,'TY Actual-Forecast'!$J:$J),IF($C$4="SEPTEMBER 2015",SUMIF('TY Actual-Forecast'!$A:$A,'Next 3-Months'!A16,'TY Actual-Forecast'!$K:$K),IF($C$4="OCTOBER 2015",SUMIF('TY Actual-Forecast'!$A:$A,'Next 3-Months'!A16,'TY Actual-Forecast'!$L:$L),IF($C$4="NOVEMBER 2015",SUMIF('TY Actual-Forecast'!$A:$A,'Next 3-Months'!A16,'TY Actual-Forecast'!$M:$M),IF($C$4="DECEMBER 2015",SUMIF('TY Actual-Forecast'!$A:$A,'Next 3-Months'!A16,'TY Actual-Forecast'!$N:$N),IF($C$4="JANUARY 2016",SUMIF('TY Actual-Forecast'!$A:$A,'Next 3-Months'!A16,'TY Actual-Forecast'!$Q:$Q),IF($C$4="FEBRUARY 2016",SUMIF('TY Actual-Forecast'!$A:$A,'Next 3-Months'!A16,'TY Actual-Forecast'!$R:$R),IF($C$4="MARCH 2016",SUMIF('TY Actual-Forecast'!$A:$A,'Next 3-Months'!A16,'TY Actual-Forecast'!$S:$S),0))))))))))))))</f>
        <v>9937768.883078821</v>
      </c>
      <c r="D16" s="31">
        <f>IF($C$4="FEBRUARY 2015",SUMIF('TY Budget'!$A:$A,'Next 3-Months'!$A16,'TY Budget'!$D:$D),IF($C$4="MARCH 2015",SUMIF('TY Budget'!$A:$A,'Next 3-Months'!$A16,'TY Budget'!$E:$E),IF($C$4="APRIL 2015",SUMIF('TY Budget'!$A:$A,'Next 3-Months'!$A16,'TY Budget'!$F:$F),IF($C$4="MAY 2015",SUMIF('TY Budget'!$A:$A,'Next 3-Months'!$A16,'TY Budget'!$G:$G),IF($C$4="JUNE 2015",SUMIF('TY Budget'!$A:$A,'Next 3-Months'!$A16,'TY Budget'!$H:$H),IF($C$4="JULY 2015",SUMIF('TY Budget'!$A:$A,'Next 3-Months'!$A16,'TY Budget'!$I:$I),IF($C$4="AUGUST 2015",SUMIF('TY Budget'!$A:$A,'Next 3-Months'!$A16,'TY Budget'!$J:$J),IF($C$4="SEPTEMBER 2015",SUMIF('TY Budget'!$A:$A,'Next 3-Months'!$A16,'TY Budget'!$K:$K),IF($C$4="OCTOBER 2015",SUMIF('TY Budget'!$A:$A,'Next 3-Months'!$A16,'TY Budget'!$L:$L),IF($C$4="NOVEMBER 2015",SUMIF('TY Budget'!$A:$A,'Next 3-Months'!$A16,'TY Budget'!$M:$M),IF($C$4="DECEMBER 2015",SUMIF('TY Budget'!$A:$A,'Next 3-Months'!$A16,'TY Budget'!$N:$N),IF($C$4="JANUARY 2016",SUMIF('TY Budget'!$A:$A,'Next 3-Months'!$A16,'TY Budget'!$Q:$Q),IF($C$4="FEBRUARY 2016",SUMIF('TY Budget'!$A:$A,'Next 3-Months'!$A16,'TY Budget'!$R:$R),IF($C$4="MARCH 2016",SUMIF('TY Budget'!$A:$A,'Next 3-Months'!$A16,'TY Budget'!$S:$S),0))))))))))))))</f>
        <v>11184000</v>
      </c>
      <c r="E16" s="31">
        <f>IF($C$4="FEBRUARY 2015",SUMIF('TY Budget'!$A:$A,'Next 3-Months'!$A16,'LY Actual'!$D:$D),IF($C$4="MARCH 2015",SUMIF('TY Budget'!$A:$A,'Next 3-Months'!$A16,'LY Actual'!$E:$E),IF($C$4="APRIL 2015",SUMIF('TY Budget'!$A:$A,'Next 3-Months'!$A16,'LY Actual'!$F:$F),IF($C$4="MAY 2015",SUMIF('TY Budget'!$A:$A,'Next 3-Months'!$A16,'LY Actual'!$G:$G),IF($C$4="JUNE 2015",SUMIF('TY Budget'!$A:$A,'Next 3-Months'!$A16,'LY Actual'!$H:$H),IF($C$4="JULY 2015",SUMIF('TY Budget'!$A:$A,'Next 3-Months'!$A16,'LY Actual'!$I:$I),IF($C$4="AUGUST 2015",SUMIF('TY Budget'!$A:$A,'Next 3-Months'!$A16,'LY Actual'!$J:$J),IF($C$4="SEPTEMBER 2015",SUMIF('TY Budget'!$A:$A,'Next 3-Months'!$A16,'LY Actual'!$K:$K),IF($C$4="OCTOBER 2015",SUMIF('TY Budget'!$A:$A,'Next 3-Months'!$A16,'LY Actual'!$L:$L),IF($C$4="NOVEMBER 2015",SUMIF('TY Budget'!$A:$A,'Next 3-Months'!$A16,'LY Actual'!$M:$M),IF($C$4="DECEMBER 2015",SUMIF('TY Budget'!$A:$A,'Next 3-Months'!$A16,'LY Actual'!$N:$N),IF($C$4="JANUARY 2016",SUMIF('TY Budget'!$A:$A,'Next 3-Months'!$A16,'LY Actual'!$Q:$Q),IF($C$4="FEBRUARY 2016",SUMIF('TY Budget'!$A:$A,'Next 3-Months'!$A16,'LY Actual'!$R:$R),IF($C$4="MARCH 2016",SUMIF('TY Budget'!$A:$A,'Next 3-Months'!$A16,'LY Actual'!$S:$S),0))))))))))))))</f>
        <v>8691707.8000000007</v>
      </c>
      <c r="F16" s="27"/>
      <c r="G16" s="31">
        <f>IF($G$4="FEBRUARY 2015",SUMIF('TY Actual-Forecast'!$A:$A,'Next 3-Months'!$A16,'TY Actual-Forecast'!$D:$D),IF($G$4="MARCH 2015",SUMIF('TY Actual-Forecast'!$A:$A,'Next 3-Months'!$A16,'TY Actual-Forecast'!$E:$E),IF($G$4="APRIL 2015",SUMIF('TY Actual-Forecast'!$A:$A,'Next 3-Months'!$A16,'TY Actual-Forecast'!$F:$F),IF($G$4="MAY 2015",SUMIF('TY Actual-Forecast'!$A:$A,'Next 3-Months'!$A16,'TY Actual-Forecast'!$G:$G),IF($G$4="JUNE 2015",SUMIF('TY Actual-Forecast'!$A:$A,'Next 3-Months'!$A16,'TY Actual-Forecast'!$H:$H),IF($G$4="JULY 2015",SUMIF('TY Actual-Forecast'!$A:$A,'Next 3-Months'!$A16,'TY Actual-Forecast'!$I:$I),IF($G$4="AUGUST 2015",SUMIF('TY Actual-Forecast'!$A:$A,'Next 3-Months'!$A16,'TY Actual-Forecast'!$J:$J),IF($G$4="SEPTEMBER 2015",SUMIF('TY Actual-Forecast'!$A:$A,'Next 3-Months'!$A16,'TY Actual-Forecast'!$K:$K),IF($G$4="OCTOBER 2015",SUMIF('TY Actual-Forecast'!$A:$A,'Next 3-Months'!$A16,'TY Actual-Forecast'!$L:$L),IF($G$4="NOVEMBER 2015",SUMIF('TY Actual-Forecast'!$A:$A,'Next 3-Months'!$A16,'TY Actual-Forecast'!$M:$M),IF($G$4="DECEMBER 2015",SUMIF('TY Actual-Forecast'!$A:$A,'Next 3-Months'!$A16,'TY Actual-Forecast'!$N:$N),IF($G$4="JANUARY 2016",SUMIF('TY Actual-Forecast'!$A:$A,'Next 3-Months'!$A16,'TY Actual-Forecast'!$Q:$Q),IF($G$4="FEBRUARY 2016",SUMIF('TY Actual-Forecast'!$A:$A,'Next 3-Months'!$A16,'TY Actual-Forecast'!$R:$R),IF($G$4="MARCH 2016",SUMIF('TY Actual-Forecast'!$A:$A,'Next 3-Months'!$A16,'TY Actual-Forecast'!$S:$S),0))))))))))))))</f>
        <v>7818215.7427271688</v>
      </c>
      <c r="H16" s="31">
        <f>IF($G$4="FEBRUARY 2015",SUMIF('TY Budget'!$A:$A,'Next 3-Months'!$A16,'TY Budget'!$D:$D),IF($G$4="MARCH 2015",SUMIF('TY Budget'!$A:$A,'Next 3-Months'!$A16,'TY Budget'!$E:$E),IF($G$4="APRIL 2015",SUMIF('TY Budget'!$A:$A,'Next 3-Months'!$A16,'TY Budget'!$F:$F),IF($G$4="MAY 2015",SUMIF('TY Budget'!$A:$A,'Next 3-Months'!$A16,'TY Budget'!$G:$G),IF($G$4="JUNE 2015",SUMIF('TY Budget'!$A:$A,'Next 3-Months'!$A16,'TY Budget'!$H:$H),IF($G$4="JULY 2015",SUMIF('TY Budget'!$A:$A,'Next 3-Months'!$A16,'TY Budget'!$I:$I),IF($G$4="AUGUST 2015",SUMIF('TY Budget'!$A:$A,'Next 3-Months'!$A16,'TY Budget'!$J:$J),IF($G$4="SEPTEMBER 2015",SUMIF('TY Budget'!$A:$A,'Next 3-Months'!$A16,'TY Budget'!$K:$K),IF($G$4="OCTOBER 2015",SUMIF('TY Budget'!$A:$A,'Next 3-Months'!$A16,'TY Budget'!$L:$L),IF($G$4="NOVEMBER 2015",SUMIF('TY Budget'!$A:$A,'Next 3-Months'!$A16,'TY Budget'!$M:$M),IF($G$4="DECEMBER 2015",SUMIF('TY Budget'!$A:$A,'Next 3-Months'!$A16,'TY Budget'!$N:$N),IF($G$4="JANUARY 2016",SUMIF('TY Budget'!$A:$A,'Next 3-Months'!$A16,'TY Budget'!$Q:$Q),IF($G$4="FEBRUARY 2016",SUMIF('TY Budget'!$A:$A,'Next 3-Months'!$A16,'TY Budget'!$R:$R),IF($G$4="MARCH 2016",SUMIF('TY Budget'!$A:$A,'Next 3-Months'!$A16,'TY Budget'!$S:$S),0))))))))))))))</f>
        <v>9862000</v>
      </c>
      <c r="I16" s="31">
        <f>IF($G$4="FEBRUARY 2015",SUMIF('TY Budget'!$A:$A,'Next 3-Months'!$A16,'LY Actual'!$D:$D),IF($G$4="MARCH 2015",SUMIF('TY Budget'!$A:$A,'Next 3-Months'!$A16,'LY Actual'!$E:$E),IF($G$4="APRIL 2015",SUMIF('TY Budget'!$A:$A,'Next 3-Months'!$A16,'LY Actual'!$F:$F),IF($G$4="MAY 2015",SUMIF('TY Budget'!$A:$A,'Next 3-Months'!$A16,'LY Actual'!$G:$G),IF($G$4="JUNE 2015",SUMIF('TY Budget'!$A:$A,'Next 3-Months'!$A16,'LY Actual'!$H:$H),IF($G$4="JULY 2015",SUMIF('TY Budget'!$A:$A,'Next 3-Months'!$A16,'LY Actual'!$I:$I),IF($G$4="AUGUST 2015",SUMIF('TY Budget'!$A:$A,'Next 3-Months'!$A16,'LY Actual'!$J:$J),IF($G$4="SEPTEMBER 2015",SUMIF('TY Budget'!$A:$A,'Next 3-Months'!$A16,'LY Actual'!$K:$K),IF($G$4="OCTOBER 2015",SUMIF('TY Budget'!$A:$A,'Next 3-Months'!$A16,'LY Actual'!$L:$L),IF($G$4="NOVEMBER 2015",SUMIF('TY Budget'!$A:$A,'Next 3-Months'!$A16,'LY Actual'!$M:$M),IF($G$4="DECEMBER 2015",SUMIF('TY Budget'!$A:$A,'Next 3-Months'!$A16,'LY Actual'!$N:$N),IF($G$4="JANUARY 2016",SUMIF('TY Budget'!$A:$A,'Next 3-Months'!$A16,'LY Actual'!$Q:$Q),IF($G$4="FEBRUARY 2016",SUMIF('TY Budget'!$A:$A,'Next 3-Months'!$A16,'LY Actual'!$R:$R),IF($G$4="MARCH 2016",SUMIF('TY Budget'!$A:$A,'Next 3-Months'!$A16,'LY Actual'!$S:$S),0))))))))))))))</f>
        <v>7840635.6400000006</v>
      </c>
      <c r="J16" s="28"/>
      <c r="K16" s="31">
        <f>IF($K$4="FEBRUARY 2015",SUMIF('TY Actual-Forecast'!$A:$A,'Next 3-Months'!$A16,'TY Actual-Forecast'!$D:$D),IF($K$4="MARCH 2015",SUMIF('TY Actual-Forecast'!$A:$A,'Next 3-Months'!$A16,'TY Actual-Forecast'!$E:$E),IF($K$4="APRIL 2015",SUMIF('TY Actual-Forecast'!$A:$A,'Next 3-Months'!$A16,'TY Actual-Forecast'!$F:$F),IF($K$4="MAY 2015",SUMIF('TY Actual-Forecast'!$A:$A,'Next 3-Months'!$A16,'TY Actual-Forecast'!$G:$G),IF($K$4="JUNE 2015",SUMIF('TY Actual-Forecast'!$A:$A,'Next 3-Months'!$A16,'TY Actual-Forecast'!$H:$H),IF($K$4="JULY 2015",SUMIF('TY Actual-Forecast'!$A:$A,'Next 3-Months'!$A16,'TY Actual-Forecast'!$I:$I),IF($K$4="AUGUST 2015",SUMIF('TY Actual-Forecast'!$A:$A,'Next 3-Months'!$A16,'TY Actual-Forecast'!$J:$J),IF($K$4="SEPTEMBER 2015",SUMIF('TY Actual-Forecast'!$A:$A,'Next 3-Months'!$A16,'TY Actual-Forecast'!$K:$K),IF($K$4="OCTOBER 2015",SUMIF('TY Actual-Forecast'!$A:$A,'Next 3-Months'!$A16,'TY Actual-Forecast'!$L:$L),IF($K$4="NOVEMBER 2015",SUMIF('TY Actual-Forecast'!$A:$A,'Next 3-Months'!$A16,'TY Actual-Forecast'!$M:$M),IF($K$4="DECEMBER 2015",SUMIF('TY Actual-Forecast'!$A:$A,'Next 3-Months'!$A16,'TY Actual-Forecast'!$N:$N),IF($K$4="JANUARY 2016",SUMIF('TY Actual-Forecast'!$A:$A,'Next 3-Months'!$A16,'TY Actual-Forecast'!$Q:$Q),IF($K$4="FEBRUARY 2016",SUMIF('TY Actual-Forecast'!$A:$A,'Next 3-Months'!$A16,'TY Actual-Forecast'!$R:$R),IF($K$4="MARCH 2016",SUMIF('TY Actual-Forecast'!$A:$A,'Next 3-Months'!$A16,'TY Actual-Forecast'!$S:$S),0))))))))))))))</f>
        <v>8188334.2879712572</v>
      </c>
      <c r="L16" s="31">
        <f>IF($K$4="FEBRUARY 2015",SUMIF('TY Budget'!$A:$A,'Next 3-Months'!$A16,'TY Budget'!$D:$D),IF($K$4="MARCH 2015",SUMIF('TY Budget'!$A:$A,'Next 3-Months'!$A16,'TY Budget'!$E:$E),IF($K$4="APRIL 2015",SUMIF('TY Budget'!$A:$A,'Next 3-Months'!$A16,'TY Budget'!$F:$F),IF($K$4="MAY 2015",SUMIF('TY Budget'!$A:$A,'Next 3-Months'!$A16,'TY Budget'!$G:$G),IF($K$4="JUNE 2015",SUMIF('TY Budget'!$A:$A,'Next 3-Months'!$A16,'TY Budget'!$H:$H),IF($K$4="JULY 2015",SUMIF('TY Budget'!$A:$A,'Next 3-Months'!$A16,'TY Budget'!$I:$I),IF($K$4="AUGUST 2015",SUMIF('TY Budget'!$A:$A,'Next 3-Months'!$A16,'TY Budget'!$J:$J),IF($K$4="SEPTEMBER 2015",SUMIF('TY Budget'!$A:$A,'Next 3-Months'!$A16,'TY Budget'!$K:$K),IF($K$4="OCTOBER 2015",SUMIF('TY Budget'!$A:$A,'Next 3-Months'!$A16,'TY Budget'!$L:$L),IF($K$4="NOVEMBER 2015",SUMIF('TY Budget'!$A:$A,'Next 3-Months'!$A16,'TY Budget'!$M:$M),IF($K$4="DECEMBER 2015",SUMIF('TY Budget'!$A:$A,'Next 3-Months'!$A16,'TY Budget'!$N:$N),IF($K$4="JANUARY 2016",SUMIF('TY Budget'!$A:$A,'Next 3-Months'!$A16,'TY Budget'!$Q:$Q),IF($K$4="FEBRUARY 2016",SUMIF('TY Budget'!$A:$A,'Next 3-Months'!$A16,'TY Budget'!$R:$R),IF($K$4="MARCH 2016",SUMIF('TY Budget'!$A:$A,'Next 3-Months'!$A16,'TY Budget'!$S:$S),0))))))))))))))</f>
        <v>10316400</v>
      </c>
      <c r="M16" s="31">
        <f>IF($K$4="FEBRUARY 2015",SUMIF('TY Budget'!$A:$A,'Next 3-Months'!$A16,'LY Actual'!$D:$D),IF($K$4="MARCH 2015",SUMIF('TY Budget'!$A:$A,'Next 3-Months'!$A16,'LY Actual'!$E:$E),IF($K$4="APRIL 2015",SUMIF('TY Budget'!$A:$A,'Next 3-Months'!$A16,'LY Actual'!$F:$F),IF($K$4="MAY 2015",SUMIF('TY Budget'!$A:$A,'Next 3-Months'!$A16,'LY Actual'!$G:$G),IF($K$4="JUNE 2015",SUMIF('TY Budget'!$A:$A,'Next 3-Months'!$A16,'LY Actual'!$H:$H),IF($K$4="JULY 2015",SUMIF('TY Budget'!$A:$A,'Next 3-Months'!$A16,'LY Actual'!$I:$I),IF($K$4="AUGUST 2015",SUMIF('TY Budget'!$A:$A,'Next 3-Months'!$A16,'LY Actual'!$J:$J),IF($K$4="SEPTEMBER 2015",SUMIF('TY Budget'!$A:$A,'Next 3-Months'!$A16,'LY Actual'!$K:$K),IF($K$4="OCTOBER 2015",SUMIF('TY Budget'!$A:$A,'Next 3-Months'!$A16,'LY Actual'!$L:$L),IF($K$4="NOVEMBER 2015",SUMIF('TY Budget'!$A:$A,'Next 3-Months'!$A16,'LY Actual'!$M:$M),IF($K$4="DECEMBER 2015",SUMIF('TY Budget'!$A:$A,'Next 3-Months'!$A16,'LY Actual'!$N:$N),IF($K$4="JANUARY 2016",SUMIF('TY Budget'!$A:$A,'Next 3-Months'!$A16,'LY Actual'!$Q:$Q),IF($K$4="FEBRUARY 2016",SUMIF('TY Budget'!$A:$A,'Next 3-Months'!$A16,'LY Actual'!$R:$R),IF($K$4="MARCH 2016",SUMIF('TY Budget'!$A:$A,'Next 3-Months'!$A16,'LY Actual'!$S:$S),0))))))))))))))</f>
        <v>9888973.7600000016</v>
      </c>
      <c r="O16" s="31">
        <f t="shared" si="2"/>
        <v>-5418081.0862227529</v>
      </c>
      <c r="P16" s="31">
        <f t="shared" si="3"/>
        <v>-476998.28622275591</v>
      </c>
    </row>
    <row r="17" spans="1:16" ht="15.75" customHeight="1">
      <c r="A17" s="30" t="s">
        <v>250</v>
      </c>
      <c r="B17" s="30"/>
      <c r="C17" s="31">
        <f>IF($C$4="FEBRUARY 2015",SUMIF('TY Actual-Forecast'!$A:$A,'Next 3-Months'!A17,'TY Actual-Forecast'!$D:$D),IF($C$4="MARCH 2015",SUMIF('TY Actual-Forecast'!$A:$A,'Next 3-Months'!A17,'TY Actual-Forecast'!$E:$E),IF($C$4="APRIL 2015",SUMIF('TY Actual-Forecast'!$A:$A,'Next 3-Months'!A17,'TY Actual-Forecast'!$F:$F),IF($C$4="MAY 2015",SUMIF('TY Actual-Forecast'!$A:$A,'Next 3-Months'!A17,'TY Actual-Forecast'!$G:$G),IF($C$4="JUNE 2015",SUMIF('TY Actual-Forecast'!$A:$A,'Next 3-Months'!A17,'TY Actual-Forecast'!$H:$H),IF($C$4="JULY 2015",SUMIF('TY Actual-Forecast'!$A:$A,'Next 3-Months'!A17,'TY Actual-Forecast'!$I:$I),IF($C$4="AUGUST 2015",SUMIF('TY Actual-Forecast'!$A:$A,'Next 3-Months'!A17,'TY Actual-Forecast'!$J:$J),IF($C$4="SEPTEMBER 2015",SUMIF('TY Actual-Forecast'!$A:$A,'Next 3-Months'!A17,'TY Actual-Forecast'!$K:$K),IF($C$4="OCTOBER 2015",SUMIF('TY Actual-Forecast'!$A:$A,'Next 3-Months'!A17,'TY Actual-Forecast'!$L:$L),IF($C$4="NOVEMBER 2015",SUMIF('TY Actual-Forecast'!$A:$A,'Next 3-Months'!A17,'TY Actual-Forecast'!$M:$M),IF($C$4="DECEMBER 2015",SUMIF('TY Actual-Forecast'!$A:$A,'Next 3-Months'!A17,'TY Actual-Forecast'!$N:$N),IF($C$4="JANUARY 2016",SUMIF('TY Actual-Forecast'!$A:$A,'Next 3-Months'!A17,'TY Actual-Forecast'!$Q:$Q),IF($C$4="FEBRUARY 2016",SUMIF('TY Actual-Forecast'!$A:$A,'Next 3-Months'!A17,'TY Actual-Forecast'!$R:$R),IF($C$4="MARCH 2016",SUMIF('TY Actual-Forecast'!$A:$A,'Next 3-Months'!A17,'TY Actual-Forecast'!$S:$S),0))))))))))))))</f>
        <v>1040000</v>
      </c>
      <c r="D17" s="31">
        <f>IF($C$4="FEBRUARY 2015",SUMIF('TY Budget'!$A:$A,'Next 3-Months'!$A17,'TY Budget'!$D:$D),IF($C$4="MARCH 2015",SUMIF('TY Budget'!$A:$A,'Next 3-Months'!$A17,'TY Budget'!$E:$E),IF($C$4="APRIL 2015",SUMIF('TY Budget'!$A:$A,'Next 3-Months'!$A17,'TY Budget'!$F:$F),IF($C$4="MAY 2015",SUMIF('TY Budget'!$A:$A,'Next 3-Months'!$A17,'TY Budget'!$G:$G),IF($C$4="JUNE 2015",SUMIF('TY Budget'!$A:$A,'Next 3-Months'!$A17,'TY Budget'!$H:$H),IF($C$4="JULY 2015",SUMIF('TY Budget'!$A:$A,'Next 3-Months'!$A17,'TY Budget'!$I:$I),IF($C$4="AUGUST 2015",SUMIF('TY Budget'!$A:$A,'Next 3-Months'!$A17,'TY Budget'!$J:$J),IF($C$4="SEPTEMBER 2015",SUMIF('TY Budget'!$A:$A,'Next 3-Months'!$A17,'TY Budget'!$K:$K),IF($C$4="OCTOBER 2015",SUMIF('TY Budget'!$A:$A,'Next 3-Months'!$A17,'TY Budget'!$L:$L),IF($C$4="NOVEMBER 2015",SUMIF('TY Budget'!$A:$A,'Next 3-Months'!$A17,'TY Budget'!$M:$M),IF($C$4="DECEMBER 2015",SUMIF('TY Budget'!$A:$A,'Next 3-Months'!$A17,'TY Budget'!$N:$N),IF($C$4="JANUARY 2016",SUMIF('TY Budget'!$A:$A,'Next 3-Months'!$A17,'TY Budget'!$Q:$Q),IF($C$4="FEBRUARY 2016",SUMIF('TY Budget'!$A:$A,'Next 3-Months'!$A17,'TY Budget'!$R:$R),IF($C$4="MARCH 2016",SUMIF('TY Budget'!$A:$A,'Next 3-Months'!$A17,'TY Budget'!$S:$S),0))))))))))))))</f>
        <v>1439000</v>
      </c>
      <c r="E17" s="31">
        <f>IF($C$4="FEBRUARY 2015",SUMIF('TY Budget'!$A:$A,'Next 3-Months'!$A17,'LY Actual'!$D:$D),IF($C$4="MARCH 2015",SUMIF('TY Budget'!$A:$A,'Next 3-Months'!$A17,'LY Actual'!$E:$E),IF($C$4="APRIL 2015",SUMIF('TY Budget'!$A:$A,'Next 3-Months'!$A17,'LY Actual'!$F:$F),IF($C$4="MAY 2015",SUMIF('TY Budget'!$A:$A,'Next 3-Months'!$A17,'LY Actual'!$G:$G),IF($C$4="JUNE 2015",SUMIF('TY Budget'!$A:$A,'Next 3-Months'!$A17,'LY Actual'!$H:$H),IF($C$4="JULY 2015",SUMIF('TY Budget'!$A:$A,'Next 3-Months'!$A17,'LY Actual'!$I:$I),IF($C$4="AUGUST 2015",SUMIF('TY Budget'!$A:$A,'Next 3-Months'!$A17,'LY Actual'!$J:$J),IF($C$4="SEPTEMBER 2015",SUMIF('TY Budget'!$A:$A,'Next 3-Months'!$A17,'LY Actual'!$K:$K),IF($C$4="OCTOBER 2015",SUMIF('TY Budget'!$A:$A,'Next 3-Months'!$A17,'LY Actual'!$L:$L),IF($C$4="NOVEMBER 2015",SUMIF('TY Budget'!$A:$A,'Next 3-Months'!$A17,'LY Actual'!$M:$M),IF($C$4="DECEMBER 2015",SUMIF('TY Budget'!$A:$A,'Next 3-Months'!$A17,'LY Actual'!$N:$N),IF($C$4="JANUARY 2016",SUMIF('TY Budget'!$A:$A,'Next 3-Months'!$A17,'LY Actual'!$Q:$Q),IF($C$4="FEBRUARY 2016",SUMIF('TY Budget'!$A:$A,'Next 3-Months'!$A17,'LY Actual'!$R:$R),IF($C$4="MARCH 2016",SUMIF('TY Budget'!$A:$A,'Next 3-Months'!$A17,'LY Actual'!$S:$S),0))))))))))))))</f>
        <v>1368099.28</v>
      </c>
      <c r="F17" s="27"/>
      <c r="G17" s="31">
        <f>IF($G$4="FEBRUARY 2015",SUMIF('TY Actual-Forecast'!$A:$A,'Next 3-Months'!$A17,'TY Actual-Forecast'!$D:$D),IF($G$4="MARCH 2015",SUMIF('TY Actual-Forecast'!$A:$A,'Next 3-Months'!$A17,'TY Actual-Forecast'!$E:$E),IF($G$4="APRIL 2015",SUMIF('TY Actual-Forecast'!$A:$A,'Next 3-Months'!$A17,'TY Actual-Forecast'!$F:$F),IF($G$4="MAY 2015",SUMIF('TY Actual-Forecast'!$A:$A,'Next 3-Months'!$A17,'TY Actual-Forecast'!$G:$G),IF($G$4="JUNE 2015",SUMIF('TY Actual-Forecast'!$A:$A,'Next 3-Months'!$A17,'TY Actual-Forecast'!$H:$H),IF($G$4="JULY 2015",SUMIF('TY Actual-Forecast'!$A:$A,'Next 3-Months'!$A17,'TY Actual-Forecast'!$I:$I),IF($G$4="AUGUST 2015",SUMIF('TY Actual-Forecast'!$A:$A,'Next 3-Months'!$A17,'TY Actual-Forecast'!$J:$J),IF($G$4="SEPTEMBER 2015",SUMIF('TY Actual-Forecast'!$A:$A,'Next 3-Months'!$A17,'TY Actual-Forecast'!$K:$K),IF($G$4="OCTOBER 2015",SUMIF('TY Actual-Forecast'!$A:$A,'Next 3-Months'!$A17,'TY Actual-Forecast'!$L:$L),IF($G$4="NOVEMBER 2015",SUMIF('TY Actual-Forecast'!$A:$A,'Next 3-Months'!$A17,'TY Actual-Forecast'!$M:$M),IF($G$4="DECEMBER 2015",SUMIF('TY Actual-Forecast'!$A:$A,'Next 3-Months'!$A17,'TY Actual-Forecast'!$N:$N),IF($G$4="JANUARY 2016",SUMIF('TY Actual-Forecast'!$A:$A,'Next 3-Months'!$A17,'TY Actual-Forecast'!$Q:$Q),IF($G$4="FEBRUARY 2016",SUMIF('TY Actual-Forecast'!$A:$A,'Next 3-Months'!$A17,'TY Actual-Forecast'!$R:$R),IF($G$4="MARCH 2016",SUMIF('TY Actual-Forecast'!$A:$A,'Next 3-Months'!$A17,'TY Actual-Forecast'!$S:$S),0))))))))))))))</f>
        <v>887000</v>
      </c>
      <c r="H17" s="31">
        <f>IF($G$4="FEBRUARY 2015",SUMIF('TY Budget'!$A:$A,'Next 3-Months'!$A17,'TY Budget'!$D:$D),IF($G$4="MARCH 2015",SUMIF('TY Budget'!$A:$A,'Next 3-Months'!$A17,'TY Budget'!$E:$E),IF($G$4="APRIL 2015",SUMIF('TY Budget'!$A:$A,'Next 3-Months'!$A17,'TY Budget'!$F:$F),IF($G$4="MAY 2015",SUMIF('TY Budget'!$A:$A,'Next 3-Months'!$A17,'TY Budget'!$G:$G),IF($G$4="JUNE 2015",SUMIF('TY Budget'!$A:$A,'Next 3-Months'!$A17,'TY Budget'!$H:$H),IF($G$4="JULY 2015",SUMIF('TY Budget'!$A:$A,'Next 3-Months'!$A17,'TY Budget'!$I:$I),IF($G$4="AUGUST 2015",SUMIF('TY Budget'!$A:$A,'Next 3-Months'!$A17,'TY Budget'!$J:$J),IF($G$4="SEPTEMBER 2015",SUMIF('TY Budget'!$A:$A,'Next 3-Months'!$A17,'TY Budget'!$K:$K),IF($G$4="OCTOBER 2015",SUMIF('TY Budget'!$A:$A,'Next 3-Months'!$A17,'TY Budget'!$L:$L),IF($G$4="NOVEMBER 2015",SUMIF('TY Budget'!$A:$A,'Next 3-Months'!$A17,'TY Budget'!$M:$M),IF($G$4="DECEMBER 2015",SUMIF('TY Budget'!$A:$A,'Next 3-Months'!$A17,'TY Budget'!$N:$N),IF($G$4="JANUARY 2016",SUMIF('TY Budget'!$A:$A,'Next 3-Months'!$A17,'TY Budget'!$Q:$Q),IF($G$4="FEBRUARY 2016",SUMIF('TY Budget'!$A:$A,'Next 3-Months'!$A17,'TY Budget'!$R:$R),IF($G$4="MARCH 2016",SUMIF('TY Budget'!$A:$A,'Next 3-Months'!$A17,'TY Budget'!$S:$S),0))))))))))))))</f>
        <v>1352000</v>
      </c>
      <c r="I17" s="31">
        <f>IF($G$4="FEBRUARY 2015",SUMIF('TY Budget'!$A:$A,'Next 3-Months'!$A17,'LY Actual'!$D:$D),IF($G$4="MARCH 2015",SUMIF('TY Budget'!$A:$A,'Next 3-Months'!$A17,'LY Actual'!$E:$E),IF($G$4="APRIL 2015",SUMIF('TY Budget'!$A:$A,'Next 3-Months'!$A17,'LY Actual'!$F:$F),IF($G$4="MAY 2015",SUMIF('TY Budget'!$A:$A,'Next 3-Months'!$A17,'LY Actual'!$G:$G),IF($G$4="JUNE 2015",SUMIF('TY Budget'!$A:$A,'Next 3-Months'!$A17,'LY Actual'!$H:$H),IF($G$4="JULY 2015",SUMIF('TY Budget'!$A:$A,'Next 3-Months'!$A17,'LY Actual'!$I:$I),IF($G$4="AUGUST 2015",SUMIF('TY Budget'!$A:$A,'Next 3-Months'!$A17,'LY Actual'!$J:$J),IF($G$4="SEPTEMBER 2015",SUMIF('TY Budget'!$A:$A,'Next 3-Months'!$A17,'LY Actual'!$K:$K),IF($G$4="OCTOBER 2015",SUMIF('TY Budget'!$A:$A,'Next 3-Months'!$A17,'LY Actual'!$L:$L),IF($G$4="NOVEMBER 2015",SUMIF('TY Budget'!$A:$A,'Next 3-Months'!$A17,'LY Actual'!$M:$M),IF($G$4="DECEMBER 2015",SUMIF('TY Budget'!$A:$A,'Next 3-Months'!$A17,'LY Actual'!$N:$N),IF($G$4="JANUARY 2016",SUMIF('TY Budget'!$A:$A,'Next 3-Months'!$A17,'LY Actual'!$Q:$Q),IF($G$4="FEBRUARY 2016",SUMIF('TY Budget'!$A:$A,'Next 3-Months'!$A17,'LY Actual'!$R:$R),IF($G$4="MARCH 2016",SUMIF('TY Budget'!$A:$A,'Next 3-Months'!$A17,'LY Actual'!$S:$S),0))))))))))))))</f>
        <v>1263765.98</v>
      </c>
      <c r="J17" s="28"/>
      <c r="K17" s="31">
        <f>IF($K$4="FEBRUARY 2015",SUMIF('TY Actual-Forecast'!$A:$A,'Next 3-Months'!$A17,'TY Actual-Forecast'!$D:$D),IF($K$4="MARCH 2015",SUMIF('TY Actual-Forecast'!$A:$A,'Next 3-Months'!$A17,'TY Actual-Forecast'!$E:$E),IF($K$4="APRIL 2015",SUMIF('TY Actual-Forecast'!$A:$A,'Next 3-Months'!$A17,'TY Actual-Forecast'!$F:$F),IF($K$4="MAY 2015",SUMIF('TY Actual-Forecast'!$A:$A,'Next 3-Months'!$A17,'TY Actual-Forecast'!$G:$G),IF($K$4="JUNE 2015",SUMIF('TY Actual-Forecast'!$A:$A,'Next 3-Months'!$A17,'TY Actual-Forecast'!$H:$H),IF($K$4="JULY 2015",SUMIF('TY Actual-Forecast'!$A:$A,'Next 3-Months'!$A17,'TY Actual-Forecast'!$I:$I),IF($K$4="AUGUST 2015",SUMIF('TY Actual-Forecast'!$A:$A,'Next 3-Months'!$A17,'TY Actual-Forecast'!$J:$J),IF($K$4="SEPTEMBER 2015",SUMIF('TY Actual-Forecast'!$A:$A,'Next 3-Months'!$A17,'TY Actual-Forecast'!$K:$K),IF($K$4="OCTOBER 2015",SUMIF('TY Actual-Forecast'!$A:$A,'Next 3-Months'!$A17,'TY Actual-Forecast'!$L:$L),IF($K$4="NOVEMBER 2015",SUMIF('TY Actual-Forecast'!$A:$A,'Next 3-Months'!$A17,'TY Actual-Forecast'!$M:$M),IF($K$4="DECEMBER 2015",SUMIF('TY Actual-Forecast'!$A:$A,'Next 3-Months'!$A17,'TY Actual-Forecast'!$N:$N),IF($K$4="JANUARY 2016",SUMIF('TY Actual-Forecast'!$A:$A,'Next 3-Months'!$A17,'TY Actual-Forecast'!$Q:$Q),IF($K$4="FEBRUARY 2016",SUMIF('TY Actual-Forecast'!$A:$A,'Next 3-Months'!$A17,'TY Actual-Forecast'!$R:$R),IF($K$4="MARCH 2016",SUMIF('TY Actual-Forecast'!$A:$A,'Next 3-Months'!$A17,'TY Actual-Forecast'!$S:$S),0))))))))))))))</f>
        <v>1243000</v>
      </c>
      <c r="L17" s="31">
        <f>IF($K$4="FEBRUARY 2015",SUMIF('TY Budget'!$A:$A,'Next 3-Months'!$A17,'TY Budget'!$D:$D),IF($K$4="MARCH 2015",SUMIF('TY Budget'!$A:$A,'Next 3-Months'!$A17,'TY Budget'!$E:$E),IF($K$4="APRIL 2015",SUMIF('TY Budget'!$A:$A,'Next 3-Months'!$A17,'TY Budget'!$F:$F),IF($K$4="MAY 2015",SUMIF('TY Budget'!$A:$A,'Next 3-Months'!$A17,'TY Budget'!$G:$G),IF($K$4="JUNE 2015",SUMIF('TY Budget'!$A:$A,'Next 3-Months'!$A17,'TY Budget'!$H:$H),IF($K$4="JULY 2015",SUMIF('TY Budget'!$A:$A,'Next 3-Months'!$A17,'TY Budget'!$I:$I),IF($K$4="AUGUST 2015",SUMIF('TY Budget'!$A:$A,'Next 3-Months'!$A17,'TY Budget'!$J:$J),IF($K$4="SEPTEMBER 2015",SUMIF('TY Budget'!$A:$A,'Next 3-Months'!$A17,'TY Budget'!$K:$K),IF($K$4="OCTOBER 2015",SUMIF('TY Budget'!$A:$A,'Next 3-Months'!$A17,'TY Budget'!$L:$L),IF($K$4="NOVEMBER 2015",SUMIF('TY Budget'!$A:$A,'Next 3-Months'!$A17,'TY Budget'!$M:$M),IF($K$4="DECEMBER 2015",SUMIF('TY Budget'!$A:$A,'Next 3-Months'!$A17,'TY Budget'!$N:$N),IF($K$4="JANUARY 2016",SUMIF('TY Budget'!$A:$A,'Next 3-Months'!$A17,'TY Budget'!$Q:$Q),IF($K$4="FEBRUARY 2016",SUMIF('TY Budget'!$A:$A,'Next 3-Months'!$A17,'TY Budget'!$R:$R),IF($K$4="MARCH 2016",SUMIF('TY Budget'!$A:$A,'Next 3-Months'!$A17,'TY Budget'!$S:$S),0))))))))))))))</f>
        <v>1543000</v>
      </c>
      <c r="M17" s="31">
        <f>IF($K$4="FEBRUARY 2015",SUMIF('TY Budget'!$A:$A,'Next 3-Months'!$A17,'LY Actual'!$D:$D),IF($K$4="MARCH 2015",SUMIF('TY Budget'!$A:$A,'Next 3-Months'!$A17,'LY Actual'!$E:$E),IF($K$4="APRIL 2015",SUMIF('TY Budget'!$A:$A,'Next 3-Months'!$A17,'LY Actual'!$F:$F),IF($K$4="MAY 2015",SUMIF('TY Budget'!$A:$A,'Next 3-Months'!$A17,'LY Actual'!$G:$G),IF($K$4="JUNE 2015",SUMIF('TY Budget'!$A:$A,'Next 3-Months'!$A17,'LY Actual'!$H:$H),IF($K$4="JULY 2015",SUMIF('TY Budget'!$A:$A,'Next 3-Months'!$A17,'LY Actual'!$I:$I),IF($K$4="AUGUST 2015",SUMIF('TY Budget'!$A:$A,'Next 3-Months'!$A17,'LY Actual'!$J:$J),IF($K$4="SEPTEMBER 2015",SUMIF('TY Budget'!$A:$A,'Next 3-Months'!$A17,'LY Actual'!$K:$K),IF($K$4="OCTOBER 2015",SUMIF('TY Budget'!$A:$A,'Next 3-Months'!$A17,'LY Actual'!$L:$L),IF($K$4="NOVEMBER 2015",SUMIF('TY Budget'!$A:$A,'Next 3-Months'!$A17,'LY Actual'!$M:$M),IF($K$4="DECEMBER 2015",SUMIF('TY Budget'!$A:$A,'Next 3-Months'!$A17,'LY Actual'!$N:$N),IF($K$4="JANUARY 2016",SUMIF('TY Budget'!$A:$A,'Next 3-Months'!$A17,'LY Actual'!$Q:$Q),IF($K$4="FEBRUARY 2016",SUMIF('TY Budget'!$A:$A,'Next 3-Months'!$A17,'LY Actual'!$R:$R),IF($K$4="MARCH 2016",SUMIF('TY Budget'!$A:$A,'Next 3-Months'!$A17,'LY Actual'!$S:$S),0))))))))))))))</f>
        <v>7407464.8599999994</v>
      </c>
      <c r="O17" s="31">
        <f t="shared" si="2"/>
        <v>-1164000</v>
      </c>
      <c r="P17" s="31">
        <f t="shared" si="3"/>
        <v>-6869330.1199999992</v>
      </c>
    </row>
    <row r="18" spans="1:16" ht="15" customHeight="1">
      <c r="A18" s="29" t="s">
        <v>251</v>
      </c>
      <c r="B18" s="30"/>
      <c r="C18" s="31">
        <f>IF($C$4="FEBRUARY 2015",SUMIF('TY Actual-Forecast'!$A:$A,'Next 3-Months'!A18,'TY Actual-Forecast'!$D:$D),IF($C$4="MARCH 2015",SUMIF('TY Actual-Forecast'!$A:$A,'Next 3-Months'!A18,'TY Actual-Forecast'!$E:$E),IF($C$4="APRIL 2015",SUMIF('TY Actual-Forecast'!$A:$A,'Next 3-Months'!A18,'TY Actual-Forecast'!$F:$F),IF($C$4="MAY 2015",SUMIF('TY Actual-Forecast'!$A:$A,'Next 3-Months'!A18,'TY Actual-Forecast'!$G:$G),IF($C$4="JUNE 2015",SUMIF('TY Actual-Forecast'!$A:$A,'Next 3-Months'!A18,'TY Actual-Forecast'!$H:$H),IF($C$4="JULY 2015",SUMIF('TY Actual-Forecast'!$A:$A,'Next 3-Months'!A18,'TY Actual-Forecast'!$I:$I),IF($C$4="AUGUST 2015",SUMIF('TY Actual-Forecast'!$A:$A,'Next 3-Months'!A18,'TY Actual-Forecast'!$J:$J),IF($C$4="SEPTEMBER 2015",SUMIF('TY Actual-Forecast'!$A:$A,'Next 3-Months'!A18,'TY Actual-Forecast'!$K:$K),IF($C$4="OCTOBER 2015",SUMIF('TY Actual-Forecast'!$A:$A,'Next 3-Months'!A18,'TY Actual-Forecast'!$L:$L),IF($C$4="NOVEMBER 2015",SUMIF('TY Actual-Forecast'!$A:$A,'Next 3-Months'!A18,'TY Actual-Forecast'!$M:$M),IF($C$4="DECEMBER 2015",SUMIF('TY Actual-Forecast'!$A:$A,'Next 3-Months'!A18,'TY Actual-Forecast'!$N:$N),IF($C$4="JANUARY 2016",SUMIF('TY Actual-Forecast'!$A:$A,'Next 3-Months'!A18,'TY Actual-Forecast'!$Q:$Q),IF($C$4="FEBRUARY 2016",SUMIF('TY Actual-Forecast'!$A:$A,'Next 3-Months'!A18,'TY Actual-Forecast'!$R:$R),IF($C$4="MARCH 2016",SUMIF('TY Actual-Forecast'!$A:$A,'Next 3-Months'!A18,'TY Actual-Forecast'!$S:$S),0))))))))))))))</f>
        <v>248000</v>
      </c>
      <c r="D18" s="31">
        <f>IF($C$4="FEBRUARY 2015",SUMIF('TY Budget'!$A:$A,'Next 3-Months'!$A18,'TY Budget'!$D:$D),IF($C$4="MARCH 2015",SUMIF('TY Budget'!$A:$A,'Next 3-Months'!$A18,'TY Budget'!$E:$E),IF($C$4="APRIL 2015",SUMIF('TY Budget'!$A:$A,'Next 3-Months'!$A18,'TY Budget'!$F:$F),IF($C$4="MAY 2015",SUMIF('TY Budget'!$A:$A,'Next 3-Months'!$A18,'TY Budget'!$G:$G),IF($C$4="JUNE 2015",SUMIF('TY Budget'!$A:$A,'Next 3-Months'!$A18,'TY Budget'!$H:$H),IF($C$4="JULY 2015",SUMIF('TY Budget'!$A:$A,'Next 3-Months'!$A18,'TY Budget'!$I:$I),IF($C$4="AUGUST 2015",SUMIF('TY Budget'!$A:$A,'Next 3-Months'!$A18,'TY Budget'!$J:$J),IF($C$4="SEPTEMBER 2015",SUMIF('TY Budget'!$A:$A,'Next 3-Months'!$A18,'TY Budget'!$K:$K),IF($C$4="OCTOBER 2015",SUMIF('TY Budget'!$A:$A,'Next 3-Months'!$A18,'TY Budget'!$L:$L),IF($C$4="NOVEMBER 2015",SUMIF('TY Budget'!$A:$A,'Next 3-Months'!$A18,'TY Budget'!$M:$M),IF($C$4="DECEMBER 2015",SUMIF('TY Budget'!$A:$A,'Next 3-Months'!$A18,'TY Budget'!$N:$N),IF($C$4="JANUARY 2016",SUMIF('TY Budget'!$A:$A,'Next 3-Months'!$A18,'TY Budget'!$Q:$Q),IF($C$4="FEBRUARY 2016",SUMIF('TY Budget'!$A:$A,'Next 3-Months'!$A18,'TY Budget'!$R:$R),IF($C$4="MARCH 2016",SUMIF('TY Budget'!$A:$A,'Next 3-Months'!$A18,'TY Budget'!$S:$S),0))))))))))))))</f>
        <v>248000</v>
      </c>
      <c r="E18" s="31">
        <f>IF($C$4="FEBRUARY 2015",SUMIF('TY Budget'!$A:$A,'Next 3-Months'!$A18,'LY Actual'!$D:$D),IF($C$4="MARCH 2015",SUMIF('TY Budget'!$A:$A,'Next 3-Months'!$A18,'LY Actual'!$E:$E),IF($C$4="APRIL 2015",SUMIF('TY Budget'!$A:$A,'Next 3-Months'!$A18,'LY Actual'!$F:$F),IF($C$4="MAY 2015",SUMIF('TY Budget'!$A:$A,'Next 3-Months'!$A18,'LY Actual'!$G:$G),IF($C$4="JUNE 2015",SUMIF('TY Budget'!$A:$A,'Next 3-Months'!$A18,'LY Actual'!$H:$H),IF($C$4="JULY 2015",SUMIF('TY Budget'!$A:$A,'Next 3-Months'!$A18,'LY Actual'!$I:$I),IF($C$4="AUGUST 2015",SUMIF('TY Budget'!$A:$A,'Next 3-Months'!$A18,'LY Actual'!$J:$J),IF($C$4="SEPTEMBER 2015",SUMIF('TY Budget'!$A:$A,'Next 3-Months'!$A18,'LY Actual'!$K:$K),IF($C$4="OCTOBER 2015",SUMIF('TY Budget'!$A:$A,'Next 3-Months'!$A18,'LY Actual'!$L:$L),IF($C$4="NOVEMBER 2015",SUMIF('TY Budget'!$A:$A,'Next 3-Months'!$A18,'LY Actual'!$M:$M),IF($C$4="DECEMBER 2015",SUMIF('TY Budget'!$A:$A,'Next 3-Months'!$A18,'LY Actual'!$N:$N),IF($C$4="JANUARY 2016",SUMIF('TY Budget'!$A:$A,'Next 3-Months'!$A18,'LY Actual'!$Q:$Q),IF($C$4="FEBRUARY 2016",SUMIF('TY Budget'!$A:$A,'Next 3-Months'!$A18,'LY Actual'!$R:$R),IF($C$4="MARCH 2016",SUMIF('TY Budget'!$A:$A,'Next 3-Months'!$A18,'LY Actual'!$S:$S),0))))))))))))))</f>
        <v>253754.08</v>
      </c>
      <c r="F18" s="27"/>
      <c r="G18" s="31">
        <f>IF($G$4="FEBRUARY 2015",SUMIF('TY Actual-Forecast'!$A:$A,'Next 3-Months'!$A18,'TY Actual-Forecast'!$D:$D),IF($G$4="MARCH 2015",SUMIF('TY Actual-Forecast'!$A:$A,'Next 3-Months'!$A18,'TY Actual-Forecast'!$E:$E),IF($G$4="APRIL 2015",SUMIF('TY Actual-Forecast'!$A:$A,'Next 3-Months'!$A18,'TY Actual-Forecast'!$F:$F),IF($G$4="MAY 2015",SUMIF('TY Actual-Forecast'!$A:$A,'Next 3-Months'!$A18,'TY Actual-Forecast'!$G:$G),IF($G$4="JUNE 2015",SUMIF('TY Actual-Forecast'!$A:$A,'Next 3-Months'!$A18,'TY Actual-Forecast'!$H:$H),IF($G$4="JULY 2015",SUMIF('TY Actual-Forecast'!$A:$A,'Next 3-Months'!$A18,'TY Actual-Forecast'!$I:$I),IF($G$4="AUGUST 2015",SUMIF('TY Actual-Forecast'!$A:$A,'Next 3-Months'!$A18,'TY Actual-Forecast'!$J:$J),IF($G$4="SEPTEMBER 2015",SUMIF('TY Actual-Forecast'!$A:$A,'Next 3-Months'!$A18,'TY Actual-Forecast'!$K:$K),IF($G$4="OCTOBER 2015",SUMIF('TY Actual-Forecast'!$A:$A,'Next 3-Months'!$A18,'TY Actual-Forecast'!$L:$L),IF($G$4="NOVEMBER 2015",SUMIF('TY Actual-Forecast'!$A:$A,'Next 3-Months'!$A18,'TY Actual-Forecast'!$M:$M),IF($G$4="DECEMBER 2015",SUMIF('TY Actual-Forecast'!$A:$A,'Next 3-Months'!$A18,'TY Actual-Forecast'!$N:$N),IF($G$4="JANUARY 2016",SUMIF('TY Actual-Forecast'!$A:$A,'Next 3-Months'!$A18,'TY Actual-Forecast'!$Q:$Q),IF($G$4="FEBRUARY 2016",SUMIF('TY Actual-Forecast'!$A:$A,'Next 3-Months'!$A18,'TY Actual-Forecast'!$R:$R),IF($G$4="MARCH 2016",SUMIF('TY Actual-Forecast'!$A:$A,'Next 3-Months'!$A18,'TY Actual-Forecast'!$S:$S),0))))))))))))))</f>
        <v>203000</v>
      </c>
      <c r="H18" s="31">
        <f>IF($G$4="FEBRUARY 2015",SUMIF('TY Budget'!$A:$A,'Next 3-Months'!$A18,'TY Budget'!$D:$D),IF($G$4="MARCH 2015",SUMIF('TY Budget'!$A:$A,'Next 3-Months'!$A18,'TY Budget'!$E:$E),IF($G$4="APRIL 2015",SUMIF('TY Budget'!$A:$A,'Next 3-Months'!$A18,'TY Budget'!$F:$F),IF($G$4="MAY 2015",SUMIF('TY Budget'!$A:$A,'Next 3-Months'!$A18,'TY Budget'!$G:$G),IF($G$4="JUNE 2015",SUMIF('TY Budget'!$A:$A,'Next 3-Months'!$A18,'TY Budget'!$H:$H),IF($G$4="JULY 2015",SUMIF('TY Budget'!$A:$A,'Next 3-Months'!$A18,'TY Budget'!$I:$I),IF($G$4="AUGUST 2015",SUMIF('TY Budget'!$A:$A,'Next 3-Months'!$A18,'TY Budget'!$J:$J),IF($G$4="SEPTEMBER 2015",SUMIF('TY Budget'!$A:$A,'Next 3-Months'!$A18,'TY Budget'!$K:$K),IF($G$4="OCTOBER 2015",SUMIF('TY Budget'!$A:$A,'Next 3-Months'!$A18,'TY Budget'!$L:$L),IF($G$4="NOVEMBER 2015",SUMIF('TY Budget'!$A:$A,'Next 3-Months'!$A18,'TY Budget'!$M:$M),IF($G$4="DECEMBER 2015",SUMIF('TY Budget'!$A:$A,'Next 3-Months'!$A18,'TY Budget'!$N:$N),IF($G$4="JANUARY 2016",SUMIF('TY Budget'!$A:$A,'Next 3-Months'!$A18,'TY Budget'!$Q:$Q),IF($G$4="FEBRUARY 2016",SUMIF('TY Budget'!$A:$A,'Next 3-Months'!$A18,'TY Budget'!$R:$R),IF($G$4="MARCH 2016",SUMIF('TY Budget'!$A:$A,'Next 3-Months'!$A18,'TY Budget'!$S:$S),0))))))))))))))</f>
        <v>203000</v>
      </c>
      <c r="I18" s="31">
        <f>IF($G$4="FEBRUARY 2015",SUMIF('TY Budget'!$A:$A,'Next 3-Months'!$A18,'LY Actual'!$D:$D),IF($G$4="MARCH 2015",SUMIF('TY Budget'!$A:$A,'Next 3-Months'!$A18,'LY Actual'!$E:$E),IF($G$4="APRIL 2015",SUMIF('TY Budget'!$A:$A,'Next 3-Months'!$A18,'LY Actual'!$F:$F),IF($G$4="MAY 2015",SUMIF('TY Budget'!$A:$A,'Next 3-Months'!$A18,'LY Actual'!$G:$G),IF($G$4="JUNE 2015",SUMIF('TY Budget'!$A:$A,'Next 3-Months'!$A18,'LY Actual'!$H:$H),IF($G$4="JULY 2015",SUMIF('TY Budget'!$A:$A,'Next 3-Months'!$A18,'LY Actual'!$I:$I),IF($G$4="AUGUST 2015",SUMIF('TY Budget'!$A:$A,'Next 3-Months'!$A18,'LY Actual'!$J:$J),IF($G$4="SEPTEMBER 2015",SUMIF('TY Budget'!$A:$A,'Next 3-Months'!$A18,'LY Actual'!$K:$K),IF($G$4="OCTOBER 2015",SUMIF('TY Budget'!$A:$A,'Next 3-Months'!$A18,'LY Actual'!$L:$L),IF($G$4="NOVEMBER 2015",SUMIF('TY Budget'!$A:$A,'Next 3-Months'!$A18,'LY Actual'!$M:$M),IF($G$4="DECEMBER 2015",SUMIF('TY Budget'!$A:$A,'Next 3-Months'!$A18,'LY Actual'!$N:$N),IF($G$4="JANUARY 2016",SUMIF('TY Budget'!$A:$A,'Next 3-Months'!$A18,'LY Actual'!$Q:$Q),IF($G$4="FEBRUARY 2016",SUMIF('TY Budget'!$A:$A,'Next 3-Months'!$A18,'LY Actual'!$R:$R),IF($G$4="MARCH 2016",SUMIF('TY Budget'!$A:$A,'Next 3-Months'!$A18,'LY Actual'!$S:$S),0))))))))))))))</f>
        <v>193195.91999999998</v>
      </c>
      <c r="J18" s="28"/>
      <c r="K18" s="31">
        <f>IF($K$4="FEBRUARY 2015",SUMIF('TY Actual-Forecast'!$A:$A,'Next 3-Months'!$A18,'TY Actual-Forecast'!$D:$D),IF($K$4="MARCH 2015",SUMIF('TY Actual-Forecast'!$A:$A,'Next 3-Months'!$A18,'TY Actual-Forecast'!$E:$E),IF($K$4="APRIL 2015",SUMIF('TY Actual-Forecast'!$A:$A,'Next 3-Months'!$A18,'TY Actual-Forecast'!$F:$F),IF($K$4="MAY 2015",SUMIF('TY Actual-Forecast'!$A:$A,'Next 3-Months'!$A18,'TY Actual-Forecast'!$G:$G),IF($K$4="JUNE 2015",SUMIF('TY Actual-Forecast'!$A:$A,'Next 3-Months'!$A18,'TY Actual-Forecast'!$H:$H),IF($K$4="JULY 2015",SUMIF('TY Actual-Forecast'!$A:$A,'Next 3-Months'!$A18,'TY Actual-Forecast'!$I:$I),IF($K$4="AUGUST 2015",SUMIF('TY Actual-Forecast'!$A:$A,'Next 3-Months'!$A18,'TY Actual-Forecast'!$J:$J),IF($K$4="SEPTEMBER 2015",SUMIF('TY Actual-Forecast'!$A:$A,'Next 3-Months'!$A18,'TY Actual-Forecast'!$K:$K),IF($K$4="OCTOBER 2015",SUMIF('TY Actual-Forecast'!$A:$A,'Next 3-Months'!$A18,'TY Actual-Forecast'!$L:$L),IF($K$4="NOVEMBER 2015",SUMIF('TY Actual-Forecast'!$A:$A,'Next 3-Months'!$A18,'TY Actual-Forecast'!$M:$M),IF($K$4="DECEMBER 2015",SUMIF('TY Actual-Forecast'!$A:$A,'Next 3-Months'!$A18,'TY Actual-Forecast'!$N:$N),IF($K$4="JANUARY 2016",SUMIF('TY Actual-Forecast'!$A:$A,'Next 3-Months'!$A18,'TY Actual-Forecast'!$Q:$Q),IF($K$4="FEBRUARY 2016",SUMIF('TY Actual-Forecast'!$A:$A,'Next 3-Months'!$A18,'TY Actual-Forecast'!$R:$R),IF($K$4="MARCH 2016",SUMIF('TY Actual-Forecast'!$A:$A,'Next 3-Months'!$A18,'TY Actual-Forecast'!$S:$S),0))))))))))))))</f>
        <v>233000</v>
      </c>
      <c r="L18" s="31">
        <f>IF($K$4="FEBRUARY 2015",SUMIF('TY Budget'!$A:$A,'Next 3-Months'!$A18,'TY Budget'!$D:$D),IF($K$4="MARCH 2015",SUMIF('TY Budget'!$A:$A,'Next 3-Months'!$A18,'TY Budget'!$E:$E),IF($K$4="APRIL 2015",SUMIF('TY Budget'!$A:$A,'Next 3-Months'!$A18,'TY Budget'!$F:$F),IF($K$4="MAY 2015",SUMIF('TY Budget'!$A:$A,'Next 3-Months'!$A18,'TY Budget'!$G:$G),IF($K$4="JUNE 2015",SUMIF('TY Budget'!$A:$A,'Next 3-Months'!$A18,'TY Budget'!$H:$H),IF($K$4="JULY 2015",SUMIF('TY Budget'!$A:$A,'Next 3-Months'!$A18,'TY Budget'!$I:$I),IF($K$4="AUGUST 2015",SUMIF('TY Budget'!$A:$A,'Next 3-Months'!$A18,'TY Budget'!$J:$J),IF($K$4="SEPTEMBER 2015",SUMIF('TY Budget'!$A:$A,'Next 3-Months'!$A18,'TY Budget'!$K:$K),IF($K$4="OCTOBER 2015",SUMIF('TY Budget'!$A:$A,'Next 3-Months'!$A18,'TY Budget'!$L:$L),IF($K$4="NOVEMBER 2015",SUMIF('TY Budget'!$A:$A,'Next 3-Months'!$A18,'TY Budget'!$M:$M),IF($K$4="DECEMBER 2015",SUMIF('TY Budget'!$A:$A,'Next 3-Months'!$A18,'TY Budget'!$N:$N),IF($K$4="JANUARY 2016",SUMIF('TY Budget'!$A:$A,'Next 3-Months'!$A18,'TY Budget'!$Q:$Q),IF($K$4="FEBRUARY 2016",SUMIF('TY Budget'!$A:$A,'Next 3-Months'!$A18,'TY Budget'!$R:$R),IF($K$4="MARCH 2016",SUMIF('TY Budget'!$A:$A,'Next 3-Months'!$A18,'TY Budget'!$S:$S),0))))))))))))))</f>
        <v>233000</v>
      </c>
      <c r="M18" s="31">
        <f>IF($K$4="FEBRUARY 2015",SUMIF('TY Budget'!$A:$A,'Next 3-Months'!$A18,'LY Actual'!$D:$D),IF($K$4="MARCH 2015",SUMIF('TY Budget'!$A:$A,'Next 3-Months'!$A18,'LY Actual'!$E:$E),IF($K$4="APRIL 2015",SUMIF('TY Budget'!$A:$A,'Next 3-Months'!$A18,'LY Actual'!$F:$F),IF($K$4="MAY 2015",SUMIF('TY Budget'!$A:$A,'Next 3-Months'!$A18,'LY Actual'!$G:$G),IF($K$4="JUNE 2015",SUMIF('TY Budget'!$A:$A,'Next 3-Months'!$A18,'LY Actual'!$H:$H),IF($K$4="JULY 2015",SUMIF('TY Budget'!$A:$A,'Next 3-Months'!$A18,'LY Actual'!$I:$I),IF($K$4="AUGUST 2015",SUMIF('TY Budget'!$A:$A,'Next 3-Months'!$A18,'LY Actual'!$J:$J),IF($K$4="SEPTEMBER 2015",SUMIF('TY Budget'!$A:$A,'Next 3-Months'!$A18,'LY Actual'!$K:$K),IF($K$4="OCTOBER 2015",SUMIF('TY Budget'!$A:$A,'Next 3-Months'!$A18,'LY Actual'!$L:$L),IF($K$4="NOVEMBER 2015",SUMIF('TY Budget'!$A:$A,'Next 3-Months'!$A18,'LY Actual'!$M:$M),IF($K$4="DECEMBER 2015",SUMIF('TY Budget'!$A:$A,'Next 3-Months'!$A18,'LY Actual'!$N:$N),IF($K$4="JANUARY 2016",SUMIF('TY Budget'!$A:$A,'Next 3-Months'!$A18,'LY Actual'!$Q:$Q),IF($K$4="FEBRUARY 2016",SUMIF('TY Budget'!$A:$A,'Next 3-Months'!$A18,'LY Actual'!$R:$R),IF($K$4="MARCH 2016",SUMIF('TY Budget'!$A:$A,'Next 3-Months'!$A18,'LY Actual'!$S:$S),0))))))))))))))</f>
        <v>180198.90999999997</v>
      </c>
      <c r="O18" s="31">
        <f t="shared" si="2"/>
        <v>0</v>
      </c>
      <c r="P18" s="31">
        <f t="shared" si="3"/>
        <v>56851.090000000084</v>
      </c>
    </row>
    <row r="19" spans="1:16" ht="15.75" customHeight="1">
      <c r="A19" s="29" t="s">
        <v>178</v>
      </c>
      <c r="B19" s="30"/>
      <c r="C19" s="31">
        <f>IF($C$4="FEBRUARY 2015",SUMIF('TY Actual-Forecast'!$A:$A,'Next 3-Months'!A19,'TY Actual-Forecast'!$D:$D),IF($C$4="MARCH 2015",SUMIF('TY Actual-Forecast'!$A:$A,'Next 3-Months'!A19,'TY Actual-Forecast'!$E:$E),IF($C$4="APRIL 2015",SUMIF('TY Actual-Forecast'!$A:$A,'Next 3-Months'!A19,'TY Actual-Forecast'!$F:$F),IF($C$4="MAY 2015",SUMIF('TY Actual-Forecast'!$A:$A,'Next 3-Months'!A19,'TY Actual-Forecast'!$G:$G),IF($C$4="JUNE 2015",SUMIF('TY Actual-Forecast'!$A:$A,'Next 3-Months'!A19,'TY Actual-Forecast'!$H:$H),IF($C$4="JULY 2015",SUMIF('TY Actual-Forecast'!$A:$A,'Next 3-Months'!A19,'TY Actual-Forecast'!$I:$I),IF($C$4="AUGUST 2015",SUMIF('TY Actual-Forecast'!$A:$A,'Next 3-Months'!A19,'TY Actual-Forecast'!$J:$J),IF($C$4="SEPTEMBER 2015",SUMIF('TY Actual-Forecast'!$A:$A,'Next 3-Months'!A19,'TY Actual-Forecast'!$K:$K),IF($C$4="OCTOBER 2015",SUMIF('TY Actual-Forecast'!$A:$A,'Next 3-Months'!A19,'TY Actual-Forecast'!$L:$L),IF($C$4="NOVEMBER 2015",SUMIF('TY Actual-Forecast'!$A:$A,'Next 3-Months'!A19,'TY Actual-Forecast'!$M:$M),IF($C$4="DECEMBER 2015",SUMIF('TY Actual-Forecast'!$A:$A,'Next 3-Months'!A19,'TY Actual-Forecast'!$N:$N),IF($C$4="JANUARY 2016",SUMIF('TY Actual-Forecast'!$A:$A,'Next 3-Months'!A19,'TY Actual-Forecast'!$Q:$Q),IF($C$4="FEBRUARY 2016",SUMIF('TY Actual-Forecast'!$A:$A,'Next 3-Months'!A19,'TY Actual-Forecast'!$R:$R),IF($C$4="MARCH 2016",SUMIF('TY Actual-Forecast'!$A:$A,'Next 3-Months'!A19,'TY Actual-Forecast'!$S:$S),0))))))))))))))</f>
        <v>1473314.5882461825</v>
      </c>
      <c r="D19" s="31">
        <f>IF($C$4="FEBRUARY 2015",SUMIF('TY Budget'!$A:$A,'Next 3-Months'!$A19,'TY Budget'!$D:$D),IF($C$4="MARCH 2015",SUMIF('TY Budget'!$A:$A,'Next 3-Months'!$A19,'TY Budget'!$E:$E),IF($C$4="APRIL 2015",SUMIF('TY Budget'!$A:$A,'Next 3-Months'!$A19,'TY Budget'!$F:$F),IF($C$4="MAY 2015",SUMIF('TY Budget'!$A:$A,'Next 3-Months'!$A19,'TY Budget'!$G:$G),IF($C$4="JUNE 2015",SUMIF('TY Budget'!$A:$A,'Next 3-Months'!$A19,'TY Budget'!$H:$H),IF($C$4="JULY 2015",SUMIF('TY Budget'!$A:$A,'Next 3-Months'!$A19,'TY Budget'!$I:$I),IF($C$4="AUGUST 2015",SUMIF('TY Budget'!$A:$A,'Next 3-Months'!$A19,'TY Budget'!$J:$J),IF($C$4="SEPTEMBER 2015",SUMIF('TY Budget'!$A:$A,'Next 3-Months'!$A19,'TY Budget'!$K:$K),IF($C$4="OCTOBER 2015",SUMIF('TY Budget'!$A:$A,'Next 3-Months'!$A19,'TY Budget'!$L:$L),IF($C$4="NOVEMBER 2015",SUMIF('TY Budget'!$A:$A,'Next 3-Months'!$A19,'TY Budget'!$M:$M),IF($C$4="DECEMBER 2015",SUMIF('TY Budget'!$A:$A,'Next 3-Months'!$A19,'TY Budget'!$N:$N),IF($C$4="JANUARY 2016",SUMIF('TY Budget'!$A:$A,'Next 3-Months'!$A19,'TY Budget'!$Q:$Q),IF($C$4="FEBRUARY 2016",SUMIF('TY Budget'!$A:$A,'Next 3-Months'!$A19,'TY Budget'!$R:$R),IF($C$4="MARCH 2016",SUMIF('TY Budget'!$A:$A,'Next 3-Months'!$A19,'TY Budget'!$S:$S),0))))))))))))))</f>
        <v>1503600</v>
      </c>
      <c r="E19" s="31">
        <f>IF($C$4="FEBRUARY 2015",SUMIF('TY Budget'!$A:$A,'Next 3-Months'!$A19,'LY Actual'!$D:$D),IF($C$4="MARCH 2015",SUMIF('TY Budget'!$A:$A,'Next 3-Months'!$A19,'LY Actual'!$E:$E),IF($C$4="APRIL 2015",SUMIF('TY Budget'!$A:$A,'Next 3-Months'!$A19,'LY Actual'!$F:$F),IF($C$4="MAY 2015",SUMIF('TY Budget'!$A:$A,'Next 3-Months'!$A19,'LY Actual'!$G:$G),IF($C$4="JUNE 2015",SUMIF('TY Budget'!$A:$A,'Next 3-Months'!$A19,'LY Actual'!$H:$H),IF($C$4="JULY 2015",SUMIF('TY Budget'!$A:$A,'Next 3-Months'!$A19,'LY Actual'!$I:$I),IF($C$4="AUGUST 2015",SUMIF('TY Budget'!$A:$A,'Next 3-Months'!$A19,'LY Actual'!$J:$J),IF($C$4="SEPTEMBER 2015",SUMIF('TY Budget'!$A:$A,'Next 3-Months'!$A19,'LY Actual'!$K:$K),IF($C$4="OCTOBER 2015",SUMIF('TY Budget'!$A:$A,'Next 3-Months'!$A19,'LY Actual'!$L:$L),IF($C$4="NOVEMBER 2015",SUMIF('TY Budget'!$A:$A,'Next 3-Months'!$A19,'LY Actual'!$M:$M),IF($C$4="DECEMBER 2015",SUMIF('TY Budget'!$A:$A,'Next 3-Months'!$A19,'LY Actual'!$N:$N),IF($C$4="JANUARY 2016",SUMIF('TY Budget'!$A:$A,'Next 3-Months'!$A19,'LY Actual'!$Q:$Q),IF($C$4="FEBRUARY 2016",SUMIF('TY Budget'!$A:$A,'Next 3-Months'!$A19,'LY Actual'!$R:$R),IF($C$4="MARCH 2016",SUMIF('TY Budget'!$A:$A,'Next 3-Months'!$A19,'LY Actual'!$S:$S),0))))))))))))))</f>
        <v>919645.46</v>
      </c>
      <c r="F19" s="27"/>
      <c r="G19" s="31">
        <f>IF($G$4="FEBRUARY 2015",SUMIF('TY Actual-Forecast'!$A:$A,'Next 3-Months'!$A19,'TY Actual-Forecast'!$D:$D),IF($G$4="MARCH 2015",SUMIF('TY Actual-Forecast'!$A:$A,'Next 3-Months'!$A19,'TY Actual-Forecast'!$E:$E),IF($G$4="APRIL 2015",SUMIF('TY Actual-Forecast'!$A:$A,'Next 3-Months'!$A19,'TY Actual-Forecast'!$F:$F),IF($G$4="MAY 2015",SUMIF('TY Actual-Forecast'!$A:$A,'Next 3-Months'!$A19,'TY Actual-Forecast'!$G:$G),IF($G$4="JUNE 2015",SUMIF('TY Actual-Forecast'!$A:$A,'Next 3-Months'!$A19,'TY Actual-Forecast'!$H:$H),IF($G$4="JULY 2015",SUMIF('TY Actual-Forecast'!$A:$A,'Next 3-Months'!$A19,'TY Actual-Forecast'!$I:$I),IF($G$4="AUGUST 2015",SUMIF('TY Actual-Forecast'!$A:$A,'Next 3-Months'!$A19,'TY Actual-Forecast'!$J:$J),IF($G$4="SEPTEMBER 2015",SUMIF('TY Actual-Forecast'!$A:$A,'Next 3-Months'!$A19,'TY Actual-Forecast'!$K:$K),IF($G$4="OCTOBER 2015",SUMIF('TY Actual-Forecast'!$A:$A,'Next 3-Months'!$A19,'TY Actual-Forecast'!$L:$L),IF($G$4="NOVEMBER 2015",SUMIF('TY Actual-Forecast'!$A:$A,'Next 3-Months'!$A19,'TY Actual-Forecast'!$M:$M),IF($G$4="DECEMBER 2015",SUMIF('TY Actual-Forecast'!$A:$A,'Next 3-Months'!$A19,'TY Actual-Forecast'!$N:$N),IF($G$4="JANUARY 2016",SUMIF('TY Actual-Forecast'!$A:$A,'Next 3-Months'!$A19,'TY Actual-Forecast'!$Q:$Q),IF($G$4="FEBRUARY 2016",SUMIF('TY Actual-Forecast'!$A:$A,'Next 3-Months'!$A19,'TY Actual-Forecast'!$R:$R),IF($G$4="MARCH 2016",SUMIF('TY Actual-Forecast'!$A:$A,'Next 3-Months'!$A19,'TY Actual-Forecast'!$S:$S),0))))))))))))))</f>
        <v>1351239.8311409075</v>
      </c>
      <c r="H19" s="31">
        <f>IF($G$4="FEBRUARY 2015",SUMIF('TY Budget'!$A:$A,'Next 3-Months'!$A19,'TY Budget'!$D:$D),IF($G$4="MARCH 2015",SUMIF('TY Budget'!$A:$A,'Next 3-Months'!$A19,'TY Budget'!$E:$E),IF($G$4="APRIL 2015",SUMIF('TY Budget'!$A:$A,'Next 3-Months'!$A19,'TY Budget'!$F:$F),IF($G$4="MAY 2015",SUMIF('TY Budget'!$A:$A,'Next 3-Months'!$A19,'TY Budget'!$G:$G),IF($G$4="JUNE 2015",SUMIF('TY Budget'!$A:$A,'Next 3-Months'!$A19,'TY Budget'!$H:$H),IF($G$4="JULY 2015",SUMIF('TY Budget'!$A:$A,'Next 3-Months'!$A19,'TY Budget'!$I:$I),IF($G$4="AUGUST 2015",SUMIF('TY Budget'!$A:$A,'Next 3-Months'!$A19,'TY Budget'!$J:$J),IF($G$4="SEPTEMBER 2015",SUMIF('TY Budget'!$A:$A,'Next 3-Months'!$A19,'TY Budget'!$K:$K),IF($G$4="OCTOBER 2015",SUMIF('TY Budget'!$A:$A,'Next 3-Months'!$A19,'TY Budget'!$L:$L),IF($G$4="NOVEMBER 2015",SUMIF('TY Budget'!$A:$A,'Next 3-Months'!$A19,'TY Budget'!$M:$M),IF($G$4="DECEMBER 2015",SUMIF('TY Budget'!$A:$A,'Next 3-Months'!$A19,'TY Budget'!$N:$N),IF($G$4="JANUARY 2016",SUMIF('TY Budget'!$A:$A,'Next 3-Months'!$A19,'TY Budget'!$Q:$Q),IF($G$4="FEBRUARY 2016",SUMIF('TY Budget'!$A:$A,'Next 3-Months'!$A19,'TY Budget'!$R:$R),IF($G$4="MARCH 2016",SUMIF('TY Budget'!$A:$A,'Next 3-Months'!$A19,'TY Budget'!$S:$S),0))))))))))))))</f>
        <v>1395000</v>
      </c>
      <c r="I19" s="31">
        <f>IF($G$4="FEBRUARY 2015",SUMIF('TY Budget'!$A:$A,'Next 3-Months'!$A19,'LY Actual'!$D:$D),IF($G$4="MARCH 2015",SUMIF('TY Budget'!$A:$A,'Next 3-Months'!$A19,'LY Actual'!$E:$E),IF($G$4="APRIL 2015",SUMIF('TY Budget'!$A:$A,'Next 3-Months'!$A19,'LY Actual'!$F:$F),IF($G$4="MAY 2015",SUMIF('TY Budget'!$A:$A,'Next 3-Months'!$A19,'LY Actual'!$G:$G),IF($G$4="JUNE 2015",SUMIF('TY Budget'!$A:$A,'Next 3-Months'!$A19,'LY Actual'!$H:$H),IF($G$4="JULY 2015",SUMIF('TY Budget'!$A:$A,'Next 3-Months'!$A19,'LY Actual'!$I:$I),IF($G$4="AUGUST 2015",SUMIF('TY Budget'!$A:$A,'Next 3-Months'!$A19,'LY Actual'!$J:$J),IF($G$4="SEPTEMBER 2015",SUMIF('TY Budget'!$A:$A,'Next 3-Months'!$A19,'LY Actual'!$K:$K),IF($G$4="OCTOBER 2015",SUMIF('TY Budget'!$A:$A,'Next 3-Months'!$A19,'LY Actual'!$L:$L),IF($G$4="NOVEMBER 2015",SUMIF('TY Budget'!$A:$A,'Next 3-Months'!$A19,'LY Actual'!$M:$M),IF($G$4="DECEMBER 2015",SUMIF('TY Budget'!$A:$A,'Next 3-Months'!$A19,'LY Actual'!$N:$N),IF($G$4="JANUARY 2016",SUMIF('TY Budget'!$A:$A,'Next 3-Months'!$A19,'LY Actual'!$Q:$Q),IF($G$4="FEBRUARY 2016",SUMIF('TY Budget'!$A:$A,'Next 3-Months'!$A19,'LY Actual'!$R:$R),IF($G$4="MARCH 2016",SUMIF('TY Budget'!$A:$A,'Next 3-Months'!$A19,'LY Actual'!$S:$S),0))))))))))))))</f>
        <v>1163652.8</v>
      </c>
      <c r="J19" s="28"/>
      <c r="K19" s="31">
        <f>IF($K$4="FEBRUARY 2015",SUMIF('TY Actual-Forecast'!$A:$A,'Next 3-Months'!$A19,'TY Actual-Forecast'!$D:$D),IF($K$4="MARCH 2015",SUMIF('TY Actual-Forecast'!$A:$A,'Next 3-Months'!$A19,'TY Actual-Forecast'!$E:$E),IF($K$4="APRIL 2015",SUMIF('TY Actual-Forecast'!$A:$A,'Next 3-Months'!$A19,'TY Actual-Forecast'!$F:$F),IF($K$4="MAY 2015",SUMIF('TY Actual-Forecast'!$A:$A,'Next 3-Months'!$A19,'TY Actual-Forecast'!$G:$G),IF($K$4="JUNE 2015",SUMIF('TY Actual-Forecast'!$A:$A,'Next 3-Months'!$A19,'TY Actual-Forecast'!$H:$H),IF($K$4="JULY 2015",SUMIF('TY Actual-Forecast'!$A:$A,'Next 3-Months'!$A19,'TY Actual-Forecast'!$I:$I),IF($K$4="AUGUST 2015",SUMIF('TY Actual-Forecast'!$A:$A,'Next 3-Months'!$A19,'TY Actual-Forecast'!$J:$J),IF($K$4="SEPTEMBER 2015",SUMIF('TY Actual-Forecast'!$A:$A,'Next 3-Months'!$A19,'TY Actual-Forecast'!$K:$K),IF($K$4="OCTOBER 2015",SUMIF('TY Actual-Forecast'!$A:$A,'Next 3-Months'!$A19,'TY Actual-Forecast'!$L:$L),IF($K$4="NOVEMBER 2015",SUMIF('TY Actual-Forecast'!$A:$A,'Next 3-Months'!$A19,'TY Actual-Forecast'!$M:$M),IF($K$4="DECEMBER 2015",SUMIF('TY Actual-Forecast'!$A:$A,'Next 3-Months'!$A19,'TY Actual-Forecast'!$N:$N),IF($K$4="JANUARY 2016",SUMIF('TY Actual-Forecast'!$A:$A,'Next 3-Months'!$A19,'TY Actual-Forecast'!$Q:$Q),IF($K$4="FEBRUARY 2016",SUMIF('TY Actual-Forecast'!$A:$A,'Next 3-Months'!$A19,'TY Actual-Forecast'!$R:$R),IF($K$4="MARCH 2016",SUMIF('TY Actual-Forecast'!$A:$A,'Next 3-Months'!$A19,'TY Actual-Forecast'!$S:$S),0))))))))))))))</f>
        <v>1426549.4730195687</v>
      </c>
      <c r="L19" s="31">
        <f>IF($K$4="FEBRUARY 2015",SUMIF('TY Budget'!$A:$A,'Next 3-Months'!$A19,'TY Budget'!$D:$D),IF($K$4="MARCH 2015",SUMIF('TY Budget'!$A:$A,'Next 3-Months'!$A19,'TY Budget'!$E:$E),IF($K$4="APRIL 2015",SUMIF('TY Budget'!$A:$A,'Next 3-Months'!$A19,'TY Budget'!$F:$F),IF($K$4="MAY 2015",SUMIF('TY Budget'!$A:$A,'Next 3-Months'!$A19,'TY Budget'!$G:$G),IF($K$4="JUNE 2015",SUMIF('TY Budget'!$A:$A,'Next 3-Months'!$A19,'TY Budget'!$H:$H),IF($K$4="JULY 2015",SUMIF('TY Budget'!$A:$A,'Next 3-Months'!$A19,'TY Budget'!$I:$I),IF($K$4="AUGUST 2015",SUMIF('TY Budget'!$A:$A,'Next 3-Months'!$A19,'TY Budget'!$J:$J),IF($K$4="SEPTEMBER 2015",SUMIF('TY Budget'!$A:$A,'Next 3-Months'!$A19,'TY Budget'!$K:$K),IF($K$4="OCTOBER 2015",SUMIF('TY Budget'!$A:$A,'Next 3-Months'!$A19,'TY Budget'!$L:$L),IF($K$4="NOVEMBER 2015",SUMIF('TY Budget'!$A:$A,'Next 3-Months'!$A19,'TY Budget'!$M:$M),IF($K$4="DECEMBER 2015",SUMIF('TY Budget'!$A:$A,'Next 3-Months'!$A19,'TY Budget'!$N:$N),IF($K$4="JANUARY 2016",SUMIF('TY Budget'!$A:$A,'Next 3-Months'!$A19,'TY Budget'!$Q:$Q),IF($K$4="FEBRUARY 2016",SUMIF('TY Budget'!$A:$A,'Next 3-Months'!$A19,'TY Budget'!$R:$R),IF($K$4="MARCH 2016",SUMIF('TY Budget'!$A:$A,'Next 3-Months'!$A19,'TY Budget'!$S:$S),0))))))))))))))</f>
        <v>1495000</v>
      </c>
      <c r="M19" s="31">
        <f>IF($K$4="FEBRUARY 2015",SUMIF('TY Budget'!$A:$A,'Next 3-Months'!$A19,'LY Actual'!$D:$D),IF($K$4="MARCH 2015",SUMIF('TY Budget'!$A:$A,'Next 3-Months'!$A19,'LY Actual'!$E:$E),IF($K$4="APRIL 2015",SUMIF('TY Budget'!$A:$A,'Next 3-Months'!$A19,'LY Actual'!$F:$F),IF($K$4="MAY 2015",SUMIF('TY Budget'!$A:$A,'Next 3-Months'!$A19,'LY Actual'!$G:$G),IF($K$4="JUNE 2015",SUMIF('TY Budget'!$A:$A,'Next 3-Months'!$A19,'LY Actual'!$H:$H),IF($K$4="JULY 2015",SUMIF('TY Budget'!$A:$A,'Next 3-Months'!$A19,'LY Actual'!$I:$I),IF($K$4="AUGUST 2015",SUMIF('TY Budget'!$A:$A,'Next 3-Months'!$A19,'LY Actual'!$J:$J),IF($K$4="SEPTEMBER 2015",SUMIF('TY Budget'!$A:$A,'Next 3-Months'!$A19,'LY Actual'!$K:$K),IF($K$4="OCTOBER 2015",SUMIF('TY Budget'!$A:$A,'Next 3-Months'!$A19,'LY Actual'!$L:$L),IF($K$4="NOVEMBER 2015",SUMIF('TY Budget'!$A:$A,'Next 3-Months'!$A19,'LY Actual'!$M:$M),IF($K$4="DECEMBER 2015",SUMIF('TY Budget'!$A:$A,'Next 3-Months'!$A19,'LY Actual'!$N:$N),IF($K$4="JANUARY 2016",SUMIF('TY Budget'!$A:$A,'Next 3-Months'!$A19,'LY Actual'!$Q:$Q),IF($K$4="FEBRUARY 2016",SUMIF('TY Budget'!$A:$A,'Next 3-Months'!$A19,'LY Actual'!$R:$R),IF($K$4="MARCH 2016",SUMIF('TY Budget'!$A:$A,'Next 3-Months'!$A19,'LY Actual'!$S:$S),0))))))))))))))</f>
        <v>893117.38</v>
      </c>
      <c r="O19" s="31">
        <f t="shared" si="2"/>
        <v>-142496.1075933408</v>
      </c>
      <c r="P19" s="31">
        <f t="shared" si="3"/>
        <v>1274688.2524066591</v>
      </c>
    </row>
    <row r="20" spans="1:16" ht="15" customHeight="1">
      <c r="C20" s="33"/>
      <c r="D20" s="33"/>
      <c r="E20" s="33"/>
      <c r="F20" s="27"/>
      <c r="G20" s="33"/>
      <c r="H20" s="33"/>
      <c r="I20" s="33"/>
      <c r="J20" s="28"/>
      <c r="K20" s="33"/>
      <c r="L20" s="33"/>
      <c r="M20" s="33"/>
      <c r="O20" s="33"/>
      <c r="P20" s="33"/>
    </row>
    <row r="21" spans="1:16" ht="15" customHeight="1">
      <c r="A21" s="18" t="s">
        <v>189</v>
      </c>
      <c r="B21" s="18"/>
      <c r="C21" s="20"/>
      <c r="D21" s="20"/>
      <c r="E21" s="20"/>
      <c r="F21" s="27"/>
      <c r="G21" s="20"/>
      <c r="H21" s="20"/>
      <c r="I21" s="20"/>
      <c r="J21" s="28"/>
      <c r="K21" s="20"/>
      <c r="L21" s="20"/>
      <c r="M21" s="20"/>
      <c r="O21" s="20"/>
      <c r="P21" s="20"/>
    </row>
    <row r="22" spans="1:16" ht="15" customHeight="1">
      <c r="A22" s="29" t="s">
        <v>19</v>
      </c>
      <c r="B22" s="35"/>
      <c r="C22" s="31">
        <f>IF($C$4="FEBRUARY 2015",SUMIF('TY Actual-Forecast'!$A:$A,'Next 3-Months'!A22,'TY Actual-Forecast'!$D:$D),IF($C$4="MARCH 2015",SUMIF('TY Actual-Forecast'!$A:$A,'Next 3-Months'!A22,'TY Actual-Forecast'!$E:$E),IF($C$4="APRIL 2015",SUMIF('TY Actual-Forecast'!$A:$A,'Next 3-Months'!A22,'TY Actual-Forecast'!$F:$F),IF($C$4="MAY 2015",SUMIF('TY Actual-Forecast'!$A:$A,'Next 3-Months'!A22,'TY Actual-Forecast'!$G:$G),IF($C$4="JUNE 2015",SUMIF('TY Actual-Forecast'!$A:$A,'Next 3-Months'!A22,'TY Actual-Forecast'!$H:$H),IF($C$4="JULY 2015",SUMIF('TY Actual-Forecast'!$A:$A,'Next 3-Months'!A22,'TY Actual-Forecast'!$I:$I),IF($C$4="AUGUST 2015",SUMIF('TY Actual-Forecast'!$A:$A,'Next 3-Months'!A22,'TY Actual-Forecast'!$J:$J),IF($C$4="SEPTEMBER 2015",SUMIF('TY Actual-Forecast'!$A:$A,'Next 3-Months'!A22,'TY Actual-Forecast'!$K:$K),IF($C$4="OCTOBER 2015",SUMIF('TY Actual-Forecast'!$A:$A,'Next 3-Months'!A22,'TY Actual-Forecast'!$L:$L),IF($C$4="NOVEMBER 2015",SUMIF('TY Actual-Forecast'!$A:$A,'Next 3-Months'!A22,'TY Actual-Forecast'!$M:$M),IF($C$4="DECEMBER 2015",SUMIF('TY Actual-Forecast'!$A:$A,'Next 3-Months'!A22,'TY Actual-Forecast'!$N:$N),IF($C$4="JANUARY 2016",SUMIF('TY Actual-Forecast'!$A:$A,'Next 3-Months'!A22,'TY Actual-Forecast'!$Q:$Q),IF($C$4="FEBRUARY 2016",SUMIF('TY Actual-Forecast'!$A:$A,'Next 3-Months'!A22,'TY Actual-Forecast'!$R:$R),IF($C$4="MARCH 2016",SUMIF('TY Actual-Forecast'!$A:$A,'Next 3-Months'!A22,'TY Actual-Forecast'!$S:$S),0))))))))))))))</f>
        <v>3911418.4563808567</v>
      </c>
      <c r="D22" s="31">
        <f>IF($C$4="FEBRUARY 2015",SUMIF('TY Budget'!$A:$A,'Next 3-Months'!$A22,'TY Budget'!$D:$D),IF($C$4="MARCH 2015",SUMIF('TY Budget'!$A:$A,'Next 3-Months'!$A22,'TY Budget'!$E:$E),IF($C$4="APRIL 2015",SUMIF('TY Budget'!$A:$A,'Next 3-Months'!$A22,'TY Budget'!$F:$F),IF($C$4="MAY 2015",SUMIF('TY Budget'!$A:$A,'Next 3-Months'!$A22,'TY Budget'!$G:$G),IF($C$4="JUNE 2015",SUMIF('TY Budget'!$A:$A,'Next 3-Months'!$A22,'TY Budget'!$H:$H),IF($C$4="JULY 2015",SUMIF('TY Budget'!$A:$A,'Next 3-Months'!$A22,'TY Budget'!$I:$I),IF($C$4="AUGUST 2015",SUMIF('TY Budget'!$A:$A,'Next 3-Months'!$A22,'TY Budget'!$J:$J),IF($C$4="SEPTEMBER 2015",SUMIF('TY Budget'!$A:$A,'Next 3-Months'!$A22,'TY Budget'!$K:$K),IF($C$4="OCTOBER 2015",SUMIF('TY Budget'!$A:$A,'Next 3-Months'!$A22,'TY Budget'!$L:$L),IF($C$4="NOVEMBER 2015",SUMIF('TY Budget'!$A:$A,'Next 3-Months'!$A22,'TY Budget'!$M:$M),IF($C$4="DECEMBER 2015",SUMIF('TY Budget'!$A:$A,'Next 3-Months'!$A22,'TY Budget'!$N:$N),IF($C$4="JANUARY 2016",SUMIF('TY Budget'!$A:$A,'Next 3-Months'!$A22,'TY Budget'!$Q:$Q),IF($C$4="FEBRUARY 2016",SUMIF('TY Budget'!$A:$A,'Next 3-Months'!$A22,'TY Budget'!$R:$R),IF($C$4="MARCH 2016",SUMIF('TY Budget'!$A:$A,'Next 3-Months'!$A22,'TY Budget'!$S:$S),0))))))))))))))</f>
        <v>3940000</v>
      </c>
      <c r="E22" s="31">
        <f>IF($C$4="FEBRUARY 2015",SUMIF('TY Budget'!$A:$A,'Next 3-Months'!$A22,'LY Actual'!$D:$D),IF($C$4="MARCH 2015",SUMIF('TY Budget'!$A:$A,'Next 3-Months'!$A22,'LY Actual'!$E:$E),IF($C$4="APRIL 2015",SUMIF('TY Budget'!$A:$A,'Next 3-Months'!$A22,'LY Actual'!$F:$F),IF($C$4="MAY 2015",SUMIF('TY Budget'!$A:$A,'Next 3-Months'!$A22,'LY Actual'!$G:$G),IF($C$4="JUNE 2015",SUMIF('TY Budget'!$A:$A,'Next 3-Months'!$A22,'LY Actual'!$H:$H),IF($C$4="JULY 2015",SUMIF('TY Budget'!$A:$A,'Next 3-Months'!$A22,'LY Actual'!$I:$I),IF($C$4="AUGUST 2015",SUMIF('TY Budget'!$A:$A,'Next 3-Months'!$A22,'LY Actual'!$J:$J),IF($C$4="SEPTEMBER 2015",SUMIF('TY Budget'!$A:$A,'Next 3-Months'!$A22,'LY Actual'!$K:$K),IF($C$4="OCTOBER 2015",SUMIF('TY Budget'!$A:$A,'Next 3-Months'!$A22,'LY Actual'!$L:$L),IF($C$4="NOVEMBER 2015",SUMIF('TY Budget'!$A:$A,'Next 3-Months'!$A22,'LY Actual'!$M:$M),IF($C$4="DECEMBER 2015",SUMIF('TY Budget'!$A:$A,'Next 3-Months'!$A22,'LY Actual'!$N:$N),IF($C$4="JANUARY 2016",SUMIF('TY Budget'!$A:$A,'Next 3-Months'!$A22,'LY Actual'!$Q:$Q),IF($C$4="FEBRUARY 2016",SUMIF('TY Budget'!$A:$A,'Next 3-Months'!$A22,'LY Actual'!$R:$R),IF($C$4="MARCH 2016",SUMIF('TY Budget'!$A:$A,'Next 3-Months'!$A22,'LY Actual'!$S:$S),0))))))))))))))</f>
        <v>3757433.88</v>
      </c>
      <c r="F22" s="27"/>
      <c r="G22" s="31">
        <f>IF($G$4="FEBRUARY 2015",SUMIF('TY Actual-Forecast'!$A:$A,'Next 3-Months'!$A22,'TY Actual-Forecast'!$D:$D),IF($G$4="MARCH 2015",SUMIF('TY Actual-Forecast'!$A:$A,'Next 3-Months'!$A22,'TY Actual-Forecast'!$E:$E),IF($G$4="APRIL 2015",SUMIF('TY Actual-Forecast'!$A:$A,'Next 3-Months'!$A22,'TY Actual-Forecast'!$F:$F),IF($G$4="MAY 2015",SUMIF('TY Actual-Forecast'!$A:$A,'Next 3-Months'!$A22,'TY Actual-Forecast'!$G:$G),IF($G$4="JUNE 2015",SUMIF('TY Actual-Forecast'!$A:$A,'Next 3-Months'!$A22,'TY Actual-Forecast'!$H:$H),IF($G$4="JULY 2015",SUMIF('TY Actual-Forecast'!$A:$A,'Next 3-Months'!$A22,'TY Actual-Forecast'!$I:$I),IF($G$4="AUGUST 2015",SUMIF('TY Actual-Forecast'!$A:$A,'Next 3-Months'!$A22,'TY Actual-Forecast'!$J:$J),IF($G$4="SEPTEMBER 2015",SUMIF('TY Actual-Forecast'!$A:$A,'Next 3-Months'!$A22,'TY Actual-Forecast'!$K:$K),IF($G$4="OCTOBER 2015",SUMIF('TY Actual-Forecast'!$A:$A,'Next 3-Months'!$A22,'TY Actual-Forecast'!$L:$L),IF($G$4="NOVEMBER 2015",SUMIF('TY Actual-Forecast'!$A:$A,'Next 3-Months'!$A22,'TY Actual-Forecast'!$M:$M),IF($G$4="DECEMBER 2015",SUMIF('TY Actual-Forecast'!$A:$A,'Next 3-Months'!$A22,'TY Actual-Forecast'!$N:$N),IF($G$4="JANUARY 2016",SUMIF('TY Actual-Forecast'!$A:$A,'Next 3-Months'!$A22,'TY Actual-Forecast'!$Q:$Q),IF($G$4="FEBRUARY 2016",SUMIF('TY Actual-Forecast'!$A:$A,'Next 3-Months'!$A22,'TY Actual-Forecast'!$R:$R),IF($G$4="MARCH 2016",SUMIF('TY Actual-Forecast'!$A:$A,'Next 3-Months'!$A22,'TY Actual-Forecast'!$S:$S),0))))))))))))))</f>
        <v>3680260.4499999997</v>
      </c>
      <c r="H22" s="31">
        <f>IF($G$4="FEBRUARY 2015",SUMIF('TY Budget'!$A:$A,'Next 3-Months'!$A22,'TY Budget'!$D:$D),IF($G$4="MARCH 2015",SUMIF('TY Budget'!$A:$A,'Next 3-Months'!$A22,'TY Budget'!$E:$E),IF($G$4="APRIL 2015",SUMIF('TY Budget'!$A:$A,'Next 3-Months'!$A22,'TY Budget'!$F:$F),IF($G$4="MAY 2015",SUMIF('TY Budget'!$A:$A,'Next 3-Months'!$A22,'TY Budget'!$G:$G),IF($G$4="JUNE 2015",SUMIF('TY Budget'!$A:$A,'Next 3-Months'!$A22,'TY Budget'!$H:$H),IF($G$4="JULY 2015",SUMIF('TY Budget'!$A:$A,'Next 3-Months'!$A22,'TY Budget'!$I:$I),IF($G$4="AUGUST 2015",SUMIF('TY Budget'!$A:$A,'Next 3-Months'!$A22,'TY Budget'!$J:$J),IF($G$4="SEPTEMBER 2015",SUMIF('TY Budget'!$A:$A,'Next 3-Months'!$A22,'TY Budget'!$K:$K),IF($G$4="OCTOBER 2015",SUMIF('TY Budget'!$A:$A,'Next 3-Months'!$A22,'TY Budget'!$L:$L),IF($G$4="NOVEMBER 2015",SUMIF('TY Budget'!$A:$A,'Next 3-Months'!$A22,'TY Budget'!$M:$M),IF($G$4="DECEMBER 2015",SUMIF('TY Budget'!$A:$A,'Next 3-Months'!$A22,'TY Budget'!$N:$N),IF($G$4="JANUARY 2016",SUMIF('TY Budget'!$A:$A,'Next 3-Months'!$A22,'TY Budget'!$Q:$Q),IF($G$4="FEBRUARY 2016",SUMIF('TY Budget'!$A:$A,'Next 3-Months'!$A22,'TY Budget'!$R:$R),IF($G$4="MARCH 2016",SUMIF('TY Budget'!$A:$A,'Next 3-Months'!$A22,'TY Budget'!$S:$S),0))))))))))))))</f>
        <v>3720000</v>
      </c>
      <c r="I22" s="31">
        <f>IF($G$4="FEBRUARY 2015",SUMIF('TY Budget'!$A:$A,'Next 3-Months'!$A22,'LY Actual'!$D:$D),IF($G$4="MARCH 2015",SUMIF('TY Budget'!$A:$A,'Next 3-Months'!$A22,'LY Actual'!$E:$E),IF($G$4="APRIL 2015",SUMIF('TY Budget'!$A:$A,'Next 3-Months'!$A22,'LY Actual'!$F:$F),IF($G$4="MAY 2015",SUMIF('TY Budget'!$A:$A,'Next 3-Months'!$A22,'LY Actual'!$G:$G),IF($G$4="JUNE 2015",SUMIF('TY Budget'!$A:$A,'Next 3-Months'!$A22,'LY Actual'!$H:$H),IF($G$4="JULY 2015",SUMIF('TY Budget'!$A:$A,'Next 3-Months'!$A22,'LY Actual'!$I:$I),IF($G$4="AUGUST 2015",SUMIF('TY Budget'!$A:$A,'Next 3-Months'!$A22,'LY Actual'!$J:$J),IF($G$4="SEPTEMBER 2015",SUMIF('TY Budget'!$A:$A,'Next 3-Months'!$A22,'LY Actual'!$K:$K),IF($G$4="OCTOBER 2015",SUMIF('TY Budget'!$A:$A,'Next 3-Months'!$A22,'LY Actual'!$L:$L),IF($G$4="NOVEMBER 2015",SUMIF('TY Budget'!$A:$A,'Next 3-Months'!$A22,'LY Actual'!$M:$M),IF($G$4="DECEMBER 2015",SUMIF('TY Budget'!$A:$A,'Next 3-Months'!$A22,'LY Actual'!$N:$N),IF($G$4="JANUARY 2016",SUMIF('TY Budget'!$A:$A,'Next 3-Months'!$A22,'LY Actual'!$Q:$Q),IF($G$4="FEBRUARY 2016",SUMIF('TY Budget'!$A:$A,'Next 3-Months'!$A22,'LY Actual'!$R:$R),IF($G$4="MARCH 2016",SUMIF('TY Budget'!$A:$A,'Next 3-Months'!$A22,'LY Actual'!$S:$S),0))))))))))))))</f>
        <v>3239673.8700000006</v>
      </c>
      <c r="J22" s="28"/>
      <c r="K22" s="31">
        <f>IF($K$4="FEBRUARY 2015",SUMIF('TY Actual-Forecast'!$A:$A,'Next 3-Months'!$A22,'TY Actual-Forecast'!$D:$D),IF($K$4="MARCH 2015",SUMIF('TY Actual-Forecast'!$A:$A,'Next 3-Months'!$A22,'TY Actual-Forecast'!$E:$E),IF($K$4="APRIL 2015",SUMIF('TY Actual-Forecast'!$A:$A,'Next 3-Months'!$A22,'TY Actual-Forecast'!$F:$F),IF($K$4="MAY 2015",SUMIF('TY Actual-Forecast'!$A:$A,'Next 3-Months'!$A22,'TY Actual-Forecast'!$G:$G),IF($K$4="JUNE 2015",SUMIF('TY Actual-Forecast'!$A:$A,'Next 3-Months'!$A22,'TY Actual-Forecast'!$H:$H),IF($K$4="JULY 2015",SUMIF('TY Actual-Forecast'!$A:$A,'Next 3-Months'!$A22,'TY Actual-Forecast'!$I:$I),IF($K$4="AUGUST 2015",SUMIF('TY Actual-Forecast'!$A:$A,'Next 3-Months'!$A22,'TY Actual-Forecast'!$J:$J),IF($K$4="SEPTEMBER 2015",SUMIF('TY Actual-Forecast'!$A:$A,'Next 3-Months'!$A22,'TY Actual-Forecast'!$K:$K),IF($K$4="OCTOBER 2015",SUMIF('TY Actual-Forecast'!$A:$A,'Next 3-Months'!$A22,'TY Actual-Forecast'!$L:$L),IF($K$4="NOVEMBER 2015",SUMIF('TY Actual-Forecast'!$A:$A,'Next 3-Months'!$A22,'TY Actual-Forecast'!$M:$M),IF($K$4="DECEMBER 2015",SUMIF('TY Actual-Forecast'!$A:$A,'Next 3-Months'!$A22,'TY Actual-Forecast'!$N:$N),IF($K$4="JANUARY 2016",SUMIF('TY Actual-Forecast'!$A:$A,'Next 3-Months'!$A22,'TY Actual-Forecast'!$Q:$Q),IF($K$4="FEBRUARY 2016",SUMIF('TY Actual-Forecast'!$A:$A,'Next 3-Months'!$A22,'TY Actual-Forecast'!$R:$R),IF($K$4="MARCH 2016",SUMIF('TY Actual-Forecast'!$A:$A,'Next 3-Months'!$A22,'TY Actual-Forecast'!$S:$S),0))))))))))))))</f>
        <v>3689231.19</v>
      </c>
      <c r="L22" s="31">
        <f>IF($K$4="FEBRUARY 2015",SUMIF('TY Budget'!$A:$A,'Next 3-Months'!$A22,'TY Budget'!$D:$D),IF($K$4="MARCH 2015",SUMIF('TY Budget'!$A:$A,'Next 3-Months'!$A22,'TY Budget'!$E:$E),IF($K$4="APRIL 2015",SUMIF('TY Budget'!$A:$A,'Next 3-Months'!$A22,'TY Budget'!$F:$F),IF($K$4="MAY 2015",SUMIF('TY Budget'!$A:$A,'Next 3-Months'!$A22,'TY Budget'!$G:$G),IF($K$4="JUNE 2015",SUMIF('TY Budget'!$A:$A,'Next 3-Months'!$A22,'TY Budget'!$H:$H),IF($K$4="JULY 2015",SUMIF('TY Budget'!$A:$A,'Next 3-Months'!$A22,'TY Budget'!$I:$I),IF($K$4="AUGUST 2015",SUMIF('TY Budget'!$A:$A,'Next 3-Months'!$A22,'TY Budget'!$J:$J),IF($K$4="SEPTEMBER 2015",SUMIF('TY Budget'!$A:$A,'Next 3-Months'!$A22,'TY Budget'!$K:$K),IF($K$4="OCTOBER 2015",SUMIF('TY Budget'!$A:$A,'Next 3-Months'!$A22,'TY Budget'!$L:$L),IF($K$4="NOVEMBER 2015",SUMIF('TY Budget'!$A:$A,'Next 3-Months'!$A22,'TY Budget'!$M:$M),IF($K$4="DECEMBER 2015",SUMIF('TY Budget'!$A:$A,'Next 3-Months'!$A22,'TY Budget'!$N:$N),IF($K$4="JANUARY 2016",SUMIF('TY Budget'!$A:$A,'Next 3-Months'!$A22,'TY Budget'!$Q:$Q),IF($K$4="FEBRUARY 2016",SUMIF('TY Budget'!$A:$A,'Next 3-Months'!$A22,'TY Budget'!$R:$R),IF($K$4="MARCH 2016",SUMIF('TY Budget'!$A:$A,'Next 3-Months'!$A22,'TY Budget'!$S:$S),0))))))))))))))</f>
        <v>3745000</v>
      </c>
      <c r="M22" s="31">
        <f>IF($K$4="FEBRUARY 2015",SUMIF('TY Budget'!$A:$A,'Next 3-Months'!$A22,'LY Actual'!$D:$D),IF($K$4="MARCH 2015",SUMIF('TY Budget'!$A:$A,'Next 3-Months'!$A22,'LY Actual'!$E:$E),IF($K$4="APRIL 2015",SUMIF('TY Budget'!$A:$A,'Next 3-Months'!$A22,'LY Actual'!$F:$F),IF($K$4="MAY 2015",SUMIF('TY Budget'!$A:$A,'Next 3-Months'!$A22,'LY Actual'!$G:$G),IF($K$4="JUNE 2015",SUMIF('TY Budget'!$A:$A,'Next 3-Months'!$A22,'LY Actual'!$H:$H),IF($K$4="JULY 2015",SUMIF('TY Budget'!$A:$A,'Next 3-Months'!$A22,'LY Actual'!$I:$I),IF($K$4="AUGUST 2015",SUMIF('TY Budget'!$A:$A,'Next 3-Months'!$A22,'LY Actual'!$J:$J),IF($K$4="SEPTEMBER 2015",SUMIF('TY Budget'!$A:$A,'Next 3-Months'!$A22,'LY Actual'!$K:$K),IF($K$4="OCTOBER 2015",SUMIF('TY Budget'!$A:$A,'Next 3-Months'!$A22,'LY Actual'!$L:$L),IF($K$4="NOVEMBER 2015",SUMIF('TY Budget'!$A:$A,'Next 3-Months'!$A22,'LY Actual'!$M:$M),IF($K$4="DECEMBER 2015",SUMIF('TY Budget'!$A:$A,'Next 3-Months'!$A22,'LY Actual'!$N:$N),IF($K$4="JANUARY 2016",SUMIF('TY Budget'!$A:$A,'Next 3-Months'!$A22,'LY Actual'!$Q:$Q),IF($K$4="FEBRUARY 2016",SUMIF('TY Budget'!$A:$A,'Next 3-Months'!$A22,'LY Actual'!$R:$R),IF($K$4="MARCH 2016",SUMIF('TY Budget'!$A:$A,'Next 3-Months'!$A22,'LY Actual'!$S:$S),0))))))))))))))</f>
        <v>3213348.76</v>
      </c>
      <c r="O22" s="31">
        <f>(D22+H22+L22)-(C22+G22+K22)</f>
        <v>124089.90361914411</v>
      </c>
      <c r="P22" s="31">
        <f>(E22+I22+M22)-(C22+G22+K22)</f>
        <v>-1070453.5863808561</v>
      </c>
    </row>
    <row r="23" spans="1:16" ht="15" customHeight="1">
      <c r="A23" s="29" t="s">
        <v>186</v>
      </c>
      <c r="B23" s="36"/>
      <c r="C23" s="31">
        <f>SUBTOTAL(9,C24:C25)</f>
        <v>11187182.258100681</v>
      </c>
      <c r="D23" s="31">
        <f>SUBTOTAL(9,D24:D25)</f>
        <v>11704123</v>
      </c>
      <c r="E23" s="31">
        <f>SUBTOTAL(9,E24:E25)</f>
        <v>10508884.93</v>
      </c>
      <c r="F23" s="27"/>
      <c r="G23" s="31">
        <f>SUBTOTAL(9,G24:G25)</f>
        <v>10101214.793188199</v>
      </c>
      <c r="H23" s="31">
        <f>SUBTOTAL(9,H24:H25)</f>
        <v>10955000</v>
      </c>
      <c r="I23" s="31">
        <f>SUBTOTAL(9,I24:I25)</f>
        <v>9367908.5700000003</v>
      </c>
      <c r="J23" s="28"/>
      <c r="K23" s="31">
        <f t="shared" ref="K23:M23" si="5">SUBTOTAL(9,K24:K25)</f>
        <v>10365315.361747688</v>
      </c>
      <c r="L23" s="31">
        <f t="shared" si="5"/>
        <v>11474000</v>
      </c>
      <c r="M23" s="31">
        <f t="shared" si="5"/>
        <v>9976107.9199999999</v>
      </c>
      <c r="O23" s="31">
        <f t="shared" ref="O23:O28" si="6">(D23+H23+L23)-(C23+G23+K23)</f>
        <v>2479410.58696343</v>
      </c>
      <c r="P23" s="31">
        <f t="shared" ref="P23:P28" si="7">(E23+I23+M23)-(C23+G23+K23)</f>
        <v>-1800810.9930365682</v>
      </c>
    </row>
    <row r="24" spans="1:16" ht="15" customHeight="1">
      <c r="A24" s="36" t="s">
        <v>187</v>
      </c>
      <c r="B24" s="36"/>
      <c r="C24" s="31">
        <f>IF($C$4="FEBRUARY 2015",SUMIF('TY Actual-Forecast'!$A:$A,'Next 3-Months'!A24,'TY Actual-Forecast'!$D:$D),IF($C$4="MARCH 2015",SUMIF('TY Actual-Forecast'!$A:$A,'Next 3-Months'!A24,'TY Actual-Forecast'!$E:$E),IF($C$4="APRIL 2015",SUMIF('TY Actual-Forecast'!$A:$A,'Next 3-Months'!A24,'TY Actual-Forecast'!$F:$F),IF($C$4="MAY 2015",SUMIF('TY Actual-Forecast'!$A:$A,'Next 3-Months'!A24,'TY Actual-Forecast'!$G:$G),IF($C$4="JUNE 2015",SUMIF('TY Actual-Forecast'!$A:$A,'Next 3-Months'!A24,'TY Actual-Forecast'!$H:$H),IF($C$4="JULY 2015",SUMIF('TY Actual-Forecast'!$A:$A,'Next 3-Months'!A24,'TY Actual-Forecast'!$I:$I),IF($C$4="AUGUST 2015",SUMIF('TY Actual-Forecast'!$A:$A,'Next 3-Months'!A24,'TY Actual-Forecast'!$J:$J),IF($C$4="SEPTEMBER 2015",SUMIF('TY Actual-Forecast'!$A:$A,'Next 3-Months'!A24,'TY Actual-Forecast'!$K:$K),IF($C$4="OCTOBER 2015",SUMIF('TY Actual-Forecast'!$A:$A,'Next 3-Months'!A24,'TY Actual-Forecast'!$L:$L),IF($C$4="NOVEMBER 2015",SUMIF('TY Actual-Forecast'!$A:$A,'Next 3-Months'!A24,'TY Actual-Forecast'!$M:$M),IF($C$4="DECEMBER 2015",SUMIF('TY Actual-Forecast'!$A:$A,'Next 3-Months'!A24,'TY Actual-Forecast'!$N:$N),IF($C$4="JANUARY 2016",SUMIF('TY Actual-Forecast'!$A:$A,'Next 3-Months'!A24,'TY Actual-Forecast'!$Q:$Q),IF($C$4="FEBRUARY 2016",SUMIF('TY Actual-Forecast'!$A:$A,'Next 3-Months'!A24,'TY Actual-Forecast'!$R:$R),IF($C$4="MARCH 2016",SUMIF('TY Actual-Forecast'!$A:$A,'Next 3-Months'!A24,'TY Actual-Forecast'!$S:$S),0))))))))))))))</f>
        <v>6586423.5978276292</v>
      </c>
      <c r="D24" s="31">
        <f>IF($C$4="FEBRUARY 2015",SUMIF('TY Budget'!$A:$A,'Next 3-Months'!$A24,'TY Budget'!$D:$D),IF($C$4="MARCH 2015",SUMIF('TY Budget'!$A:$A,'Next 3-Months'!$A24,'TY Budget'!$E:$E),IF($C$4="APRIL 2015",SUMIF('TY Budget'!$A:$A,'Next 3-Months'!$A24,'TY Budget'!$F:$F),IF($C$4="MAY 2015",SUMIF('TY Budget'!$A:$A,'Next 3-Months'!$A24,'TY Budget'!$G:$G),IF($C$4="JUNE 2015",SUMIF('TY Budget'!$A:$A,'Next 3-Months'!$A24,'TY Budget'!$H:$H),IF($C$4="JULY 2015",SUMIF('TY Budget'!$A:$A,'Next 3-Months'!$A24,'TY Budget'!$I:$I),IF($C$4="AUGUST 2015",SUMIF('TY Budget'!$A:$A,'Next 3-Months'!$A24,'TY Budget'!$J:$J),IF($C$4="SEPTEMBER 2015",SUMIF('TY Budget'!$A:$A,'Next 3-Months'!$A24,'TY Budget'!$K:$K),IF($C$4="OCTOBER 2015",SUMIF('TY Budget'!$A:$A,'Next 3-Months'!$A24,'TY Budget'!$L:$L),IF($C$4="NOVEMBER 2015",SUMIF('TY Budget'!$A:$A,'Next 3-Months'!$A24,'TY Budget'!$M:$M),IF($C$4="DECEMBER 2015",SUMIF('TY Budget'!$A:$A,'Next 3-Months'!$A24,'TY Budget'!$N:$N),IF($C$4="JANUARY 2016",SUMIF('TY Budget'!$A:$A,'Next 3-Months'!$A24,'TY Budget'!$Q:$Q),IF($C$4="FEBRUARY 2016",SUMIF('TY Budget'!$A:$A,'Next 3-Months'!$A24,'TY Budget'!$R:$R),IF($C$4="MARCH 2016",SUMIF('TY Budget'!$A:$A,'Next 3-Months'!$A24,'TY Budget'!$S:$S),0))))))))))))))</f>
        <v>7084000</v>
      </c>
      <c r="E24" s="31">
        <f>IF($C$4="FEBRUARY 2015",SUMIF('TY Budget'!$A:$A,'Next 3-Months'!$A24,'LY Actual'!$D:$D),IF($C$4="MARCH 2015",SUMIF('TY Budget'!$A:$A,'Next 3-Months'!$A24,'LY Actual'!$E:$E),IF($C$4="APRIL 2015",SUMIF('TY Budget'!$A:$A,'Next 3-Months'!$A24,'LY Actual'!$F:$F),IF($C$4="MAY 2015",SUMIF('TY Budget'!$A:$A,'Next 3-Months'!$A24,'LY Actual'!$G:$G),IF($C$4="JUNE 2015",SUMIF('TY Budget'!$A:$A,'Next 3-Months'!$A24,'LY Actual'!$H:$H),IF($C$4="JULY 2015",SUMIF('TY Budget'!$A:$A,'Next 3-Months'!$A24,'LY Actual'!$I:$I),IF($C$4="AUGUST 2015",SUMIF('TY Budget'!$A:$A,'Next 3-Months'!$A24,'LY Actual'!$J:$J),IF($C$4="SEPTEMBER 2015",SUMIF('TY Budget'!$A:$A,'Next 3-Months'!$A24,'LY Actual'!$K:$K),IF($C$4="OCTOBER 2015",SUMIF('TY Budget'!$A:$A,'Next 3-Months'!$A24,'LY Actual'!$L:$L),IF($C$4="NOVEMBER 2015",SUMIF('TY Budget'!$A:$A,'Next 3-Months'!$A24,'LY Actual'!$M:$M),IF($C$4="DECEMBER 2015",SUMIF('TY Budget'!$A:$A,'Next 3-Months'!$A24,'LY Actual'!$N:$N),IF($C$4="JANUARY 2016",SUMIF('TY Budget'!$A:$A,'Next 3-Months'!$A24,'LY Actual'!$Q:$Q),IF($C$4="FEBRUARY 2016",SUMIF('TY Budget'!$A:$A,'Next 3-Months'!$A24,'LY Actual'!$R:$R),IF($C$4="MARCH 2016",SUMIF('TY Budget'!$A:$A,'Next 3-Months'!$A24,'LY Actual'!$S:$S),0))))))))))))))</f>
        <v>5610286.21</v>
      </c>
      <c r="F24" s="27"/>
      <c r="G24" s="31">
        <f>IF($G$4="FEBRUARY 2015",SUMIF('TY Actual-Forecast'!$A:$A,'Next 3-Months'!$A24,'TY Actual-Forecast'!$D:$D),IF($G$4="MARCH 2015",SUMIF('TY Actual-Forecast'!$A:$A,'Next 3-Months'!$A24,'TY Actual-Forecast'!$E:$E),IF($G$4="APRIL 2015",SUMIF('TY Actual-Forecast'!$A:$A,'Next 3-Months'!$A24,'TY Actual-Forecast'!$F:$F),IF($G$4="MAY 2015",SUMIF('TY Actual-Forecast'!$A:$A,'Next 3-Months'!$A24,'TY Actual-Forecast'!$G:$G),IF($G$4="JUNE 2015",SUMIF('TY Actual-Forecast'!$A:$A,'Next 3-Months'!$A24,'TY Actual-Forecast'!$H:$H),IF($G$4="JULY 2015",SUMIF('TY Actual-Forecast'!$A:$A,'Next 3-Months'!$A24,'TY Actual-Forecast'!$I:$I),IF($G$4="AUGUST 2015",SUMIF('TY Actual-Forecast'!$A:$A,'Next 3-Months'!$A24,'TY Actual-Forecast'!$J:$J),IF($G$4="SEPTEMBER 2015",SUMIF('TY Actual-Forecast'!$A:$A,'Next 3-Months'!$A24,'TY Actual-Forecast'!$K:$K),IF($G$4="OCTOBER 2015",SUMIF('TY Actual-Forecast'!$A:$A,'Next 3-Months'!$A24,'TY Actual-Forecast'!$L:$L),IF($G$4="NOVEMBER 2015",SUMIF('TY Actual-Forecast'!$A:$A,'Next 3-Months'!$A24,'TY Actual-Forecast'!$M:$M),IF($G$4="DECEMBER 2015",SUMIF('TY Actual-Forecast'!$A:$A,'Next 3-Months'!$A24,'TY Actual-Forecast'!$N:$N),IF($G$4="JANUARY 2016",SUMIF('TY Actual-Forecast'!$A:$A,'Next 3-Months'!$A24,'TY Actual-Forecast'!$Q:$Q),IF($G$4="FEBRUARY 2016",SUMIF('TY Actual-Forecast'!$A:$A,'Next 3-Months'!$A24,'TY Actual-Forecast'!$R:$R),IF($G$4="MARCH 2016",SUMIF('TY Actual-Forecast'!$A:$A,'Next 3-Months'!$A24,'TY Actual-Forecast'!$S:$S),0))))))))))))))</f>
        <v>5321070.6174101047</v>
      </c>
      <c r="H24" s="31">
        <f>IF($G$4="FEBRUARY 2015",SUMIF('TY Budget'!$A:$A,'Next 3-Months'!$A24,'TY Budget'!$D:$D),IF($G$4="MARCH 2015",SUMIF('TY Budget'!$A:$A,'Next 3-Months'!$A24,'TY Budget'!$E:$E),IF($G$4="APRIL 2015",SUMIF('TY Budget'!$A:$A,'Next 3-Months'!$A24,'TY Budget'!$F:$F),IF($G$4="MAY 2015",SUMIF('TY Budget'!$A:$A,'Next 3-Months'!$A24,'TY Budget'!$G:$G),IF($G$4="JUNE 2015",SUMIF('TY Budget'!$A:$A,'Next 3-Months'!$A24,'TY Budget'!$H:$H),IF($G$4="JULY 2015",SUMIF('TY Budget'!$A:$A,'Next 3-Months'!$A24,'TY Budget'!$I:$I),IF($G$4="AUGUST 2015",SUMIF('TY Budget'!$A:$A,'Next 3-Months'!$A24,'TY Budget'!$J:$J),IF($G$4="SEPTEMBER 2015",SUMIF('TY Budget'!$A:$A,'Next 3-Months'!$A24,'TY Budget'!$K:$K),IF($G$4="OCTOBER 2015",SUMIF('TY Budget'!$A:$A,'Next 3-Months'!$A24,'TY Budget'!$L:$L),IF($G$4="NOVEMBER 2015",SUMIF('TY Budget'!$A:$A,'Next 3-Months'!$A24,'TY Budget'!$M:$M),IF($G$4="DECEMBER 2015",SUMIF('TY Budget'!$A:$A,'Next 3-Months'!$A24,'TY Budget'!$N:$N),IF($G$4="JANUARY 2016",SUMIF('TY Budget'!$A:$A,'Next 3-Months'!$A24,'TY Budget'!$Q:$Q),IF($G$4="FEBRUARY 2016",SUMIF('TY Budget'!$A:$A,'Next 3-Months'!$A24,'TY Budget'!$R:$R),IF($G$4="MARCH 2016",SUMIF('TY Budget'!$A:$A,'Next 3-Months'!$A24,'TY Budget'!$S:$S),0))))))))))))))</f>
        <v>6123000</v>
      </c>
      <c r="I24" s="31">
        <f>IF($G$4="FEBRUARY 2015",SUMIF('TY Budget'!$A:$A,'Next 3-Months'!$A24,'LY Actual'!$D:$D),IF($G$4="MARCH 2015",SUMIF('TY Budget'!$A:$A,'Next 3-Months'!$A24,'LY Actual'!$E:$E),IF($G$4="APRIL 2015",SUMIF('TY Budget'!$A:$A,'Next 3-Months'!$A24,'LY Actual'!$F:$F),IF($G$4="MAY 2015",SUMIF('TY Budget'!$A:$A,'Next 3-Months'!$A24,'LY Actual'!$G:$G),IF($G$4="JUNE 2015",SUMIF('TY Budget'!$A:$A,'Next 3-Months'!$A24,'LY Actual'!$H:$H),IF($G$4="JULY 2015",SUMIF('TY Budget'!$A:$A,'Next 3-Months'!$A24,'LY Actual'!$I:$I),IF($G$4="AUGUST 2015",SUMIF('TY Budget'!$A:$A,'Next 3-Months'!$A24,'LY Actual'!$J:$J),IF($G$4="SEPTEMBER 2015",SUMIF('TY Budget'!$A:$A,'Next 3-Months'!$A24,'LY Actual'!$K:$K),IF($G$4="OCTOBER 2015",SUMIF('TY Budget'!$A:$A,'Next 3-Months'!$A24,'LY Actual'!$L:$L),IF($G$4="NOVEMBER 2015",SUMIF('TY Budget'!$A:$A,'Next 3-Months'!$A24,'LY Actual'!$M:$M),IF($G$4="DECEMBER 2015",SUMIF('TY Budget'!$A:$A,'Next 3-Months'!$A24,'LY Actual'!$N:$N),IF($G$4="JANUARY 2016",SUMIF('TY Budget'!$A:$A,'Next 3-Months'!$A24,'LY Actual'!$Q:$Q),IF($G$4="FEBRUARY 2016",SUMIF('TY Budget'!$A:$A,'Next 3-Months'!$A24,'LY Actual'!$R:$R),IF($G$4="MARCH 2016",SUMIF('TY Budget'!$A:$A,'Next 3-Months'!$A24,'LY Actual'!$S:$S),0))))))))))))))</f>
        <v>4885263.47</v>
      </c>
      <c r="J24" s="28"/>
      <c r="K24" s="31">
        <f>IF($K$4="FEBRUARY 2015",SUMIF('TY Actual-Forecast'!$A:$A,'Next 3-Months'!$A24,'TY Actual-Forecast'!$D:$D),IF($K$4="MARCH 2015",SUMIF('TY Actual-Forecast'!$A:$A,'Next 3-Months'!$A24,'TY Actual-Forecast'!$E:$E),IF($K$4="APRIL 2015",SUMIF('TY Actual-Forecast'!$A:$A,'Next 3-Months'!$A24,'TY Actual-Forecast'!$F:$F),IF($K$4="MAY 2015",SUMIF('TY Actual-Forecast'!$A:$A,'Next 3-Months'!$A24,'TY Actual-Forecast'!$G:$G),IF($K$4="JUNE 2015",SUMIF('TY Actual-Forecast'!$A:$A,'Next 3-Months'!$A24,'TY Actual-Forecast'!$H:$H),IF($K$4="JULY 2015",SUMIF('TY Actual-Forecast'!$A:$A,'Next 3-Months'!$A24,'TY Actual-Forecast'!$I:$I),IF($K$4="AUGUST 2015",SUMIF('TY Actual-Forecast'!$A:$A,'Next 3-Months'!$A24,'TY Actual-Forecast'!$J:$J),IF($K$4="SEPTEMBER 2015",SUMIF('TY Actual-Forecast'!$A:$A,'Next 3-Months'!$A24,'TY Actual-Forecast'!$K:$K),IF($K$4="OCTOBER 2015",SUMIF('TY Actual-Forecast'!$A:$A,'Next 3-Months'!$A24,'TY Actual-Forecast'!$L:$L),IF($K$4="NOVEMBER 2015",SUMIF('TY Actual-Forecast'!$A:$A,'Next 3-Months'!$A24,'TY Actual-Forecast'!$M:$M),IF($K$4="DECEMBER 2015",SUMIF('TY Actual-Forecast'!$A:$A,'Next 3-Months'!$A24,'TY Actual-Forecast'!$N:$N),IF($K$4="JANUARY 2016",SUMIF('TY Actual-Forecast'!$A:$A,'Next 3-Months'!$A24,'TY Actual-Forecast'!$Q:$Q),IF($K$4="FEBRUARY 2016",SUMIF('TY Actual-Forecast'!$A:$A,'Next 3-Months'!$A24,'TY Actual-Forecast'!$R:$R),IF($K$4="MARCH 2016",SUMIF('TY Actual-Forecast'!$A:$A,'Next 3-Months'!$A24,'TY Actual-Forecast'!$S:$S),0))))))))))))))</f>
        <v>5441923.5705934651</v>
      </c>
      <c r="L24" s="31">
        <f>IF($K$4="FEBRUARY 2015",SUMIF('TY Budget'!$A:$A,'Next 3-Months'!$A24,'TY Budget'!$D:$D),IF($K$4="MARCH 2015",SUMIF('TY Budget'!$A:$A,'Next 3-Months'!$A24,'TY Budget'!$E:$E),IF($K$4="APRIL 2015",SUMIF('TY Budget'!$A:$A,'Next 3-Months'!$A24,'TY Budget'!$F:$F),IF($K$4="MAY 2015",SUMIF('TY Budget'!$A:$A,'Next 3-Months'!$A24,'TY Budget'!$G:$G),IF($K$4="JUNE 2015",SUMIF('TY Budget'!$A:$A,'Next 3-Months'!$A24,'TY Budget'!$H:$H),IF($K$4="JULY 2015",SUMIF('TY Budget'!$A:$A,'Next 3-Months'!$A24,'TY Budget'!$I:$I),IF($K$4="AUGUST 2015",SUMIF('TY Budget'!$A:$A,'Next 3-Months'!$A24,'TY Budget'!$J:$J),IF($K$4="SEPTEMBER 2015",SUMIF('TY Budget'!$A:$A,'Next 3-Months'!$A24,'TY Budget'!$K:$K),IF($K$4="OCTOBER 2015",SUMIF('TY Budget'!$A:$A,'Next 3-Months'!$A24,'TY Budget'!$L:$L),IF($K$4="NOVEMBER 2015",SUMIF('TY Budget'!$A:$A,'Next 3-Months'!$A24,'TY Budget'!$M:$M),IF($K$4="DECEMBER 2015",SUMIF('TY Budget'!$A:$A,'Next 3-Months'!$A24,'TY Budget'!$N:$N),IF($K$4="JANUARY 2016",SUMIF('TY Budget'!$A:$A,'Next 3-Months'!$A24,'TY Budget'!$Q:$Q),IF($K$4="FEBRUARY 2016",SUMIF('TY Budget'!$A:$A,'Next 3-Months'!$A24,'TY Budget'!$R:$R),IF($K$4="MARCH 2016",SUMIF('TY Budget'!$A:$A,'Next 3-Months'!$A24,'TY Budget'!$S:$S),0))))))))))))))</f>
        <v>6474000</v>
      </c>
      <c r="M24" s="31">
        <f>IF($K$4="FEBRUARY 2015",SUMIF('TY Budget'!$A:$A,'Next 3-Months'!$A24,'LY Actual'!$D:$D),IF($K$4="MARCH 2015",SUMIF('TY Budget'!$A:$A,'Next 3-Months'!$A24,'LY Actual'!$E:$E),IF($K$4="APRIL 2015",SUMIF('TY Budget'!$A:$A,'Next 3-Months'!$A24,'LY Actual'!$F:$F),IF($K$4="MAY 2015",SUMIF('TY Budget'!$A:$A,'Next 3-Months'!$A24,'LY Actual'!$G:$G),IF($K$4="JUNE 2015",SUMIF('TY Budget'!$A:$A,'Next 3-Months'!$A24,'LY Actual'!$H:$H),IF($K$4="JULY 2015",SUMIF('TY Budget'!$A:$A,'Next 3-Months'!$A24,'LY Actual'!$I:$I),IF($K$4="AUGUST 2015",SUMIF('TY Budget'!$A:$A,'Next 3-Months'!$A24,'LY Actual'!$J:$J),IF($K$4="SEPTEMBER 2015",SUMIF('TY Budget'!$A:$A,'Next 3-Months'!$A24,'LY Actual'!$K:$K),IF($K$4="OCTOBER 2015",SUMIF('TY Budget'!$A:$A,'Next 3-Months'!$A24,'LY Actual'!$L:$L),IF($K$4="NOVEMBER 2015",SUMIF('TY Budget'!$A:$A,'Next 3-Months'!$A24,'LY Actual'!$M:$M),IF($K$4="DECEMBER 2015",SUMIF('TY Budget'!$A:$A,'Next 3-Months'!$A24,'LY Actual'!$N:$N),IF($K$4="JANUARY 2016",SUMIF('TY Budget'!$A:$A,'Next 3-Months'!$A24,'LY Actual'!$Q:$Q),IF($K$4="FEBRUARY 2016",SUMIF('TY Budget'!$A:$A,'Next 3-Months'!$A24,'LY Actual'!$R:$R),IF($K$4="MARCH 2016",SUMIF('TY Budget'!$A:$A,'Next 3-Months'!$A24,'LY Actual'!$S:$S),0))))))))))))))</f>
        <v>5320831.7699999996</v>
      </c>
      <c r="O24" s="31">
        <f t="shared" si="6"/>
        <v>2331582.2141688019</v>
      </c>
      <c r="P24" s="31">
        <f t="shared" si="7"/>
        <v>-1533036.3358311988</v>
      </c>
    </row>
    <row r="25" spans="1:16" s="24" customFormat="1" ht="15" customHeight="1">
      <c r="A25" s="36" t="s">
        <v>287</v>
      </c>
      <c r="B25" s="36"/>
      <c r="C25" s="31">
        <f>IF($C$4="FEBRUARY 2015",SUMIF('TY Actual-Forecast'!$A:$A,'Next 3-Months'!A25,'TY Actual-Forecast'!$D:$D),IF($C$4="MARCH 2015",SUMIF('TY Actual-Forecast'!$A:$A,'Next 3-Months'!A25,'TY Actual-Forecast'!$E:$E),IF($C$4="APRIL 2015",SUMIF('TY Actual-Forecast'!$A:$A,'Next 3-Months'!A25,'TY Actual-Forecast'!$F:$F),IF($C$4="MAY 2015",SUMIF('TY Actual-Forecast'!$A:$A,'Next 3-Months'!A25,'TY Actual-Forecast'!$G:$G),IF($C$4="JUNE 2015",SUMIF('TY Actual-Forecast'!$A:$A,'Next 3-Months'!A25,'TY Actual-Forecast'!$H:$H),IF($C$4="JULY 2015",SUMIF('TY Actual-Forecast'!$A:$A,'Next 3-Months'!A25,'TY Actual-Forecast'!$I:$I),IF($C$4="AUGUST 2015",SUMIF('TY Actual-Forecast'!$A:$A,'Next 3-Months'!A25,'TY Actual-Forecast'!$J:$J),IF($C$4="SEPTEMBER 2015",SUMIF('TY Actual-Forecast'!$A:$A,'Next 3-Months'!A25,'TY Actual-Forecast'!$K:$K),IF($C$4="OCTOBER 2015",SUMIF('TY Actual-Forecast'!$A:$A,'Next 3-Months'!A25,'TY Actual-Forecast'!$L:$L),IF($C$4="NOVEMBER 2015",SUMIF('TY Actual-Forecast'!$A:$A,'Next 3-Months'!A25,'TY Actual-Forecast'!$M:$M),IF($C$4="DECEMBER 2015",SUMIF('TY Actual-Forecast'!$A:$A,'Next 3-Months'!A25,'TY Actual-Forecast'!$N:$N),IF($C$4="JANUARY 2016",SUMIF('TY Actual-Forecast'!$A:$A,'Next 3-Months'!A25,'TY Actual-Forecast'!$Q:$Q),IF($C$4="FEBRUARY 2016",SUMIF('TY Actual-Forecast'!$A:$A,'Next 3-Months'!A25,'TY Actual-Forecast'!$R:$R),IF($C$4="MARCH 2016",SUMIF('TY Actual-Forecast'!$A:$A,'Next 3-Months'!A25,'TY Actual-Forecast'!$S:$S),0))))))))))))))</f>
        <v>4600758.6602730518</v>
      </c>
      <c r="D25" s="31">
        <f>IF($C$4="FEBRUARY 2015",SUMIF('TY Budget'!$A:$A,'Next 3-Months'!$A25,'TY Budget'!$D:$D),IF($C$4="MARCH 2015",SUMIF('TY Budget'!$A:$A,'Next 3-Months'!$A25,'TY Budget'!$E:$E),IF($C$4="APRIL 2015",SUMIF('TY Budget'!$A:$A,'Next 3-Months'!$A25,'TY Budget'!$F:$F),IF($C$4="MAY 2015",SUMIF('TY Budget'!$A:$A,'Next 3-Months'!$A25,'TY Budget'!$G:$G),IF($C$4="JUNE 2015",SUMIF('TY Budget'!$A:$A,'Next 3-Months'!$A25,'TY Budget'!$H:$H),IF($C$4="JULY 2015",SUMIF('TY Budget'!$A:$A,'Next 3-Months'!$A25,'TY Budget'!$I:$I),IF($C$4="AUGUST 2015",SUMIF('TY Budget'!$A:$A,'Next 3-Months'!$A25,'TY Budget'!$J:$J),IF($C$4="SEPTEMBER 2015",SUMIF('TY Budget'!$A:$A,'Next 3-Months'!$A25,'TY Budget'!$K:$K),IF($C$4="OCTOBER 2015",SUMIF('TY Budget'!$A:$A,'Next 3-Months'!$A25,'TY Budget'!$L:$L),IF($C$4="NOVEMBER 2015",SUMIF('TY Budget'!$A:$A,'Next 3-Months'!$A25,'TY Budget'!$M:$M),IF($C$4="DECEMBER 2015",SUMIF('TY Budget'!$A:$A,'Next 3-Months'!$A25,'TY Budget'!$N:$N),IF($C$4="JANUARY 2016",SUMIF('TY Budget'!$A:$A,'Next 3-Months'!$A25,'TY Budget'!$Q:$Q),IF($C$4="FEBRUARY 2016",SUMIF('TY Budget'!$A:$A,'Next 3-Months'!$A25,'TY Budget'!$R:$R),IF($C$4="MARCH 2016",SUMIF('TY Budget'!$A:$A,'Next 3-Months'!$A25,'TY Budget'!$S:$S),0))))))))))))))</f>
        <v>4620123</v>
      </c>
      <c r="E25" s="31">
        <f>IF($C$4="FEBRUARY 2015",SUMIF('TY Budget'!$A:$A,'Next 3-Months'!$A25,'LY Actual'!$D:$D),IF($C$4="MARCH 2015",SUMIF('TY Budget'!$A:$A,'Next 3-Months'!$A25,'LY Actual'!$E:$E),IF($C$4="APRIL 2015",SUMIF('TY Budget'!$A:$A,'Next 3-Months'!$A25,'LY Actual'!$F:$F),IF($C$4="MAY 2015",SUMIF('TY Budget'!$A:$A,'Next 3-Months'!$A25,'LY Actual'!$G:$G),IF($C$4="JUNE 2015",SUMIF('TY Budget'!$A:$A,'Next 3-Months'!$A25,'LY Actual'!$H:$H),IF($C$4="JULY 2015",SUMIF('TY Budget'!$A:$A,'Next 3-Months'!$A25,'LY Actual'!$I:$I),IF($C$4="AUGUST 2015",SUMIF('TY Budget'!$A:$A,'Next 3-Months'!$A25,'LY Actual'!$J:$J),IF($C$4="SEPTEMBER 2015",SUMIF('TY Budget'!$A:$A,'Next 3-Months'!$A25,'LY Actual'!$K:$K),IF($C$4="OCTOBER 2015",SUMIF('TY Budget'!$A:$A,'Next 3-Months'!$A25,'LY Actual'!$L:$L),IF($C$4="NOVEMBER 2015",SUMIF('TY Budget'!$A:$A,'Next 3-Months'!$A25,'LY Actual'!$M:$M),IF($C$4="DECEMBER 2015",SUMIF('TY Budget'!$A:$A,'Next 3-Months'!$A25,'LY Actual'!$N:$N),IF($C$4="JANUARY 2016",SUMIF('TY Budget'!$A:$A,'Next 3-Months'!$A25,'LY Actual'!$Q:$Q),IF($C$4="FEBRUARY 2016",SUMIF('TY Budget'!$A:$A,'Next 3-Months'!$A25,'LY Actual'!$R:$R),IF($C$4="MARCH 2016",SUMIF('TY Budget'!$A:$A,'Next 3-Months'!$A25,'LY Actual'!$S:$S),0))))))))))))))</f>
        <v>4898598.72</v>
      </c>
      <c r="F25" s="37"/>
      <c r="G25" s="31">
        <f>IF($G$4="FEBRUARY 2015",SUMIF('TY Actual-Forecast'!$A:$A,'Next 3-Months'!$A25,'TY Actual-Forecast'!$D:$D),IF($G$4="MARCH 2015",SUMIF('TY Actual-Forecast'!$A:$A,'Next 3-Months'!$A25,'TY Actual-Forecast'!$E:$E),IF($G$4="APRIL 2015",SUMIF('TY Actual-Forecast'!$A:$A,'Next 3-Months'!$A25,'TY Actual-Forecast'!$F:$F),IF($G$4="MAY 2015",SUMIF('TY Actual-Forecast'!$A:$A,'Next 3-Months'!$A25,'TY Actual-Forecast'!$G:$G),IF($G$4="JUNE 2015",SUMIF('TY Actual-Forecast'!$A:$A,'Next 3-Months'!$A25,'TY Actual-Forecast'!$H:$H),IF($G$4="JULY 2015",SUMIF('TY Actual-Forecast'!$A:$A,'Next 3-Months'!$A25,'TY Actual-Forecast'!$I:$I),IF($G$4="AUGUST 2015",SUMIF('TY Actual-Forecast'!$A:$A,'Next 3-Months'!$A25,'TY Actual-Forecast'!$J:$J),IF($G$4="SEPTEMBER 2015",SUMIF('TY Actual-Forecast'!$A:$A,'Next 3-Months'!$A25,'TY Actual-Forecast'!$K:$K),IF($G$4="OCTOBER 2015",SUMIF('TY Actual-Forecast'!$A:$A,'Next 3-Months'!$A25,'TY Actual-Forecast'!$L:$L),IF($G$4="NOVEMBER 2015",SUMIF('TY Actual-Forecast'!$A:$A,'Next 3-Months'!$A25,'TY Actual-Forecast'!$M:$M),IF($G$4="DECEMBER 2015",SUMIF('TY Actual-Forecast'!$A:$A,'Next 3-Months'!$A25,'TY Actual-Forecast'!$N:$N),IF($G$4="JANUARY 2016",SUMIF('TY Actual-Forecast'!$A:$A,'Next 3-Months'!$A25,'TY Actual-Forecast'!$Q:$Q),IF($G$4="FEBRUARY 2016",SUMIF('TY Actual-Forecast'!$A:$A,'Next 3-Months'!$A25,'TY Actual-Forecast'!$R:$R),IF($G$4="MARCH 2016",SUMIF('TY Actual-Forecast'!$A:$A,'Next 3-Months'!$A25,'TY Actual-Forecast'!$S:$S),0))))))))))))))</f>
        <v>4780144.1757780947</v>
      </c>
      <c r="H25" s="31">
        <f>IF($G$4="FEBRUARY 2015",SUMIF('TY Budget'!$A:$A,'Next 3-Months'!$A25,'TY Budget'!$D:$D),IF($G$4="MARCH 2015",SUMIF('TY Budget'!$A:$A,'Next 3-Months'!$A25,'TY Budget'!$E:$E),IF($G$4="APRIL 2015",SUMIF('TY Budget'!$A:$A,'Next 3-Months'!$A25,'TY Budget'!$F:$F),IF($G$4="MAY 2015",SUMIF('TY Budget'!$A:$A,'Next 3-Months'!$A25,'TY Budget'!$G:$G),IF($G$4="JUNE 2015",SUMIF('TY Budget'!$A:$A,'Next 3-Months'!$A25,'TY Budget'!$H:$H),IF($G$4="JULY 2015",SUMIF('TY Budget'!$A:$A,'Next 3-Months'!$A25,'TY Budget'!$I:$I),IF($G$4="AUGUST 2015",SUMIF('TY Budget'!$A:$A,'Next 3-Months'!$A25,'TY Budget'!$J:$J),IF($G$4="SEPTEMBER 2015",SUMIF('TY Budget'!$A:$A,'Next 3-Months'!$A25,'TY Budget'!$K:$K),IF($G$4="OCTOBER 2015",SUMIF('TY Budget'!$A:$A,'Next 3-Months'!$A25,'TY Budget'!$L:$L),IF($G$4="NOVEMBER 2015",SUMIF('TY Budget'!$A:$A,'Next 3-Months'!$A25,'TY Budget'!$M:$M),IF($G$4="DECEMBER 2015",SUMIF('TY Budget'!$A:$A,'Next 3-Months'!$A25,'TY Budget'!$N:$N),IF($G$4="JANUARY 2016",SUMIF('TY Budget'!$A:$A,'Next 3-Months'!$A25,'TY Budget'!$Q:$Q),IF($G$4="FEBRUARY 2016",SUMIF('TY Budget'!$A:$A,'Next 3-Months'!$A25,'TY Budget'!$R:$R),IF($G$4="MARCH 2016",SUMIF('TY Budget'!$A:$A,'Next 3-Months'!$A25,'TY Budget'!$S:$S),0))))))))))))))</f>
        <v>4832000</v>
      </c>
      <c r="I25" s="31">
        <f>IF($G$4="FEBRUARY 2015",SUMIF('TY Budget'!$A:$A,'Next 3-Months'!$A25,'LY Actual'!$D:$D),IF($G$4="MARCH 2015",SUMIF('TY Budget'!$A:$A,'Next 3-Months'!$A25,'LY Actual'!$E:$E),IF($G$4="APRIL 2015",SUMIF('TY Budget'!$A:$A,'Next 3-Months'!$A25,'LY Actual'!$F:$F),IF($G$4="MAY 2015",SUMIF('TY Budget'!$A:$A,'Next 3-Months'!$A25,'LY Actual'!$G:$G),IF($G$4="JUNE 2015",SUMIF('TY Budget'!$A:$A,'Next 3-Months'!$A25,'LY Actual'!$H:$H),IF($G$4="JULY 2015",SUMIF('TY Budget'!$A:$A,'Next 3-Months'!$A25,'LY Actual'!$I:$I),IF($G$4="AUGUST 2015",SUMIF('TY Budget'!$A:$A,'Next 3-Months'!$A25,'LY Actual'!$J:$J),IF($G$4="SEPTEMBER 2015",SUMIF('TY Budget'!$A:$A,'Next 3-Months'!$A25,'LY Actual'!$K:$K),IF($G$4="OCTOBER 2015",SUMIF('TY Budget'!$A:$A,'Next 3-Months'!$A25,'LY Actual'!$L:$L),IF($G$4="NOVEMBER 2015",SUMIF('TY Budget'!$A:$A,'Next 3-Months'!$A25,'LY Actual'!$M:$M),IF($G$4="DECEMBER 2015",SUMIF('TY Budget'!$A:$A,'Next 3-Months'!$A25,'LY Actual'!$N:$N),IF($G$4="JANUARY 2016",SUMIF('TY Budget'!$A:$A,'Next 3-Months'!$A25,'LY Actual'!$Q:$Q),IF($G$4="FEBRUARY 2016",SUMIF('TY Budget'!$A:$A,'Next 3-Months'!$A25,'LY Actual'!$R:$R),IF($G$4="MARCH 2016",SUMIF('TY Budget'!$A:$A,'Next 3-Months'!$A25,'LY Actual'!$S:$S),0))))))))))))))</f>
        <v>4482645.0999999996</v>
      </c>
      <c r="J25" s="38"/>
      <c r="K25" s="31">
        <f>IF($K$4="FEBRUARY 2015",SUMIF('TY Actual-Forecast'!$A:$A,'Next 3-Months'!$A25,'TY Actual-Forecast'!$D:$D),IF($K$4="MARCH 2015",SUMIF('TY Actual-Forecast'!$A:$A,'Next 3-Months'!$A25,'TY Actual-Forecast'!$E:$E),IF($K$4="APRIL 2015",SUMIF('TY Actual-Forecast'!$A:$A,'Next 3-Months'!$A25,'TY Actual-Forecast'!$F:$F),IF($K$4="MAY 2015",SUMIF('TY Actual-Forecast'!$A:$A,'Next 3-Months'!$A25,'TY Actual-Forecast'!$G:$G),IF($K$4="JUNE 2015",SUMIF('TY Actual-Forecast'!$A:$A,'Next 3-Months'!$A25,'TY Actual-Forecast'!$H:$H),IF($K$4="JULY 2015",SUMIF('TY Actual-Forecast'!$A:$A,'Next 3-Months'!$A25,'TY Actual-Forecast'!$I:$I),IF($K$4="AUGUST 2015",SUMIF('TY Actual-Forecast'!$A:$A,'Next 3-Months'!$A25,'TY Actual-Forecast'!$J:$J),IF($K$4="SEPTEMBER 2015",SUMIF('TY Actual-Forecast'!$A:$A,'Next 3-Months'!$A25,'TY Actual-Forecast'!$K:$K),IF($K$4="OCTOBER 2015",SUMIF('TY Actual-Forecast'!$A:$A,'Next 3-Months'!$A25,'TY Actual-Forecast'!$L:$L),IF($K$4="NOVEMBER 2015",SUMIF('TY Actual-Forecast'!$A:$A,'Next 3-Months'!$A25,'TY Actual-Forecast'!$M:$M),IF($K$4="DECEMBER 2015",SUMIF('TY Actual-Forecast'!$A:$A,'Next 3-Months'!$A25,'TY Actual-Forecast'!$N:$N),IF($K$4="JANUARY 2016",SUMIF('TY Actual-Forecast'!$A:$A,'Next 3-Months'!$A25,'TY Actual-Forecast'!$Q:$Q),IF($K$4="FEBRUARY 2016",SUMIF('TY Actual-Forecast'!$A:$A,'Next 3-Months'!$A25,'TY Actual-Forecast'!$R:$R),IF($K$4="MARCH 2016",SUMIF('TY Actual-Forecast'!$A:$A,'Next 3-Months'!$A25,'TY Actual-Forecast'!$S:$S),0))))))))))))))</f>
        <v>4923391.7911542226</v>
      </c>
      <c r="L25" s="31">
        <f>IF($K$4="FEBRUARY 2015",SUMIF('TY Budget'!$A:$A,'Next 3-Months'!$A25,'TY Budget'!$D:$D),IF($K$4="MARCH 2015",SUMIF('TY Budget'!$A:$A,'Next 3-Months'!$A25,'TY Budget'!$E:$E),IF($K$4="APRIL 2015",SUMIF('TY Budget'!$A:$A,'Next 3-Months'!$A25,'TY Budget'!$F:$F),IF($K$4="MAY 2015",SUMIF('TY Budget'!$A:$A,'Next 3-Months'!$A25,'TY Budget'!$G:$G),IF($K$4="JUNE 2015",SUMIF('TY Budget'!$A:$A,'Next 3-Months'!$A25,'TY Budget'!$H:$H),IF($K$4="JULY 2015",SUMIF('TY Budget'!$A:$A,'Next 3-Months'!$A25,'TY Budget'!$I:$I),IF($K$4="AUGUST 2015",SUMIF('TY Budget'!$A:$A,'Next 3-Months'!$A25,'TY Budget'!$J:$J),IF($K$4="SEPTEMBER 2015",SUMIF('TY Budget'!$A:$A,'Next 3-Months'!$A25,'TY Budget'!$K:$K),IF($K$4="OCTOBER 2015",SUMIF('TY Budget'!$A:$A,'Next 3-Months'!$A25,'TY Budget'!$L:$L),IF($K$4="NOVEMBER 2015",SUMIF('TY Budget'!$A:$A,'Next 3-Months'!$A25,'TY Budget'!$M:$M),IF($K$4="DECEMBER 2015",SUMIF('TY Budget'!$A:$A,'Next 3-Months'!$A25,'TY Budget'!$N:$N),IF($K$4="JANUARY 2016",SUMIF('TY Budget'!$A:$A,'Next 3-Months'!$A25,'TY Budget'!$Q:$Q),IF($K$4="FEBRUARY 2016",SUMIF('TY Budget'!$A:$A,'Next 3-Months'!$A25,'TY Budget'!$R:$R),IF($K$4="MARCH 2016",SUMIF('TY Budget'!$A:$A,'Next 3-Months'!$A25,'TY Budget'!$S:$S),0))))))))))))))</f>
        <v>5000000</v>
      </c>
      <c r="M25" s="31">
        <f>IF($K$4="FEBRUARY 2015",SUMIF('TY Budget'!$A:$A,'Next 3-Months'!$A25,'LY Actual'!$D:$D),IF($K$4="MARCH 2015",SUMIF('TY Budget'!$A:$A,'Next 3-Months'!$A25,'LY Actual'!$E:$E),IF($K$4="APRIL 2015",SUMIF('TY Budget'!$A:$A,'Next 3-Months'!$A25,'LY Actual'!$F:$F),IF($K$4="MAY 2015",SUMIF('TY Budget'!$A:$A,'Next 3-Months'!$A25,'LY Actual'!$G:$G),IF($K$4="JUNE 2015",SUMIF('TY Budget'!$A:$A,'Next 3-Months'!$A25,'LY Actual'!$H:$H),IF($K$4="JULY 2015",SUMIF('TY Budget'!$A:$A,'Next 3-Months'!$A25,'LY Actual'!$I:$I),IF($K$4="AUGUST 2015",SUMIF('TY Budget'!$A:$A,'Next 3-Months'!$A25,'LY Actual'!$J:$J),IF($K$4="SEPTEMBER 2015",SUMIF('TY Budget'!$A:$A,'Next 3-Months'!$A25,'LY Actual'!$K:$K),IF($K$4="OCTOBER 2015",SUMIF('TY Budget'!$A:$A,'Next 3-Months'!$A25,'LY Actual'!$L:$L),IF($K$4="NOVEMBER 2015",SUMIF('TY Budget'!$A:$A,'Next 3-Months'!$A25,'LY Actual'!$M:$M),IF($K$4="DECEMBER 2015",SUMIF('TY Budget'!$A:$A,'Next 3-Months'!$A25,'LY Actual'!$N:$N),IF($K$4="JANUARY 2016",SUMIF('TY Budget'!$A:$A,'Next 3-Months'!$A25,'LY Actual'!$Q:$Q),IF($K$4="FEBRUARY 2016",SUMIF('TY Budget'!$A:$A,'Next 3-Months'!$A25,'LY Actual'!$R:$R),IF($K$4="MARCH 2016",SUMIF('TY Budget'!$A:$A,'Next 3-Months'!$A25,'LY Actual'!$S:$S),0))))))))))))))</f>
        <v>4655276.1500000004</v>
      </c>
      <c r="O25" s="31">
        <f t="shared" si="6"/>
        <v>147828.37279463001</v>
      </c>
      <c r="P25" s="31">
        <f t="shared" si="7"/>
        <v>-267774.65720536932</v>
      </c>
    </row>
    <row r="26" spans="1:16" ht="15" customHeight="1">
      <c r="A26" s="29" t="s">
        <v>157</v>
      </c>
      <c r="B26" s="1"/>
      <c r="C26" s="31">
        <f>SUBTOTAL(9,C27:C28)</f>
        <v>125751.5</v>
      </c>
      <c r="D26" s="31">
        <f>SUBTOTAL(9,D27:D28)</f>
        <v>126000</v>
      </c>
      <c r="E26" s="31">
        <f>SUBTOTAL(9,E27:E28)</f>
        <v>192588.29</v>
      </c>
      <c r="F26" s="37"/>
      <c r="G26" s="31">
        <f>SUBTOTAL(9,G27:G28)</f>
        <v>107384.5</v>
      </c>
      <c r="H26" s="31">
        <f>SUBTOTAL(9,H27:H28)</f>
        <v>107000</v>
      </c>
      <c r="I26" s="31">
        <f>SUBTOTAL(9,I27:I28)</f>
        <v>188105.13</v>
      </c>
      <c r="J26" s="38"/>
      <c r="K26" s="31">
        <f t="shared" ref="K26:M26" si="8">SUBTOTAL(9,K27:K28)</f>
        <v>118829.5</v>
      </c>
      <c r="L26" s="31">
        <f t="shared" si="8"/>
        <v>119000</v>
      </c>
      <c r="M26" s="31">
        <f t="shared" si="8"/>
        <v>187715.02</v>
      </c>
      <c r="O26" s="31">
        <f t="shared" si="6"/>
        <v>34.5</v>
      </c>
      <c r="P26" s="31">
        <f t="shared" si="7"/>
        <v>216442.94000000006</v>
      </c>
    </row>
    <row r="27" spans="1:16" ht="15" customHeight="1">
      <c r="A27" s="36" t="s">
        <v>188</v>
      </c>
      <c r="B27" s="35"/>
      <c r="C27" s="31">
        <f>IF($C$4="FEBRUARY 2015",SUMIF('TY Actual-Forecast'!$A:$A,'Next 3-Months'!A27,'TY Actual-Forecast'!$D:$D),IF($C$4="MARCH 2015",SUMIF('TY Actual-Forecast'!$A:$A,'Next 3-Months'!A27,'TY Actual-Forecast'!$E:$E),IF($C$4="APRIL 2015",SUMIF('TY Actual-Forecast'!$A:$A,'Next 3-Months'!A27,'TY Actual-Forecast'!$F:$F),IF($C$4="MAY 2015",SUMIF('TY Actual-Forecast'!$A:$A,'Next 3-Months'!A27,'TY Actual-Forecast'!$G:$G),IF($C$4="JUNE 2015",SUMIF('TY Actual-Forecast'!$A:$A,'Next 3-Months'!A27,'TY Actual-Forecast'!$H:$H),IF($C$4="JULY 2015",SUMIF('TY Actual-Forecast'!$A:$A,'Next 3-Months'!A27,'TY Actual-Forecast'!$I:$I),IF($C$4="AUGUST 2015",SUMIF('TY Actual-Forecast'!$A:$A,'Next 3-Months'!A27,'TY Actual-Forecast'!$J:$J),IF($C$4="SEPTEMBER 2015",SUMIF('TY Actual-Forecast'!$A:$A,'Next 3-Months'!A27,'TY Actual-Forecast'!$K:$K),IF($C$4="OCTOBER 2015",SUMIF('TY Actual-Forecast'!$A:$A,'Next 3-Months'!A27,'TY Actual-Forecast'!$L:$L),IF($C$4="NOVEMBER 2015",SUMIF('TY Actual-Forecast'!$A:$A,'Next 3-Months'!A27,'TY Actual-Forecast'!$M:$M),IF($C$4="DECEMBER 2015",SUMIF('TY Actual-Forecast'!$A:$A,'Next 3-Months'!A27,'TY Actual-Forecast'!$N:$N),IF($C$4="JANUARY 2016",SUMIF('TY Actual-Forecast'!$A:$A,'Next 3-Months'!A27,'TY Actual-Forecast'!$Q:$Q),IF($C$4="FEBRUARY 2016",SUMIF('TY Actual-Forecast'!$A:$A,'Next 3-Months'!A27,'TY Actual-Forecast'!$R:$R),IF($C$4="MARCH 2016",SUMIF('TY Actual-Forecast'!$A:$A,'Next 3-Months'!A27,'TY Actual-Forecast'!$S:$S),0))))))))))))))</f>
        <v>0</v>
      </c>
      <c r="D27" s="31">
        <f>IF($C$4="FEBRUARY 2015",SUMIF('TY Budget'!$A:$A,'Next 3-Months'!$A27,'TY Budget'!$D:$D),IF($C$4="MARCH 2015",SUMIF('TY Budget'!$A:$A,'Next 3-Months'!$A27,'TY Budget'!$E:$E),IF($C$4="APRIL 2015",SUMIF('TY Budget'!$A:$A,'Next 3-Months'!$A27,'TY Budget'!$F:$F),IF($C$4="MAY 2015",SUMIF('TY Budget'!$A:$A,'Next 3-Months'!$A27,'TY Budget'!$G:$G),IF($C$4="JUNE 2015",SUMIF('TY Budget'!$A:$A,'Next 3-Months'!$A27,'TY Budget'!$H:$H),IF($C$4="JULY 2015",SUMIF('TY Budget'!$A:$A,'Next 3-Months'!$A27,'TY Budget'!$I:$I),IF($C$4="AUGUST 2015",SUMIF('TY Budget'!$A:$A,'Next 3-Months'!$A27,'TY Budget'!$J:$J),IF($C$4="SEPTEMBER 2015",SUMIF('TY Budget'!$A:$A,'Next 3-Months'!$A27,'TY Budget'!$K:$K),IF($C$4="OCTOBER 2015",SUMIF('TY Budget'!$A:$A,'Next 3-Months'!$A27,'TY Budget'!$L:$L),IF($C$4="NOVEMBER 2015",SUMIF('TY Budget'!$A:$A,'Next 3-Months'!$A27,'TY Budget'!$M:$M),IF($C$4="DECEMBER 2015",SUMIF('TY Budget'!$A:$A,'Next 3-Months'!$A27,'TY Budget'!$N:$N),IF($C$4="JANUARY 2016",SUMIF('TY Budget'!$A:$A,'Next 3-Months'!$A27,'TY Budget'!$Q:$Q),IF($C$4="FEBRUARY 2016",SUMIF('TY Budget'!$A:$A,'Next 3-Months'!$A27,'TY Budget'!$R:$R),IF($C$4="MARCH 2016",SUMIF('TY Budget'!$A:$A,'Next 3-Months'!$A27,'TY Budget'!$S:$S),0))))))))))))))</f>
        <v>0</v>
      </c>
      <c r="E27" s="31">
        <f>IF($C$4="FEBRUARY 2015",SUMIF('TY Budget'!$A:$A,'Next 3-Months'!$A27,'LY Actual'!$D:$D),IF($C$4="MARCH 2015",SUMIF('TY Budget'!$A:$A,'Next 3-Months'!$A27,'LY Actual'!$E:$E),IF($C$4="APRIL 2015",SUMIF('TY Budget'!$A:$A,'Next 3-Months'!$A27,'LY Actual'!$F:$F),IF($C$4="MAY 2015",SUMIF('TY Budget'!$A:$A,'Next 3-Months'!$A27,'LY Actual'!$G:$G),IF($C$4="JUNE 2015",SUMIF('TY Budget'!$A:$A,'Next 3-Months'!$A27,'LY Actual'!$H:$H),IF($C$4="JULY 2015",SUMIF('TY Budget'!$A:$A,'Next 3-Months'!$A27,'LY Actual'!$I:$I),IF($C$4="AUGUST 2015",SUMIF('TY Budget'!$A:$A,'Next 3-Months'!$A27,'LY Actual'!$J:$J),IF($C$4="SEPTEMBER 2015",SUMIF('TY Budget'!$A:$A,'Next 3-Months'!$A27,'LY Actual'!$K:$K),IF($C$4="OCTOBER 2015",SUMIF('TY Budget'!$A:$A,'Next 3-Months'!$A27,'LY Actual'!$L:$L),IF($C$4="NOVEMBER 2015",SUMIF('TY Budget'!$A:$A,'Next 3-Months'!$A27,'LY Actual'!$M:$M),IF($C$4="DECEMBER 2015",SUMIF('TY Budget'!$A:$A,'Next 3-Months'!$A27,'LY Actual'!$N:$N),IF($C$4="JANUARY 2016",SUMIF('TY Budget'!$A:$A,'Next 3-Months'!$A27,'LY Actual'!$Q:$Q),IF($C$4="FEBRUARY 2016",SUMIF('TY Budget'!$A:$A,'Next 3-Months'!$A27,'LY Actual'!$R:$R),IF($C$4="MARCH 2016",SUMIF('TY Budget'!$A:$A,'Next 3-Months'!$A27,'LY Actual'!$S:$S),0))))))))))))))</f>
        <v>13008</v>
      </c>
      <c r="F27" s="37"/>
      <c r="G27" s="31">
        <f>IF($G$4="FEBRUARY 2015",SUMIF('TY Actual-Forecast'!$A:$A,'Next 3-Months'!$A27,'TY Actual-Forecast'!$D:$D),IF($G$4="MARCH 2015",SUMIF('TY Actual-Forecast'!$A:$A,'Next 3-Months'!$A27,'TY Actual-Forecast'!$E:$E),IF($G$4="APRIL 2015",SUMIF('TY Actual-Forecast'!$A:$A,'Next 3-Months'!$A27,'TY Actual-Forecast'!$F:$F),IF($G$4="MAY 2015",SUMIF('TY Actual-Forecast'!$A:$A,'Next 3-Months'!$A27,'TY Actual-Forecast'!$G:$G),IF($G$4="JUNE 2015",SUMIF('TY Actual-Forecast'!$A:$A,'Next 3-Months'!$A27,'TY Actual-Forecast'!$H:$H),IF($G$4="JULY 2015",SUMIF('TY Actual-Forecast'!$A:$A,'Next 3-Months'!$A27,'TY Actual-Forecast'!$I:$I),IF($G$4="AUGUST 2015",SUMIF('TY Actual-Forecast'!$A:$A,'Next 3-Months'!$A27,'TY Actual-Forecast'!$J:$J),IF($G$4="SEPTEMBER 2015",SUMIF('TY Actual-Forecast'!$A:$A,'Next 3-Months'!$A27,'TY Actual-Forecast'!$K:$K),IF($G$4="OCTOBER 2015",SUMIF('TY Actual-Forecast'!$A:$A,'Next 3-Months'!$A27,'TY Actual-Forecast'!$L:$L),IF($G$4="NOVEMBER 2015",SUMIF('TY Actual-Forecast'!$A:$A,'Next 3-Months'!$A27,'TY Actual-Forecast'!$M:$M),IF($G$4="DECEMBER 2015",SUMIF('TY Actual-Forecast'!$A:$A,'Next 3-Months'!$A27,'TY Actual-Forecast'!$N:$N),IF($G$4="JANUARY 2016",SUMIF('TY Actual-Forecast'!$A:$A,'Next 3-Months'!$A27,'TY Actual-Forecast'!$Q:$Q),IF($G$4="FEBRUARY 2016",SUMIF('TY Actual-Forecast'!$A:$A,'Next 3-Months'!$A27,'TY Actual-Forecast'!$R:$R),IF($G$4="MARCH 2016",SUMIF('TY Actual-Forecast'!$A:$A,'Next 3-Months'!$A27,'TY Actual-Forecast'!$S:$S),0))))))))))))))</f>
        <v>0</v>
      </c>
      <c r="H27" s="31">
        <f>IF($G$4="FEBRUARY 2015",SUMIF('TY Budget'!$A:$A,'Next 3-Months'!$A27,'TY Budget'!$D:$D),IF($G$4="MARCH 2015",SUMIF('TY Budget'!$A:$A,'Next 3-Months'!$A27,'TY Budget'!$E:$E),IF($G$4="APRIL 2015",SUMIF('TY Budget'!$A:$A,'Next 3-Months'!$A27,'TY Budget'!$F:$F),IF($G$4="MAY 2015",SUMIF('TY Budget'!$A:$A,'Next 3-Months'!$A27,'TY Budget'!$G:$G),IF($G$4="JUNE 2015",SUMIF('TY Budget'!$A:$A,'Next 3-Months'!$A27,'TY Budget'!$H:$H),IF($G$4="JULY 2015",SUMIF('TY Budget'!$A:$A,'Next 3-Months'!$A27,'TY Budget'!$I:$I),IF($G$4="AUGUST 2015",SUMIF('TY Budget'!$A:$A,'Next 3-Months'!$A27,'TY Budget'!$J:$J),IF($G$4="SEPTEMBER 2015",SUMIF('TY Budget'!$A:$A,'Next 3-Months'!$A27,'TY Budget'!$K:$K),IF($G$4="OCTOBER 2015",SUMIF('TY Budget'!$A:$A,'Next 3-Months'!$A27,'TY Budget'!$L:$L),IF($G$4="NOVEMBER 2015",SUMIF('TY Budget'!$A:$A,'Next 3-Months'!$A27,'TY Budget'!$M:$M),IF($G$4="DECEMBER 2015",SUMIF('TY Budget'!$A:$A,'Next 3-Months'!$A27,'TY Budget'!$N:$N),IF($G$4="JANUARY 2016",SUMIF('TY Budget'!$A:$A,'Next 3-Months'!$A27,'TY Budget'!$Q:$Q),IF($G$4="FEBRUARY 2016",SUMIF('TY Budget'!$A:$A,'Next 3-Months'!$A27,'TY Budget'!$R:$R),IF($G$4="MARCH 2016",SUMIF('TY Budget'!$A:$A,'Next 3-Months'!$A27,'TY Budget'!$S:$S),0))))))))))))))</f>
        <v>0</v>
      </c>
      <c r="I27" s="31">
        <f>IF($G$4="FEBRUARY 2015",SUMIF('TY Budget'!$A:$A,'Next 3-Months'!$A27,'LY Actual'!$D:$D),IF($G$4="MARCH 2015",SUMIF('TY Budget'!$A:$A,'Next 3-Months'!$A27,'LY Actual'!$E:$E),IF($G$4="APRIL 2015",SUMIF('TY Budget'!$A:$A,'Next 3-Months'!$A27,'LY Actual'!$F:$F),IF($G$4="MAY 2015",SUMIF('TY Budget'!$A:$A,'Next 3-Months'!$A27,'LY Actual'!$G:$G),IF($G$4="JUNE 2015",SUMIF('TY Budget'!$A:$A,'Next 3-Months'!$A27,'LY Actual'!$H:$H),IF($G$4="JULY 2015",SUMIF('TY Budget'!$A:$A,'Next 3-Months'!$A27,'LY Actual'!$I:$I),IF($G$4="AUGUST 2015",SUMIF('TY Budget'!$A:$A,'Next 3-Months'!$A27,'LY Actual'!$J:$J),IF($G$4="SEPTEMBER 2015",SUMIF('TY Budget'!$A:$A,'Next 3-Months'!$A27,'LY Actual'!$K:$K),IF($G$4="OCTOBER 2015",SUMIF('TY Budget'!$A:$A,'Next 3-Months'!$A27,'LY Actual'!$L:$L),IF($G$4="NOVEMBER 2015",SUMIF('TY Budget'!$A:$A,'Next 3-Months'!$A27,'LY Actual'!$M:$M),IF($G$4="DECEMBER 2015",SUMIF('TY Budget'!$A:$A,'Next 3-Months'!$A27,'LY Actual'!$N:$N),IF($G$4="JANUARY 2016",SUMIF('TY Budget'!$A:$A,'Next 3-Months'!$A27,'LY Actual'!$Q:$Q),IF($G$4="FEBRUARY 2016",SUMIF('TY Budget'!$A:$A,'Next 3-Months'!$A27,'LY Actual'!$R:$R),IF($G$4="MARCH 2016",SUMIF('TY Budget'!$A:$A,'Next 3-Months'!$A27,'LY Actual'!$S:$S),0))))))))))))))</f>
        <v>13008</v>
      </c>
      <c r="J27" s="38"/>
      <c r="K27" s="31">
        <f>IF($K$4="FEBRUARY 2015",SUMIF('TY Actual-Forecast'!$A:$A,'Next 3-Months'!$A27,'TY Actual-Forecast'!$D:$D),IF($K$4="MARCH 2015",SUMIF('TY Actual-Forecast'!$A:$A,'Next 3-Months'!$A27,'TY Actual-Forecast'!$E:$E),IF($K$4="APRIL 2015",SUMIF('TY Actual-Forecast'!$A:$A,'Next 3-Months'!$A27,'TY Actual-Forecast'!$F:$F),IF($K$4="MAY 2015",SUMIF('TY Actual-Forecast'!$A:$A,'Next 3-Months'!$A27,'TY Actual-Forecast'!$G:$G),IF($K$4="JUNE 2015",SUMIF('TY Actual-Forecast'!$A:$A,'Next 3-Months'!$A27,'TY Actual-Forecast'!$H:$H),IF($K$4="JULY 2015",SUMIF('TY Actual-Forecast'!$A:$A,'Next 3-Months'!$A27,'TY Actual-Forecast'!$I:$I),IF($K$4="AUGUST 2015",SUMIF('TY Actual-Forecast'!$A:$A,'Next 3-Months'!$A27,'TY Actual-Forecast'!$J:$J),IF($K$4="SEPTEMBER 2015",SUMIF('TY Actual-Forecast'!$A:$A,'Next 3-Months'!$A27,'TY Actual-Forecast'!$K:$K),IF($K$4="OCTOBER 2015",SUMIF('TY Actual-Forecast'!$A:$A,'Next 3-Months'!$A27,'TY Actual-Forecast'!$L:$L),IF($K$4="NOVEMBER 2015",SUMIF('TY Actual-Forecast'!$A:$A,'Next 3-Months'!$A27,'TY Actual-Forecast'!$M:$M),IF($K$4="DECEMBER 2015",SUMIF('TY Actual-Forecast'!$A:$A,'Next 3-Months'!$A27,'TY Actual-Forecast'!$N:$N),IF($K$4="JANUARY 2016",SUMIF('TY Actual-Forecast'!$A:$A,'Next 3-Months'!$A27,'TY Actual-Forecast'!$Q:$Q),IF($K$4="FEBRUARY 2016",SUMIF('TY Actual-Forecast'!$A:$A,'Next 3-Months'!$A27,'TY Actual-Forecast'!$R:$R),IF($K$4="MARCH 2016",SUMIF('TY Actual-Forecast'!$A:$A,'Next 3-Months'!$A27,'TY Actual-Forecast'!$S:$S),0))))))))))))))</f>
        <v>0</v>
      </c>
      <c r="L27" s="31">
        <f>IF($K$4="FEBRUARY 2015",SUMIF('TY Budget'!$A:$A,'Next 3-Months'!$A27,'TY Budget'!$D:$D),IF($K$4="MARCH 2015",SUMIF('TY Budget'!$A:$A,'Next 3-Months'!$A27,'TY Budget'!$E:$E),IF($K$4="APRIL 2015",SUMIF('TY Budget'!$A:$A,'Next 3-Months'!$A27,'TY Budget'!$F:$F),IF($K$4="MAY 2015",SUMIF('TY Budget'!$A:$A,'Next 3-Months'!$A27,'TY Budget'!$G:$G),IF($K$4="JUNE 2015",SUMIF('TY Budget'!$A:$A,'Next 3-Months'!$A27,'TY Budget'!$H:$H),IF($K$4="JULY 2015",SUMIF('TY Budget'!$A:$A,'Next 3-Months'!$A27,'TY Budget'!$I:$I),IF($K$4="AUGUST 2015",SUMIF('TY Budget'!$A:$A,'Next 3-Months'!$A27,'TY Budget'!$J:$J),IF($K$4="SEPTEMBER 2015",SUMIF('TY Budget'!$A:$A,'Next 3-Months'!$A27,'TY Budget'!$K:$K),IF($K$4="OCTOBER 2015",SUMIF('TY Budget'!$A:$A,'Next 3-Months'!$A27,'TY Budget'!$L:$L),IF($K$4="NOVEMBER 2015",SUMIF('TY Budget'!$A:$A,'Next 3-Months'!$A27,'TY Budget'!$M:$M),IF($K$4="DECEMBER 2015",SUMIF('TY Budget'!$A:$A,'Next 3-Months'!$A27,'TY Budget'!$N:$N),IF($K$4="JANUARY 2016",SUMIF('TY Budget'!$A:$A,'Next 3-Months'!$A27,'TY Budget'!$Q:$Q),IF($K$4="FEBRUARY 2016",SUMIF('TY Budget'!$A:$A,'Next 3-Months'!$A27,'TY Budget'!$R:$R),IF($K$4="MARCH 2016",SUMIF('TY Budget'!$A:$A,'Next 3-Months'!$A27,'TY Budget'!$S:$S),0))))))))))))))</f>
        <v>0</v>
      </c>
      <c r="M27" s="31">
        <f>IF($K$4="FEBRUARY 2015",SUMIF('TY Budget'!$A:$A,'Next 3-Months'!$A27,'LY Actual'!$D:$D),IF($K$4="MARCH 2015",SUMIF('TY Budget'!$A:$A,'Next 3-Months'!$A27,'LY Actual'!$E:$E),IF($K$4="APRIL 2015",SUMIF('TY Budget'!$A:$A,'Next 3-Months'!$A27,'LY Actual'!$F:$F),IF($K$4="MAY 2015",SUMIF('TY Budget'!$A:$A,'Next 3-Months'!$A27,'LY Actual'!$G:$G),IF($K$4="JUNE 2015",SUMIF('TY Budget'!$A:$A,'Next 3-Months'!$A27,'LY Actual'!$H:$H),IF($K$4="JULY 2015",SUMIF('TY Budget'!$A:$A,'Next 3-Months'!$A27,'LY Actual'!$I:$I),IF($K$4="AUGUST 2015",SUMIF('TY Budget'!$A:$A,'Next 3-Months'!$A27,'LY Actual'!$J:$J),IF($K$4="SEPTEMBER 2015",SUMIF('TY Budget'!$A:$A,'Next 3-Months'!$A27,'LY Actual'!$K:$K),IF($K$4="OCTOBER 2015",SUMIF('TY Budget'!$A:$A,'Next 3-Months'!$A27,'LY Actual'!$L:$L),IF($K$4="NOVEMBER 2015",SUMIF('TY Budget'!$A:$A,'Next 3-Months'!$A27,'LY Actual'!$M:$M),IF($K$4="DECEMBER 2015",SUMIF('TY Budget'!$A:$A,'Next 3-Months'!$A27,'LY Actual'!$N:$N),IF($K$4="JANUARY 2016",SUMIF('TY Budget'!$A:$A,'Next 3-Months'!$A27,'LY Actual'!$Q:$Q),IF($K$4="FEBRUARY 2016",SUMIF('TY Budget'!$A:$A,'Next 3-Months'!$A27,'LY Actual'!$R:$R),IF($K$4="MARCH 2016",SUMIF('TY Budget'!$A:$A,'Next 3-Months'!$A27,'LY Actual'!$S:$S),0))))))))))))))</f>
        <v>13008</v>
      </c>
      <c r="O27" s="31">
        <f t="shared" si="6"/>
        <v>0</v>
      </c>
      <c r="P27" s="31">
        <f t="shared" si="7"/>
        <v>39024</v>
      </c>
    </row>
    <row r="28" spans="1:16" ht="15" customHeight="1">
      <c r="A28" s="36" t="s">
        <v>288</v>
      </c>
      <c r="B28" s="36"/>
      <c r="C28" s="31">
        <f>IF($C$4="FEBRUARY 2015",SUMIF('TY Actual-Forecast'!$A:$A,'Next 3-Months'!A28,'TY Actual-Forecast'!$D:$D),IF($C$4="MARCH 2015",SUMIF('TY Actual-Forecast'!$A:$A,'Next 3-Months'!A28,'TY Actual-Forecast'!$E:$E),IF($C$4="APRIL 2015",SUMIF('TY Actual-Forecast'!$A:$A,'Next 3-Months'!A28,'TY Actual-Forecast'!$F:$F),IF($C$4="MAY 2015",SUMIF('TY Actual-Forecast'!$A:$A,'Next 3-Months'!A28,'TY Actual-Forecast'!$G:$G),IF($C$4="JUNE 2015",SUMIF('TY Actual-Forecast'!$A:$A,'Next 3-Months'!A28,'TY Actual-Forecast'!$H:$H),IF($C$4="JULY 2015",SUMIF('TY Actual-Forecast'!$A:$A,'Next 3-Months'!A28,'TY Actual-Forecast'!$I:$I),IF($C$4="AUGUST 2015",SUMIF('TY Actual-Forecast'!$A:$A,'Next 3-Months'!A28,'TY Actual-Forecast'!$J:$J),IF($C$4="SEPTEMBER 2015",SUMIF('TY Actual-Forecast'!$A:$A,'Next 3-Months'!A28,'TY Actual-Forecast'!$K:$K),IF($C$4="OCTOBER 2015",SUMIF('TY Actual-Forecast'!$A:$A,'Next 3-Months'!A28,'TY Actual-Forecast'!$L:$L),IF($C$4="NOVEMBER 2015",SUMIF('TY Actual-Forecast'!$A:$A,'Next 3-Months'!A28,'TY Actual-Forecast'!$M:$M),IF($C$4="DECEMBER 2015",SUMIF('TY Actual-Forecast'!$A:$A,'Next 3-Months'!A28,'TY Actual-Forecast'!$N:$N),IF($C$4="JANUARY 2016",SUMIF('TY Actual-Forecast'!$A:$A,'Next 3-Months'!A28,'TY Actual-Forecast'!$Q:$Q),IF($C$4="FEBRUARY 2016",SUMIF('TY Actual-Forecast'!$A:$A,'Next 3-Months'!A28,'TY Actual-Forecast'!$R:$R),IF($C$4="MARCH 2016",SUMIF('TY Actual-Forecast'!$A:$A,'Next 3-Months'!A28,'TY Actual-Forecast'!$S:$S),0))))))))))))))</f>
        <v>125751.5</v>
      </c>
      <c r="D28" s="31">
        <f>IF($C$4="FEBRUARY 2015",SUMIF('TY Budget'!$A:$A,'Next 3-Months'!$A28,'TY Budget'!$D:$D),IF($C$4="MARCH 2015",SUMIF('TY Budget'!$A:$A,'Next 3-Months'!$A28,'TY Budget'!$E:$E),IF($C$4="APRIL 2015",SUMIF('TY Budget'!$A:$A,'Next 3-Months'!$A28,'TY Budget'!$F:$F),IF($C$4="MAY 2015",SUMIF('TY Budget'!$A:$A,'Next 3-Months'!$A28,'TY Budget'!$G:$G),IF($C$4="JUNE 2015",SUMIF('TY Budget'!$A:$A,'Next 3-Months'!$A28,'TY Budget'!$H:$H),IF($C$4="JULY 2015",SUMIF('TY Budget'!$A:$A,'Next 3-Months'!$A28,'TY Budget'!$I:$I),IF($C$4="AUGUST 2015",SUMIF('TY Budget'!$A:$A,'Next 3-Months'!$A28,'TY Budget'!$J:$J),IF($C$4="SEPTEMBER 2015",SUMIF('TY Budget'!$A:$A,'Next 3-Months'!$A28,'TY Budget'!$K:$K),IF($C$4="OCTOBER 2015",SUMIF('TY Budget'!$A:$A,'Next 3-Months'!$A28,'TY Budget'!$L:$L),IF($C$4="NOVEMBER 2015",SUMIF('TY Budget'!$A:$A,'Next 3-Months'!$A28,'TY Budget'!$M:$M),IF($C$4="DECEMBER 2015",SUMIF('TY Budget'!$A:$A,'Next 3-Months'!$A28,'TY Budget'!$N:$N),IF($C$4="JANUARY 2016",SUMIF('TY Budget'!$A:$A,'Next 3-Months'!$A28,'TY Budget'!$Q:$Q),IF($C$4="FEBRUARY 2016",SUMIF('TY Budget'!$A:$A,'Next 3-Months'!$A28,'TY Budget'!$R:$R),IF($C$4="MARCH 2016",SUMIF('TY Budget'!$A:$A,'Next 3-Months'!$A28,'TY Budget'!$S:$S),0))))))))))))))</f>
        <v>126000</v>
      </c>
      <c r="E28" s="31">
        <f>IF($C$4="FEBRUARY 2015",SUMIF('TY Budget'!$A:$A,'Next 3-Months'!$A28,'LY Actual'!$D:$D),IF($C$4="MARCH 2015",SUMIF('TY Budget'!$A:$A,'Next 3-Months'!$A28,'LY Actual'!$E:$E),IF($C$4="APRIL 2015",SUMIF('TY Budget'!$A:$A,'Next 3-Months'!$A28,'LY Actual'!$F:$F),IF($C$4="MAY 2015",SUMIF('TY Budget'!$A:$A,'Next 3-Months'!$A28,'LY Actual'!$G:$G),IF($C$4="JUNE 2015",SUMIF('TY Budget'!$A:$A,'Next 3-Months'!$A28,'LY Actual'!$H:$H),IF($C$4="JULY 2015",SUMIF('TY Budget'!$A:$A,'Next 3-Months'!$A28,'LY Actual'!$I:$I),IF($C$4="AUGUST 2015",SUMIF('TY Budget'!$A:$A,'Next 3-Months'!$A28,'LY Actual'!$J:$J),IF($C$4="SEPTEMBER 2015",SUMIF('TY Budget'!$A:$A,'Next 3-Months'!$A28,'LY Actual'!$K:$K),IF($C$4="OCTOBER 2015",SUMIF('TY Budget'!$A:$A,'Next 3-Months'!$A28,'LY Actual'!$L:$L),IF($C$4="NOVEMBER 2015",SUMIF('TY Budget'!$A:$A,'Next 3-Months'!$A28,'LY Actual'!$M:$M),IF($C$4="DECEMBER 2015",SUMIF('TY Budget'!$A:$A,'Next 3-Months'!$A28,'LY Actual'!$N:$N),IF($C$4="JANUARY 2016",SUMIF('TY Budget'!$A:$A,'Next 3-Months'!$A28,'LY Actual'!$Q:$Q),IF($C$4="FEBRUARY 2016",SUMIF('TY Budget'!$A:$A,'Next 3-Months'!$A28,'LY Actual'!$R:$R),IF($C$4="MARCH 2016",SUMIF('TY Budget'!$A:$A,'Next 3-Months'!$A28,'LY Actual'!$S:$S),0))))))))))))))</f>
        <v>179580.29</v>
      </c>
      <c r="F28" s="37"/>
      <c r="G28" s="31">
        <f>IF($G$4="FEBRUARY 2015",SUMIF('TY Actual-Forecast'!$A:$A,'Next 3-Months'!$A28,'TY Actual-Forecast'!$D:$D),IF($G$4="MARCH 2015",SUMIF('TY Actual-Forecast'!$A:$A,'Next 3-Months'!$A28,'TY Actual-Forecast'!$E:$E),IF($G$4="APRIL 2015",SUMIF('TY Actual-Forecast'!$A:$A,'Next 3-Months'!$A28,'TY Actual-Forecast'!$F:$F),IF($G$4="MAY 2015",SUMIF('TY Actual-Forecast'!$A:$A,'Next 3-Months'!$A28,'TY Actual-Forecast'!$G:$G),IF($G$4="JUNE 2015",SUMIF('TY Actual-Forecast'!$A:$A,'Next 3-Months'!$A28,'TY Actual-Forecast'!$H:$H),IF($G$4="JULY 2015",SUMIF('TY Actual-Forecast'!$A:$A,'Next 3-Months'!$A28,'TY Actual-Forecast'!$I:$I),IF($G$4="AUGUST 2015",SUMIF('TY Actual-Forecast'!$A:$A,'Next 3-Months'!$A28,'TY Actual-Forecast'!$J:$J),IF($G$4="SEPTEMBER 2015",SUMIF('TY Actual-Forecast'!$A:$A,'Next 3-Months'!$A28,'TY Actual-Forecast'!$K:$K),IF($G$4="OCTOBER 2015",SUMIF('TY Actual-Forecast'!$A:$A,'Next 3-Months'!$A28,'TY Actual-Forecast'!$L:$L),IF($G$4="NOVEMBER 2015",SUMIF('TY Actual-Forecast'!$A:$A,'Next 3-Months'!$A28,'TY Actual-Forecast'!$M:$M),IF($G$4="DECEMBER 2015",SUMIF('TY Actual-Forecast'!$A:$A,'Next 3-Months'!$A28,'TY Actual-Forecast'!$N:$N),IF($G$4="JANUARY 2016",SUMIF('TY Actual-Forecast'!$A:$A,'Next 3-Months'!$A28,'TY Actual-Forecast'!$Q:$Q),IF($G$4="FEBRUARY 2016",SUMIF('TY Actual-Forecast'!$A:$A,'Next 3-Months'!$A28,'TY Actual-Forecast'!$R:$R),IF($G$4="MARCH 2016",SUMIF('TY Actual-Forecast'!$A:$A,'Next 3-Months'!$A28,'TY Actual-Forecast'!$S:$S),0))))))))))))))</f>
        <v>107384.5</v>
      </c>
      <c r="H28" s="31">
        <f>IF($G$4="FEBRUARY 2015",SUMIF('TY Budget'!$A:$A,'Next 3-Months'!$A28,'TY Budget'!$D:$D),IF($G$4="MARCH 2015",SUMIF('TY Budget'!$A:$A,'Next 3-Months'!$A28,'TY Budget'!$E:$E),IF($G$4="APRIL 2015",SUMIF('TY Budget'!$A:$A,'Next 3-Months'!$A28,'TY Budget'!$F:$F),IF($G$4="MAY 2015",SUMIF('TY Budget'!$A:$A,'Next 3-Months'!$A28,'TY Budget'!$G:$G),IF($G$4="JUNE 2015",SUMIF('TY Budget'!$A:$A,'Next 3-Months'!$A28,'TY Budget'!$H:$H),IF($G$4="JULY 2015",SUMIF('TY Budget'!$A:$A,'Next 3-Months'!$A28,'TY Budget'!$I:$I),IF($G$4="AUGUST 2015",SUMIF('TY Budget'!$A:$A,'Next 3-Months'!$A28,'TY Budget'!$J:$J),IF($G$4="SEPTEMBER 2015",SUMIF('TY Budget'!$A:$A,'Next 3-Months'!$A28,'TY Budget'!$K:$K),IF($G$4="OCTOBER 2015",SUMIF('TY Budget'!$A:$A,'Next 3-Months'!$A28,'TY Budget'!$L:$L),IF($G$4="NOVEMBER 2015",SUMIF('TY Budget'!$A:$A,'Next 3-Months'!$A28,'TY Budget'!$M:$M),IF($G$4="DECEMBER 2015",SUMIF('TY Budget'!$A:$A,'Next 3-Months'!$A28,'TY Budget'!$N:$N),IF($G$4="JANUARY 2016",SUMIF('TY Budget'!$A:$A,'Next 3-Months'!$A28,'TY Budget'!$Q:$Q),IF($G$4="FEBRUARY 2016",SUMIF('TY Budget'!$A:$A,'Next 3-Months'!$A28,'TY Budget'!$R:$R),IF($G$4="MARCH 2016",SUMIF('TY Budget'!$A:$A,'Next 3-Months'!$A28,'TY Budget'!$S:$S),0))))))))))))))</f>
        <v>107000</v>
      </c>
      <c r="I28" s="31">
        <f>IF($G$4="FEBRUARY 2015",SUMIF('TY Budget'!$A:$A,'Next 3-Months'!$A28,'LY Actual'!$D:$D),IF($G$4="MARCH 2015",SUMIF('TY Budget'!$A:$A,'Next 3-Months'!$A28,'LY Actual'!$E:$E),IF($G$4="APRIL 2015",SUMIF('TY Budget'!$A:$A,'Next 3-Months'!$A28,'LY Actual'!$F:$F),IF($G$4="MAY 2015",SUMIF('TY Budget'!$A:$A,'Next 3-Months'!$A28,'LY Actual'!$G:$G),IF($G$4="JUNE 2015",SUMIF('TY Budget'!$A:$A,'Next 3-Months'!$A28,'LY Actual'!$H:$H),IF($G$4="JULY 2015",SUMIF('TY Budget'!$A:$A,'Next 3-Months'!$A28,'LY Actual'!$I:$I),IF($G$4="AUGUST 2015",SUMIF('TY Budget'!$A:$A,'Next 3-Months'!$A28,'LY Actual'!$J:$J),IF($G$4="SEPTEMBER 2015",SUMIF('TY Budget'!$A:$A,'Next 3-Months'!$A28,'LY Actual'!$K:$K),IF($G$4="OCTOBER 2015",SUMIF('TY Budget'!$A:$A,'Next 3-Months'!$A28,'LY Actual'!$L:$L),IF($G$4="NOVEMBER 2015",SUMIF('TY Budget'!$A:$A,'Next 3-Months'!$A28,'LY Actual'!$M:$M),IF($G$4="DECEMBER 2015",SUMIF('TY Budget'!$A:$A,'Next 3-Months'!$A28,'LY Actual'!$N:$N),IF($G$4="JANUARY 2016",SUMIF('TY Budget'!$A:$A,'Next 3-Months'!$A28,'LY Actual'!$Q:$Q),IF($G$4="FEBRUARY 2016",SUMIF('TY Budget'!$A:$A,'Next 3-Months'!$A28,'LY Actual'!$R:$R),IF($G$4="MARCH 2016",SUMIF('TY Budget'!$A:$A,'Next 3-Months'!$A28,'LY Actual'!$S:$S),0))))))))))))))</f>
        <v>175097.13</v>
      </c>
      <c r="J28" s="38"/>
      <c r="K28" s="31">
        <f>IF($K$4="FEBRUARY 2015",SUMIF('TY Actual-Forecast'!$A:$A,'Next 3-Months'!$A28,'TY Actual-Forecast'!$D:$D),IF($K$4="MARCH 2015",SUMIF('TY Actual-Forecast'!$A:$A,'Next 3-Months'!$A28,'TY Actual-Forecast'!$E:$E),IF($K$4="APRIL 2015",SUMIF('TY Actual-Forecast'!$A:$A,'Next 3-Months'!$A28,'TY Actual-Forecast'!$F:$F),IF($K$4="MAY 2015",SUMIF('TY Actual-Forecast'!$A:$A,'Next 3-Months'!$A28,'TY Actual-Forecast'!$G:$G),IF($K$4="JUNE 2015",SUMIF('TY Actual-Forecast'!$A:$A,'Next 3-Months'!$A28,'TY Actual-Forecast'!$H:$H),IF($K$4="JULY 2015",SUMIF('TY Actual-Forecast'!$A:$A,'Next 3-Months'!$A28,'TY Actual-Forecast'!$I:$I),IF($K$4="AUGUST 2015",SUMIF('TY Actual-Forecast'!$A:$A,'Next 3-Months'!$A28,'TY Actual-Forecast'!$J:$J),IF($K$4="SEPTEMBER 2015",SUMIF('TY Actual-Forecast'!$A:$A,'Next 3-Months'!$A28,'TY Actual-Forecast'!$K:$K),IF($K$4="OCTOBER 2015",SUMIF('TY Actual-Forecast'!$A:$A,'Next 3-Months'!$A28,'TY Actual-Forecast'!$L:$L),IF($K$4="NOVEMBER 2015",SUMIF('TY Actual-Forecast'!$A:$A,'Next 3-Months'!$A28,'TY Actual-Forecast'!$M:$M),IF($K$4="DECEMBER 2015",SUMIF('TY Actual-Forecast'!$A:$A,'Next 3-Months'!$A28,'TY Actual-Forecast'!$N:$N),IF($K$4="JANUARY 2016",SUMIF('TY Actual-Forecast'!$A:$A,'Next 3-Months'!$A28,'TY Actual-Forecast'!$Q:$Q),IF($K$4="FEBRUARY 2016",SUMIF('TY Actual-Forecast'!$A:$A,'Next 3-Months'!$A28,'TY Actual-Forecast'!$R:$R),IF($K$4="MARCH 2016",SUMIF('TY Actual-Forecast'!$A:$A,'Next 3-Months'!$A28,'TY Actual-Forecast'!$S:$S),0))))))))))))))</f>
        <v>118829.5</v>
      </c>
      <c r="L28" s="31">
        <f>IF($K$4="FEBRUARY 2015",SUMIF('TY Budget'!$A:$A,'Next 3-Months'!$A28,'TY Budget'!$D:$D),IF($K$4="MARCH 2015",SUMIF('TY Budget'!$A:$A,'Next 3-Months'!$A28,'TY Budget'!$E:$E),IF($K$4="APRIL 2015",SUMIF('TY Budget'!$A:$A,'Next 3-Months'!$A28,'TY Budget'!$F:$F),IF($K$4="MAY 2015",SUMIF('TY Budget'!$A:$A,'Next 3-Months'!$A28,'TY Budget'!$G:$G),IF($K$4="JUNE 2015",SUMIF('TY Budget'!$A:$A,'Next 3-Months'!$A28,'TY Budget'!$H:$H),IF($K$4="JULY 2015",SUMIF('TY Budget'!$A:$A,'Next 3-Months'!$A28,'TY Budget'!$I:$I),IF($K$4="AUGUST 2015",SUMIF('TY Budget'!$A:$A,'Next 3-Months'!$A28,'TY Budget'!$J:$J),IF($K$4="SEPTEMBER 2015",SUMIF('TY Budget'!$A:$A,'Next 3-Months'!$A28,'TY Budget'!$K:$K),IF($K$4="OCTOBER 2015",SUMIF('TY Budget'!$A:$A,'Next 3-Months'!$A28,'TY Budget'!$L:$L),IF($K$4="NOVEMBER 2015",SUMIF('TY Budget'!$A:$A,'Next 3-Months'!$A28,'TY Budget'!$M:$M),IF($K$4="DECEMBER 2015",SUMIF('TY Budget'!$A:$A,'Next 3-Months'!$A28,'TY Budget'!$N:$N),IF($K$4="JANUARY 2016",SUMIF('TY Budget'!$A:$A,'Next 3-Months'!$A28,'TY Budget'!$Q:$Q),IF($K$4="FEBRUARY 2016",SUMIF('TY Budget'!$A:$A,'Next 3-Months'!$A28,'TY Budget'!$R:$R),IF($K$4="MARCH 2016",SUMIF('TY Budget'!$A:$A,'Next 3-Months'!$A28,'TY Budget'!$S:$S),0))))))))))))))</f>
        <v>119000</v>
      </c>
      <c r="M28" s="31">
        <f>IF($K$4="FEBRUARY 2015",SUMIF('TY Budget'!$A:$A,'Next 3-Months'!$A28,'LY Actual'!$D:$D),IF($K$4="MARCH 2015",SUMIF('TY Budget'!$A:$A,'Next 3-Months'!$A28,'LY Actual'!$E:$E),IF($K$4="APRIL 2015",SUMIF('TY Budget'!$A:$A,'Next 3-Months'!$A28,'LY Actual'!$F:$F),IF($K$4="MAY 2015",SUMIF('TY Budget'!$A:$A,'Next 3-Months'!$A28,'LY Actual'!$G:$G),IF($K$4="JUNE 2015",SUMIF('TY Budget'!$A:$A,'Next 3-Months'!$A28,'LY Actual'!$H:$H),IF($K$4="JULY 2015",SUMIF('TY Budget'!$A:$A,'Next 3-Months'!$A28,'LY Actual'!$I:$I),IF($K$4="AUGUST 2015",SUMIF('TY Budget'!$A:$A,'Next 3-Months'!$A28,'LY Actual'!$J:$J),IF($K$4="SEPTEMBER 2015",SUMIF('TY Budget'!$A:$A,'Next 3-Months'!$A28,'LY Actual'!$K:$K),IF($K$4="OCTOBER 2015",SUMIF('TY Budget'!$A:$A,'Next 3-Months'!$A28,'LY Actual'!$L:$L),IF($K$4="NOVEMBER 2015",SUMIF('TY Budget'!$A:$A,'Next 3-Months'!$A28,'LY Actual'!$M:$M),IF($K$4="DECEMBER 2015",SUMIF('TY Budget'!$A:$A,'Next 3-Months'!$A28,'LY Actual'!$N:$N),IF($K$4="JANUARY 2016",SUMIF('TY Budget'!$A:$A,'Next 3-Months'!$A28,'LY Actual'!$Q:$Q),IF($K$4="FEBRUARY 2016",SUMIF('TY Budget'!$A:$A,'Next 3-Months'!$A28,'LY Actual'!$R:$R),IF($K$4="MARCH 2016",SUMIF('TY Budget'!$A:$A,'Next 3-Months'!$A28,'LY Actual'!$S:$S),0))))))))))))))</f>
        <v>174707.02</v>
      </c>
      <c r="O28" s="31">
        <f t="shared" si="6"/>
        <v>34.5</v>
      </c>
      <c r="P28" s="31">
        <f t="shared" si="7"/>
        <v>177418.94000000006</v>
      </c>
    </row>
    <row r="29" spans="1:16" s="24" customFormat="1" ht="15.75" customHeight="1">
      <c r="A29" s="39" t="s">
        <v>21</v>
      </c>
      <c r="B29" s="36"/>
      <c r="C29" s="22">
        <f>SUBTOTAL(9,C22:C28)</f>
        <v>15224352.214481536</v>
      </c>
      <c r="D29" s="22">
        <f>SUBTOTAL(9,D22:D28)</f>
        <v>15770123</v>
      </c>
      <c r="E29" s="22">
        <f>SUBTOTAL(9,E22:E28)</f>
        <v>14458907.099999998</v>
      </c>
      <c r="F29" s="37"/>
      <c r="G29" s="22">
        <f>SUBTOTAL(9,G22:G28)</f>
        <v>13888859.743188199</v>
      </c>
      <c r="H29" s="22">
        <f>SUBTOTAL(9,H22:H28)</f>
        <v>14782000</v>
      </c>
      <c r="I29" s="22">
        <f>SUBTOTAL(9,I22:I28)</f>
        <v>12795687.57</v>
      </c>
      <c r="J29" s="38"/>
      <c r="K29" s="22">
        <f t="shared" ref="K29:M29" si="9">SUBTOTAL(9,K22:K28)</f>
        <v>14173376.051747687</v>
      </c>
      <c r="L29" s="22">
        <f t="shared" si="9"/>
        <v>15338000</v>
      </c>
      <c r="M29" s="22">
        <f t="shared" si="9"/>
        <v>13377171.699999999</v>
      </c>
      <c r="O29" s="22">
        <f>(D29+H29+L29)-(C29+G29+K29)</f>
        <v>2603534.9905825779</v>
      </c>
      <c r="P29" s="22">
        <f>(E29+I29+M29)-(C29+G29+K29)</f>
        <v>-2654821.6394174248</v>
      </c>
    </row>
    <row r="30" spans="1:16" ht="15" customHeight="1">
      <c r="A30" s="18"/>
      <c r="B30" s="18"/>
      <c r="C30" s="40"/>
      <c r="D30" s="40"/>
      <c r="E30" s="40"/>
      <c r="F30" s="27"/>
      <c r="G30" s="40"/>
      <c r="H30" s="40"/>
      <c r="I30" s="40"/>
      <c r="J30" s="28"/>
      <c r="K30" s="40"/>
      <c r="L30" s="40"/>
      <c r="M30" s="40"/>
      <c r="O30" s="40"/>
      <c r="P30" s="40"/>
    </row>
    <row r="31" spans="1:16" ht="15" customHeight="1">
      <c r="A31" s="18" t="s">
        <v>158</v>
      </c>
      <c r="B31" s="35"/>
      <c r="C31" s="26"/>
      <c r="D31" s="26"/>
      <c r="E31" s="26"/>
      <c r="F31" s="27"/>
      <c r="G31" s="26"/>
      <c r="H31" s="26"/>
      <c r="I31" s="26"/>
      <c r="J31" s="28"/>
      <c r="K31" s="26"/>
      <c r="L31" s="26"/>
      <c r="M31" s="26"/>
      <c r="O31" s="26"/>
      <c r="P31" s="26"/>
    </row>
    <row r="32" spans="1:16" ht="15" customHeight="1">
      <c r="A32" s="39" t="s">
        <v>150</v>
      </c>
      <c r="B32" s="36"/>
      <c r="C32" s="31">
        <f>IF($C$4="FEBRUARY 2015",SUMIF('TY Actual-Forecast'!$A:$A,'Next 3-Months'!A32,'TY Actual-Forecast'!$D:$D),IF($C$4="MARCH 2015",SUMIF('TY Actual-Forecast'!$A:$A,'Next 3-Months'!A32,'TY Actual-Forecast'!$E:$E),IF($C$4="APRIL 2015",SUMIF('TY Actual-Forecast'!$A:$A,'Next 3-Months'!A32,'TY Actual-Forecast'!$F:$F),IF($C$4="MAY 2015",SUMIF('TY Actual-Forecast'!$A:$A,'Next 3-Months'!A32,'TY Actual-Forecast'!$G:$G),IF($C$4="JUNE 2015",SUMIF('TY Actual-Forecast'!$A:$A,'Next 3-Months'!A32,'TY Actual-Forecast'!$H:$H),IF($C$4="JULY 2015",SUMIF('TY Actual-Forecast'!$A:$A,'Next 3-Months'!A32,'TY Actual-Forecast'!$I:$I),IF($C$4="AUGUST 2015",SUMIF('TY Actual-Forecast'!$A:$A,'Next 3-Months'!A32,'TY Actual-Forecast'!$J:$J),IF($C$4="SEPTEMBER 2015",SUMIF('TY Actual-Forecast'!$A:$A,'Next 3-Months'!A32,'TY Actual-Forecast'!$K:$K),IF($C$4="OCTOBER 2015",SUMIF('TY Actual-Forecast'!$A:$A,'Next 3-Months'!A32,'TY Actual-Forecast'!$L:$L),IF($C$4="NOVEMBER 2015",SUMIF('TY Actual-Forecast'!$A:$A,'Next 3-Months'!A32,'TY Actual-Forecast'!$M:$M),IF($C$4="DECEMBER 2015",SUMIF('TY Actual-Forecast'!$A:$A,'Next 3-Months'!A32,'TY Actual-Forecast'!$N:$N),IF($C$4="JANUARY 2016",SUMIF('TY Actual-Forecast'!$A:$A,'Next 3-Months'!A32,'TY Actual-Forecast'!$Q:$Q),IF($C$4="FEBRUARY 2016",SUMIF('TY Actual-Forecast'!$A:$A,'Next 3-Months'!A32,'TY Actual-Forecast'!$R:$R),IF($C$4="MARCH 2016",SUMIF('TY Actual-Forecast'!$A:$A,'Next 3-Months'!A32,'TY Actual-Forecast'!$S:$S),0))))))))))))))</f>
        <v>3897343.9163799169</v>
      </c>
      <c r="D32" s="31">
        <f>IF($C$4="FEBRUARY 2015",SUMIF('TY Budget'!$A:$A,'Next 3-Months'!$A32,'TY Budget'!$D:$D),IF($C$4="MARCH 2015",SUMIF('TY Budget'!$A:$A,'Next 3-Months'!$A32,'TY Budget'!$E:$E),IF($C$4="APRIL 2015",SUMIF('TY Budget'!$A:$A,'Next 3-Months'!$A32,'TY Budget'!$F:$F),IF($C$4="MAY 2015",SUMIF('TY Budget'!$A:$A,'Next 3-Months'!$A32,'TY Budget'!$G:$G),IF($C$4="JUNE 2015",SUMIF('TY Budget'!$A:$A,'Next 3-Months'!$A32,'TY Budget'!$H:$H),IF($C$4="JULY 2015",SUMIF('TY Budget'!$A:$A,'Next 3-Months'!$A32,'TY Budget'!$I:$I),IF($C$4="AUGUST 2015",SUMIF('TY Budget'!$A:$A,'Next 3-Months'!$A32,'TY Budget'!$J:$J),IF($C$4="SEPTEMBER 2015",SUMIF('TY Budget'!$A:$A,'Next 3-Months'!$A32,'TY Budget'!$K:$K),IF($C$4="OCTOBER 2015",SUMIF('TY Budget'!$A:$A,'Next 3-Months'!$A32,'TY Budget'!$L:$L),IF($C$4="NOVEMBER 2015",SUMIF('TY Budget'!$A:$A,'Next 3-Months'!$A32,'TY Budget'!$M:$M),IF($C$4="DECEMBER 2015",SUMIF('TY Budget'!$A:$A,'Next 3-Months'!$A32,'TY Budget'!$N:$N),IF($C$4="JANUARY 2016",SUMIF('TY Budget'!$A:$A,'Next 3-Months'!$A32,'TY Budget'!$Q:$Q),IF($C$4="FEBRUARY 2016",SUMIF('TY Budget'!$A:$A,'Next 3-Months'!$A32,'TY Budget'!$R:$R),IF($C$4="MARCH 2016",SUMIF('TY Budget'!$A:$A,'Next 3-Months'!$A32,'TY Budget'!$S:$S),0))))))))))))))</f>
        <v>3918200</v>
      </c>
      <c r="E32" s="31">
        <f>IF($C$4="FEBRUARY 2015",SUMIF('TY Budget'!$A:$A,'Next 3-Months'!$A32,'LY Actual'!$D:$D),IF($C$4="MARCH 2015",SUMIF('TY Budget'!$A:$A,'Next 3-Months'!$A32,'LY Actual'!$E:$E),IF($C$4="APRIL 2015",SUMIF('TY Budget'!$A:$A,'Next 3-Months'!$A32,'LY Actual'!$F:$F),IF($C$4="MAY 2015",SUMIF('TY Budget'!$A:$A,'Next 3-Months'!$A32,'LY Actual'!$G:$G),IF($C$4="JUNE 2015",SUMIF('TY Budget'!$A:$A,'Next 3-Months'!$A32,'LY Actual'!$H:$H),IF($C$4="JULY 2015",SUMIF('TY Budget'!$A:$A,'Next 3-Months'!$A32,'LY Actual'!$I:$I),IF($C$4="AUGUST 2015",SUMIF('TY Budget'!$A:$A,'Next 3-Months'!$A32,'LY Actual'!$J:$J),IF($C$4="SEPTEMBER 2015",SUMIF('TY Budget'!$A:$A,'Next 3-Months'!$A32,'LY Actual'!$K:$K),IF($C$4="OCTOBER 2015",SUMIF('TY Budget'!$A:$A,'Next 3-Months'!$A32,'LY Actual'!$L:$L),IF($C$4="NOVEMBER 2015",SUMIF('TY Budget'!$A:$A,'Next 3-Months'!$A32,'LY Actual'!$M:$M),IF($C$4="DECEMBER 2015",SUMIF('TY Budget'!$A:$A,'Next 3-Months'!$A32,'LY Actual'!$N:$N),IF($C$4="JANUARY 2016",SUMIF('TY Budget'!$A:$A,'Next 3-Months'!$A32,'LY Actual'!$Q:$Q),IF($C$4="FEBRUARY 2016",SUMIF('TY Budget'!$A:$A,'Next 3-Months'!$A32,'LY Actual'!$R:$R),IF($C$4="MARCH 2016",SUMIF('TY Budget'!$A:$A,'Next 3-Months'!$A32,'LY Actual'!$S:$S),0))))))))))))))</f>
        <v>4084772.99</v>
      </c>
      <c r="F32" s="27"/>
      <c r="G32" s="31">
        <f>IF($G$4="FEBRUARY 2015",SUMIF('TY Actual-Forecast'!$A:$A,'Next 3-Months'!$A32,'TY Actual-Forecast'!$D:$D),IF($G$4="MARCH 2015",SUMIF('TY Actual-Forecast'!$A:$A,'Next 3-Months'!$A32,'TY Actual-Forecast'!$E:$E),IF($G$4="APRIL 2015",SUMIF('TY Actual-Forecast'!$A:$A,'Next 3-Months'!$A32,'TY Actual-Forecast'!$F:$F),IF($G$4="MAY 2015",SUMIF('TY Actual-Forecast'!$A:$A,'Next 3-Months'!$A32,'TY Actual-Forecast'!$G:$G),IF($G$4="JUNE 2015",SUMIF('TY Actual-Forecast'!$A:$A,'Next 3-Months'!$A32,'TY Actual-Forecast'!$H:$H),IF($G$4="JULY 2015",SUMIF('TY Actual-Forecast'!$A:$A,'Next 3-Months'!$A32,'TY Actual-Forecast'!$I:$I),IF($G$4="AUGUST 2015",SUMIF('TY Actual-Forecast'!$A:$A,'Next 3-Months'!$A32,'TY Actual-Forecast'!$J:$J),IF($G$4="SEPTEMBER 2015",SUMIF('TY Actual-Forecast'!$A:$A,'Next 3-Months'!$A32,'TY Actual-Forecast'!$K:$K),IF($G$4="OCTOBER 2015",SUMIF('TY Actual-Forecast'!$A:$A,'Next 3-Months'!$A32,'TY Actual-Forecast'!$L:$L),IF($G$4="NOVEMBER 2015",SUMIF('TY Actual-Forecast'!$A:$A,'Next 3-Months'!$A32,'TY Actual-Forecast'!$M:$M),IF($G$4="DECEMBER 2015",SUMIF('TY Actual-Forecast'!$A:$A,'Next 3-Months'!$A32,'TY Actual-Forecast'!$N:$N),IF($G$4="JANUARY 2016",SUMIF('TY Actual-Forecast'!$A:$A,'Next 3-Months'!$A32,'TY Actual-Forecast'!$Q:$Q),IF($G$4="FEBRUARY 2016",SUMIF('TY Actual-Forecast'!$A:$A,'Next 3-Months'!$A32,'TY Actual-Forecast'!$R:$R),IF($G$4="MARCH 2016",SUMIF('TY Actual-Forecast'!$A:$A,'Next 3-Months'!$A32,'TY Actual-Forecast'!$S:$S),0))))))))))))))</f>
        <v>3769357.9974053474</v>
      </c>
      <c r="H32" s="31">
        <f>IF($G$4="FEBRUARY 2015",SUMIF('TY Budget'!$A:$A,'Next 3-Months'!$A32,'TY Budget'!$D:$D),IF($G$4="MARCH 2015",SUMIF('TY Budget'!$A:$A,'Next 3-Months'!$A32,'TY Budget'!$E:$E),IF($G$4="APRIL 2015",SUMIF('TY Budget'!$A:$A,'Next 3-Months'!$A32,'TY Budget'!$F:$F),IF($G$4="MAY 2015",SUMIF('TY Budget'!$A:$A,'Next 3-Months'!$A32,'TY Budget'!$G:$G),IF($G$4="JUNE 2015",SUMIF('TY Budget'!$A:$A,'Next 3-Months'!$A32,'TY Budget'!$H:$H),IF($G$4="JULY 2015",SUMIF('TY Budget'!$A:$A,'Next 3-Months'!$A32,'TY Budget'!$I:$I),IF($G$4="AUGUST 2015",SUMIF('TY Budget'!$A:$A,'Next 3-Months'!$A32,'TY Budget'!$J:$J),IF($G$4="SEPTEMBER 2015",SUMIF('TY Budget'!$A:$A,'Next 3-Months'!$A32,'TY Budget'!$K:$K),IF($G$4="OCTOBER 2015",SUMIF('TY Budget'!$A:$A,'Next 3-Months'!$A32,'TY Budget'!$L:$L),IF($G$4="NOVEMBER 2015",SUMIF('TY Budget'!$A:$A,'Next 3-Months'!$A32,'TY Budget'!$M:$M),IF($G$4="DECEMBER 2015",SUMIF('TY Budget'!$A:$A,'Next 3-Months'!$A32,'TY Budget'!$N:$N),IF($G$4="JANUARY 2016",SUMIF('TY Budget'!$A:$A,'Next 3-Months'!$A32,'TY Budget'!$Q:$Q),IF($G$4="FEBRUARY 2016",SUMIF('TY Budget'!$A:$A,'Next 3-Months'!$A32,'TY Budget'!$R:$R),IF($G$4="MARCH 2016",SUMIF('TY Budget'!$A:$A,'Next 3-Months'!$A32,'TY Budget'!$S:$S),0))))))))))))))</f>
        <v>3799000</v>
      </c>
      <c r="I32" s="31">
        <f>IF($G$4="FEBRUARY 2015",SUMIF('TY Budget'!$A:$A,'Next 3-Months'!$A32,'LY Actual'!$D:$D),IF($G$4="MARCH 2015",SUMIF('TY Budget'!$A:$A,'Next 3-Months'!$A32,'LY Actual'!$E:$E),IF($G$4="APRIL 2015",SUMIF('TY Budget'!$A:$A,'Next 3-Months'!$A32,'LY Actual'!$F:$F),IF($G$4="MAY 2015",SUMIF('TY Budget'!$A:$A,'Next 3-Months'!$A32,'LY Actual'!$G:$G),IF($G$4="JUNE 2015",SUMIF('TY Budget'!$A:$A,'Next 3-Months'!$A32,'LY Actual'!$H:$H),IF($G$4="JULY 2015",SUMIF('TY Budget'!$A:$A,'Next 3-Months'!$A32,'LY Actual'!$I:$I),IF($G$4="AUGUST 2015",SUMIF('TY Budget'!$A:$A,'Next 3-Months'!$A32,'LY Actual'!$J:$J),IF($G$4="SEPTEMBER 2015",SUMIF('TY Budget'!$A:$A,'Next 3-Months'!$A32,'LY Actual'!$K:$K),IF($G$4="OCTOBER 2015",SUMIF('TY Budget'!$A:$A,'Next 3-Months'!$A32,'LY Actual'!$L:$L),IF($G$4="NOVEMBER 2015",SUMIF('TY Budget'!$A:$A,'Next 3-Months'!$A32,'LY Actual'!$M:$M),IF($G$4="DECEMBER 2015",SUMIF('TY Budget'!$A:$A,'Next 3-Months'!$A32,'LY Actual'!$N:$N),IF($G$4="JANUARY 2016",SUMIF('TY Budget'!$A:$A,'Next 3-Months'!$A32,'LY Actual'!$Q:$Q),IF($G$4="FEBRUARY 2016",SUMIF('TY Budget'!$A:$A,'Next 3-Months'!$A32,'LY Actual'!$R:$R),IF($G$4="MARCH 2016",SUMIF('TY Budget'!$A:$A,'Next 3-Months'!$A32,'LY Actual'!$S:$S),0))))))))))))))</f>
        <v>3654778.24</v>
      </c>
      <c r="J32" s="28"/>
      <c r="K32" s="31">
        <f>IF($K$4="FEBRUARY 2015",SUMIF('TY Actual-Forecast'!$A:$A,'Next 3-Months'!$A32,'TY Actual-Forecast'!$D:$D),IF($K$4="MARCH 2015",SUMIF('TY Actual-Forecast'!$A:$A,'Next 3-Months'!$A32,'TY Actual-Forecast'!$E:$E),IF($K$4="APRIL 2015",SUMIF('TY Actual-Forecast'!$A:$A,'Next 3-Months'!$A32,'TY Actual-Forecast'!$F:$F),IF($K$4="MAY 2015",SUMIF('TY Actual-Forecast'!$A:$A,'Next 3-Months'!$A32,'TY Actual-Forecast'!$G:$G),IF($K$4="JUNE 2015",SUMIF('TY Actual-Forecast'!$A:$A,'Next 3-Months'!$A32,'TY Actual-Forecast'!$H:$H),IF($K$4="JULY 2015",SUMIF('TY Actual-Forecast'!$A:$A,'Next 3-Months'!$A32,'TY Actual-Forecast'!$I:$I),IF($K$4="AUGUST 2015",SUMIF('TY Actual-Forecast'!$A:$A,'Next 3-Months'!$A32,'TY Actual-Forecast'!$J:$J),IF($K$4="SEPTEMBER 2015",SUMIF('TY Actual-Forecast'!$A:$A,'Next 3-Months'!$A32,'TY Actual-Forecast'!$K:$K),IF($K$4="OCTOBER 2015",SUMIF('TY Actual-Forecast'!$A:$A,'Next 3-Months'!$A32,'TY Actual-Forecast'!$L:$L),IF($K$4="NOVEMBER 2015",SUMIF('TY Actual-Forecast'!$A:$A,'Next 3-Months'!$A32,'TY Actual-Forecast'!$M:$M),IF($K$4="DECEMBER 2015",SUMIF('TY Actual-Forecast'!$A:$A,'Next 3-Months'!$A32,'TY Actual-Forecast'!$N:$N),IF($K$4="JANUARY 2016",SUMIF('TY Actual-Forecast'!$A:$A,'Next 3-Months'!$A32,'TY Actual-Forecast'!$Q:$Q),IF($K$4="FEBRUARY 2016",SUMIF('TY Actual-Forecast'!$A:$A,'Next 3-Months'!$A32,'TY Actual-Forecast'!$R:$R),IF($K$4="MARCH 2016",SUMIF('TY Actual-Forecast'!$A:$A,'Next 3-Months'!$A32,'TY Actual-Forecast'!$S:$S),0))))))))))))))</f>
        <v>3816133.2717432412</v>
      </c>
      <c r="L32" s="31">
        <f>IF($K$4="FEBRUARY 2015",SUMIF('TY Budget'!$A:$A,'Next 3-Months'!$A32,'TY Budget'!$D:$D),IF($K$4="MARCH 2015",SUMIF('TY Budget'!$A:$A,'Next 3-Months'!$A32,'TY Budget'!$E:$E),IF($K$4="APRIL 2015",SUMIF('TY Budget'!$A:$A,'Next 3-Months'!$A32,'TY Budget'!$F:$F),IF($K$4="MAY 2015",SUMIF('TY Budget'!$A:$A,'Next 3-Months'!$A32,'TY Budget'!$G:$G),IF($K$4="JUNE 2015",SUMIF('TY Budget'!$A:$A,'Next 3-Months'!$A32,'TY Budget'!$H:$H),IF($K$4="JULY 2015",SUMIF('TY Budget'!$A:$A,'Next 3-Months'!$A32,'TY Budget'!$I:$I),IF($K$4="AUGUST 2015",SUMIF('TY Budget'!$A:$A,'Next 3-Months'!$A32,'TY Budget'!$J:$J),IF($K$4="SEPTEMBER 2015",SUMIF('TY Budget'!$A:$A,'Next 3-Months'!$A32,'TY Budget'!$K:$K),IF($K$4="OCTOBER 2015",SUMIF('TY Budget'!$A:$A,'Next 3-Months'!$A32,'TY Budget'!$L:$L),IF($K$4="NOVEMBER 2015",SUMIF('TY Budget'!$A:$A,'Next 3-Months'!$A32,'TY Budget'!$M:$M),IF($K$4="DECEMBER 2015",SUMIF('TY Budget'!$A:$A,'Next 3-Months'!$A32,'TY Budget'!$N:$N),IF($K$4="JANUARY 2016",SUMIF('TY Budget'!$A:$A,'Next 3-Months'!$A32,'TY Budget'!$Q:$Q),IF($K$4="FEBRUARY 2016",SUMIF('TY Budget'!$A:$A,'Next 3-Months'!$A32,'TY Budget'!$R:$R),IF($K$4="MARCH 2016",SUMIF('TY Budget'!$A:$A,'Next 3-Months'!$A32,'TY Budget'!$S:$S),0))))))))))))))</f>
        <v>3863000</v>
      </c>
      <c r="M32" s="31">
        <f>IF($K$4="FEBRUARY 2015",SUMIF('TY Budget'!$A:$A,'Next 3-Months'!$A32,'LY Actual'!$D:$D),IF($K$4="MARCH 2015",SUMIF('TY Budget'!$A:$A,'Next 3-Months'!$A32,'LY Actual'!$E:$E),IF($K$4="APRIL 2015",SUMIF('TY Budget'!$A:$A,'Next 3-Months'!$A32,'LY Actual'!$F:$F),IF($K$4="MAY 2015",SUMIF('TY Budget'!$A:$A,'Next 3-Months'!$A32,'LY Actual'!$G:$G),IF($K$4="JUNE 2015",SUMIF('TY Budget'!$A:$A,'Next 3-Months'!$A32,'LY Actual'!$H:$H),IF($K$4="JULY 2015",SUMIF('TY Budget'!$A:$A,'Next 3-Months'!$A32,'LY Actual'!$I:$I),IF($K$4="AUGUST 2015",SUMIF('TY Budget'!$A:$A,'Next 3-Months'!$A32,'LY Actual'!$J:$J),IF($K$4="SEPTEMBER 2015",SUMIF('TY Budget'!$A:$A,'Next 3-Months'!$A32,'LY Actual'!$K:$K),IF($K$4="OCTOBER 2015",SUMIF('TY Budget'!$A:$A,'Next 3-Months'!$A32,'LY Actual'!$L:$L),IF($K$4="NOVEMBER 2015",SUMIF('TY Budget'!$A:$A,'Next 3-Months'!$A32,'LY Actual'!$M:$M),IF($K$4="DECEMBER 2015",SUMIF('TY Budget'!$A:$A,'Next 3-Months'!$A32,'LY Actual'!$N:$N),IF($K$4="JANUARY 2016",SUMIF('TY Budget'!$A:$A,'Next 3-Months'!$A32,'LY Actual'!$Q:$Q),IF($K$4="FEBRUARY 2016",SUMIF('TY Budget'!$A:$A,'Next 3-Months'!$A32,'LY Actual'!$R:$R),IF($K$4="MARCH 2016",SUMIF('TY Budget'!$A:$A,'Next 3-Months'!$A32,'LY Actual'!$S:$S),0))))))))))))))</f>
        <v>3897705.84</v>
      </c>
      <c r="O32" s="31">
        <f t="shared" ref="O32:O36" si="10">(D32+H32+L32)-(C32+G32+K32)</f>
        <v>97364.814471494406</v>
      </c>
      <c r="P32" s="31">
        <f t="shared" ref="P32:P36" si="11">(E32+I32+M32)-(C32+G32+K32)</f>
        <v>154421.8844714947</v>
      </c>
    </row>
    <row r="33" spans="1:16" ht="15" customHeight="1">
      <c r="A33" s="39" t="s">
        <v>202</v>
      </c>
      <c r="B33" s="36"/>
      <c r="C33" s="31">
        <f>IF($C$4="FEBRUARY 2015",SUMIF('TY Actual-Forecast'!$A:$A,'Next 3-Months'!A33,'TY Actual-Forecast'!$D:$D),IF($C$4="MARCH 2015",SUMIF('TY Actual-Forecast'!$A:$A,'Next 3-Months'!A33,'TY Actual-Forecast'!$E:$E),IF($C$4="APRIL 2015",SUMIF('TY Actual-Forecast'!$A:$A,'Next 3-Months'!A33,'TY Actual-Forecast'!$F:$F),IF($C$4="MAY 2015",SUMIF('TY Actual-Forecast'!$A:$A,'Next 3-Months'!A33,'TY Actual-Forecast'!$G:$G),IF($C$4="JUNE 2015",SUMIF('TY Actual-Forecast'!$A:$A,'Next 3-Months'!A33,'TY Actual-Forecast'!$H:$H),IF($C$4="JULY 2015",SUMIF('TY Actual-Forecast'!$A:$A,'Next 3-Months'!A33,'TY Actual-Forecast'!$I:$I),IF($C$4="AUGUST 2015",SUMIF('TY Actual-Forecast'!$A:$A,'Next 3-Months'!A33,'TY Actual-Forecast'!$J:$J),IF($C$4="SEPTEMBER 2015",SUMIF('TY Actual-Forecast'!$A:$A,'Next 3-Months'!A33,'TY Actual-Forecast'!$K:$K),IF($C$4="OCTOBER 2015",SUMIF('TY Actual-Forecast'!$A:$A,'Next 3-Months'!A33,'TY Actual-Forecast'!$L:$L),IF($C$4="NOVEMBER 2015",SUMIF('TY Actual-Forecast'!$A:$A,'Next 3-Months'!A33,'TY Actual-Forecast'!$M:$M),IF($C$4="DECEMBER 2015",SUMIF('TY Actual-Forecast'!$A:$A,'Next 3-Months'!A33,'TY Actual-Forecast'!$N:$N),IF($C$4="JANUARY 2016",SUMIF('TY Actual-Forecast'!$A:$A,'Next 3-Months'!A33,'TY Actual-Forecast'!$Q:$Q),IF($C$4="FEBRUARY 2016",SUMIF('TY Actual-Forecast'!$A:$A,'Next 3-Months'!A33,'TY Actual-Forecast'!$R:$R),IF($C$4="MARCH 2016",SUMIF('TY Actual-Forecast'!$A:$A,'Next 3-Months'!A33,'TY Actual-Forecast'!$S:$S),0))))))))))))))</f>
        <v>1011263.995</v>
      </c>
      <c r="D33" s="31">
        <f>IF($C$4="FEBRUARY 2015",SUMIF('TY Budget'!$A:$A,'Next 3-Months'!$A33,'TY Budget'!$D:$D),IF($C$4="MARCH 2015",SUMIF('TY Budget'!$A:$A,'Next 3-Months'!$A33,'TY Budget'!$E:$E),IF($C$4="APRIL 2015",SUMIF('TY Budget'!$A:$A,'Next 3-Months'!$A33,'TY Budget'!$F:$F),IF($C$4="MAY 2015",SUMIF('TY Budget'!$A:$A,'Next 3-Months'!$A33,'TY Budget'!$G:$G),IF($C$4="JUNE 2015",SUMIF('TY Budget'!$A:$A,'Next 3-Months'!$A33,'TY Budget'!$H:$H),IF($C$4="JULY 2015",SUMIF('TY Budget'!$A:$A,'Next 3-Months'!$A33,'TY Budget'!$I:$I),IF($C$4="AUGUST 2015",SUMIF('TY Budget'!$A:$A,'Next 3-Months'!$A33,'TY Budget'!$J:$J),IF($C$4="SEPTEMBER 2015",SUMIF('TY Budget'!$A:$A,'Next 3-Months'!$A33,'TY Budget'!$K:$K),IF($C$4="OCTOBER 2015",SUMIF('TY Budget'!$A:$A,'Next 3-Months'!$A33,'TY Budget'!$L:$L),IF($C$4="NOVEMBER 2015",SUMIF('TY Budget'!$A:$A,'Next 3-Months'!$A33,'TY Budget'!$M:$M),IF($C$4="DECEMBER 2015",SUMIF('TY Budget'!$A:$A,'Next 3-Months'!$A33,'TY Budget'!$N:$N),IF($C$4="JANUARY 2016",SUMIF('TY Budget'!$A:$A,'Next 3-Months'!$A33,'TY Budget'!$Q:$Q),IF($C$4="FEBRUARY 2016",SUMIF('TY Budget'!$A:$A,'Next 3-Months'!$A33,'TY Budget'!$R:$R),IF($C$4="MARCH 2016",SUMIF('TY Budget'!$A:$A,'Next 3-Months'!$A33,'TY Budget'!$S:$S),0))))))))))))))</f>
        <v>1011123</v>
      </c>
      <c r="E33" s="31">
        <f>IF($C$4="FEBRUARY 2015",SUMIF('TY Budget'!$A:$A,'Next 3-Months'!$A33,'LY Actual'!$D:$D),IF($C$4="MARCH 2015",SUMIF('TY Budget'!$A:$A,'Next 3-Months'!$A33,'LY Actual'!$E:$E),IF($C$4="APRIL 2015",SUMIF('TY Budget'!$A:$A,'Next 3-Months'!$A33,'LY Actual'!$F:$F),IF($C$4="MAY 2015",SUMIF('TY Budget'!$A:$A,'Next 3-Months'!$A33,'LY Actual'!$G:$G),IF($C$4="JUNE 2015",SUMIF('TY Budget'!$A:$A,'Next 3-Months'!$A33,'LY Actual'!$H:$H),IF($C$4="JULY 2015",SUMIF('TY Budget'!$A:$A,'Next 3-Months'!$A33,'LY Actual'!$I:$I),IF($C$4="AUGUST 2015",SUMIF('TY Budget'!$A:$A,'Next 3-Months'!$A33,'LY Actual'!$J:$J),IF($C$4="SEPTEMBER 2015",SUMIF('TY Budget'!$A:$A,'Next 3-Months'!$A33,'LY Actual'!$K:$K),IF($C$4="OCTOBER 2015",SUMIF('TY Budget'!$A:$A,'Next 3-Months'!$A33,'LY Actual'!$L:$L),IF($C$4="NOVEMBER 2015",SUMIF('TY Budget'!$A:$A,'Next 3-Months'!$A33,'LY Actual'!$M:$M),IF($C$4="DECEMBER 2015",SUMIF('TY Budget'!$A:$A,'Next 3-Months'!$A33,'LY Actual'!$N:$N),IF($C$4="JANUARY 2016",SUMIF('TY Budget'!$A:$A,'Next 3-Months'!$A33,'LY Actual'!$Q:$Q),IF($C$4="FEBRUARY 2016",SUMIF('TY Budget'!$A:$A,'Next 3-Months'!$A33,'LY Actual'!$R:$R),IF($C$4="MARCH 2016",SUMIF('TY Budget'!$A:$A,'Next 3-Months'!$A33,'LY Actual'!$S:$S),0))))))))))))))</f>
        <v>292091.36</v>
      </c>
      <c r="F33" s="27"/>
      <c r="G33" s="31">
        <f>IF($G$4="FEBRUARY 2015",SUMIF('TY Actual-Forecast'!$A:$A,'Next 3-Months'!$A33,'TY Actual-Forecast'!$D:$D),IF($G$4="MARCH 2015",SUMIF('TY Actual-Forecast'!$A:$A,'Next 3-Months'!$A33,'TY Actual-Forecast'!$E:$E),IF($G$4="APRIL 2015",SUMIF('TY Actual-Forecast'!$A:$A,'Next 3-Months'!$A33,'TY Actual-Forecast'!$F:$F),IF($G$4="MAY 2015",SUMIF('TY Actual-Forecast'!$A:$A,'Next 3-Months'!$A33,'TY Actual-Forecast'!$G:$G),IF($G$4="JUNE 2015",SUMIF('TY Actual-Forecast'!$A:$A,'Next 3-Months'!$A33,'TY Actual-Forecast'!$H:$H),IF($G$4="JULY 2015",SUMIF('TY Actual-Forecast'!$A:$A,'Next 3-Months'!$A33,'TY Actual-Forecast'!$I:$I),IF($G$4="AUGUST 2015",SUMIF('TY Actual-Forecast'!$A:$A,'Next 3-Months'!$A33,'TY Actual-Forecast'!$J:$J),IF($G$4="SEPTEMBER 2015",SUMIF('TY Actual-Forecast'!$A:$A,'Next 3-Months'!$A33,'TY Actual-Forecast'!$K:$K),IF($G$4="OCTOBER 2015",SUMIF('TY Actual-Forecast'!$A:$A,'Next 3-Months'!$A33,'TY Actual-Forecast'!$L:$L),IF($G$4="NOVEMBER 2015",SUMIF('TY Actual-Forecast'!$A:$A,'Next 3-Months'!$A33,'TY Actual-Forecast'!$M:$M),IF($G$4="DECEMBER 2015",SUMIF('TY Actual-Forecast'!$A:$A,'Next 3-Months'!$A33,'TY Actual-Forecast'!$N:$N),IF($G$4="JANUARY 2016",SUMIF('TY Actual-Forecast'!$A:$A,'Next 3-Months'!$A33,'TY Actual-Forecast'!$Q:$Q),IF($G$4="FEBRUARY 2016",SUMIF('TY Actual-Forecast'!$A:$A,'Next 3-Months'!$A33,'TY Actual-Forecast'!$R:$R),IF($G$4="MARCH 2016",SUMIF('TY Actual-Forecast'!$A:$A,'Next 3-Months'!$A33,'TY Actual-Forecast'!$S:$S),0))))))))))))))</f>
        <v>703478</v>
      </c>
      <c r="H33" s="31">
        <f>IF($G$4="FEBRUARY 2015",SUMIF('TY Budget'!$A:$A,'Next 3-Months'!$A33,'TY Budget'!$D:$D),IF($G$4="MARCH 2015",SUMIF('TY Budget'!$A:$A,'Next 3-Months'!$A33,'TY Budget'!$E:$E),IF($G$4="APRIL 2015",SUMIF('TY Budget'!$A:$A,'Next 3-Months'!$A33,'TY Budget'!$F:$F),IF($G$4="MAY 2015",SUMIF('TY Budget'!$A:$A,'Next 3-Months'!$A33,'TY Budget'!$G:$G),IF($G$4="JUNE 2015",SUMIF('TY Budget'!$A:$A,'Next 3-Months'!$A33,'TY Budget'!$H:$H),IF($G$4="JULY 2015",SUMIF('TY Budget'!$A:$A,'Next 3-Months'!$A33,'TY Budget'!$I:$I),IF($G$4="AUGUST 2015",SUMIF('TY Budget'!$A:$A,'Next 3-Months'!$A33,'TY Budget'!$J:$J),IF($G$4="SEPTEMBER 2015",SUMIF('TY Budget'!$A:$A,'Next 3-Months'!$A33,'TY Budget'!$K:$K),IF($G$4="OCTOBER 2015",SUMIF('TY Budget'!$A:$A,'Next 3-Months'!$A33,'TY Budget'!$L:$L),IF($G$4="NOVEMBER 2015",SUMIF('TY Budget'!$A:$A,'Next 3-Months'!$A33,'TY Budget'!$M:$M),IF($G$4="DECEMBER 2015",SUMIF('TY Budget'!$A:$A,'Next 3-Months'!$A33,'TY Budget'!$N:$N),IF($G$4="JANUARY 2016",SUMIF('TY Budget'!$A:$A,'Next 3-Months'!$A33,'TY Budget'!$Q:$Q),IF($G$4="FEBRUARY 2016",SUMIF('TY Budget'!$A:$A,'Next 3-Months'!$A33,'TY Budget'!$R:$R),IF($G$4="MARCH 2016",SUMIF('TY Budget'!$A:$A,'Next 3-Months'!$A33,'TY Budget'!$S:$S),0))))))))))))))</f>
        <v>703000</v>
      </c>
      <c r="I33" s="31">
        <f>IF($G$4="FEBRUARY 2015",SUMIF('TY Budget'!$A:$A,'Next 3-Months'!$A33,'LY Actual'!$D:$D),IF($G$4="MARCH 2015",SUMIF('TY Budget'!$A:$A,'Next 3-Months'!$A33,'LY Actual'!$E:$E),IF($G$4="APRIL 2015",SUMIF('TY Budget'!$A:$A,'Next 3-Months'!$A33,'LY Actual'!$F:$F),IF($G$4="MAY 2015",SUMIF('TY Budget'!$A:$A,'Next 3-Months'!$A33,'LY Actual'!$G:$G),IF($G$4="JUNE 2015",SUMIF('TY Budget'!$A:$A,'Next 3-Months'!$A33,'LY Actual'!$H:$H),IF($G$4="JULY 2015",SUMIF('TY Budget'!$A:$A,'Next 3-Months'!$A33,'LY Actual'!$I:$I),IF($G$4="AUGUST 2015",SUMIF('TY Budget'!$A:$A,'Next 3-Months'!$A33,'LY Actual'!$J:$J),IF($G$4="SEPTEMBER 2015",SUMIF('TY Budget'!$A:$A,'Next 3-Months'!$A33,'LY Actual'!$K:$K),IF($G$4="OCTOBER 2015",SUMIF('TY Budget'!$A:$A,'Next 3-Months'!$A33,'LY Actual'!$L:$L),IF($G$4="NOVEMBER 2015",SUMIF('TY Budget'!$A:$A,'Next 3-Months'!$A33,'LY Actual'!$M:$M),IF($G$4="DECEMBER 2015",SUMIF('TY Budget'!$A:$A,'Next 3-Months'!$A33,'LY Actual'!$N:$N),IF($G$4="JANUARY 2016",SUMIF('TY Budget'!$A:$A,'Next 3-Months'!$A33,'LY Actual'!$Q:$Q),IF($G$4="FEBRUARY 2016",SUMIF('TY Budget'!$A:$A,'Next 3-Months'!$A33,'LY Actual'!$R:$R),IF($G$4="MARCH 2016",SUMIF('TY Budget'!$A:$A,'Next 3-Months'!$A33,'LY Actual'!$S:$S),0))))))))))))))</f>
        <v>307470.95999999996</v>
      </c>
      <c r="J33" s="28"/>
      <c r="K33" s="31">
        <f>IF($K$4="FEBRUARY 2015",SUMIF('TY Actual-Forecast'!$A:$A,'Next 3-Months'!$A33,'TY Actual-Forecast'!$D:$D),IF($K$4="MARCH 2015",SUMIF('TY Actual-Forecast'!$A:$A,'Next 3-Months'!$A33,'TY Actual-Forecast'!$E:$E),IF($K$4="APRIL 2015",SUMIF('TY Actual-Forecast'!$A:$A,'Next 3-Months'!$A33,'TY Actual-Forecast'!$F:$F),IF($K$4="MAY 2015",SUMIF('TY Actual-Forecast'!$A:$A,'Next 3-Months'!$A33,'TY Actual-Forecast'!$G:$G),IF($K$4="JUNE 2015",SUMIF('TY Actual-Forecast'!$A:$A,'Next 3-Months'!$A33,'TY Actual-Forecast'!$H:$H),IF($K$4="JULY 2015",SUMIF('TY Actual-Forecast'!$A:$A,'Next 3-Months'!$A33,'TY Actual-Forecast'!$I:$I),IF($K$4="AUGUST 2015",SUMIF('TY Actual-Forecast'!$A:$A,'Next 3-Months'!$A33,'TY Actual-Forecast'!$J:$J),IF($K$4="SEPTEMBER 2015",SUMIF('TY Actual-Forecast'!$A:$A,'Next 3-Months'!$A33,'TY Actual-Forecast'!$K:$K),IF($K$4="OCTOBER 2015",SUMIF('TY Actual-Forecast'!$A:$A,'Next 3-Months'!$A33,'TY Actual-Forecast'!$L:$L),IF($K$4="NOVEMBER 2015",SUMIF('TY Actual-Forecast'!$A:$A,'Next 3-Months'!$A33,'TY Actual-Forecast'!$M:$M),IF($K$4="DECEMBER 2015",SUMIF('TY Actual-Forecast'!$A:$A,'Next 3-Months'!$A33,'TY Actual-Forecast'!$N:$N),IF($K$4="JANUARY 2016",SUMIF('TY Actual-Forecast'!$A:$A,'Next 3-Months'!$A33,'TY Actual-Forecast'!$Q:$Q),IF($K$4="FEBRUARY 2016",SUMIF('TY Actual-Forecast'!$A:$A,'Next 3-Months'!$A33,'TY Actual-Forecast'!$R:$R),IF($K$4="MARCH 2016",SUMIF('TY Actual-Forecast'!$A:$A,'Next 3-Months'!$A33,'TY Actual-Forecast'!$S:$S),0))))))))))))))</f>
        <v>706613</v>
      </c>
      <c r="L33" s="31">
        <f>IF($K$4="FEBRUARY 2015",SUMIF('TY Budget'!$A:$A,'Next 3-Months'!$A33,'TY Budget'!$D:$D),IF($K$4="MARCH 2015",SUMIF('TY Budget'!$A:$A,'Next 3-Months'!$A33,'TY Budget'!$E:$E),IF($K$4="APRIL 2015",SUMIF('TY Budget'!$A:$A,'Next 3-Months'!$A33,'TY Budget'!$F:$F),IF($K$4="MAY 2015",SUMIF('TY Budget'!$A:$A,'Next 3-Months'!$A33,'TY Budget'!$G:$G),IF($K$4="JUNE 2015",SUMIF('TY Budget'!$A:$A,'Next 3-Months'!$A33,'TY Budget'!$H:$H),IF($K$4="JULY 2015",SUMIF('TY Budget'!$A:$A,'Next 3-Months'!$A33,'TY Budget'!$I:$I),IF($K$4="AUGUST 2015",SUMIF('TY Budget'!$A:$A,'Next 3-Months'!$A33,'TY Budget'!$J:$J),IF($K$4="SEPTEMBER 2015",SUMIF('TY Budget'!$A:$A,'Next 3-Months'!$A33,'TY Budget'!$K:$K),IF($K$4="OCTOBER 2015",SUMIF('TY Budget'!$A:$A,'Next 3-Months'!$A33,'TY Budget'!$L:$L),IF($K$4="NOVEMBER 2015",SUMIF('TY Budget'!$A:$A,'Next 3-Months'!$A33,'TY Budget'!$M:$M),IF($K$4="DECEMBER 2015",SUMIF('TY Budget'!$A:$A,'Next 3-Months'!$A33,'TY Budget'!$N:$N),IF($K$4="JANUARY 2016",SUMIF('TY Budget'!$A:$A,'Next 3-Months'!$A33,'TY Budget'!$Q:$Q),IF($K$4="FEBRUARY 2016",SUMIF('TY Budget'!$A:$A,'Next 3-Months'!$A33,'TY Budget'!$R:$R),IF($K$4="MARCH 2016",SUMIF('TY Budget'!$A:$A,'Next 3-Months'!$A33,'TY Budget'!$S:$S),0))))))))))))))</f>
        <v>707000</v>
      </c>
      <c r="M33" s="31">
        <f>IF($K$4="FEBRUARY 2015",SUMIF('TY Budget'!$A:$A,'Next 3-Months'!$A33,'LY Actual'!$D:$D),IF($K$4="MARCH 2015",SUMIF('TY Budget'!$A:$A,'Next 3-Months'!$A33,'LY Actual'!$E:$E),IF($K$4="APRIL 2015",SUMIF('TY Budget'!$A:$A,'Next 3-Months'!$A33,'LY Actual'!$F:$F),IF($K$4="MAY 2015",SUMIF('TY Budget'!$A:$A,'Next 3-Months'!$A33,'LY Actual'!$G:$G),IF($K$4="JUNE 2015",SUMIF('TY Budget'!$A:$A,'Next 3-Months'!$A33,'LY Actual'!$H:$H),IF($K$4="JULY 2015",SUMIF('TY Budget'!$A:$A,'Next 3-Months'!$A33,'LY Actual'!$I:$I),IF($K$4="AUGUST 2015",SUMIF('TY Budget'!$A:$A,'Next 3-Months'!$A33,'LY Actual'!$J:$J),IF($K$4="SEPTEMBER 2015",SUMIF('TY Budget'!$A:$A,'Next 3-Months'!$A33,'LY Actual'!$K:$K),IF($K$4="OCTOBER 2015",SUMIF('TY Budget'!$A:$A,'Next 3-Months'!$A33,'LY Actual'!$L:$L),IF($K$4="NOVEMBER 2015",SUMIF('TY Budget'!$A:$A,'Next 3-Months'!$A33,'LY Actual'!$M:$M),IF($K$4="DECEMBER 2015",SUMIF('TY Budget'!$A:$A,'Next 3-Months'!$A33,'LY Actual'!$N:$N),IF($K$4="JANUARY 2016",SUMIF('TY Budget'!$A:$A,'Next 3-Months'!$A33,'LY Actual'!$Q:$Q),IF($K$4="FEBRUARY 2016",SUMIF('TY Budget'!$A:$A,'Next 3-Months'!$A33,'LY Actual'!$R:$R),IF($K$4="MARCH 2016",SUMIF('TY Budget'!$A:$A,'Next 3-Months'!$A33,'LY Actual'!$S:$S),0))))))))))))))</f>
        <v>284367.79000000004</v>
      </c>
      <c r="O33" s="31">
        <f t="shared" si="10"/>
        <v>-231.99500000011176</v>
      </c>
      <c r="P33" s="31">
        <f t="shared" si="11"/>
        <v>-1537424.8850000002</v>
      </c>
    </row>
    <row r="34" spans="1:16" ht="15" customHeight="1">
      <c r="A34" s="39" t="s">
        <v>22</v>
      </c>
      <c r="B34" s="36"/>
      <c r="C34" s="31">
        <f>IF($C$4="FEBRUARY 2015",SUMIF('TY Actual-Forecast'!$A:$A,'Next 3-Months'!A34,'TY Actual-Forecast'!$D:$D),IF($C$4="MARCH 2015",SUMIF('TY Actual-Forecast'!$A:$A,'Next 3-Months'!A34,'TY Actual-Forecast'!$E:$E),IF($C$4="APRIL 2015",SUMIF('TY Actual-Forecast'!$A:$A,'Next 3-Months'!A34,'TY Actual-Forecast'!$F:$F),IF($C$4="MAY 2015",SUMIF('TY Actual-Forecast'!$A:$A,'Next 3-Months'!A34,'TY Actual-Forecast'!$G:$G),IF($C$4="JUNE 2015",SUMIF('TY Actual-Forecast'!$A:$A,'Next 3-Months'!A34,'TY Actual-Forecast'!$H:$H),IF($C$4="JULY 2015",SUMIF('TY Actual-Forecast'!$A:$A,'Next 3-Months'!A34,'TY Actual-Forecast'!$I:$I),IF($C$4="AUGUST 2015",SUMIF('TY Actual-Forecast'!$A:$A,'Next 3-Months'!A34,'TY Actual-Forecast'!$J:$J),IF($C$4="SEPTEMBER 2015",SUMIF('TY Actual-Forecast'!$A:$A,'Next 3-Months'!A34,'TY Actual-Forecast'!$K:$K),IF($C$4="OCTOBER 2015",SUMIF('TY Actual-Forecast'!$A:$A,'Next 3-Months'!A34,'TY Actual-Forecast'!$L:$L),IF($C$4="NOVEMBER 2015",SUMIF('TY Actual-Forecast'!$A:$A,'Next 3-Months'!A34,'TY Actual-Forecast'!$M:$M),IF($C$4="DECEMBER 2015",SUMIF('TY Actual-Forecast'!$A:$A,'Next 3-Months'!A34,'TY Actual-Forecast'!$N:$N),IF($C$4="JANUARY 2016",SUMIF('TY Actual-Forecast'!$A:$A,'Next 3-Months'!A34,'TY Actual-Forecast'!$Q:$Q),IF($C$4="FEBRUARY 2016",SUMIF('TY Actual-Forecast'!$A:$A,'Next 3-Months'!A34,'TY Actual-Forecast'!$R:$R),IF($C$4="MARCH 2016",SUMIF('TY Actual-Forecast'!$A:$A,'Next 3-Months'!A34,'TY Actual-Forecast'!$S:$S),0))))))))))))))</f>
        <v>2360874.862666667</v>
      </c>
      <c r="D34" s="31">
        <f>IF($C$4="FEBRUARY 2015",SUMIF('TY Budget'!$A:$A,'Next 3-Months'!$A34,'TY Budget'!$D:$D),IF($C$4="MARCH 2015",SUMIF('TY Budget'!$A:$A,'Next 3-Months'!$A34,'TY Budget'!$E:$E),IF($C$4="APRIL 2015",SUMIF('TY Budget'!$A:$A,'Next 3-Months'!$A34,'TY Budget'!$F:$F),IF($C$4="MAY 2015",SUMIF('TY Budget'!$A:$A,'Next 3-Months'!$A34,'TY Budget'!$G:$G),IF($C$4="JUNE 2015",SUMIF('TY Budget'!$A:$A,'Next 3-Months'!$A34,'TY Budget'!$H:$H),IF($C$4="JULY 2015",SUMIF('TY Budget'!$A:$A,'Next 3-Months'!$A34,'TY Budget'!$I:$I),IF($C$4="AUGUST 2015",SUMIF('TY Budget'!$A:$A,'Next 3-Months'!$A34,'TY Budget'!$J:$J),IF($C$4="SEPTEMBER 2015",SUMIF('TY Budget'!$A:$A,'Next 3-Months'!$A34,'TY Budget'!$K:$K),IF($C$4="OCTOBER 2015",SUMIF('TY Budget'!$A:$A,'Next 3-Months'!$A34,'TY Budget'!$L:$L),IF($C$4="NOVEMBER 2015",SUMIF('TY Budget'!$A:$A,'Next 3-Months'!$A34,'TY Budget'!$M:$M),IF($C$4="DECEMBER 2015",SUMIF('TY Budget'!$A:$A,'Next 3-Months'!$A34,'TY Budget'!$N:$N),IF($C$4="JANUARY 2016",SUMIF('TY Budget'!$A:$A,'Next 3-Months'!$A34,'TY Budget'!$Q:$Q),IF($C$4="FEBRUARY 2016",SUMIF('TY Budget'!$A:$A,'Next 3-Months'!$A34,'TY Budget'!$R:$R),IF($C$4="MARCH 2016",SUMIF('TY Budget'!$A:$A,'Next 3-Months'!$A34,'TY Budget'!$S:$S),0))))))))))))))</f>
        <v>2361123</v>
      </c>
      <c r="E34" s="31">
        <f>IF($C$4="FEBRUARY 2015",SUMIF('TY Budget'!$A:$A,'Next 3-Months'!$A34,'LY Actual'!$D:$D),IF($C$4="MARCH 2015",SUMIF('TY Budget'!$A:$A,'Next 3-Months'!$A34,'LY Actual'!$E:$E),IF($C$4="APRIL 2015",SUMIF('TY Budget'!$A:$A,'Next 3-Months'!$A34,'LY Actual'!$F:$F),IF($C$4="MAY 2015",SUMIF('TY Budget'!$A:$A,'Next 3-Months'!$A34,'LY Actual'!$G:$G),IF($C$4="JUNE 2015",SUMIF('TY Budget'!$A:$A,'Next 3-Months'!$A34,'LY Actual'!$H:$H),IF($C$4="JULY 2015",SUMIF('TY Budget'!$A:$A,'Next 3-Months'!$A34,'LY Actual'!$I:$I),IF($C$4="AUGUST 2015",SUMIF('TY Budget'!$A:$A,'Next 3-Months'!$A34,'LY Actual'!$J:$J),IF($C$4="SEPTEMBER 2015",SUMIF('TY Budget'!$A:$A,'Next 3-Months'!$A34,'LY Actual'!$K:$K),IF($C$4="OCTOBER 2015",SUMIF('TY Budget'!$A:$A,'Next 3-Months'!$A34,'LY Actual'!$L:$L),IF($C$4="NOVEMBER 2015",SUMIF('TY Budget'!$A:$A,'Next 3-Months'!$A34,'LY Actual'!$M:$M),IF($C$4="DECEMBER 2015",SUMIF('TY Budget'!$A:$A,'Next 3-Months'!$A34,'LY Actual'!$N:$N),IF($C$4="JANUARY 2016",SUMIF('TY Budget'!$A:$A,'Next 3-Months'!$A34,'LY Actual'!$Q:$Q),IF($C$4="FEBRUARY 2016",SUMIF('TY Budget'!$A:$A,'Next 3-Months'!$A34,'LY Actual'!$R:$R),IF($C$4="MARCH 2016",SUMIF('TY Budget'!$A:$A,'Next 3-Months'!$A34,'LY Actual'!$S:$S),0))))))))))))))</f>
        <v>1359579</v>
      </c>
      <c r="F34" s="27"/>
      <c r="G34" s="31">
        <f>IF($G$4="FEBRUARY 2015",SUMIF('TY Actual-Forecast'!$A:$A,'Next 3-Months'!$A34,'TY Actual-Forecast'!$D:$D),IF($G$4="MARCH 2015",SUMIF('TY Actual-Forecast'!$A:$A,'Next 3-Months'!$A34,'TY Actual-Forecast'!$E:$E),IF($G$4="APRIL 2015",SUMIF('TY Actual-Forecast'!$A:$A,'Next 3-Months'!$A34,'TY Actual-Forecast'!$F:$F),IF($G$4="MAY 2015",SUMIF('TY Actual-Forecast'!$A:$A,'Next 3-Months'!$A34,'TY Actual-Forecast'!$G:$G),IF($G$4="JUNE 2015",SUMIF('TY Actual-Forecast'!$A:$A,'Next 3-Months'!$A34,'TY Actual-Forecast'!$H:$H),IF($G$4="JULY 2015",SUMIF('TY Actual-Forecast'!$A:$A,'Next 3-Months'!$A34,'TY Actual-Forecast'!$I:$I),IF($G$4="AUGUST 2015",SUMIF('TY Actual-Forecast'!$A:$A,'Next 3-Months'!$A34,'TY Actual-Forecast'!$J:$J),IF($G$4="SEPTEMBER 2015",SUMIF('TY Actual-Forecast'!$A:$A,'Next 3-Months'!$A34,'TY Actual-Forecast'!$K:$K),IF($G$4="OCTOBER 2015",SUMIF('TY Actual-Forecast'!$A:$A,'Next 3-Months'!$A34,'TY Actual-Forecast'!$L:$L),IF($G$4="NOVEMBER 2015",SUMIF('TY Actual-Forecast'!$A:$A,'Next 3-Months'!$A34,'TY Actual-Forecast'!$M:$M),IF($G$4="DECEMBER 2015",SUMIF('TY Actual-Forecast'!$A:$A,'Next 3-Months'!$A34,'TY Actual-Forecast'!$N:$N),IF($G$4="JANUARY 2016",SUMIF('TY Actual-Forecast'!$A:$A,'Next 3-Months'!$A34,'TY Actual-Forecast'!$Q:$Q),IF($G$4="FEBRUARY 2016",SUMIF('TY Actual-Forecast'!$A:$A,'Next 3-Months'!$A34,'TY Actual-Forecast'!$R:$R),IF($G$4="MARCH 2016",SUMIF('TY Actual-Forecast'!$A:$A,'Next 3-Months'!$A34,'TY Actual-Forecast'!$S:$S),0))))))))))))))</f>
        <v>2335172.5833333335</v>
      </c>
      <c r="H34" s="31">
        <f>IF($G$4="FEBRUARY 2015",SUMIF('TY Budget'!$A:$A,'Next 3-Months'!$A34,'TY Budget'!$D:$D),IF($G$4="MARCH 2015",SUMIF('TY Budget'!$A:$A,'Next 3-Months'!$A34,'TY Budget'!$E:$E),IF($G$4="APRIL 2015",SUMIF('TY Budget'!$A:$A,'Next 3-Months'!$A34,'TY Budget'!$F:$F),IF($G$4="MAY 2015",SUMIF('TY Budget'!$A:$A,'Next 3-Months'!$A34,'TY Budget'!$G:$G),IF($G$4="JUNE 2015",SUMIF('TY Budget'!$A:$A,'Next 3-Months'!$A34,'TY Budget'!$H:$H),IF($G$4="JULY 2015",SUMIF('TY Budget'!$A:$A,'Next 3-Months'!$A34,'TY Budget'!$I:$I),IF($G$4="AUGUST 2015",SUMIF('TY Budget'!$A:$A,'Next 3-Months'!$A34,'TY Budget'!$J:$J),IF($G$4="SEPTEMBER 2015",SUMIF('TY Budget'!$A:$A,'Next 3-Months'!$A34,'TY Budget'!$K:$K),IF($G$4="OCTOBER 2015",SUMIF('TY Budget'!$A:$A,'Next 3-Months'!$A34,'TY Budget'!$L:$L),IF($G$4="NOVEMBER 2015",SUMIF('TY Budget'!$A:$A,'Next 3-Months'!$A34,'TY Budget'!$M:$M),IF($G$4="DECEMBER 2015",SUMIF('TY Budget'!$A:$A,'Next 3-Months'!$A34,'TY Budget'!$N:$N),IF($G$4="JANUARY 2016",SUMIF('TY Budget'!$A:$A,'Next 3-Months'!$A34,'TY Budget'!$Q:$Q),IF($G$4="FEBRUARY 2016",SUMIF('TY Budget'!$A:$A,'Next 3-Months'!$A34,'TY Budget'!$R:$R),IF($G$4="MARCH 2016",SUMIF('TY Budget'!$A:$A,'Next 3-Months'!$A34,'TY Budget'!$S:$S),0))))))))))))))</f>
        <v>2335000</v>
      </c>
      <c r="I34" s="31">
        <f>IF($G$4="FEBRUARY 2015",SUMIF('TY Budget'!$A:$A,'Next 3-Months'!$A34,'LY Actual'!$D:$D),IF($G$4="MARCH 2015",SUMIF('TY Budget'!$A:$A,'Next 3-Months'!$A34,'LY Actual'!$E:$E),IF($G$4="APRIL 2015",SUMIF('TY Budget'!$A:$A,'Next 3-Months'!$A34,'LY Actual'!$F:$F),IF($G$4="MAY 2015",SUMIF('TY Budget'!$A:$A,'Next 3-Months'!$A34,'LY Actual'!$G:$G),IF($G$4="JUNE 2015",SUMIF('TY Budget'!$A:$A,'Next 3-Months'!$A34,'LY Actual'!$H:$H),IF($G$4="JULY 2015",SUMIF('TY Budget'!$A:$A,'Next 3-Months'!$A34,'LY Actual'!$I:$I),IF($G$4="AUGUST 2015",SUMIF('TY Budget'!$A:$A,'Next 3-Months'!$A34,'LY Actual'!$J:$J),IF($G$4="SEPTEMBER 2015",SUMIF('TY Budget'!$A:$A,'Next 3-Months'!$A34,'LY Actual'!$K:$K),IF($G$4="OCTOBER 2015",SUMIF('TY Budget'!$A:$A,'Next 3-Months'!$A34,'LY Actual'!$L:$L),IF($G$4="NOVEMBER 2015",SUMIF('TY Budget'!$A:$A,'Next 3-Months'!$A34,'LY Actual'!$M:$M),IF($G$4="DECEMBER 2015",SUMIF('TY Budget'!$A:$A,'Next 3-Months'!$A34,'LY Actual'!$N:$N),IF($G$4="JANUARY 2016",SUMIF('TY Budget'!$A:$A,'Next 3-Months'!$A34,'LY Actual'!$Q:$Q),IF($G$4="FEBRUARY 2016",SUMIF('TY Budget'!$A:$A,'Next 3-Months'!$A34,'LY Actual'!$R:$R),IF($G$4="MARCH 2016",SUMIF('TY Budget'!$A:$A,'Next 3-Months'!$A34,'LY Actual'!$S:$S),0))))))))))))))</f>
        <v>1376718</v>
      </c>
      <c r="J34" s="28"/>
      <c r="K34" s="31">
        <f>IF($K$4="FEBRUARY 2015",SUMIF('TY Actual-Forecast'!$A:$A,'Next 3-Months'!$A34,'TY Actual-Forecast'!$D:$D),IF($K$4="MARCH 2015",SUMIF('TY Actual-Forecast'!$A:$A,'Next 3-Months'!$A34,'TY Actual-Forecast'!$E:$E),IF($K$4="APRIL 2015",SUMIF('TY Actual-Forecast'!$A:$A,'Next 3-Months'!$A34,'TY Actual-Forecast'!$F:$F),IF($K$4="MAY 2015",SUMIF('TY Actual-Forecast'!$A:$A,'Next 3-Months'!$A34,'TY Actual-Forecast'!$G:$G),IF($K$4="JUNE 2015",SUMIF('TY Actual-Forecast'!$A:$A,'Next 3-Months'!$A34,'TY Actual-Forecast'!$H:$H),IF($K$4="JULY 2015",SUMIF('TY Actual-Forecast'!$A:$A,'Next 3-Months'!$A34,'TY Actual-Forecast'!$I:$I),IF($K$4="AUGUST 2015",SUMIF('TY Actual-Forecast'!$A:$A,'Next 3-Months'!$A34,'TY Actual-Forecast'!$J:$J),IF($K$4="SEPTEMBER 2015",SUMIF('TY Actual-Forecast'!$A:$A,'Next 3-Months'!$A34,'TY Actual-Forecast'!$K:$K),IF($K$4="OCTOBER 2015",SUMIF('TY Actual-Forecast'!$A:$A,'Next 3-Months'!$A34,'TY Actual-Forecast'!$L:$L),IF($K$4="NOVEMBER 2015",SUMIF('TY Actual-Forecast'!$A:$A,'Next 3-Months'!$A34,'TY Actual-Forecast'!$M:$M),IF($K$4="DECEMBER 2015",SUMIF('TY Actual-Forecast'!$A:$A,'Next 3-Months'!$A34,'TY Actual-Forecast'!$N:$N),IF($K$4="JANUARY 2016",SUMIF('TY Actual-Forecast'!$A:$A,'Next 3-Months'!$A34,'TY Actual-Forecast'!$Q:$Q),IF($K$4="FEBRUARY 2016",SUMIF('TY Actual-Forecast'!$A:$A,'Next 3-Months'!$A34,'TY Actual-Forecast'!$R:$R),IF($K$4="MARCH 2016",SUMIF('TY Actual-Forecast'!$A:$A,'Next 3-Months'!$A34,'TY Actual-Forecast'!$S:$S),0))))))))))))))</f>
        <v>1743676.9633333334</v>
      </c>
      <c r="L34" s="31">
        <f>IF($K$4="FEBRUARY 2015",SUMIF('TY Budget'!$A:$A,'Next 3-Months'!$A34,'TY Budget'!$D:$D),IF($K$4="MARCH 2015",SUMIF('TY Budget'!$A:$A,'Next 3-Months'!$A34,'TY Budget'!$E:$E),IF($K$4="APRIL 2015",SUMIF('TY Budget'!$A:$A,'Next 3-Months'!$A34,'TY Budget'!$F:$F),IF($K$4="MAY 2015",SUMIF('TY Budget'!$A:$A,'Next 3-Months'!$A34,'TY Budget'!$G:$G),IF($K$4="JUNE 2015",SUMIF('TY Budget'!$A:$A,'Next 3-Months'!$A34,'TY Budget'!$H:$H),IF($K$4="JULY 2015",SUMIF('TY Budget'!$A:$A,'Next 3-Months'!$A34,'TY Budget'!$I:$I),IF($K$4="AUGUST 2015",SUMIF('TY Budget'!$A:$A,'Next 3-Months'!$A34,'TY Budget'!$J:$J),IF($K$4="SEPTEMBER 2015",SUMIF('TY Budget'!$A:$A,'Next 3-Months'!$A34,'TY Budget'!$K:$K),IF($K$4="OCTOBER 2015",SUMIF('TY Budget'!$A:$A,'Next 3-Months'!$A34,'TY Budget'!$L:$L),IF($K$4="NOVEMBER 2015",SUMIF('TY Budget'!$A:$A,'Next 3-Months'!$A34,'TY Budget'!$M:$M),IF($K$4="DECEMBER 2015",SUMIF('TY Budget'!$A:$A,'Next 3-Months'!$A34,'TY Budget'!$N:$N),IF($K$4="JANUARY 2016",SUMIF('TY Budget'!$A:$A,'Next 3-Months'!$A34,'TY Budget'!$Q:$Q),IF($K$4="FEBRUARY 2016",SUMIF('TY Budget'!$A:$A,'Next 3-Months'!$A34,'TY Budget'!$R:$R),IF($K$4="MARCH 2016",SUMIF('TY Budget'!$A:$A,'Next 3-Months'!$A34,'TY Budget'!$S:$S),0))))))))))))))</f>
        <v>1744000</v>
      </c>
      <c r="M34" s="31">
        <f>IF($K$4="FEBRUARY 2015",SUMIF('TY Budget'!$A:$A,'Next 3-Months'!$A34,'LY Actual'!$D:$D),IF($K$4="MARCH 2015",SUMIF('TY Budget'!$A:$A,'Next 3-Months'!$A34,'LY Actual'!$E:$E),IF($K$4="APRIL 2015",SUMIF('TY Budget'!$A:$A,'Next 3-Months'!$A34,'LY Actual'!$F:$F),IF($K$4="MAY 2015",SUMIF('TY Budget'!$A:$A,'Next 3-Months'!$A34,'LY Actual'!$G:$G),IF($K$4="JUNE 2015",SUMIF('TY Budget'!$A:$A,'Next 3-Months'!$A34,'LY Actual'!$H:$H),IF($K$4="JULY 2015",SUMIF('TY Budget'!$A:$A,'Next 3-Months'!$A34,'LY Actual'!$I:$I),IF($K$4="AUGUST 2015",SUMIF('TY Budget'!$A:$A,'Next 3-Months'!$A34,'LY Actual'!$J:$J),IF($K$4="SEPTEMBER 2015",SUMIF('TY Budget'!$A:$A,'Next 3-Months'!$A34,'LY Actual'!$K:$K),IF($K$4="OCTOBER 2015",SUMIF('TY Budget'!$A:$A,'Next 3-Months'!$A34,'LY Actual'!$L:$L),IF($K$4="NOVEMBER 2015",SUMIF('TY Budget'!$A:$A,'Next 3-Months'!$A34,'LY Actual'!$M:$M),IF($K$4="DECEMBER 2015",SUMIF('TY Budget'!$A:$A,'Next 3-Months'!$A34,'LY Actual'!$N:$N),IF($K$4="JANUARY 2016",SUMIF('TY Budget'!$A:$A,'Next 3-Months'!$A34,'LY Actual'!$Q:$Q),IF($K$4="FEBRUARY 2016",SUMIF('TY Budget'!$A:$A,'Next 3-Months'!$A34,'LY Actual'!$R:$R),IF($K$4="MARCH 2016",SUMIF('TY Budget'!$A:$A,'Next 3-Months'!$A34,'LY Actual'!$S:$S),0))))))))))))))</f>
        <v>1331536</v>
      </c>
      <c r="O34" s="31">
        <f t="shared" si="10"/>
        <v>398.59066666662693</v>
      </c>
      <c r="P34" s="31">
        <f t="shared" si="11"/>
        <v>-2371891.4093333334</v>
      </c>
    </row>
    <row r="35" spans="1:16" ht="15" customHeight="1">
      <c r="A35" s="39" t="s">
        <v>190</v>
      </c>
      <c r="B35" s="36"/>
      <c r="C35" s="31">
        <f>IF($C$4="FEBRUARY 2015",SUMIF('TY Actual-Forecast'!$A:$A,'Next 3-Months'!A35,'TY Actual-Forecast'!$D:$D),IF($C$4="MARCH 2015",SUMIF('TY Actual-Forecast'!$A:$A,'Next 3-Months'!A35,'TY Actual-Forecast'!$E:$E),IF($C$4="APRIL 2015",SUMIF('TY Actual-Forecast'!$A:$A,'Next 3-Months'!A35,'TY Actual-Forecast'!$F:$F),IF($C$4="MAY 2015",SUMIF('TY Actual-Forecast'!$A:$A,'Next 3-Months'!A35,'TY Actual-Forecast'!$G:$G),IF($C$4="JUNE 2015",SUMIF('TY Actual-Forecast'!$A:$A,'Next 3-Months'!A35,'TY Actual-Forecast'!$H:$H),IF($C$4="JULY 2015",SUMIF('TY Actual-Forecast'!$A:$A,'Next 3-Months'!A35,'TY Actual-Forecast'!$I:$I),IF($C$4="AUGUST 2015",SUMIF('TY Actual-Forecast'!$A:$A,'Next 3-Months'!A35,'TY Actual-Forecast'!$J:$J),IF($C$4="SEPTEMBER 2015",SUMIF('TY Actual-Forecast'!$A:$A,'Next 3-Months'!A35,'TY Actual-Forecast'!$K:$K),IF($C$4="OCTOBER 2015",SUMIF('TY Actual-Forecast'!$A:$A,'Next 3-Months'!A35,'TY Actual-Forecast'!$L:$L),IF($C$4="NOVEMBER 2015",SUMIF('TY Actual-Forecast'!$A:$A,'Next 3-Months'!A35,'TY Actual-Forecast'!$M:$M),IF($C$4="DECEMBER 2015",SUMIF('TY Actual-Forecast'!$A:$A,'Next 3-Months'!A35,'TY Actual-Forecast'!$N:$N),IF($C$4="JANUARY 2016",SUMIF('TY Actual-Forecast'!$A:$A,'Next 3-Months'!A35,'TY Actual-Forecast'!$Q:$Q),IF($C$4="FEBRUARY 2016",SUMIF('TY Actual-Forecast'!$A:$A,'Next 3-Months'!A35,'TY Actual-Forecast'!$R:$R),IF($C$4="MARCH 2016",SUMIF('TY Actual-Forecast'!$A:$A,'Next 3-Months'!A35,'TY Actual-Forecast'!$S:$S),0))))))))))))))</f>
        <v>2064867.0066666666</v>
      </c>
      <c r="D35" s="31">
        <f>IF($C$4="FEBRUARY 2015",SUMIF('TY Budget'!$A:$A,'Next 3-Months'!$A35,'TY Budget'!$D:$D),IF($C$4="MARCH 2015",SUMIF('TY Budget'!$A:$A,'Next 3-Months'!$A35,'TY Budget'!$E:$E),IF($C$4="APRIL 2015",SUMIF('TY Budget'!$A:$A,'Next 3-Months'!$A35,'TY Budget'!$F:$F),IF($C$4="MAY 2015",SUMIF('TY Budget'!$A:$A,'Next 3-Months'!$A35,'TY Budget'!$G:$G),IF($C$4="JUNE 2015",SUMIF('TY Budget'!$A:$A,'Next 3-Months'!$A35,'TY Budget'!$H:$H),IF($C$4="JULY 2015",SUMIF('TY Budget'!$A:$A,'Next 3-Months'!$A35,'TY Budget'!$I:$I),IF($C$4="AUGUST 2015",SUMIF('TY Budget'!$A:$A,'Next 3-Months'!$A35,'TY Budget'!$J:$J),IF($C$4="SEPTEMBER 2015",SUMIF('TY Budget'!$A:$A,'Next 3-Months'!$A35,'TY Budget'!$K:$K),IF($C$4="OCTOBER 2015",SUMIF('TY Budget'!$A:$A,'Next 3-Months'!$A35,'TY Budget'!$L:$L),IF($C$4="NOVEMBER 2015",SUMIF('TY Budget'!$A:$A,'Next 3-Months'!$A35,'TY Budget'!$M:$M),IF($C$4="DECEMBER 2015",SUMIF('TY Budget'!$A:$A,'Next 3-Months'!$A35,'TY Budget'!$N:$N),IF($C$4="JANUARY 2016",SUMIF('TY Budget'!$A:$A,'Next 3-Months'!$A35,'TY Budget'!$Q:$Q),IF($C$4="FEBRUARY 2016",SUMIF('TY Budget'!$A:$A,'Next 3-Months'!$A35,'TY Budget'!$R:$R),IF($C$4="MARCH 2016",SUMIF('TY Budget'!$A:$A,'Next 3-Months'!$A35,'TY Budget'!$S:$S),0))))))))))))))</f>
        <v>2065234</v>
      </c>
      <c r="E35" s="31">
        <f>IF($C$4="FEBRUARY 2015",SUMIF('TY Budget'!$A:$A,'Next 3-Months'!$A35,'LY Actual'!$D:$D),IF($C$4="MARCH 2015",SUMIF('TY Budget'!$A:$A,'Next 3-Months'!$A35,'LY Actual'!$E:$E),IF($C$4="APRIL 2015",SUMIF('TY Budget'!$A:$A,'Next 3-Months'!$A35,'LY Actual'!$F:$F),IF($C$4="MAY 2015",SUMIF('TY Budget'!$A:$A,'Next 3-Months'!$A35,'LY Actual'!$G:$G),IF($C$4="JUNE 2015",SUMIF('TY Budget'!$A:$A,'Next 3-Months'!$A35,'LY Actual'!$H:$H),IF($C$4="JULY 2015",SUMIF('TY Budget'!$A:$A,'Next 3-Months'!$A35,'LY Actual'!$I:$I),IF($C$4="AUGUST 2015",SUMIF('TY Budget'!$A:$A,'Next 3-Months'!$A35,'LY Actual'!$J:$J),IF($C$4="SEPTEMBER 2015",SUMIF('TY Budget'!$A:$A,'Next 3-Months'!$A35,'LY Actual'!$K:$K),IF($C$4="OCTOBER 2015",SUMIF('TY Budget'!$A:$A,'Next 3-Months'!$A35,'LY Actual'!$L:$L),IF($C$4="NOVEMBER 2015",SUMIF('TY Budget'!$A:$A,'Next 3-Months'!$A35,'LY Actual'!$M:$M),IF($C$4="DECEMBER 2015",SUMIF('TY Budget'!$A:$A,'Next 3-Months'!$A35,'LY Actual'!$N:$N),IF($C$4="JANUARY 2016",SUMIF('TY Budget'!$A:$A,'Next 3-Months'!$A35,'LY Actual'!$Q:$Q),IF($C$4="FEBRUARY 2016",SUMIF('TY Budget'!$A:$A,'Next 3-Months'!$A35,'LY Actual'!$R:$R),IF($C$4="MARCH 2016",SUMIF('TY Budget'!$A:$A,'Next 3-Months'!$A35,'LY Actual'!$S:$S),0))))))))))))))</f>
        <v>1477597.7199999995</v>
      </c>
      <c r="F35" s="27"/>
      <c r="G35" s="31">
        <f>IF($G$4="FEBRUARY 2015",SUMIF('TY Actual-Forecast'!$A:$A,'Next 3-Months'!$A35,'TY Actual-Forecast'!$D:$D),IF($G$4="MARCH 2015",SUMIF('TY Actual-Forecast'!$A:$A,'Next 3-Months'!$A35,'TY Actual-Forecast'!$E:$E),IF($G$4="APRIL 2015",SUMIF('TY Actual-Forecast'!$A:$A,'Next 3-Months'!$A35,'TY Actual-Forecast'!$F:$F),IF($G$4="MAY 2015",SUMIF('TY Actual-Forecast'!$A:$A,'Next 3-Months'!$A35,'TY Actual-Forecast'!$G:$G),IF($G$4="JUNE 2015",SUMIF('TY Actual-Forecast'!$A:$A,'Next 3-Months'!$A35,'TY Actual-Forecast'!$H:$H),IF($G$4="JULY 2015",SUMIF('TY Actual-Forecast'!$A:$A,'Next 3-Months'!$A35,'TY Actual-Forecast'!$I:$I),IF($G$4="AUGUST 2015",SUMIF('TY Actual-Forecast'!$A:$A,'Next 3-Months'!$A35,'TY Actual-Forecast'!$J:$J),IF($G$4="SEPTEMBER 2015",SUMIF('TY Actual-Forecast'!$A:$A,'Next 3-Months'!$A35,'TY Actual-Forecast'!$K:$K),IF($G$4="OCTOBER 2015",SUMIF('TY Actual-Forecast'!$A:$A,'Next 3-Months'!$A35,'TY Actual-Forecast'!$L:$L),IF($G$4="NOVEMBER 2015",SUMIF('TY Actual-Forecast'!$A:$A,'Next 3-Months'!$A35,'TY Actual-Forecast'!$M:$M),IF($G$4="DECEMBER 2015",SUMIF('TY Actual-Forecast'!$A:$A,'Next 3-Months'!$A35,'TY Actual-Forecast'!$N:$N),IF($G$4="JANUARY 2016",SUMIF('TY Actual-Forecast'!$A:$A,'Next 3-Months'!$A35,'TY Actual-Forecast'!$Q:$Q),IF($G$4="FEBRUARY 2016",SUMIF('TY Actual-Forecast'!$A:$A,'Next 3-Months'!$A35,'TY Actual-Forecast'!$R:$R),IF($G$4="MARCH 2016",SUMIF('TY Actual-Forecast'!$A:$A,'Next 3-Months'!$A35,'TY Actual-Forecast'!$S:$S),0))))))))))))))</f>
        <v>1638920.6766666668</v>
      </c>
      <c r="H35" s="31">
        <f>IF($G$4="FEBRUARY 2015",SUMIF('TY Budget'!$A:$A,'Next 3-Months'!$A35,'TY Budget'!$D:$D),IF($G$4="MARCH 2015",SUMIF('TY Budget'!$A:$A,'Next 3-Months'!$A35,'TY Budget'!$E:$E),IF($G$4="APRIL 2015",SUMIF('TY Budget'!$A:$A,'Next 3-Months'!$A35,'TY Budget'!$F:$F),IF($G$4="MAY 2015",SUMIF('TY Budget'!$A:$A,'Next 3-Months'!$A35,'TY Budget'!$G:$G),IF($G$4="JUNE 2015",SUMIF('TY Budget'!$A:$A,'Next 3-Months'!$A35,'TY Budget'!$H:$H),IF($G$4="JULY 2015",SUMIF('TY Budget'!$A:$A,'Next 3-Months'!$A35,'TY Budget'!$I:$I),IF($G$4="AUGUST 2015",SUMIF('TY Budget'!$A:$A,'Next 3-Months'!$A35,'TY Budget'!$J:$J),IF($G$4="SEPTEMBER 2015",SUMIF('TY Budget'!$A:$A,'Next 3-Months'!$A35,'TY Budget'!$K:$K),IF($G$4="OCTOBER 2015",SUMIF('TY Budget'!$A:$A,'Next 3-Months'!$A35,'TY Budget'!$L:$L),IF($G$4="NOVEMBER 2015",SUMIF('TY Budget'!$A:$A,'Next 3-Months'!$A35,'TY Budget'!$M:$M),IF($G$4="DECEMBER 2015",SUMIF('TY Budget'!$A:$A,'Next 3-Months'!$A35,'TY Budget'!$N:$N),IF($G$4="JANUARY 2016",SUMIF('TY Budget'!$A:$A,'Next 3-Months'!$A35,'TY Budget'!$Q:$Q),IF($G$4="FEBRUARY 2016",SUMIF('TY Budget'!$A:$A,'Next 3-Months'!$A35,'TY Budget'!$R:$R),IF($G$4="MARCH 2016",SUMIF('TY Budget'!$A:$A,'Next 3-Months'!$A35,'TY Budget'!$S:$S),0))))))))))))))</f>
        <v>1639000</v>
      </c>
      <c r="I35" s="31">
        <f>IF($G$4="FEBRUARY 2015",SUMIF('TY Budget'!$A:$A,'Next 3-Months'!$A35,'LY Actual'!$D:$D),IF($G$4="MARCH 2015",SUMIF('TY Budget'!$A:$A,'Next 3-Months'!$A35,'LY Actual'!$E:$E),IF($G$4="APRIL 2015",SUMIF('TY Budget'!$A:$A,'Next 3-Months'!$A35,'LY Actual'!$F:$F),IF($G$4="MAY 2015",SUMIF('TY Budget'!$A:$A,'Next 3-Months'!$A35,'LY Actual'!$G:$G),IF($G$4="JUNE 2015",SUMIF('TY Budget'!$A:$A,'Next 3-Months'!$A35,'LY Actual'!$H:$H),IF($G$4="JULY 2015",SUMIF('TY Budget'!$A:$A,'Next 3-Months'!$A35,'LY Actual'!$I:$I),IF($G$4="AUGUST 2015",SUMIF('TY Budget'!$A:$A,'Next 3-Months'!$A35,'LY Actual'!$J:$J),IF($G$4="SEPTEMBER 2015",SUMIF('TY Budget'!$A:$A,'Next 3-Months'!$A35,'LY Actual'!$K:$K),IF($G$4="OCTOBER 2015",SUMIF('TY Budget'!$A:$A,'Next 3-Months'!$A35,'LY Actual'!$L:$L),IF($G$4="NOVEMBER 2015",SUMIF('TY Budget'!$A:$A,'Next 3-Months'!$A35,'LY Actual'!$M:$M),IF($G$4="DECEMBER 2015",SUMIF('TY Budget'!$A:$A,'Next 3-Months'!$A35,'LY Actual'!$N:$N),IF($G$4="JANUARY 2016",SUMIF('TY Budget'!$A:$A,'Next 3-Months'!$A35,'LY Actual'!$Q:$Q),IF($G$4="FEBRUARY 2016",SUMIF('TY Budget'!$A:$A,'Next 3-Months'!$A35,'LY Actual'!$R:$R),IF($G$4="MARCH 2016",SUMIF('TY Budget'!$A:$A,'Next 3-Months'!$A35,'LY Actual'!$S:$S),0))))))))))))))</f>
        <v>1702080.4700000002</v>
      </c>
      <c r="J35" s="28"/>
      <c r="K35" s="31">
        <f>IF($K$4="FEBRUARY 2015",SUMIF('TY Actual-Forecast'!$A:$A,'Next 3-Months'!$A35,'TY Actual-Forecast'!$D:$D),IF($K$4="MARCH 2015",SUMIF('TY Actual-Forecast'!$A:$A,'Next 3-Months'!$A35,'TY Actual-Forecast'!$E:$E),IF($K$4="APRIL 2015",SUMIF('TY Actual-Forecast'!$A:$A,'Next 3-Months'!$A35,'TY Actual-Forecast'!$F:$F),IF($K$4="MAY 2015",SUMIF('TY Actual-Forecast'!$A:$A,'Next 3-Months'!$A35,'TY Actual-Forecast'!$G:$G),IF($K$4="JUNE 2015",SUMIF('TY Actual-Forecast'!$A:$A,'Next 3-Months'!$A35,'TY Actual-Forecast'!$H:$H),IF($K$4="JULY 2015",SUMIF('TY Actual-Forecast'!$A:$A,'Next 3-Months'!$A35,'TY Actual-Forecast'!$I:$I),IF($K$4="AUGUST 2015",SUMIF('TY Actual-Forecast'!$A:$A,'Next 3-Months'!$A35,'TY Actual-Forecast'!$J:$J),IF($K$4="SEPTEMBER 2015",SUMIF('TY Actual-Forecast'!$A:$A,'Next 3-Months'!$A35,'TY Actual-Forecast'!$K:$K),IF($K$4="OCTOBER 2015",SUMIF('TY Actual-Forecast'!$A:$A,'Next 3-Months'!$A35,'TY Actual-Forecast'!$L:$L),IF($K$4="NOVEMBER 2015",SUMIF('TY Actual-Forecast'!$A:$A,'Next 3-Months'!$A35,'TY Actual-Forecast'!$M:$M),IF($K$4="DECEMBER 2015",SUMIF('TY Actual-Forecast'!$A:$A,'Next 3-Months'!$A35,'TY Actual-Forecast'!$N:$N),IF($K$4="JANUARY 2016",SUMIF('TY Actual-Forecast'!$A:$A,'Next 3-Months'!$A35,'TY Actual-Forecast'!$Q:$Q),IF($K$4="FEBRUARY 2016",SUMIF('TY Actual-Forecast'!$A:$A,'Next 3-Months'!$A35,'TY Actual-Forecast'!$R:$R),IF($K$4="MARCH 2016",SUMIF('TY Actual-Forecast'!$A:$A,'Next 3-Months'!$A35,'TY Actual-Forecast'!$S:$S),0))))))))))))))</f>
        <v>1844369.8166666667</v>
      </c>
      <c r="L35" s="31">
        <f>IF($K$4="FEBRUARY 2015",SUMIF('TY Budget'!$A:$A,'Next 3-Months'!$A35,'TY Budget'!$D:$D),IF($K$4="MARCH 2015",SUMIF('TY Budget'!$A:$A,'Next 3-Months'!$A35,'TY Budget'!$E:$E),IF($K$4="APRIL 2015",SUMIF('TY Budget'!$A:$A,'Next 3-Months'!$A35,'TY Budget'!$F:$F),IF($K$4="MAY 2015",SUMIF('TY Budget'!$A:$A,'Next 3-Months'!$A35,'TY Budget'!$G:$G),IF($K$4="JUNE 2015",SUMIF('TY Budget'!$A:$A,'Next 3-Months'!$A35,'TY Budget'!$H:$H),IF($K$4="JULY 2015",SUMIF('TY Budget'!$A:$A,'Next 3-Months'!$A35,'TY Budget'!$I:$I),IF($K$4="AUGUST 2015",SUMIF('TY Budget'!$A:$A,'Next 3-Months'!$A35,'TY Budget'!$J:$J),IF($K$4="SEPTEMBER 2015",SUMIF('TY Budget'!$A:$A,'Next 3-Months'!$A35,'TY Budget'!$K:$K),IF($K$4="OCTOBER 2015",SUMIF('TY Budget'!$A:$A,'Next 3-Months'!$A35,'TY Budget'!$L:$L),IF($K$4="NOVEMBER 2015",SUMIF('TY Budget'!$A:$A,'Next 3-Months'!$A35,'TY Budget'!$M:$M),IF($K$4="DECEMBER 2015",SUMIF('TY Budget'!$A:$A,'Next 3-Months'!$A35,'TY Budget'!$N:$N),IF($K$4="JANUARY 2016",SUMIF('TY Budget'!$A:$A,'Next 3-Months'!$A35,'TY Budget'!$Q:$Q),IF($K$4="FEBRUARY 2016",SUMIF('TY Budget'!$A:$A,'Next 3-Months'!$A35,'TY Budget'!$R:$R),IF($K$4="MARCH 2016",SUMIF('TY Budget'!$A:$A,'Next 3-Months'!$A35,'TY Budget'!$S:$S),0))))))))))))))</f>
        <v>1844000</v>
      </c>
      <c r="M35" s="31">
        <f>IF($K$4="FEBRUARY 2015",SUMIF('TY Budget'!$A:$A,'Next 3-Months'!$A35,'LY Actual'!$D:$D),IF($K$4="MARCH 2015",SUMIF('TY Budget'!$A:$A,'Next 3-Months'!$A35,'LY Actual'!$E:$E),IF($K$4="APRIL 2015",SUMIF('TY Budget'!$A:$A,'Next 3-Months'!$A35,'LY Actual'!$F:$F),IF($K$4="MAY 2015",SUMIF('TY Budget'!$A:$A,'Next 3-Months'!$A35,'LY Actual'!$G:$G),IF($K$4="JUNE 2015",SUMIF('TY Budget'!$A:$A,'Next 3-Months'!$A35,'LY Actual'!$H:$H),IF($K$4="JULY 2015",SUMIF('TY Budget'!$A:$A,'Next 3-Months'!$A35,'LY Actual'!$I:$I),IF($K$4="AUGUST 2015",SUMIF('TY Budget'!$A:$A,'Next 3-Months'!$A35,'LY Actual'!$J:$J),IF($K$4="SEPTEMBER 2015",SUMIF('TY Budget'!$A:$A,'Next 3-Months'!$A35,'LY Actual'!$K:$K),IF($K$4="OCTOBER 2015",SUMIF('TY Budget'!$A:$A,'Next 3-Months'!$A35,'LY Actual'!$L:$L),IF($K$4="NOVEMBER 2015",SUMIF('TY Budget'!$A:$A,'Next 3-Months'!$A35,'LY Actual'!$M:$M),IF($K$4="DECEMBER 2015",SUMIF('TY Budget'!$A:$A,'Next 3-Months'!$A35,'LY Actual'!$N:$N),IF($K$4="JANUARY 2016",SUMIF('TY Budget'!$A:$A,'Next 3-Months'!$A35,'LY Actual'!$Q:$Q),IF($K$4="FEBRUARY 2016",SUMIF('TY Budget'!$A:$A,'Next 3-Months'!$A35,'LY Actual'!$R:$R),IF($K$4="MARCH 2016",SUMIF('TY Budget'!$A:$A,'Next 3-Months'!$A35,'LY Actual'!$S:$S),0))))))))))))))</f>
        <v>1567981.19</v>
      </c>
      <c r="O35" s="31">
        <f t="shared" si="10"/>
        <v>76.5</v>
      </c>
      <c r="P35" s="31">
        <f t="shared" si="11"/>
        <v>-800498.12000000104</v>
      </c>
    </row>
    <row r="36" spans="1:16" ht="15.75" customHeight="1">
      <c r="A36" s="39" t="s">
        <v>20</v>
      </c>
      <c r="B36" s="36"/>
      <c r="C36" s="31">
        <f>IF($C$4="FEBRUARY 2015",SUMIF('TY Actual-Forecast'!$A:$A,'Next 3-Months'!A36,'TY Actual-Forecast'!$D:$D),IF($C$4="MARCH 2015",SUMIF('TY Actual-Forecast'!$A:$A,'Next 3-Months'!A36,'TY Actual-Forecast'!$E:$E),IF($C$4="APRIL 2015",SUMIF('TY Actual-Forecast'!$A:$A,'Next 3-Months'!A36,'TY Actual-Forecast'!$F:$F),IF($C$4="MAY 2015",SUMIF('TY Actual-Forecast'!$A:$A,'Next 3-Months'!A36,'TY Actual-Forecast'!$G:$G),IF($C$4="JUNE 2015",SUMIF('TY Actual-Forecast'!$A:$A,'Next 3-Months'!A36,'TY Actual-Forecast'!$H:$H),IF($C$4="JULY 2015",SUMIF('TY Actual-Forecast'!$A:$A,'Next 3-Months'!A36,'TY Actual-Forecast'!$I:$I),IF($C$4="AUGUST 2015",SUMIF('TY Actual-Forecast'!$A:$A,'Next 3-Months'!A36,'TY Actual-Forecast'!$J:$J),IF($C$4="SEPTEMBER 2015",SUMIF('TY Actual-Forecast'!$A:$A,'Next 3-Months'!A36,'TY Actual-Forecast'!$K:$K),IF($C$4="OCTOBER 2015",SUMIF('TY Actual-Forecast'!$A:$A,'Next 3-Months'!A36,'TY Actual-Forecast'!$L:$L),IF($C$4="NOVEMBER 2015",SUMIF('TY Actual-Forecast'!$A:$A,'Next 3-Months'!A36,'TY Actual-Forecast'!$M:$M),IF($C$4="DECEMBER 2015",SUMIF('TY Actual-Forecast'!$A:$A,'Next 3-Months'!A36,'TY Actual-Forecast'!$N:$N),IF($C$4="JANUARY 2016",SUMIF('TY Actual-Forecast'!$A:$A,'Next 3-Months'!A36,'TY Actual-Forecast'!$Q:$Q),IF($C$4="FEBRUARY 2016",SUMIF('TY Actual-Forecast'!$A:$A,'Next 3-Months'!A36,'TY Actual-Forecast'!$R:$R),IF($C$4="MARCH 2016",SUMIF('TY Actual-Forecast'!$A:$A,'Next 3-Months'!A36,'TY Actual-Forecast'!$S:$S),0))))))))))))))</f>
        <v>3996488</v>
      </c>
      <c r="D36" s="31">
        <f>IF($C$4="FEBRUARY 2015",SUMIF('TY Budget'!$A:$A,'Next 3-Months'!$A36,'TY Budget'!$D:$D),IF($C$4="MARCH 2015",SUMIF('TY Budget'!$A:$A,'Next 3-Months'!$A36,'TY Budget'!$E:$E),IF($C$4="APRIL 2015",SUMIF('TY Budget'!$A:$A,'Next 3-Months'!$A36,'TY Budget'!$F:$F),IF($C$4="MAY 2015",SUMIF('TY Budget'!$A:$A,'Next 3-Months'!$A36,'TY Budget'!$G:$G),IF($C$4="JUNE 2015",SUMIF('TY Budget'!$A:$A,'Next 3-Months'!$A36,'TY Budget'!$H:$H),IF($C$4="JULY 2015",SUMIF('TY Budget'!$A:$A,'Next 3-Months'!$A36,'TY Budget'!$I:$I),IF($C$4="AUGUST 2015",SUMIF('TY Budget'!$A:$A,'Next 3-Months'!$A36,'TY Budget'!$J:$J),IF($C$4="SEPTEMBER 2015",SUMIF('TY Budget'!$A:$A,'Next 3-Months'!$A36,'TY Budget'!$K:$K),IF($C$4="OCTOBER 2015",SUMIF('TY Budget'!$A:$A,'Next 3-Months'!$A36,'TY Budget'!$L:$L),IF($C$4="NOVEMBER 2015",SUMIF('TY Budget'!$A:$A,'Next 3-Months'!$A36,'TY Budget'!$M:$M),IF($C$4="DECEMBER 2015",SUMIF('TY Budget'!$A:$A,'Next 3-Months'!$A36,'TY Budget'!$N:$N),IF($C$4="JANUARY 2016",SUMIF('TY Budget'!$A:$A,'Next 3-Months'!$A36,'TY Budget'!$Q:$Q),IF($C$4="FEBRUARY 2016",SUMIF('TY Budget'!$A:$A,'Next 3-Months'!$A36,'TY Budget'!$R:$R),IF($C$4="MARCH 2016",SUMIF('TY Budget'!$A:$A,'Next 3-Months'!$A36,'TY Budget'!$S:$S),0))))))))))))))</f>
        <v>3996000</v>
      </c>
      <c r="E36" s="31">
        <f>IF($C$4="FEBRUARY 2015",SUMIF('TY Budget'!$A:$A,'Next 3-Months'!$A36,'LY Actual'!$D:$D),IF($C$4="MARCH 2015",SUMIF('TY Budget'!$A:$A,'Next 3-Months'!$A36,'LY Actual'!$E:$E),IF($C$4="APRIL 2015",SUMIF('TY Budget'!$A:$A,'Next 3-Months'!$A36,'LY Actual'!$F:$F),IF($C$4="MAY 2015",SUMIF('TY Budget'!$A:$A,'Next 3-Months'!$A36,'LY Actual'!$G:$G),IF($C$4="JUNE 2015",SUMIF('TY Budget'!$A:$A,'Next 3-Months'!$A36,'LY Actual'!$H:$H),IF($C$4="JULY 2015",SUMIF('TY Budget'!$A:$A,'Next 3-Months'!$A36,'LY Actual'!$I:$I),IF($C$4="AUGUST 2015",SUMIF('TY Budget'!$A:$A,'Next 3-Months'!$A36,'LY Actual'!$J:$J),IF($C$4="SEPTEMBER 2015",SUMIF('TY Budget'!$A:$A,'Next 3-Months'!$A36,'LY Actual'!$K:$K),IF($C$4="OCTOBER 2015",SUMIF('TY Budget'!$A:$A,'Next 3-Months'!$A36,'LY Actual'!$L:$L),IF($C$4="NOVEMBER 2015",SUMIF('TY Budget'!$A:$A,'Next 3-Months'!$A36,'LY Actual'!$M:$M),IF($C$4="DECEMBER 2015",SUMIF('TY Budget'!$A:$A,'Next 3-Months'!$A36,'LY Actual'!$N:$N),IF($C$4="JANUARY 2016",SUMIF('TY Budget'!$A:$A,'Next 3-Months'!$A36,'LY Actual'!$Q:$Q),IF($C$4="FEBRUARY 2016",SUMIF('TY Budget'!$A:$A,'Next 3-Months'!$A36,'LY Actual'!$R:$R),IF($C$4="MARCH 2016",SUMIF('TY Budget'!$A:$A,'Next 3-Months'!$A36,'LY Actual'!$S:$S),0))))))))))))))</f>
        <v>3566976</v>
      </c>
      <c r="F36" s="27"/>
      <c r="G36" s="31">
        <f>IF($G$4="FEBRUARY 2015",SUMIF('TY Actual-Forecast'!$A:$A,'Next 3-Months'!$A36,'TY Actual-Forecast'!$D:$D),IF($G$4="MARCH 2015",SUMIF('TY Actual-Forecast'!$A:$A,'Next 3-Months'!$A36,'TY Actual-Forecast'!$E:$E),IF($G$4="APRIL 2015",SUMIF('TY Actual-Forecast'!$A:$A,'Next 3-Months'!$A36,'TY Actual-Forecast'!$F:$F),IF($G$4="MAY 2015",SUMIF('TY Actual-Forecast'!$A:$A,'Next 3-Months'!$A36,'TY Actual-Forecast'!$G:$G),IF($G$4="JUNE 2015",SUMIF('TY Actual-Forecast'!$A:$A,'Next 3-Months'!$A36,'TY Actual-Forecast'!$H:$H),IF($G$4="JULY 2015",SUMIF('TY Actual-Forecast'!$A:$A,'Next 3-Months'!$A36,'TY Actual-Forecast'!$I:$I),IF($G$4="AUGUST 2015",SUMIF('TY Actual-Forecast'!$A:$A,'Next 3-Months'!$A36,'TY Actual-Forecast'!$J:$J),IF($G$4="SEPTEMBER 2015",SUMIF('TY Actual-Forecast'!$A:$A,'Next 3-Months'!$A36,'TY Actual-Forecast'!$K:$K),IF($G$4="OCTOBER 2015",SUMIF('TY Actual-Forecast'!$A:$A,'Next 3-Months'!$A36,'TY Actual-Forecast'!$L:$L),IF($G$4="NOVEMBER 2015",SUMIF('TY Actual-Forecast'!$A:$A,'Next 3-Months'!$A36,'TY Actual-Forecast'!$M:$M),IF($G$4="DECEMBER 2015",SUMIF('TY Actual-Forecast'!$A:$A,'Next 3-Months'!$A36,'TY Actual-Forecast'!$N:$N),IF($G$4="JANUARY 2016",SUMIF('TY Actual-Forecast'!$A:$A,'Next 3-Months'!$A36,'TY Actual-Forecast'!$Q:$Q),IF($G$4="FEBRUARY 2016",SUMIF('TY Actual-Forecast'!$A:$A,'Next 3-Months'!$A36,'TY Actual-Forecast'!$R:$R),IF($G$4="MARCH 2016",SUMIF('TY Actual-Forecast'!$A:$A,'Next 3-Months'!$A36,'TY Actual-Forecast'!$S:$S),0))))))))))))))</f>
        <v>3532511</v>
      </c>
      <c r="H36" s="31">
        <f>IF($G$4="FEBRUARY 2015",SUMIF('TY Budget'!$A:$A,'Next 3-Months'!$A36,'TY Budget'!$D:$D),IF($G$4="MARCH 2015",SUMIF('TY Budget'!$A:$A,'Next 3-Months'!$A36,'TY Budget'!$E:$E),IF($G$4="APRIL 2015",SUMIF('TY Budget'!$A:$A,'Next 3-Months'!$A36,'TY Budget'!$F:$F),IF($G$4="MAY 2015",SUMIF('TY Budget'!$A:$A,'Next 3-Months'!$A36,'TY Budget'!$G:$G),IF($G$4="JUNE 2015",SUMIF('TY Budget'!$A:$A,'Next 3-Months'!$A36,'TY Budget'!$H:$H),IF($G$4="JULY 2015",SUMIF('TY Budget'!$A:$A,'Next 3-Months'!$A36,'TY Budget'!$I:$I),IF($G$4="AUGUST 2015",SUMIF('TY Budget'!$A:$A,'Next 3-Months'!$A36,'TY Budget'!$J:$J),IF($G$4="SEPTEMBER 2015",SUMIF('TY Budget'!$A:$A,'Next 3-Months'!$A36,'TY Budget'!$K:$K),IF($G$4="OCTOBER 2015",SUMIF('TY Budget'!$A:$A,'Next 3-Months'!$A36,'TY Budget'!$L:$L),IF($G$4="NOVEMBER 2015",SUMIF('TY Budget'!$A:$A,'Next 3-Months'!$A36,'TY Budget'!$M:$M),IF($G$4="DECEMBER 2015",SUMIF('TY Budget'!$A:$A,'Next 3-Months'!$A36,'TY Budget'!$N:$N),IF($G$4="JANUARY 2016",SUMIF('TY Budget'!$A:$A,'Next 3-Months'!$A36,'TY Budget'!$Q:$Q),IF($G$4="FEBRUARY 2016",SUMIF('TY Budget'!$A:$A,'Next 3-Months'!$A36,'TY Budget'!$R:$R),IF($G$4="MARCH 2016",SUMIF('TY Budget'!$A:$A,'Next 3-Months'!$A36,'TY Budget'!$S:$S),0))))))))))))))</f>
        <v>3533000</v>
      </c>
      <c r="I36" s="31">
        <f>IF($G$4="FEBRUARY 2015",SUMIF('TY Budget'!$A:$A,'Next 3-Months'!$A36,'LY Actual'!$D:$D),IF($G$4="MARCH 2015",SUMIF('TY Budget'!$A:$A,'Next 3-Months'!$A36,'LY Actual'!$E:$E),IF($G$4="APRIL 2015",SUMIF('TY Budget'!$A:$A,'Next 3-Months'!$A36,'LY Actual'!$F:$F),IF($G$4="MAY 2015",SUMIF('TY Budget'!$A:$A,'Next 3-Months'!$A36,'LY Actual'!$G:$G),IF($G$4="JUNE 2015",SUMIF('TY Budget'!$A:$A,'Next 3-Months'!$A36,'LY Actual'!$H:$H),IF($G$4="JULY 2015",SUMIF('TY Budget'!$A:$A,'Next 3-Months'!$A36,'LY Actual'!$I:$I),IF($G$4="AUGUST 2015",SUMIF('TY Budget'!$A:$A,'Next 3-Months'!$A36,'LY Actual'!$J:$J),IF($G$4="SEPTEMBER 2015",SUMIF('TY Budget'!$A:$A,'Next 3-Months'!$A36,'LY Actual'!$K:$K),IF($G$4="OCTOBER 2015",SUMIF('TY Budget'!$A:$A,'Next 3-Months'!$A36,'LY Actual'!$L:$L),IF($G$4="NOVEMBER 2015",SUMIF('TY Budget'!$A:$A,'Next 3-Months'!$A36,'LY Actual'!$M:$M),IF($G$4="DECEMBER 2015",SUMIF('TY Budget'!$A:$A,'Next 3-Months'!$A36,'LY Actual'!$N:$N),IF($G$4="JANUARY 2016",SUMIF('TY Budget'!$A:$A,'Next 3-Months'!$A36,'LY Actual'!$Q:$Q),IF($G$4="FEBRUARY 2016",SUMIF('TY Budget'!$A:$A,'Next 3-Months'!$A36,'LY Actual'!$R:$R),IF($G$4="MARCH 2016",SUMIF('TY Budget'!$A:$A,'Next 3-Months'!$A36,'LY Actual'!$S:$S),0))))))))))))))</f>
        <v>3731551.3</v>
      </c>
      <c r="J36" s="28"/>
      <c r="K36" s="31">
        <f>IF($K$4="FEBRUARY 2015",SUMIF('TY Actual-Forecast'!$A:$A,'Next 3-Months'!$A36,'TY Actual-Forecast'!$D:$D),IF($K$4="MARCH 2015",SUMIF('TY Actual-Forecast'!$A:$A,'Next 3-Months'!$A36,'TY Actual-Forecast'!$E:$E),IF($K$4="APRIL 2015",SUMIF('TY Actual-Forecast'!$A:$A,'Next 3-Months'!$A36,'TY Actual-Forecast'!$F:$F),IF($K$4="MAY 2015",SUMIF('TY Actual-Forecast'!$A:$A,'Next 3-Months'!$A36,'TY Actual-Forecast'!$G:$G),IF($K$4="JUNE 2015",SUMIF('TY Actual-Forecast'!$A:$A,'Next 3-Months'!$A36,'TY Actual-Forecast'!$H:$H),IF($K$4="JULY 2015",SUMIF('TY Actual-Forecast'!$A:$A,'Next 3-Months'!$A36,'TY Actual-Forecast'!$I:$I),IF($K$4="AUGUST 2015",SUMIF('TY Actual-Forecast'!$A:$A,'Next 3-Months'!$A36,'TY Actual-Forecast'!$J:$J),IF($K$4="SEPTEMBER 2015",SUMIF('TY Actual-Forecast'!$A:$A,'Next 3-Months'!$A36,'TY Actual-Forecast'!$K:$K),IF($K$4="OCTOBER 2015",SUMIF('TY Actual-Forecast'!$A:$A,'Next 3-Months'!$A36,'TY Actual-Forecast'!$L:$L),IF($K$4="NOVEMBER 2015",SUMIF('TY Actual-Forecast'!$A:$A,'Next 3-Months'!$A36,'TY Actual-Forecast'!$M:$M),IF($K$4="DECEMBER 2015",SUMIF('TY Actual-Forecast'!$A:$A,'Next 3-Months'!$A36,'TY Actual-Forecast'!$N:$N),IF($K$4="JANUARY 2016",SUMIF('TY Actual-Forecast'!$A:$A,'Next 3-Months'!$A36,'TY Actual-Forecast'!$Q:$Q),IF($K$4="FEBRUARY 2016",SUMIF('TY Actual-Forecast'!$A:$A,'Next 3-Months'!$A36,'TY Actual-Forecast'!$R:$R),IF($K$4="MARCH 2016",SUMIF('TY Actual-Forecast'!$A:$A,'Next 3-Months'!$A36,'TY Actual-Forecast'!$S:$S),0))))))))))))))</f>
        <v>4332001</v>
      </c>
      <c r="L36" s="31">
        <f>IF($K$4="FEBRUARY 2015",SUMIF('TY Budget'!$A:$A,'Next 3-Months'!$A36,'TY Budget'!$D:$D),IF($K$4="MARCH 2015",SUMIF('TY Budget'!$A:$A,'Next 3-Months'!$A36,'TY Budget'!$E:$E),IF($K$4="APRIL 2015",SUMIF('TY Budget'!$A:$A,'Next 3-Months'!$A36,'TY Budget'!$F:$F),IF($K$4="MAY 2015",SUMIF('TY Budget'!$A:$A,'Next 3-Months'!$A36,'TY Budget'!$G:$G),IF($K$4="JUNE 2015",SUMIF('TY Budget'!$A:$A,'Next 3-Months'!$A36,'TY Budget'!$H:$H),IF($K$4="JULY 2015",SUMIF('TY Budget'!$A:$A,'Next 3-Months'!$A36,'TY Budget'!$I:$I),IF($K$4="AUGUST 2015",SUMIF('TY Budget'!$A:$A,'Next 3-Months'!$A36,'TY Budget'!$J:$J),IF($K$4="SEPTEMBER 2015",SUMIF('TY Budget'!$A:$A,'Next 3-Months'!$A36,'TY Budget'!$K:$K),IF($K$4="OCTOBER 2015",SUMIF('TY Budget'!$A:$A,'Next 3-Months'!$A36,'TY Budget'!$L:$L),IF($K$4="NOVEMBER 2015",SUMIF('TY Budget'!$A:$A,'Next 3-Months'!$A36,'TY Budget'!$M:$M),IF($K$4="DECEMBER 2015",SUMIF('TY Budget'!$A:$A,'Next 3-Months'!$A36,'TY Budget'!$N:$N),IF($K$4="JANUARY 2016",SUMIF('TY Budget'!$A:$A,'Next 3-Months'!$A36,'TY Budget'!$Q:$Q),IF($K$4="FEBRUARY 2016",SUMIF('TY Budget'!$A:$A,'Next 3-Months'!$A36,'TY Budget'!$R:$R),IF($K$4="MARCH 2016",SUMIF('TY Budget'!$A:$A,'Next 3-Months'!$A36,'TY Budget'!$S:$S),0))))))))))))))</f>
        <v>4993000</v>
      </c>
      <c r="M36" s="31">
        <f>IF($K$4="FEBRUARY 2015",SUMIF('TY Budget'!$A:$A,'Next 3-Months'!$A36,'LY Actual'!$D:$D),IF($K$4="MARCH 2015",SUMIF('TY Budget'!$A:$A,'Next 3-Months'!$A36,'LY Actual'!$E:$E),IF($K$4="APRIL 2015",SUMIF('TY Budget'!$A:$A,'Next 3-Months'!$A36,'LY Actual'!$F:$F),IF($K$4="MAY 2015",SUMIF('TY Budget'!$A:$A,'Next 3-Months'!$A36,'LY Actual'!$G:$G),IF($K$4="JUNE 2015",SUMIF('TY Budget'!$A:$A,'Next 3-Months'!$A36,'LY Actual'!$H:$H),IF($K$4="JULY 2015",SUMIF('TY Budget'!$A:$A,'Next 3-Months'!$A36,'LY Actual'!$I:$I),IF($K$4="AUGUST 2015",SUMIF('TY Budget'!$A:$A,'Next 3-Months'!$A36,'LY Actual'!$J:$J),IF($K$4="SEPTEMBER 2015",SUMIF('TY Budget'!$A:$A,'Next 3-Months'!$A36,'LY Actual'!$K:$K),IF($K$4="OCTOBER 2015",SUMIF('TY Budget'!$A:$A,'Next 3-Months'!$A36,'LY Actual'!$L:$L),IF($K$4="NOVEMBER 2015",SUMIF('TY Budget'!$A:$A,'Next 3-Months'!$A36,'LY Actual'!$M:$M),IF($K$4="DECEMBER 2015",SUMIF('TY Budget'!$A:$A,'Next 3-Months'!$A36,'LY Actual'!$N:$N),IF($K$4="JANUARY 2016",SUMIF('TY Budget'!$A:$A,'Next 3-Months'!$A36,'LY Actual'!$Q:$Q),IF($K$4="FEBRUARY 2016",SUMIF('TY Budget'!$A:$A,'Next 3-Months'!$A36,'LY Actual'!$R:$R),IF($K$4="MARCH 2016",SUMIF('TY Budget'!$A:$A,'Next 3-Months'!$A36,'LY Actual'!$S:$S),0))))))))))))))</f>
        <v>4162258.96</v>
      </c>
      <c r="O36" s="31">
        <f t="shared" si="10"/>
        <v>661000</v>
      </c>
      <c r="P36" s="31">
        <f t="shared" si="11"/>
        <v>-400213.74000000022</v>
      </c>
    </row>
    <row r="37" spans="1:16" s="24" customFormat="1" ht="15.75" customHeight="1">
      <c r="A37" s="39" t="s">
        <v>23</v>
      </c>
      <c r="B37" s="36"/>
      <c r="C37" s="22">
        <f>SUBTOTAL(9,C32:C36)</f>
        <v>13330837.780713249</v>
      </c>
      <c r="D37" s="22">
        <f>SUBTOTAL(9,D32:D36)</f>
        <v>13351680</v>
      </c>
      <c r="E37" s="22">
        <f>SUBTOTAL(9,E32:E36)</f>
        <v>10781017.07</v>
      </c>
      <c r="F37" s="37"/>
      <c r="G37" s="22">
        <f>SUBTOTAL(9,G32:G36)</f>
        <v>11979440.257405348</v>
      </c>
      <c r="H37" s="22">
        <f>SUBTOTAL(9,H32:H36)</f>
        <v>12009000</v>
      </c>
      <c r="I37" s="22">
        <f>SUBTOTAL(9,I32:I36)</f>
        <v>10772598.969999999</v>
      </c>
      <c r="J37" s="38"/>
      <c r="K37" s="22">
        <f t="shared" ref="K37:M37" si="12">SUBTOTAL(9,K32:K36)</f>
        <v>12442794.051743241</v>
      </c>
      <c r="L37" s="22">
        <f t="shared" si="12"/>
        <v>13151000</v>
      </c>
      <c r="M37" s="22">
        <f t="shared" si="12"/>
        <v>11243849.780000001</v>
      </c>
      <c r="O37" s="22">
        <f>(D37+H37+L37)-(C37+G37+K37)</f>
        <v>758607.91013815999</v>
      </c>
      <c r="P37" s="22">
        <f>(E37+I37+M37)-(C37+G37+K37)</f>
        <v>-4955606.2698618397</v>
      </c>
    </row>
    <row r="38" spans="1:16" ht="15" customHeight="1">
      <c r="A38" s="18"/>
      <c r="B38" s="18"/>
      <c r="C38" s="26"/>
      <c r="D38" s="26"/>
      <c r="E38" s="26"/>
      <c r="F38" s="27"/>
      <c r="G38" s="26"/>
      <c r="H38" s="26"/>
      <c r="I38" s="26"/>
      <c r="J38" s="28"/>
      <c r="K38" s="26"/>
      <c r="L38" s="26"/>
      <c r="M38" s="26"/>
      <c r="O38" s="26"/>
      <c r="P38" s="26"/>
    </row>
    <row r="39" spans="1:16" s="24" customFormat="1" ht="15" customHeight="1">
      <c r="A39" s="18" t="s">
        <v>15</v>
      </c>
      <c r="B39" s="18"/>
      <c r="C39" s="22">
        <f>C29+C37</f>
        <v>28555189.995194785</v>
      </c>
      <c r="D39" s="22">
        <f>D29+D37</f>
        <v>29121803</v>
      </c>
      <c r="E39" s="22">
        <f>E29+E37</f>
        <v>25239924.169999998</v>
      </c>
      <c r="F39" s="37"/>
      <c r="G39" s="22">
        <f>G29+G37</f>
        <v>25868300.000593547</v>
      </c>
      <c r="H39" s="22">
        <f>H29+H37</f>
        <v>26791000</v>
      </c>
      <c r="I39" s="22">
        <f>I29+I37</f>
        <v>23568286.539999999</v>
      </c>
      <c r="J39" s="38"/>
      <c r="K39" s="22">
        <f t="shared" ref="K39:M39" si="13">K29+K37</f>
        <v>26616170.103490926</v>
      </c>
      <c r="L39" s="22">
        <f t="shared" si="13"/>
        <v>28489000</v>
      </c>
      <c r="M39" s="22">
        <f t="shared" si="13"/>
        <v>24621021.48</v>
      </c>
      <c r="O39" s="22">
        <f>(D39+H39+L39)-(C39+G39+K39)</f>
        <v>3362142.9007207453</v>
      </c>
      <c r="P39" s="22">
        <f>(E39+I39+M39)-(C39+G39+K39)</f>
        <v>-7610427.9092792571</v>
      </c>
    </row>
    <row r="40" spans="1:16" s="44" customFormat="1" ht="15" customHeight="1">
      <c r="A40" s="41" t="s">
        <v>1</v>
      </c>
      <c r="B40" s="42"/>
      <c r="C40" s="32">
        <f>IFERROR(C39/C$8,)</f>
        <v>0.58419657434250105</v>
      </c>
      <c r="D40" s="32">
        <f>IFERROR(D39/D$8,)</f>
        <v>0.57149423144475864</v>
      </c>
      <c r="E40" s="32">
        <f>IFERROR(E39/E$8,)</f>
        <v>0.57684432357425075</v>
      </c>
      <c r="F40" s="43"/>
      <c r="G40" s="32">
        <f>IFERROR(G39/G$8,)</f>
        <v>0.62222259636524679</v>
      </c>
      <c r="H40" s="32">
        <f>IFERROR(H39/H$8,)</f>
        <v>0.60124778383715971</v>
      </c>
      <c r="I40" s="32">
        <f>IFERROR(I39/I$8,)</f>
        <v>0.63025641333746751</v>
      </c>
      <c r="J40" s="43"/>
      <c r="K40" s="32">
        <f t="shared" ref="K40:M40" si="14">IFERROR(K39/K$8,)</f>
        <v>0.60445529712273494</v>
      </c>
      <c r="L40" s="32">
        <f t="shared" si="14"/>
        <v>0.58532867081143491</v>
      </c>
      <c r="M40" s="32">
        <f t="shared" si="14"/>
        <v>0.52398785056069463</v>
      </c>
      <c r="O40" s="32"/>
      <c r="P40" s="32"/>
    </row>
    <row r="41" spans="1:16" ht="15" customHeight="1">
      <c r="A41" s="18"/>
      <c r="B41" s="18"/>
      <c r="C41" s="26"/>
      <c r="D41" s="26"/>
      <c r="E41" s="26"/>
      <c r="F41" s="27"/>
      <c r="G41" s="26"/>
      <c r="H41" s="26"/>
      <c r="I41" s="26"/>
      <c r="J41" s="28"/>
      <c r="K41" s="26"/>
      <c r="L41" s="26"/>
      <c r="M41" s="26"/>
      <c r="O41" s="26"/>
      <c r="P41" s="26"/>
    </row>
    <row r="42" spans="1:16" s="24" customFormat="1" ht="15">
      <c r="A42" s="18" t="s">
        <v>2</v>
      </c>
      <c r="B42" s="18"/>
      <c r="C42" s="72">
        <f>C8-C39</f>
        <v>20324230.476130217</v>
      </c>
      <c r="D42" s="72">
        <f>D8-D39</f>
        <v>21835497</v>
      </c>
      <c r="E42" s="72">
        <f>E8-E39</f>
        <v>18515250.559999999</v>
      </c>
      <c r="F42" s="37"/>
      <c r="G42" s="72">
        <f>G8-G39</f>
        <v>15705728.573271949</v>
      </c>
      <c r="H42" s="72">
        <f>H8-H39</f>
        <v>17768000</v>
      </c>
      <c r="I42" s="72">
        <f>I8-I39</f>
        <v>13826472.229999989</v>
      </c>
      <c r="J42" s="38"/>
      <c r="K42" s="72">
        <f t="shared" ref="K42:M42" si="15">K8-K39</f>
        <v>17417144.237844892</v>
      </c>
      <c r="L42" s="72">
        <f t="shared" si="15"/>
        <v>20182800</v>
      </c>
      <c r="M42" s="72">
        <f t="shared" si="15"/>
        <v>22366750.189999994</v>
      </c>
      <c r="O42" s="72">
        <f>(C42+G42+K42)-(D42+H42+L42)</f>
        <v>-6339193.7127529457</v>
      </c>
      <c r="P42" s="72">
        <f>(C42+G42+K42)-(E42+I42+M42)</f>
        <v>-1261369.6927529275</v>
      </c>
    </row>
    <row r="43" spans="1:16" s="48" customFormat="1" ht="15">
      <c r="A43" s="45" t="s">
        <v>1</v>
      </c>
      <c r="B43" s="46"/>
      <c r="C43" s="32">
        <f>IFERROR(C42/C$8,)</f>
        <v>0.41580342565749895</v>
      </c>
      <c r="D43" s="32">
        <f>IFERROR(D42/D$8,)</f>
        <v>0.42850576855524136</v>
      </c>
      <c r="E43" s="32">
        <f>IFERROR(E42/E$8,)</f>
        <v>0.42315567642574925</v>
      </c>
      <c r="F43" s="47"/>
      <c r="G43" s="32">
        <f>IFERROR(G42/G$8,)</f>
        <v>0.37777740363475321</v>
      </c>
      <c r="H43" s="32">
        <f>IFERROR(H42/H$8,)</f>
        <v>0.39875221616284029</v>
      </c>
      <c r="I43" s="32">
        <f>IFERROR(I42/I$8,)</f>
        <v>0.36974358666253254</v>
      </c>
      <c r="J43" s="47"/>
      <c r="K43" s="32">
        <f t="shared" ref="K43:M43" si="16">IFERROR(K42/K$8,)</f>
        <v>0.39554470287726506</v>
      </c>
      <c r="L43" s="32">
        <f t="shared" si="16"/>
        <v>0.41467132918856503</v>
      </c>
      <c r="M43" s="32">
        <f t="shared" si="16"/>
        <v>0.47601214943930531</v>
      </c>
      <c r="O43" s="32"/>
      <c r="P43" s="32"/>
    </row>
    <row r="44" spans="1:16" ht="15">
      <c r="A44" s="18"/>
      <c r="B44" s="18"/>
      <c r="C44" s="40"/>
      <c r="D44" s="40"/>
      <c r="E44" s="40"/>
      <c r="F44" s="27"/>
      <c r="G44" s="40"/>
      <c r="H44" s="40"/>
      <c r="I44" s="40"/>
      <c r="J44" s="28"/>
      <c r="K44" s="40"/>
      <c r="L44" s="40"/>
      <c r="M44" s="40"/>
      <c r="O44" s="40"/>
      <c r="P44" s="40"/>
    </row>
    <row r="45" spans="1:16" ht="15">
      <c r="A45" s="39" t="s">
        <v>191</v>
      </c>
      <c r="B45" s="36"/>
      <c r="C45" s="31">
        <f>IF($C$4="FEBRUARY 2015",SUMIF('TY Actual-Forecast'!$A:$A,'Next 3-Months'!A45,'TY Actual-Forecast'!$D:$D),IF($C$4="MARCH 2015",SUMIF('TY Actual-Forecast'!$A:$A,'Next 3-Months'!A45,'TY Actual-Forecast'!$E:$E),IF($C$4="APRIL 2015",SUMIF('TY Actual-Forecast'!$A:$A,'Next 3-Months'!A45,'TY Actual-Forecast'!$F:$F),IF($C$4="MAY 2015",SUMIF('TY Actual-Forecast'!$A:$A,'Next 3-Months'!A45,'TY Actual-Forecast'!$G:$G),IF($C$4="JUNE 2015",SUMIF('TY Actual-Forecast'!$A:$A,'Next 3-Months'!A45,'TY Actual-Forecast'!$H:$H),IF($C$4="JULY 2015",SUMIF('TY Actual-Forecast'!$A:$A,'Next 3-Months'!A45,'TY Actual-Forecast'!$I:$I),IF($C$4="AUGUST 2015",SUMIF('TY Actual-Forecast'!$A:$A,'Next 3-Months'!A45,'TY Actual-Forecast'!$J:$J),IF($C$4="SEPTEMBER 2015",SUMIF('TY Actual-Forecast'!$A:$A,'Next 3-Months'!A45,'TY Actual-Forecast'!$K:$K),IF($C$4="OCTOBER 2015",SUMIF('TY Actual-Forecast'!$A:$A,'Next 3-Months'!A45,'TY Actual-Forecast'!$L:$L),IF($C$4="NOVEMBER 2015",SUMIF('TY Actual-Forecast'!$A:$A,'Next 3-Months'!A45,'TY Actual-Forecast'!$M:$M),IF($C$4="DECEMBER 2015",SUMIF('TY Actual-Forecast'!$A:$A,'Next 3-Months'!A45,'TY Actual-Forecast'!$N:$N),IF($C$4="JANUARY 2016",SUMIF('TY Actual-Forecast'!$A:$A,'Next 3-Months'!A45,'TY Actual-Forecast'!$Q:$Q),IF($C$4="FEBRUARY 2016",SUMIF('TY Actual-Forecast'!$A:$A,'Next 3-Months'!A45,'TY Actual-Forecast'!$R:$R),IF($C$4="MARCH 2016",SUMIF('TY Actual-Forecast'!$A:$A,'Next 3-Months'!A45,'TY Actual-Forecast'!$S:$S),0))))))))))))))</f>
        <v>0</v>
      </c>
      <c r="D45" s="31">
        <f>IF($C$4="FEBRUARY 2015",SUMIF('TY Budget'!$A:$A,'Next 3-Months'!$A45,'TY Budget'!$D:$D),IF($C$4="MARCH 2015",SUMIF('TY Budget'!$A:$A,'Next 3-Months'!$A45,'TY Budget'!$E:$E),IF($C$4="APRIL 2015",SUMIF('TY Budget'!$A:$A,'Next 3-Months'!$A45,'TY Budget'!$F:$F),IF($C$4="MAY 2015",SUMIF('TY Budget'!$A:$A,'Next 3-Months'!$A45,'TY Budget'!$G:$G),IF($C$4="JUNE 2015",SUMIF('TY Budget'!$A:$A,'Next 3-Months'!$A45,'TY Budget'!$H:$H),IF($C$4="JULY 2015",SUMIF('TY Budget'!$A:$A,'Next 3-Months'!$A45,'TY Budget'!$I:$I),IF($C$4="AUGUST 2015",SUMIF('TY Budget'!$A:$A,'Next 3-Months'!$A45,'TY Budget'!$J:$J),IF($C$4="SEPTEMBER 2015",SUMIF('TY Budget'!$A:$A,'Next 3-Months'!$A45,'TY Budget'!$K:$K),IF($C$4="OCTOBER 2015",SUMIF('TY Budget'!$A:$A,'Next 3-Months'!$A45,'TY Budget'!$L:$L),IF($C$4="NOVEMBER 2015",SUMIF('TY Budget'!$A:$A,'Next 3-Months'!$A45,'TY Budget'!$M:$M),IF($C$4="DECEMBER 2015",SUMIF('TY Budget'!$A:$A,'Next 3-Months'!$A45,'TY Budget'!$N:$N),IF($C$4="JANUARY 2016",SUMIF('TY Budget'!$A:$A,'Next 3-Months'!$A45,'TY Budget'!$Q:$Q),IF($C$4="FEBRUARY 2016",SUMIF('TY Budget'!$A:$A,'Next 3-Months'!$A45,'TY Budget'!$R:$R),IF($C$4="MARCH 2016",SUMIF('TY Budget'!$A:$A,'Next 3-Months'!$A45,'TY Budget'!$S:$S),0))))))))))))))</f>
        <v>0</v>
      </c>
      <c r="E45" s="31">
        <f>IF($C$4="FEBRUARY 2015",SUMIF('TY Budget'!$A:$A,'Next 3-Months'!$A45,'LY Actual'!$D:$D),IF($C$4="MARCH 2015",SUMIF('TY Budget'!$A:$A,'Next 3-Months'!$A45,'LY Actual'!$E:$E),IF($C$4="APRIL 2015",SUMIF('TY Budget'!$A:$A,'Next 3-Months'!$A45,'LY Actual'!$F:$F),IF($C$4="MAY 2015",SUMIF('TY Budget'!$A:$A,'Next 3-Months'!$A45,'LY Actual'!$G:$G),IF($C$4="JUNE 2015",SUMIF('TY Budget'!$A:$A,'Next 3-Months'!$A45,'LY Actual'!$H:$H),IF($C$4="JULY 2015",SUMIF('TY Budget'!$A:$A,'Next 3-Months'!$A45,'LY Actual'!$I:$I),IF($C$4="AUGUST 2015",SUMIF('TY Budget'!$A:$A,'Next 3-Months'!$A45,'LY Actual'!$J:$J),IF($C$4="SEPTEMBER 2015",SUMIF('TY Budget'!$A:$A,'Next 3-Months'!$A45,'LY Actual'!$K:$K),IF($C$4="OCTOBER 2015",SUMIF('TY Budget'!$A:$A,'Next 3-Months'!$A45,'LY Actual'!$L:$L),IF($C$4="NOVEMBER 2015",SUMIF('TY Budget'!$A:$A,'Next 3-Months'!$A45,'LY Actual'!$M:$M),IF($C$4="DECEMBER 2015",SUMIF('TY Budget'!$A:$A,'Next 3-Months'!$A45,'LY Actual'!$N:$N),IF($C$4="JANUARY 2016",SUMIF('TY Budget'!$A:$A,'Next 3-Months'!$A45,'LY Actual'!$Q:$Q),IF($C$4="FEBRUARY 2016",SUMIF('TY Budget'!$A:$A,'Next 3-Months'!$A45,'LY Actual'!$R:$R),IF($C$4="MARCH 2016",SUMIF('TY Budget'!$A:$A,'Next 3-Months'!$A45,'LY Actual'!$S:$S),0))))))))))))))</f>
        <v>0</v>
      </c>
      <c r="F45" s="27"/>
      <c r="G45" s="31">
        <f>IF($G$4="FEBRUARY 2015",SUMIF('TY Actual-Forecast'!$A:$A,'Next 3-Months'!$A45,'TY Actual-Forecast'!$D:$D),IF($G$4="MARCH 2015",SUMIF('TY Actual-Forecast'!$A:$A,'Next 3-Months'!$A45,'TY Actual-Forecast'!$E:$E),IF($G$4="APRIL 2015",SUMIF('TY Actual-Forecast'!$A:$A,'Next 3-Months'!$A45,'TY Actual-Forecast'!$F:$F),IF($G$4="MAY 2015",SUMIF('TY Actual-Forecast'!$A:$A,'Next 3-Months'!$A45,'TY Actual-Forecast'!$G:$G),IF($G$4="JUNE 2015",SUMIF('TY Actual-Forecast'!$A:$A,'Next 3-Months'!$A45,'TY Actual-Forecast'!$H:$H),IF($G$4="JULY 2015",SUMIF('TY Actual-Forecast'!$A:$A,'Next 3-Months'!$A45,'TY Actual-Forecast'!$I:$I),IF($G$4="AUGUST 2015",SUMIF('TY Actual-Forecast'!$A:$A,'Next 3-Months'!$A45,'TY Actual-Forecast'!$J:$J),IF($G$4="SEPTEMBER 2015",SUMIF('TY Actual-Forecast'!$A:$A,'Next 3-Months'!$A45,'TY Actual-Forecast'!$K:$K),IF($G$4="OCTOBER 2015",SUMIF('TY Actual-Forecast'!$A:$A,'Next 3-Months'!$A45,'TY Actual-Forecast'!$L:$L),IF($G$4="NOVEMBER 2015",SUMIF('TY Actual-Forecast'!$A:$A,'Next 3-Months'!$A45,'TY Actual-Forecast'!$M:$M),IF($G$4="DECEMBER 2015",SUMIF('TY Actual-Forecast'!$A:$A,'Next 3-Months'!$A45,'TY Actual-Forecast'!$N:$N),IF($G$4="JANUARY 2016",SUMIF('TY Actual-Forecast'!$A:$A,'Next 3-Months'!$A45,'TY Actual-Forecast'!$Q:$Q),IF($G$4="FEBRUARY 2016",SUMIF('TY Actual-Forecast'!$A:$A,'Next 3-Months'!$A45,'TY Actual-Forecast'!$R:$R),IF($G$4="MARCH 2016",SUMIF('TY Actual-Forecast'!$A:$A,'Next 3-Months'!$A45,'TY Actual-Forecast'!$S:$S),0))))))))))))))</f>
        <v>0</v>
      </c>
      <c r="H45" s="31">
        <f>IF($G$4="FEBRUARY 2015",SUMIF('TY Budget'!$A:$A,'Next 3-Months'!$A45,'TY Budget'!$D:$D),IF($G$4="MARCH 2015",SUMIF('TY Budget'!$A:$A,'Next 3-Months'!$A45,'TY Budget'!$E:$E),IF($G$4="APRIL 2015",SUMIF('TY Budget'!$A:$A,'Next 3-Months'!$A45,'TY Budget'!$F:$F),IF($G$4="MAY 2015",SUMIF('TY Budget'!$A:$A,'Next 3-Months'!$A45,'TY Budget'!$G:$G),IF($G$4="JUNE 2015",SUMIF('TY Budget'!$A:$A,'Next 3-Months'!$A45,'TY Budget'!$H:$H),IF($G$4="JULY 2015",SUMIF('TY Budget'!$A:$A,'Next 3-Months'!$A45,'TY Budget'!$I:$I),IF($G$4="AUGUST 2015",SUMIF('TY Budget'!$A:$A,'Next 3-Months'!$A45,'TY Budget'!$J:$J),IF($G$4="SEPTEMBER 2015",SUMIF('TY Budget'!$A:$A,'Next 3-Months'!$A45,'TY Budget'!$K:$K),IF($G$4="OCTOBER 2015",SUMIF('TY Budget'!$A:$A,'Next 3-Months'!$A45,'TY Budget'!$L:$L),IF($G$4="NOVEMBER 2015",SUMIF('TY Budget'!$A:$A,'Next 3-Months'!$A45,'TY Budget'!$M:$M),IF($G$4="DECEMBER 2015",SUMIF('TY Budget'!$A:$A,'Next 3-Months'!$A45,'TY Budget'!$N:$N),IF($G$4="JANUARY 2016",SUMIF('TY Budget'!$A:$A,'Next 3-Months'!$A45,'TY Budget'!$Q:$Q),IF($G$4="FEBRUARY 2016",SUMIF('TY Budget'!$A:$A,'Next 3-Months'!$A45,'TY Budget'!$R:$R),IF($G$4="MARCH 2016",SUMIF('TY Budget'!$A:$A,'Next 3-Months'!$A45,'TY Budget'!$S:$S),0))))))))))))))</f>
        <v>0</v>
      </c>
      <c r="I45" s="31">
        <f>IF($G$4="FEBRUARY 2015",SUMIF('TY Budget'!$A:$A,'Next 3-Months'!$A45,'LY Actual'!$D:$D),IF($G$4="MARCH 2015",SUMIF('TY Budget'!$A:$A,'Next 3-Months'!$A45,'LY Actual'!$E:$E),IF($G$4="APRIL 2015",SUMIF('TY Budget'!$A:$A,'Next 3-Months'!$A45,'LY Actual'!$F:$F),IF($G$4="MAY 2015",SUMIF('TY Budget'!$A:$A,'Next 3-Months'!$A45,'LY Actual'!$G:$G),IF($G$4="JUNE 2015",SUMIF('TY Budget'!$A:$A,'Next 3-Months'!$A45,'LY Actual'!$H:$H),IF($G$4="JULY 2015",SUMIF('TY Budget'!$A:$A,'Next 3-Months'!$A45,'LY Actual'!$I:$I),IF($G$4="AUGUST 2015",SUMIF('TY Budget'!$A:$A,'Next 3-Months'!$A45,'LY Actual'!$J:$J),IF($G$4="SEPTEMBER 2015",SUMIF('TY Budget'!$A:$A,'Next 3-Months'!$A45,'LY Actual'!$K:$K),IF($G$4="OCTOBER 2015",SUMIF('TY Budget'!$A:$A,'Next 3-Months'!$A45,'LY Actual'!$L:$L),IF($G$4="NOVEMBER 2015",SUMIF('TY Budget'!$A:$A,'Next 3-Months'!$A45,'LY Actual'!$M:$M),IF($G$4="DECEMBER 2015",SUMIF('TY Budget'!$A:$A,'Next 3-Months'!$A45,'LY Actual'!$N:$N),IF($G$4="JANUARY 2016",SUMIF('TY Budget'!$A:$A,'Next 3-Months'!$A45,'LY Actual'!$Q:$Q),IF($G$4="FEBRUARY 2016",SUMIF('TY Budget'!$A:$A,'Next 3-Months'!$A45,'LY Actual'!$R:$R),IF($G$4="MARCH 2016",SUMIF('TY Budget'!$A:$A,'Next 3-Months'!$A45,'LY Actual'!$S:$S),0))))))))))))))</f>
        <v>0</v>
      </c>
      <c r="J45" s="28"/>
      <c r="K45" s="31">
        <f>IF($K$4="FEBRUARY 2015",SUMIF('TY Actual-Forecast'!$A:$A,'Next 3-Months'!$A45,'TY Actual-Forecast'!$D:$D),IF($K$4="MARCH 2015",SUMIF('TY Actual-Forecast'!$A:$A,'Next 3-Months'!$A45,'TY Actual-Forecast'!$E:$E),IF($K$4="APRIL 2015",SUMIF('TY Actual-Forecast'!$A:$A,'Next 3-Months'!$A45,'TY Actual-Forecast'!$F:$F),IF($K$4="MAY 2015",SUMIF('TY Actual-Forecast'!$A:$A,'Next 3-Months'!$A45,'TY Actual-Forecast'!$G:$G),IF($K$4="JUNE 2015",SUMIF('TY Actual-Forecast'!$A:$A,'Next 3-Months'!$A45,'TY Actual-Forecast'!$H:$H),IF($K$4="JULY 2015",SUMIF('TY Actual-Forecast'!$A:$A,'Next 3-Months'!$A45,'TY Actual-Forecast'!$I:$I),IF($K$4="AUGUST 2015",SUMIF('TY Actual-Forecast'!$A:$A,'Next 3-Months'!$A45,'TY Actual-Forecast'!$J:$J),IF($K$4="SEPTEMBER 2015",SUMIF('TY Actual-Forecast'!$A:$A,'Next 3-Months'!$A45,'TY Actual-Forecast'!$K:$K),IF($K$4="OCTOBER 2015",SUMIF('TY Actual-Forecast'!$A:$A,'Next 3-Months'!$A45,'TY Actual-Forecast'!$L:$L),IF($K$4="NOVEMBER 2015",SUMIF('TY Actual-Forecast'!$A:$A,'Next 3-Months'!$A45,'TY Actual-Forecast'!$M:$M),IF($K$4="DECEMBER 2015",SUMIF('TY Actual-Forecast'!$A:$A,'Next 3-Months'!$A45,'TY Actual-Forecast'!$N:$N),IF($K$4="JANUARY 2016",SUMIF('TY Actual-Forecast'!$A:$A,'Next 3-Months'!$A45,'TY Actual-Forecast'!$Q:$Q),IF($K$4="FEBRUARY 2016",SUMIF('TY Actual-Forecast'!$A:$A,'Next 3-Months'!$A45,'TY Actual-Forecast'!$R:$R),IF($K$4="MARCH 2016",SUMIF('TY Actual-Forecast'!$A:$A,'Next 3-Months'!$A45,'TY Actual-Forecast'!$S:$S),0))))))))))))))</f>
        <v>0</v>
      </c>
      <c r="L45" s="31">
        <f>IF($K$4="FEBRUARY 2015",SUMIF('TY Budget'!$A:$A,'Next 3-Months'!$A45,'TY Budget'!$D:$D),IF($K$4="MARCH 2015",SUMIF('TY Budget'!$A:$A,'Next 3-Months'!$A45,'TY Budget'!$E:$E),IF($K$4="APRIL 2015",SUMIF('TY Budget'!$A:$A,'Next 3-Months'!$A45,'TY Budget'!$F:$F),IF($K$4="MAY 2015",SUMIF('TY Budget'!$A:$A,'Next 3-Months'!$A45,'TY Budget'!$G:$G),IF($K$4="JUNE 2015",SUMIF('TY Budget'!$A:$A,'Next 3-Months'!$A45,'TY Budget'!$H:$H),IF($K$4="JULY 2015",SUMIF('TY Budget'!$A:$A,'Next 3-Months'!$A45,'TY Budget'!$I:$I),IF($K$4="AUGUST 2015",SUMIF('TY Budget'!$A:$A,'Next 3-Months'!$A45,'TY Budget'!$J:$J),IF($K$4="SEPTEMBER 2015",SUMIF('TY Budget'!$A:$A,'Next 3-Months'!$A45,'TY Budget'!$K:$K),IF($K$4="OCTOBER 2015",SUMIF('TY Budget'!$A:$A,'Next 3-Months'!$A45,'TY Budget'!$L:$L),IF($K$4="NOVEMBER 2015",SUMIF('TY Budget'!$A:$A,'Next 3-Months'!$A45,'TY Budget'!$M:$M),IF($K$4="DECEMBER 2015",SUMIF('TY Budget'!$A:$A,'Next 3-Months'!$A45,'TY Budget'!$N:$N),IF($K$4="JANUARY 2016",SUMIF('TY Budget'!$A:$A,'Next 3-Months'!$A45,'TY Budget'!$Q:$Q),IF($K$4="FEBRUARY 2016",SUMIF('TY Budget'!$A:$A,'Next 3-Months'!$A45,'TY Budget'!$R:$R),IF($K$4="MARCH 2016",SUMIF('TY Budget'!$A:$A,'Next 3-Months'!$A45,'TY Budget'!$S:$S),0))))))))))))))</f>
        <v>0</v>
      </c>
      <c r="M45" s="31">
        <f>IF($K$4="FEBRUARY 2015",SUMIF('TY Budget'!$A:$A,'Next 3-Months'!$A45,'LY Actual'!$D:$D),IF($K$4="MARCH 2015",SUMIF('TY Budget'!$A:$A,'Next 3-Months'!$A45,'LY Actual'!$E:$E),IF($K$4="APRIL 2015",SUMIF('TY Budget'!$A:$A,'Next 3-Months'!$A45,'LY Actual'!$F:$F),IF($K$4="MAY 2015",SUMIF('TY Budget'!$A:$A,'Next 3-Months'!$A45,'LY Actual'!$G:$G),IF($K$4="JUNE 2015",SUMIF('TY Budget'!$A:$A,'Next 3-Months'!$A45,'LY Actual'!$H:$H),IF($K$4="JULY 2015",SUMIF('TY Budget'!$A:$A,'Next 3-Months'!$A45,'LY Actual'!$I:$I),IF($K$4="AUGUST 2015",SUMIF('TY Budget'!$A:$A,'Next 3-Months'!$A45,'LY Actual'!$J:$J),IF($K$4="SEPTEMBER 2015",SUMIF('TY Budget'!$A:$A,'Next 3-Months'!$A45,'LY Actual'!$K:$K),IF($K$4="OCTOBER 2015",SUMIF('TY Budget'!$A:$A,'Next 3-Months'!$A45,'LY Actual'!$L:$L),IF($K$4="NOVEMBER 2015",SUMIF('TY Budget'!$A:$A,'Next 3-Months'!$A45,'LY Actual'!$M:$M),IF($K$4="DECEMBER 2015",SUMIF('TY Budget'!$A:$A,'Next 3-Months'!$A45,'LY Actual'!$N:$N),IF($K$4="JANUARY 2016",SUMIF('TY Budget'!$A:$A,'Next 3-Months'!$A45,'LY Actual'!$Q:$Q),IF($K$4="FEBRUARY 2016",SUMIF('TY Budget'!$A:$A,'Next 3-Months'!$A45,'LY Actual'!$R:$R),IF($K$4="MARCH 2016",SUMIF('TY Budget'!$A:$A,'Next 3-Months'!$A45,'LY Actual'!$S:$S),0))))))))))))))</f>
        <v>0</v>
      </c>
      <c r="O45" s="31">
        <f>(D45+H45+L45)-(C45+G45+K45)</f>
        <v>0</v>
      </c>
      <c r="P45" s="31">
        <f>(E45+I45+M45)-(C45+G45+K45)</f>
        <v>0</v>
      </c>
    </row>
    <row r="46" spans="1:16" ht="15">
      <c r="A46" s="18"/>
      <c r="B46" s="18"/>
      <c r="C46" s="40"/>
      <c r="D46" s="40"/>
      <c r="E46" s="40"/>
      <c r="F46" s="27"/>
      <c r="G46" s="40"/>
      <c r="H46" s="40"/>
      <c r="I46" s="40"/>
      <c r="J46" s="28"/>
      <c r="K46" s="40"/>
      <c r="L46" s="40"/>
      <c r="M46" s="40"/>
      <c r="O46" s="40"/>
      <c r="P46" s="40"/>
    </row>
    <row r="47" spans="1:16" s="24" customFormat="1" ht="15">
      <c r="A47" s="76" t="s">
        <v>192</v>
      </c>
      <c r="B47" s="18"/>
      <c r="C47" s="22">
        <f>C42-C45</f>
        <v>20324230.476130217</v>
      </c>
      <c r="D47" s="22">
        <f>D42-D45</f>
        <v>21835497</v>
      </c>
      <c r="E47" s="22">
        <f>E42-E45</f>
        <v>18515250.559999999</v>
      </c>
      <c r="F47" s="37"/>
      <c r="G47" s="22">
        <f>G42-G45</f>
        <v>15705728.573271949</v>
      </c>
      <c r="H47" s="22">
        <f>H42-H45</f>
        <v>17768000</v>
      </c>
      <c r="I47" s="22">
        <f>I42-I45</f>
        <v>13826472.229999989</v>
      </c>
      <c r="J47" s="38"/>
      <c r="K47" s="22">
        <f t="shared" ref="K47:M47" si="17">K42-K45</f>
        <v>17417144.237844892</v>
      </c>
      <c r="L47" s="22">
        <f t="shared" si="17"/>
        <v>20182800</v>
      </c>
      <c r="M47" s="22">
        <f t="shared" si="17"/>
        <v>22366750.189999994</v>
      </c>
      <c r="O47" s="22">
        <f>(C47+G47+K47)-(D47+H47+L47)</f>
        <v>-6339193.7127529457</v>
      </c>
      <c r="P47" s="22">
        <f>(C47+G47+K47)-(E47+I47+M47)</f>
        <v>-1261369.6927529275</v>
      </c>
    </row>
    <row r="48" spans="1:16" s="24" customFormat="1" ht="15">
      <c r="A48" s="49"/>
      <c r="B48" s="18"/>
      <c r="C48" s="32">
        <f>IFERROR(C47/C$8,)</f>
        <v>0.41580342565749895</v>
      </c>
      <c r="D48" s="32">
        <f>IFERROR(D47/D$8,)</f>
        <v>0.42850576855524136</v>
      </c>
      <c r="E48" s="32">
        <f>IFERROR(E47/E$8,)</f>
        <v>0.42315567642574925</v>
      </c>
      <c r="F48" s="37"/>
      <c r="G48" s="32">
        <f>IFERROR(G47/G$8,)</f>
        <v>0.37777740363475321</v>
      </c>
      <c r="H48" s="32">
        <f>IFERROR(H47/H$8,)</f>
        <v>0.39875221616284029</v>
      </c>
      <c r="I48" s="32">
        <f>IFERROR(I47/I$8,)</f>
        <v>0.36974358666253254</v>
      </c>
      <c r="J48" s="38"/>
      <c r="K48" s="32">
        <f t="shared" ref="K48:M48" si="18">IFERROR(K47/K$8,)</f>
        <v>0.39554470287726506</v>
      </c>
      <c r="L48" s="32">
        <f t="shared" si="18"/>
        <v>0.41467132918856503</v>
      </c>
      <c r="M48" s="32">
        <f t="shared" si="18"/>
        <v>0.47601214943930531</v>
      </c>
      <c r="O48" s="32"/>
      <c r="P48" s="32"/>
    </row>
    <row r="49" spans="1:16" ht="15">
      <c r="A49" s="18"/>
      <c r="B49" s="18"/>
      <c r="C49" s="40"/>
      <c r="D49" s="40"/>
      <c r="E49" s="40"/>
      <c r="F49" s="27"/>
      <c r="G49" s="40"/>
      <c r="H49" s="40"/>
      <c r="I49" s="40"/>
      <c r="J49" s="28"/>
      <c r="K49" s="40"/>
      <c r="L49" s="40"/>
      <c r="M49" s="40"/>
      <c r="O49" s="40"/>
      <c r="P49" s="40"/>
    </row>
    <row r="50" spans="1:16" ht="15">
      <c r="A50" s="18" t="s">
        <v>195</v>
      </c>
      <c r="B50" s="18"/>
      <c r="C50" s="40"/>
      <c r="D50" s="40"/>
      <c r="E50" s="40"/>
      <c r="F50" s="27"/>
      <c r="G50" s="40"/>
      <c r="H50" s="40"/>
      <c r="I50" s="40"/>
      <c r="J50" s="28"/>
      <c r="K50" s="40"/>
      <c r="L50" s="40"/>
      <c r="M50" s="40"/>
      <c r="O50" s="40"/>
      <c r="P50" s="40"/>
    </row>
    <row r="51" spans="1:16" ht="15">
      <c r="A51" s="39" t="s">
        <v>193</v>
      </c>
      <c r="B51" s="36"/>
      <c r="C51" s="31">
        <f>IF($C$4="FEBRUARY 2015",SUMIF('TY Actual-Forecast'!$A:$A,'Next 3-Months'!A51,'TY Actual-Forecast'!$D:$D),IF($C$4="MARCH 2015",SUMIF('TY Actual-Forecast'!$A:$A,'Next 3-Months'!A51,'TY Actual-Forecast'!$E:$E),IF($C$4="APRIL 2015",SUMIF('TY Actual-Forecast'!$A:$A,'Next 3-Months'!A51,'TY Actual-Forecast'!$F:$F),IF($C$4="MAY 2015",SUMIF('TY Actual-Forecast'!$A:$A,'Next 3-Months'!A51,'TY Actual-Forecast'!$G:$G),IF($C$4="JUNE 2015",SUMIF('TY Actual-Forecast'!$A:$A,'Next 3-Months'!A51,'TY Actual-Forecast'!$H:$H),IF($C$4="JULY 2015",SUMIF('TY Actual-Forecast'!$A:$A,'Next 3-Months'!A51,'TY Actual-Forecast'!$I:$I),IF($C$4="AUGUST 2015",SUMIF('TY Actual-Forecast'!$A:$A,'Next 3-Months'!A51,'TY Actual-Forecast'!$J:$J),IF($C$4="SEPTEMBER 2015",SUMIF('TY Actual-Forecast'!$A:$A,'Next 3-Months'!A51,'TY Actual-Forecast'!$K:$K),IF($C$4="OCTOBER 2015",SUMIF('TY Actual-Forecast'!$A:$A,'Next 3-Months'!A51,'TY Actual-Forecast'!$L:$L),IF($C$4="NOVEMBER 2015",SUMIF('TY Actual-Forecast'!$A:$A,'Next 3-Months'!A51,'TY Actual-Forecast'!$M:$M),IF($C$4="DECEMBER 2015",SUMIF('TY Actual-Forecast'!$A:$A,'Next 3-Months'!A51,'TY Actual-Forecast'!$N:$N),IF($C$4="JANUARY 2016",SUMIF('TY Actual-Forecast'!$A:$A,'Next 3-Months'!A51,'TY Actual-Forecast'!$Q:$Q),IF($C$4="FEBRUARY 2016",SUMIF('TY Actual-Forecast'!$A:$A,'Next 3-Months'!A51,'TY Actual-Forecast'!$R:$R),IF($C$4="MARCH 2016",SUMIF('TY Actual-Forecast'!$A:$A,'Next 3-Months'!A51,'TY Actual-Forecast'!$S:$S),0))))))))))))))</f>
        <v>0</v>
      </c>
      <c r="D51" s="31">
        <f>IF($C$4="FEBRUARY 2015",SUMIF('TY Budget'!$A:$A,'Next 3-Months'!$A51,'TY Budget'!$D:$D),IF($C$4="MARCH 2015",SUMIF('TY Budget'!$A:$A,'Next 3-Months'!$A51,'TY Budget'!$E:$E),IF($C$4="APRIL 2015",SUMIF('TY Budget'!$A:$A,'Next 3-Months'!$A51,'TY Budget'!$F:$F),IF($C$4="MAY 2015",SUMIF('TY Budget'!$A:$A,'Next 3-Months'!$A51,'TY Budget'!$G:$G),IF($C$4="JUNE 2015",SUMIF('TY Budget'!$A:$A,'Next 3-Months'!$A51,'TY Budget'!$H:$H),IF($C$4="JULY 2015",SUMIF('TY Budget'!$A:$A,'Next 3-Months'!$A51,'TY Budget'!$I:$I),IF($C$4="AUGUST 2015",SUMIF('TY Budget'!$A:$A,'Next 3-Months'!$A51,'TY Budget'!$J:$J),IF($C$4="SEPTEMBER 2015",SUMIF('TY Budget'!$A:$A,'Next 3-Months'!$A51,'TY Budget'!$K:$K),IF($C$4="OCTOBER 2015",SUMIF('TY Budget'!$A:$A,'Next 3-Months'!$A51,'TY Budget'!$L:$L),IF($C$4="NOVEMBER 2015",SUMIF('TY Budget'!$A:$A,'Next 3-Months'!$A51,'TY Budget'!$M:$M),IF($C$4="DECEMBER 2015",SUMIF('TY Budget'!$A:$A,'Next 3-Months'!$A51,'TY Budget'!$N:$N),IF($C$4="JANUARY 2016",SUMIF('TY Budget'!$A:$A,'Next 3-Months'!$A51,'TY Budget'!$Q:$Q),IF($C$4="FEBRUARY 2016",SUMIF('TY Budget'!$A:$A,'Next 3-Months'!$A51,'TY Budget'!$R:$R),IF($C$4="MARCH 2016",SUMIF('TY Budget'!$A:$A,'Next 3-Months'!$A51,'TY Budget'!$S:$S),0))))))))))))))</f>
        <v>0</v>
      </c>
      <c r="E51" s="31">
        <f>IF($C$4="FEBRUARY 2015",SUMIF('TY Budget'!$A:$A,'Next 3-Months'!$A51,'LY Actual'!$D:$D),IF($C$4="MARCH 2015",SUMIF('TY Budget'!$A:$A,'Next 3-Months'!$A51,'LY Actual'!$E:$E),IF($C$4="APRIL 2015",SUMIF('TY Budget'!$A:$A,'Next 3-Months'!$A51,'LY Actual'!$F:$F),IF($C$4="MAY 2015",SUMIF('TY Budget'!$A:$A,'Next 3-Months'!$A51,'LY Actual'!$G:$G),IF($C$4="JUNE 2015",SUMIF('TY Budget'!$A:$A,'Next 3-Months'!$A51,'LY Actual'!$H:$H),IF($C$4="JULY 2015",SUMIF('TY Budget'!$A:$A,'Next 3-Months'!$A51,'LY Actual'!$I:$I),IF($C$4="AUGUST 2015",SUMIF('TY Budget'!$A:$A,'Next 3-Months'!$A51,'LY Actual'!$J:$J),IF($C$4="SEPTEMBER 2015",SUMIF('TY Budget'!$A:$A,'Next 3-Months'!$A51,'LY Actual'!$K:$K),IF($C$4="OCTOBER 2015",SUMIF('TY Budget'!$A:$A,'Next 3-Months'!$A51,'LY Actual'!$L:$L),IF($C$4="NOVEMBER 2015",SUMIF('TY Budget'!$A:$A,'Next 3-Months'!$A51,'LY Actual'!$M:$M),IF($C$4="DECEMBER 2015",SUMIF('TY Budget'!$A:$A,'Next 3-Months'!$A51,'LY Actual'!$N:$N),IF($C$4="JANUARY 2016",SUMIF('TY Budget'!$A:$A,'Next 3-Months'!$A51,'LY Actual'!$Q:$Q),IF($C$4="FEBRUARY 2016",SUMIF('TY Budget'!$A:$A,'Next 3-Months'!$A51,'LY Actual'!$R:$R),IF($C$4="MARCH 2016",SUMIF('TY Budget'!$A:$A,'Next 3-Months'!$A51,'LY Actual'!$S:$S),0))))))))))))))</f>
        <v>0</v>
      </c>
      <c r="F51" s="27"/>
      <c r="G51" s="31">
        <f>IF($G$4="FEBRUARY 2015",SUMIF('TY Actual-Forecast'!$A:$A,'Next 3-Months'!$A51,'TY Actual-Forecast'!$D:$D),IF($G$4="MARCH 2015",SUMIF('TY Actual-Forecast'!$A:$A,'Next 3-Months'!$A51,'TY Actual-Forecast'!$E:$E),IF($G$4="APRIL 2015",SUMIF('TY Actual-Forecast'!$A:$A,'Next 3-Months'!$A51,'TY Actual-Forecast'!$F:$F),IF($G$4="MAY 2015",SUMIF('TY Actual-Forecast'!$A:$A,'Next 3-Months'!$A51,'TY Actual-Forecast'!$G:$G),IF($G$4="JUNE 2015",SUMIF('TY Actual-Forecast'!$A:$A,'Next 3-Months'!$A51,'TY Actual-Forecast'!$H:$H),IF($G$4="JULY 2015",SUMIF('TY Actual-Forecast'!$A:$A,'Next 3-Months'!$A51,'TY Actual-Forecast'!$I:$I),IF($G$4="AUGUST 2015",SUMIF('TY Actual-Forecast'!$A:$A,'Next 3-Months'!$A51,'TY Actual-Forecast'!$J:$J),IF($G$4="SEPTEMBER 2015",SUMIF('TY Actual-Forecast'!$A:$A,'Next 3-Months'!$A51,'TY Actual-Forecast'!$K:$K),IF($G$4="OCTOBER 2015",SUMIF('TY Actual-Forecast'!$A:$A,'Next 3-Months'!$A51,'TY Actual-Forecast'!$L:$L),IF($G$4="NOVEMBER 2015",SUMIF('TY Actual-Forecast'!$A:$A,'Next 3-Months'!$A51,'TY Actual-Forecast'!$M:$M),IF($G$4="DECEMBER 2015",SUMIF('TY Actual-Forecast'!$A:$A,'Next 3-Months'!$A51,'TY Actual-Forecast'!$N:$N),IF($G$4="JANUARY 2016",SUMIF('TY Actual-Forecast'!$A:$A,'Next 3-Months'!$A51,'TY Actual-Forecast'!$Q:$Q),IF($G$4="FEBRUARY 2016",SUMIF('TY Actual-Forecast'!$A:$A,'Next 3-Months'!$A51,'TY Actual-Forecast'!$R:$R),IF($G$4="MARCH 2016",SUMIF('TY Actual-Forecast'!$A:$A,'Next 3-Months'!$A51,'TY Actual-Forecast'!$S:$S),0))))))))))))))</f>
        <v>0</v>
      </c>
      <c r="H51" s="31">
        <f>IF($G$4="FEBRUARY 2015",SUMIF('TY Budget'!$A:$A,'Next 3-Months'!$A51,'TY Budget'!$D:$D),IF($G$4="MARCH 2015",SUMIF('TY Budget'!$A:$A,'Next 3-Months'!$A51,'TY Budget'!$E:$E),IF($G$4="APRIL 2015",SUMIF('TY Budget'!$A:$A,'Next 3-Months'!$A51,'TY Budget'!$F:$F),IF($G$4="MAY 2015",SUMIF('TY Budget'!$A:$A,'Next 3-Months'!$A51,'TY Budget'!$G:$G),IF($G$4="JUNE 2015",SUMIF('TY Budget'!$A:$A,'Next 3-Months'!$A51,'TY Budget'!$H:$H),IF($G$4="JULY 2015",SUMIF('TY Budget'!$A:$A,'Next 3-Months'!$A51,'TY Budget'!$I:$I),IF($G$4="AUGUST 2015",SUMIF('TY Budget'!$A:$A,'Next 3-Months'!$A51,'TY Budget'!$J:$J),IF($G$4="SEPTEMBER 2015",SUMIF('TY Budget'!$A:$A,'Next 3-Months'!$A51,'TY Budget'!$K:$K),IF($G$4="OCTOBER 2015",SUMIF('TY Budget'!$A:$A,'Next 3-Months'!$A51,'TY Budget'!$L:$L),IF($G$4="NOVEMBER 2015",SUMIF('TY Budget'!$A:$A,'Next 3-Months'!$A51,'TY Budget'!$M:$M),IF($G$4="DECEMBER 2015",SUMIF('TY Budget'!$A:$A,'Next 3-Months'!$A51,'TY Budget'!$N:$N),IF($G$4="JANUARY 2016",SUMIF('TY Budget'!$A:$A,'Next 3-Months'!$A51,'TY Budget'!$Q:$Q),IF($G$4="FEBRUARY 2016",SUMIF('TY Budget'!$A:$A,'Next 3-Months'!$A51,'TY Budget'!$R:$R),IF($G$4="MARCH 2016",SUMIF('TY Budget'!$A:$A,'Next 3-Months'!$A51,'TY Budget'!$S:$S),0))))))))))))))</f>
        <v>0</v>
      </c>
      <c r="I51" s="31">
        <f>IF($G$4="FEBRUARY 2015",SUMIF('TY Budget'!$A:$A,'Next 3-Months'!$A51,'LY Actual'!$D:$D),IF($G$4="MARCH 2015",SUMIF('TY Budget'!$A:$A,'Next 3-Months'!$A51,'LY Actual'!$E:$E),IF($G$4="APRIL 2015",SUMIF('TY Budget'!$A:$A,'Next 3-Months'!$A51,'LY Actual'!$F:$F),IF($G$4="MAY 2015",SUMIF('TY Budget'!$A:$A,'Next 3-Months'!$A51,'LY Actual'!$G:$G),IF($G$4="JUNE 2015",SUMIF('TY Budget'!$A:$A,'Next 3-Months'!$A51,'LY Actual'!$H:$H),IF($G$4="JULY 2015",SUMIF('TY Budget'!$A:$A,'Next 3-Months'!$A51,'LY Actual'!$I:$I),IF($G$4="AUGUST 2015",SUMIF('TY Budget'!$A:$A,'Next 3-Months'!$A51,'LY Actual'!$J:$J),IF($G$4="SEPTEMBER 2015",SUMIF('TY Budget'!$A:$A,'Next 3-Months'!$A51,'LY Actual'!$K:$K),IF($G$4="OCTOBER 2015",SUMIF('TY Budget'!$A:$A,'Next 3-Months'!$A51,'LY Actual'!$L:$L),IF($G$4="NOVEMBER 2015",SUMIF('TY Budget'!$A:$A,'Next 3-Months'!$A51,'LY Actual'!$M:$M),IF($G$4="DECEMBER 2015",SUMIF('TY Budget'!$A:$A,'Next 3-Months'!$A51,'LY Actual'!$N:$N),IF($G$4="JANUARY 2016",SUMIF('TY Budget'!$A:$A,'Next 3-Months'!$A51,'LY Actual'!$Q:$Q),IF($G$4="FEBRUARY 2016",SUMIF('TY Budget'!$A:$A,'Next 3-Months'!$A51,'LY Actual'!$R:$R),IF($G$4="MARCH 2016",SUMIF('TY Budget'!$A:$A,'Next 3-Months'!$A51,'LY Actual'!$S:$S),0))))))))))))))</f>
        <v>0</v>
      </c>
      <c r="J51" s="28"/>
      <c r="K51" s="31">
        <f>IF($K$4="FEBRUARY 2015",SUMIF('TY Actual-Forecast'!$A:$A,'Next 3-Months'!$A51,'TY Actual-Forecast'!$D:$D),IF($K$4="MARCH 2015",SUMIF('TY Actual-Forecast'!$A:$A,'Next 3-Months'!$A51,'TY Actual-Forecast'!$E:$E),IF($K$4="APRIL 2015",SUMIF('TY Actual-Forecast'!$A:$A,'Next 3-Months'!$A51,'TY Actual-Forecast'!$F:$F),IF($K$4="MAY 2015",SUMIF('TY Actual-Forecast'!$A:$A,'Next 3-Months'!$A51,'TY Actual-Forecast'!$G:$G),IF($K$4="JUNE 2015",SUMIF('TY Actual-Forecast'!$A:$A,'Next 3-Months'!$A51,'TY Actual-Forecast'!$H:$H),IF($K$4="JULY 2015",SUMIF('TY Actual-Forecast'!$A:$A,'Next 3-Months'!$A51,'TY Actual-Forecast'!$I:$I),IF($K$4="AUGUST 2015",SUMIF('TY Actual-Forecast'!$A:$A,'Next 3-Months'!$A51,'TY Actual-Forecast'!$J:$J),IF($K$4="SEPTEMBER 2015",SUMIF('TY Actual-Forecast'!$A:$A,'Next 3-Months'!$A51,'TY Actual-Forecast'!$K:$K),IF($K$4="OCTOBER 2015",SUMIF('TY Actual-Forecast'!$A:$A,'Next 3-Months'!$A51,'TY Actual-Forecast'!$L:$L),IF($K$4="NOVEMBER 2015",SUMIF('TY Actual-Forecast'!$A:$A,'Next 3-Months'!$A51,'TY Actual-Forecast'!$M:$M),IF($K$4="DECEMBER 2015",SUMIF('TY Actual-Forecast'!$A:$A,'Next 3-Months'!$A51,'TY Actual-Forecast'!$N:$N),IF($K$4="JANUARY 2016",SUMIF('TY Actual-Forecast'!$A:$A,'Next 3-Months'!$A51,'TY Actual-Forecast'!$Q:$Q),IF($K$4="FEBRUARY 2016",SUMIF('TY Actual-Forecast'!$A:$A,'Next 3-Months'!$A51,'TY Actual-Forecast'!$R:$R),IF($K$4="MARCH 2016",SUMIF('TY Actual-Forecast'!$A:$A,'Next 3-Months'!$A51,'TY Actual-Forecast'!$S:$S),0))))))))))))))</f>
        <v>0</v>
      </c>
      <c r="L51" s="31">
        <f>IF($K$4="FEBRUARY 2015",SUMIF('TY Budget'!$A:$A,'Next 3-Months'!$A51,'TY Budget'!$D:$D),IF($K$4="MARCH 2015",SUMIF('TY Budget'!$A:$A,'Next 3-Months'!$A51,'TY Budget'!$E:$E),IF($K$4="APRIL 2015",SUMIF('TY Budget'!$A:$A,'Next 3-Months'!$A51,'TY Budget'!$F:$F),IF($K$4="MAY 2015",SUMIF('TY Budget'!$A:$A,'Next 3-Months'!$A51,'TY Budget'!$G:$G),IF($K$4="JUNE 2015",SUMIF('TY Budget'!$A:$A,'Next 3-Months'!$A51,'TY Budget'!$H:$H),IF($K$4="JULY 2015",SUMIF('TY Budget'!$A:$A,'Next 3-Months'!$A51,'TY Budget'!$I:$I),IF($K$4="AUGUST 2015",SUMIF('TY Budget'!$A:$A,'Next 3-Months'!$A51,'TY Budget'!$J:$J),IF($K$4="SEPTEMBER 2015",SUMIF('TY Budget'!$A:$A,'Next 3-Months'!$A51,'TY Budget'!$K:$K),IF($K$4="OCTOBER 2015",SUMIF('TY Budget'!$A:$A,'Next 3-Months'!$A51,'TY Budget'!$L:$L),IF($K$4="NOVEMBER 2015",SUMIF('TY Budget'!$A:$A,'Next 3-Months'!$A51,'TY Budget'!$M:$M),IF($K$4="DECEMBER 2015",SUMIF('TY Budget'!$A:$A,'Next 3-Months'!$A51,'TY Budget'!$N:$N),IF($K$4="JANUARY 2016",SUMIF('TY Budget'!$A:$A,'Next 3-Months'!$A51,'TY Budget'!$Q:$Q),IF($K$4="FEBRUARY 2016",SUMIF('TY Budget'!$A:$A,'Next 3-Months'!$A51,'TY Budget'!$R:$R),IF($K$4="MARCH 2016",SUMIF('TY Budget'!$A:$A,'Next 3-Months'!$A51,'TY Budget'!$S:$S),0))))))))))))))</f>
        <v>0</v>
      </c>
      <c r="M51" s="31">
        <f>IF($K$4="FEBRUARY 2015",SUMIF('TY Budget'!$A:$A,'Next 3-Months'!$A51,'LY Actual'!$D:$D),IF($K$4="MARCH 2015",SUMIF('TY Budget'!$A:$A,'Next 3-Months'!$A51,'LY Actual'!$E:$E),IF($K$4="APRIL 2015",SUMIF('TY Budget'!$A:$A,'Next 3-Months'!$A51,'LY Actual'!$F:$F),IF($K$4="MAY 2015",SUMIF('TY Budget'!$A:$A,'Next 3-Months'!$A51,'LY Actual'!$G:$G),IF($K$4="JUNE 2015",SUMIF('TY Budget'!$A:$A,'Next 3-Months'!$A51,'LY Actual'!$H:$H),IF($K$4="JULY 2015",SUMIF('TY Budget'!$A:$A,'Next 3-Months'!$A51,'LY Actual'!$I:$I),IF($K$4="AUGUST 2015",SUMIF('TY Budget'!$A:$A,'Next 3-Months'!$A51,'LY Actual'!$J:$J),IF($K$4="SEPTEMBER 2015",SUMIF('TY Budget'!$A:$A,'Next 3-Months'!$A51,'LY Actual'!$K:$K),IF($K$4="OCTOBER 2015",SUMIF('TY Budget'!$A:$A,'Next 3-Months'!$A51,'LY Actual'!$L:$L),IF($K$4="NOVEMBER 2015",SUMIF('TY Budget'!$A:$A,'Next 3-Months'!$A51,'LY Actual'!$M:$M),IF($K$4="DECEMBER 2015",SUMIF('TY Budget'!$A:$A,'Next 3-Months'!$A51,'LY Actual'!$N:$N),IF($K$4="JANUARY 2016",SUMIF('TY Budget'!$A:$A,'Next 3-Months'!$A51,'LY Actual'!$Q:$Q),IF($K$4="FEBRUARY 2016",SUMIF('TY Budget'!$A:$A,'Next 3-Months'!$A51,'LY Actual'!$R:$R),IF($K$4="MARCH 2016",SUMIF('TY Budget'!$A:$A,'Next 3-Months'!$A51,'LY Actual'!$S:$S),0))))))))))))))</f>
        <v>0</v>
      </c>
      <c r="O51" s="31">
        <f t="shared" ref="O51:O55" si="19">(D51+H51+L51)-(C51+G51+K51)</f>
        <v>0</v>
      </c>
      <c r="P51" s="31">
        <f t="shared" ref="P51:P55" si="20">(E51+I51+M51)-(C51+G51+K51)</f>
        <v>0</v>
      </c>
    </row>
    <row r="52" spans="1:16" ht="15">
      <c r="A52" s="39" t="s">
        <v>205</v>
      </c>
      <c r="B52" s="36"/>
      <c r="C52" s="31">
        <f>IF($C$4="FEBRUARY 2015",SUMIF('TY Actual-Forecast'!$A:$A,'Next 3-Months'!A52,'TY Actual-Forecast'!$D:$D),IF($C$4="MARCH 2015",SUMIF('TY Actual-Forecast'!$A:$A,'Next 3-Months'!A52,'TY Actual-Forecast'!$E:$E),IF($C$4="APRIL 2015",SUMIF('TY Actual-Forecast'!$A:$A,'Next 3-Months'!A52,'TY Actual-Forecast'!$F:$F),IF($C$4="MAY 2015",SUMIF('TY Actual-Forecast'!$A:$A,'Next 3-Months'!A52,'TY Actual-Forecast'!$G:$G),IF($C$4="JUNE 2015",SUMIF('TY Actual-Forecast'!$A:$A,'Next 3-Months'!A52,'TY Actual-Forecast'!$H:$H),IF($C$4="JULY 2015",SUMIF('TY Actual-Forecast'!$A:$A,'Next 3-Months'!A52,'TY Actual-Forecast'!$I:$I),IF($C$4="AUGUST 2015",SUMIF('TY Actual-Forecast'!$A:$A,'Next 3-Months'!A52,'TY Actual-Forecast'!$J:$J),IF($C$4="SEPTEMBER 2015",SUMIF('TY Actual-Forecast'!$A:$A,'Next 3-Months'!A52,'TY Actual-Forecast'!$K:$K),IF($C$4="OCTOBER 2015",SUMIF('TY Actual-Forecast'!$A:$A,'Next 3-Months'!A52,'TY Actual-Forecast'!$L:$L),IF($C$4="NOVEMBER 2015",SUMIF('TY Actual-Forecast'!$A:$A,'Next 3-Months'!A52,'TY Actual-Forecast'!$M:$M),IF($C$4="DECEMBER 2015",SUMIF('TY Actual-Forecast'!$A:$A,'Next 3-Months'!A52,'TY Actual-Forecast'!$N:$N),IF($C$4="JANUARY 2016",SUMIF('TY Actual-Forecast'!$A:$A,'Next 3-Months'!A52,'TY Actual-Forecast'!$Q:$Q),IF($C$4="FEBRUARY 2016",SUMIF('TY Actual-Forecast'!$A:$A,'Next 3-Months'!A52,'TY Actual-Forecast'!$R:$R),IF($C$4="MARCH 2016",SUMIF('TY Actual-Forecast'!$A:$A,'Next 3-Months'!A52,'TY Actual-Forecast'!$S:$S),0))))))))))))))</f>
        <v>856080.12250000006</v>
      </c>
      <c r="D52" s="31">
        <f>IF($C$4="FEBRUARY 2015",SUMIF('TY Budget'!$A:$A,'Next 3-Months'!$A52,'TY Budget'!$D:$D),IF($C$4="MARCH 2015",SUMIF('TY Budget'!$A:$A,'Next 3-Months'!$A52,'TY Budget'!$E:$E),IF($C$4="APRIL 2015",SUMIF('TY Budget'!$A:$A,'Next 3-Months'!$A52,'TY Budget'!$F:$F),IF($C$4="MAY 2015",SUMIF('TY Budget'!$A:$A,'Next 3-Months'!$A52,'TY Budget'!$G:$G),IF($C$4="JUNE 2015",SUMIF('TY Budget'!$A:$A,'Next 3-Months'!$A52,'TY Budget'!$H:$H),IF($C$4="JULY 2015",SUMIF('TY Budget'!$A:$A,'Next 3-Months'!$A52,'TY Budget'!$I:$I),IF($C$4="AUGUST 2015",SUMIF('TY Budget'!$A:$A,'Next 3-Months'!$A52,'TY Budget'!$J:$J),IF($C$4="SEPTEMBER 2015",SUMIF('TY Budget'!$A:$A,'Next 3-Months'!$A52,'TY Budget'!$K:$K),IF($C$4="OCTOBER 2015",SUMIF('TY Budget'!$A:$A,'Next 3-Months'!$A52,'TY Budget'!$L:$L),IF($C$4="NOVEMBER 2015",SUMIF('TY Budget'!$A:$A,'Next 3-Months'!$A52,'TY Budget'!$M:$M),IF($C$4="DECEMBER 2015",SUMIF('TY Budget'!$A:$A,'Next 3-Months'!$A52,'TY Budget'!$N:$N),IF($C$4="JANUARY 2016",SUMIF('TY Budget'!$A:$A,'Next 3-Months'!$A52,'TY Budget'!$Q:$Q),IF($C$4="FEBRUARY 2016",SUMIF('TY Budget'!$A:$A,'Next 3-Months'!$A52,'TY Budget'!$R:$R),IF($C$4="MARCH 2016",SUMIF('TY Budget'!$A:$A,'Next 3-Months'!$A52,'TY Budget'!$S:$S),0))))))))))))))</f>
        <v>856000</v>
      </c>
      <c r="E52" s="31">
        <f>IF($C$4="FEBRUARY 2015",SUMIF('TY Budget'!$A:$A,'Next 3-Months'!$A52,'LY Actual'!$D:$D),IF($C$4="MARCH 2015",SUMIF('TY Budget'!$A:$A,'Next 3-Months'!$A52,'LY Actual'!$E:$E),IF($C$4="APRIL 2015",SUMIF('TY Budget'!$A:$A,'Next 3-Months'!$A52,'LY Actual'!$F:$F),IF($C$4="MAY 2015",SUMIF('TY Budget'!$A:$A,'Next 3-Months'!$A52,'LY Actual'!$G:$G),IF($C$4="JUNE 2015",SUMIF('TY Budget'!$A:$A,'Next 3-Months'!$A52,'LY Actual'!$H:$H),IF($C$4="JULY 2015",SUMIF('TY Budget'!$A:$A,'Next 3-Months'!$A52,'LY Actual'!$I:$I),IF($C$4="AUGUST 2015",SUMIF('TY Budget'!$A:$A,'Next 3-Months'!$A52,'LY Actual'!$J:$J),IF($C$4="SEPTEMBER 2015",SUMIF('TY Budget'!$A:$A,'Next 3-Months'!$A52,'LY Actual'!$K:$K),IF($C$4="OCTOBER 2015",SUMIF('TY Budget'!$A:$A,'Next 3-Months'!$A52,'LY Actual'!$L:$L),IF($C$4="NOVEMBER 2015",SUMIF('TY Budget'!$A:$A,'Next 3-Months'!$A52,'LY Actual'!$M:$M),IF($C$4="DECEMBER 2015",SUMIF('TY Budget'!$A:$A,'Next 3-Months'!$A52,'LY Actual'!$N:$N),IF($C$4="JANUARY 2016",SUMIF('TY Budget'!$A:$A,'Next 3-Months'!$A52,'LY Actual'!$Q:$Q),IF($C$4="FEBRUARY 2016",SUMIF('TY Budget'!$A:$A,'Next 3-Months'!$A52,'LY Actual'!$R:$R),IF($C$4="MARCH 2016",SUMIF('TY Budget'!$A:$A,'Next 3-Months'!$A52,'LY Actual'!$S:$S),0))))))))))))))</f>
        <v>1376389.53</v>
      </c>
      <c r="F52" s="27"/>
      <c r="G52" s="31">
        <f>IF($G$4="FEBRUARY 2015",SUMIF('TY Actual-Forecast'!$A:$A,'Next 3-Months'!$A52,'TY Actual-Forecast'!$D:$D),IF($G$4="MARCH 2015",SUMIF('TY Actual-Forecast'!$A:$A,'Next 3-Months'!$A52,'TY Actual-Forecast'!$E:$E),IF($G$4="APRIL 2015",SUMIF('TY Actual-Forecast'!$A:$A,'Next 3-Months'!$A52,'TY Actual-Forecast'!$F:$F),IF($G$4="MAY 2015",SUMIF('TY Actual-Forecast'!$A:$A,'Next 3-Months'!$A52,'TY Actual-Forecast'!$G:$G),IF($G$4="JUNE 2015",SUMIF('TY Actual-Forecast'!$A:$A,'Next 3-Months'!$A52,'TY Actual-Forecast'!$H:$H),IF($G$4="JULY 2015",SUMIF('TY Actual-Forecast'!$A:$A,'Next 3-Months'!$A52,'TY Actual-Forecast'!$I:$I),IF($G$4="AUGUST 2015",SUMIF('TY Actual-Forecast'!$A:$A,'Next 3-Months'!$A52,'TY Actual-Forecast'!$J:$J),IF($G$4="SEPTEMBER 2015",SUMIF('TY Actual-Forecast'!$A:$A,'Next 3-Months'!$A52,'TY Actual-Forecast'!$K:$K),IF($G$4="OCTOBER 2015",SUMIF('TY Actual-Forecast'!$A:$A,'Next 3-Months'!$A52,'TY Actual-Forecast'!$L:$L),IF($G$4="NOVEMBER 2015",SUMIF('TY Actual-Forecast'!$A:$A,'Next 3-Months'!$A52,'TY Actual-Forecast'!$M:$M),IF($G$4="DECEMBER 2015",SUMIF('TY Actual-Forecast'!$A:$A,'Next 3-Months'!$A52,'TY Actual-Forecast'!$N:$N),IF($G$4="JANUARY 2016",SUMIF('TY Actual-Forecast'!$A:$A,'Next 3-Months'!$A52,'TY Actual-Forecast'!$Q:$Q),IF($G$4="FEBRUARY 2016",SUMIF('TY Actual-Forecast'!$A:$A,'Next 3-Months'!$A52,'TY Actual-Forecast'!$R:$R),IF($G$4="MARCH 2016",SUMIF('TY Actual-Forecast'!$A:$A,'Next 3-Months'!$A52,'TY Actual-Forecast'!$S:$S),0))))))))))))))</f>
        <v>856080</v>
      </c>
      <c r="H52" s="31">
        <f>IF($G$4="FEBRUARY 2015",SUMIF('TY Budget'!$A:$A,'Next 3-Months'!$A52,'TY Budget'!$D:$D),IF($G$4="MARCH 2015",SUMIF('TY Budget'!$A:$A,'Next 3-Months'!$A52,'TY Budget'!$E:$E),IF($G$4="APRIL 2015",SUMIF('TY Budget'!$A:$A,'Next 3-Months'!$A52,'TY Budget'!$F:$F),IF($G$4="MAY 2015",SUMIF('TY Budget'!$A:$A,'Next 3-Months'!$A52,'TY Budget'!$G:$G),IF($G$4="JUNE 2015",SUMIF('TY Budget'!$A:$A,'Next 3-Months'!$A52,'TY Budget'!$H:$H),IF($G$4="JULY 2015",SUMIF('TY Budget'!$A:$A,'Next 3-Months'!$A52,'TY Budget'!$I:$I),IF($G$4="AUGUST 2015",SUMIF('TY Budget'!$A:$A,'Next 3-Months'!$A52,'TY Budget'!$J:$J),IF($G$4="SEPTEMBER 2015",SUMIF('TY Budget'!$A:$A,'Next 3-Months'!$A52,'TY Budget'!$K:$K),IF($G$4="OCTOBER 2015",SUMIF('TY Budget'!$A:$A,'Next 3-Months'!$A52,'TY Budget'!$L:$L),IF($G$4="NOVEMBER 2015",SUMIF('TY Budget'!$A:$A,'Next 3-Months'!$A52,'TY Budget'!$M:$M),IF($G$4="DECEMBER 2015",SUMIF('TY Budget'!$A:$A,'Next 3-Months'!$A52,'TY Budget'!$N:$N),IF($G$4="JANUARY 2016",SUMIF('TY Budget'!$A:$A,'Next 3-Months'!$A52,'TY Budget'!$Q:$Q),IF($G$4="FEBRUARY 2016",SUMIF('TY Budget'!$A:$A,'Next 3-Months'!$A52,'TY Budget'!$R:$R),IF($G$4="MARCH 2016",SUMIF('TY Budget'!$A:$A,'Next 3-Months'!$A52,'TY Budget'!$S:$S),0))))))))))))))</f>
        <v>856000</v>
      </c>
      <c r="I52" s="31">
        <f>IF($G$4="FEBRUARY 2015",SUMIF('TY Budget'!$A:$A,'Next 3-Months'!$A52,'LY Actual'!$D:$D),IF($G$4="MARCH 2015",SUMIF('TY Budget'!$A:$A,'Next 3-Months'!$A52,'LY Actual'!$E:$E),IF($G$4="APRIL 2015",SUMIF('TY Budget'!$A:$A,'Next 3-Months'!$A52,'LY Actual'!$F:$F),IF($G$4="MAY 2015",SUMIF('TY Budget'!$A:$A,'Next 3-Months'!$A52,'LY Actual'!$G:$G),IF($G$4="JUNE 2015",SUMIF('TY Budget'!$A:$A,'Next 3-Months'!$A52,'LY Actual'!$H:$H),IF($G$4="JULY 2015",SUMIF('TY Budget'!$A:$A,'Next 3-Months'!$A52,'LY Actual'!$I:$I),IF($G$4="AUGUST 2015",SUMIF('TY Budget'!$A:$A,'Next 3-Months'!$A52,'LY Actual'!$J:$J),IF($G$4="SEPTEMBER 2015",SUMIF('TY Budget'!$A:$A,'Next 3-Months'!$A52,'LY Actual'!$K:$K),IF($G$4="OCTOBER 2015",SUMIF('TY Budget'!$A:$A,'Next 3-Months'!$A52,'LY Actual'!$L:$L),IF($G$4="NOVEMBER 2015",SUMIF('TY Budget'!$A:$A,'Next 3-Months'!$A52,'LY Actual'!$M:$M),IF($G$4="DECEMBER 2015",SUMIF('TY Budget'!$A:$A,'Next 3-Months'!$A52,'LY Actual'!$N:$N),IF($G$4="JANUARY 2016",SUMIF('TY Budget'!$A:$A,'Next 3-Months'!$A52,'LY Actual'!$Q:$Q),IF($G$4="FEBRUARY 2016",SUMIF('TY Budget'!$A:$A,'Next 3-Months'!$A52,'LY Actual'!$R:$R),IF($G$4="MARCH 2016",SUMIF('TY Budget'!$A:$A,'Next 3-Months'!$A52,'LY Actual'!$S:$S),0))))))))))))))</f>
        <v>1031860.47</v>
      </c>
      <c r="J52" s="28"/>
      <c r="K52" s="31">
        <f>IF($K$4="FEBRUARY 2015",SUMIF('TY Actual-Forecast'!$A:$A,'Next 3-Months'!$A52,'TY Actual-Forecast'!$D:$D),IF($K$4="MARCH 2015",SUMIF('TY Actual-Forecast'!$A:$A,'Next 3-Months'!$A52,'TY Actual-Forecast'!$E:$E),IF($K$4="APRIL 2015",SUMIF('TY Actual-Forecast'!$A:$A,'Next 3-Months'!$A52,'TY Actual-Forecast'!$F:$F),IF($K$4="MAY 2015",SUMIF('TY Actual-Forecast'!$A:$A,'Next 3-Months'!$A52,'TY Actual-Forecast'!$G:$G),IF($K$4="JUNE 2015",SUMIF('TY Actual-Forecast'!$A:$A,'Next 3-Months'!$A52,'TY Actual-Forecast'!$H:$H),IF($K$4="JULY 2015",SUMIF('TY Actual-Forecast'!$A:$A,'Next 3-Months'!$A52,'TY Actual-Forecast'!$I:$I),IF($K$4="AUGUST 2015",SUMIF('TY Actual-Forecast'!$A:$A,'Next 3-Months'!$A52,'TY Actual-Forecast'!$J:$J),IF($K$4="SEPTEMBER 2015",SUMIF('TY Actual-Forecast'!$A:$A,'Next 3-Months'!$A52,'TY Actual-Forecast'!$K:$K),IF($K$4="OCTOBER 2015",SUMIF('TY Actual-Forecast'!$A:$A,'Next 3-Months'!$A52,'TY Actual-Forecast'!$L:$L),IF($K$4="NOVEMBER 2015",SUMIF('TY Actual-Forecast'!$A:$A,'Next 3-Months'!$A52,'TY Actual-Forecast'!$M:$M),IF($K$4="DECEMBER 2015",SUMIF('TY Actual-Forecast'!$A:$A,'Next 3-Months'!$A52,'TY Actual-Forecast'!$N:$N),IF($K$4="JANUARY 2016",SUMIF('TY Actual-Forecast'!$A:$A,'Next 3-Months'!$A52,'TY Actual-Forecast'!$Q:$Q),IF($K$4="FEBRUARY 2016",SUMIF('TY Actual-Forecast'!$A:$A,'Next 3-Months'!$A52,'TY Actual-Forecast'!$R:$R),IF($K$4="MARCH 2016",SUMIF('TY Actual-Forecast'!$A:$A,'Next 3-Months'!$A52,'TY Actual-Forecast'!$S:$S),0))))))))))))))</f>
        <v>856000</v>
      </c>
      <c r="L52" s="31">
        <f>IF($K$4="FEBRUARY 2015",SUMIF('TY Budget'!$A:$A,'Next 3-Months'!$A52,'TY Budget'!$D:$D),IF($K$4="MARCH 2015",SUMIF('TY Budget'!$A:$A,'Next 3-Months'!$A52,'TY Budget'!$E:$E),IF($K$4="APRIL 2015",SUMIF('TY Budget'!$A:$A,'Next 3-Months'!$A52,'TY Budget'!$F:$F),IF($K$4="MAY 2015",SUMIF('TY Budget'!$A:$A,'Next 3-Months'!$A52,'TY Budget'!$G:$G),IF($K$4="JUNE 2015",SUMIF('TY Budget'!$A:$A,'Next 3-Months'!$A52,'TY Budget'!$H:$H),IF($K$4="JULY 2015",SUMIF('TY Budget'!$A:$A,'Next 3-Months'!$A52,'TY Budget'!$I:$I),IF($K$4="AUGUST 2015",SUMIF('TY Budget'!$A:$A,'Next 3-Months'!$A52,'TY Budget'!$J:$J),IF($K$4="SEPTEMBER 2015",SUMIF('TY Budget'!$A:$A,'Next 3-Months'!$A52,'TY Budget'!$K:$K),IF($K$4="OCTOBER 2015",SUMIF('TY Budget'!$A:$A,'Next 3-Months'!$A52,'TY Budget'!$L:$L),IF($K$4="NOVEMBER 2015",SUMIF('TY Budget'!$A:$A,'Next 3-Months'!$A52,'TY Budget'!$M:$M),IF($K$4="DECEMBER 2015",SUMIF('TY Budget'!$A:$A,'Next 3-Months'!$A52,'TY Budget'!$N:$N),IF($K$4="JANUARY 2016",SUMIF('TY Budget'!$A:$A,'Next 3-Months'!$A52,'TY Budget'!$Q:$Q),IF($K$4="FEBRUARY 2016",SUMIF('TY Budget'!$A:$A,'Next 3-Months'!$A52,'TY Budget'!$R:$R),IF($K$4="MARCH 2016",SUMIF('TY Budget'!$A:$A,'Next 3-Months'!$A52,'TY Budget'!$S:$S),0))))))))))))))</f>
        <v>856000</v>
      </c>
      <c r="M52" s="31">
        <f>IF($K$4="FEBRUARY 2015",SUMIF('TY Budget'!$A:$A,'Next 3-Months'!$A52,'LY Actual'!$D:$D),IF($K$4="MARCH 2015",SUMIF('TY Budget'!$A:$A,'Next 3-Months'!$A52,'LY Actual'!$E:$E),IF($K$4="APRIL 2015",SUMIF('TY Budget'!$A:$A,'Next 3-Months'!$A52,'LY Actual'!$F:$F),IF($K$4="MAY 2015",SUMIF('TY Budget'!$A:$A,'Next 3-Months'!$A52,'LY Actual'!$G:$G),IF($K$4="JUNE 2015",SUMIF('TY Budget'!$A:$A,'Next 3-Months'!$A52,'LY Actual'!$H:$H),IF($K$4="JULY 2015",SUMIF('TY Budget'!$A:$A,'Next 3-Months'!$A52,'LY Actual'!$I:$I),IF($K$4="AUGUST 2015",SUMIF('TY Budget'!$A:$A,'Next 3-Months'!$A52,'LY Actual'!$J:$J),IF($K$4="SEPTEMBER 2015",SUMIF('TY Budget'!$A:$A,'Next 3-Months'!$A52,'LY Actual'!$K:$K),IF($K$4="OCTOBER 2015",SUMIF('TY Budget'!$A:$A,'Next 3-Months'!$A52,'LY Actual'!$L:$L),IF($K$4="NOVEMBER 2015",SUMIF('TY Budget'!$A:$A,'Next 3-Months'!$A52,'LY Actual'!$M:$M),IF($K$4="DECEMBER 2015",SUMIF('TY Budget'!$A:$A,'Next 3-Months'!$A52,'LY Actual'!$N:$N),IF($K$4="JANUARY 2016",SUMIF('TY Budget'!$A:$A,'Next 3-Months'!$A52,'LY Actual'!$Q:$Q),IF($K$4="FEBRUARY 2016",SUMIF('TY Budget'!$A:$A,'Next 3-Months'!$A52,'LY Actual'!$R:$R),IF($K$4="MARCH 2016",SUMIF('TY Budget'!$A:$A,'Next 3-Months'!$A52,'LY Actual'!$S:$S),0))))))))))))))</f>
        <v>713492.6399999999</v>
      </c>
      <c r="O52" s="31">
        <f t="shared" si="19"/>
        <v>-160.12250000005588</v>
      </c>
      <c r="P52" s="31">
        <f t="shared" si="20"/>
        <v>553582.51749999961</v>
      </c>
    </row>
    <row r="53" spans="1:16" ht="15">
      <c r="A53" s="39" t="s">
        <v>194</v>
      </c>
      <c r="B53" s="36"/>
      <c r="C53" s="31">
        <f>IF($C$4="FEBRUARY 2015",SUMIF('TY Actual-Forecast'!$A:$A,'Next 3-Months'!A53,'TY Actual-Forecast'!$D:$D),IF($C$4="MARCH 2015",SUMIF('TY Actual-Forecast'!$A:$A,'Next 3-Months'!A53,'TY Actual-Forecast'!$E:$E),IF($C$4="APRIL 2015",SUMIF('TY Actual-Forecast'!$A:$A,'Next 3-Months'!A53,'TY Actual-Forecast'!$F:$F),IF($C$4="MAY 2015",SUMIF('TY Actual-Forecast'!$A:$A,'Next 3-Months'!A53,'TY Actual-Forecast'!$G:$G),IF($C$4="JUNE 2015",SUMIF('TY Actual-Forecast'!$A:$A,'Next 3-Months'!A53,'TY Actual-Forecast'!$H:$H),IF($C$4="JULY 2015",SUMIF('TY Actual-Forecast'!$A:$A,'Next 3-Months'!A53,'TY Actual-Forecast'!$I:$I),IF($C$4="AUGUST 2015",SUMIF('TY Actual-Forecast'!$A:$A,'Next 3-Months'!A53,'TY Actual-Forecast'!$J:$J),IF($C$4="SEPTEMBER 2015",SUMIF('TY Actual-Forecast'!$A:$A,'Next 3-Months'!A53,'TY Actual-Forecast'!$K:$K),IF($C$4="OCTOBER 2015",SUMIF('TY Actual-Forecast'!$A:$A,'Next 3-Months'!A53,'TY Actual-Forecast'!$L:$L),IF($C$4="NOVEMBER 2015",SUMIF('TY Actual-Forecast'!$A:$A,'Next 3-Months'!A53,'TY Actual-Forecast'!$M:$M),IF($C$4="DECEMBER 2015",SUMIF('TY Actual-Forecast'!$A:$A,'Next 3-Months'!A53,'TY Actual-Forecast'!$N:$N),IF($C$4="JANUARY 2016",SUMIF('TY Actual-Forecast'!$A:$A,'Next 3-Months'!A53,'TY Actual-Forecast'!$Q:$Q),IF($C$4="FEBRUARY 2016",SUMIF('TY Actual-Forecast'!$A:$A,'Next 3-Months'!A53,'TY Actual-Forecast'!$R:$R),IF($C$4="MARCH 2016",SUMIF('TY Actual-Forecast'!$A:$A,'Next 3-Months'!A53,'TY Actual-Forecast'!$S:$S),0))))))))))))))</f>
        <v>784531.2583333333</v>
      </c>
      <c r="D53" s="31">
        <f>IF($C$4="FEBRUARY 2015",SUMIF('TY Budget'!$A:$A,'Next 3-Months'!$A53,'TY Budget'!$D:$D),IF($C$4="MARCH 2015",SUMIF('TY Budget'!$A:$A,'Next 3-Months'!$A53,'TY Budget'!$E:$E),IF($C$4="APRIL 2015",SUMIF('TY Budget'!$A:$A,'Next 3-Months'!$A53,'TY Budget'!$F:$F),IF($C$4="MAY 2015",SUMIF('TY Budget'!$A:$A,'Next 3-Months'!$A53,'TY Budget'!$G:$G),IF($C$4="JUNE 2015",SUMIF('TY Budget'!$A:$A,'Next 3-Months'!$A53,'TY Budget'!$H:$H),IF($C$4="JULY 2015",SUMIF('TY Budget'!$A:$A,'Next 3-Months'!$A53,'TY Budget'!$I:$I),IF($C$4="AUGUST 2015",SUMIF('TY Budget'!$A:$A,'Next 3-Months'!$A53,'TY Budget'!$J:$J),IF($C$4="SEPTEMBER 2015",SUMIF('TY Budget'!$A:$A,'Next 3-Months'!$A53,'TY Budget'!$K:$K),IF($C$4="OCTOBER 2015",SUMIF('TY Budget'!$A:$A,'Next 3-Months'!$A53,'TY Budget'!$L:$L),IF($C$4="NOVEMBER 2015",SUMIF('TY Budget'!$A:$A,'Next 3-Months'!$A53,'TY Budget'!$M:$M),IF($C$4="DECEMBER 2015",SUMIF('TY Budget'!$A:$A,'Next 3-Months'!$A53,'TY Budget'!$N:$N),IF($C$4="JANUARY 2016",SUMIF('TY Budget'!$A:$A,'Next 3-Months'!$A53,'TY Budget'!$Q:$Q),IF($C$4="FEBRUARY 2016",SUMIF('TY Budget'!$A:$A,'Next 3-Months'!$A53,'TY Budget'!$R:$R),IF($C$4="MARCH 2016",SUMIF('TY Budget'!$A:$A,'Next 3-Months'!$A53,'TY Budget'!$S:$S),0))))))))))))))</f>
        <v>785000</v>
      </c>
      <c r="E53" s="31">
        <f>IF($C$4="FEBRUARY 2015",SUMIF('TY Budget'!$A:$A,'Next 3-Months'!$A53,'LY Actual'!$D:$D),IF($C$4="MARCH 2015",SUMIF('TY Budget'!$A:$A,'Next 3-Months'!$A53,'LY Actual'!$E:$E),IF($C$4="APRIL 2015",SUMIF('TY Budget'!$A:$A,'Next 3-Months'!$A53,'LY Actual'!$F:$F),IF($C$4="MAY 2015",SUMIF('TY Budget'!$A:$A,'Next 3-Months'!$A53,'LY Actual'!$G:$G),IF($C$4="JUNE 2015",SUMIF('TY Budget'!$A:$A,'Next 3-Months'!$A53,'LY Actual'!$H:$H),IF($C$4="JULY 2015",SUMIF('TY Budget'!$A:$A,'Next 3-Months'!$A53,'LY Actual'!$I:$I),IF($C$4="AUGUST 2015",SUMIF('TY Budget'!$A:$A,'Next 3-Months'!$A53,'LY Actual'!$J:$J),IF($C$4="SEPTEMBER 2015",SUMIF('TY Budget'!$A:$A,'Next 3-Months'!$A53,'LY Actual'!$K:$K),IF($C$4="OCTOBER 2015",SUMIF('TY Budget'!$A:$A,'Next 3-Months'!$A53,'LY Actual'!$L:$L),IF($C$4="NOVEMBER 2015",SUMIF('TY Budget'!$A:$A,'Next 3-Months'!$A53,'LY Actual'!$M:$M),IF($C$4="DECEMBER 2015",SUMIF('TY Budget'!$A:$A,'Next 3-Months'!$A53,'LY Actual'!$N:$N),IF($C$4="JANUARY 2016",SUMIF('TY Budget'!$A:$A,'Next 3-Months'!$A53,'LY Actual'!$Q:$Q),IF($C$4="FEBRUARY 2016",SUMIF('TY Budget'!$A:$A,'Next 3-Months'!$A53,'LY Actual'!$R:$R),IF($C$4="MARCH 2016",SUMIF('TY Budget'!$A:$A,'Next 3-Months'!$A53,'LY Actual'!$S:$S),0))))))))))))))</f>
        <v>0</v>
      </c>
      <c r="F53" s="27"/>
      <c r="G53" s="31">
        <f>IF($G$4="FEBRUARY 2015",SUMIF('TY Actual-Forecast'!$A:$A,'Next 3-Months'!$A53,'TY Actual-Forecast'!$D:$D),IF($G$4="MARCH 2015",SUMIF('TY Actual-Forecast'!$A:$A,'Next 3-Months'!$A53,'TY Actual-Forecast'!$E:$E),IF($G$4="APRIL 2015",SUMIF('TY Actual-Forecast'!$A:$A,'Next 3-Months'!$A53,'TY Actual-Forecast'!$F:$F),IF($G$4="MAY 2015",SUMIF('TY Actual-Forecast'!$A:$A,'Next 3-Months'!$A53,'TY Actual-Forecast'!$G:$G),IF($G$4="JUNE 2015",SUMIF('TY Actual-Forecast'!$A:$A,'Next 3-Months'!$A53,'TY Actual-Forecast'!$H:$H),IF($G$4="JULY 2015",SUMIF('TY Actual-Forecast'!$A:$A,'Next 3-Months'!$A53,'TY Actual-Forecast'!$I:$I),IF($G$4="AUGUST 2015",SUMIF('TY Actual-Forecast'!$A:$A,'Next 3-Months'!$A53,'TY Actual-Forecast'!$J:$J),IF($G$4="SEPTEMBER 2015",SUMIF('TY Actual-Forecast'!$A:$A,'Next 3-Months'!$A53,'TY Actual-Forecast'!$K:$K),IF($G$4="OCTOBER 2015",SUMIF('TY Actual-Forecast'!$A:$A,'Next 3-Months'!$A53,'TY Actual-Forecast'!$L:$L),IF($G$4="NOVEMBER 2015",SUMIF('TY Actual-Forecast'!$A:$A,'Next 3-Months'!$A53,'TY Actual-Forecast'!$M:$M),IF($G$4="DECEMBER 2015",SUMIF('TY Actual-Forecast'!$A:$A,'Next 3-Months'!$A53,'TY Actual-Forecast'!$N:$N),IF($G$4="JANUARY 2016",SUMIF('TY Actual-Forecast'!$A:$A,'Next 3-Months'!$A53,'TY Actual-Forecast'!$Q:$Q),IF($G$4="FEBRUARY 2016",SUMIF('TY Actual-Forecast'!$A:$A,'Next 3-Months'!$A53,'TY Actual-Forecast'!$R:$R),IF($G$4="MARCH 2016",SUMIF('TY Actual-Forecast'!$A:$A,'Next 3-Months'!$A53,'TY Actual-Forecast'!$S:$S),0))))))))))))))</f>
        <v>784531</v>
      </c>
      <c r="H53" s="31">
        <f>IF($G$4="FEBRUARY 2015",SUMIF('TY Budget'!$A:$A,'Next 3-Months'!$A53,'TY Budget'!$D:$D),IF($G$4="MARCH 2015",SUMIF('TY Budget'!$A:$A,'Next 3-Months'!$A53,'TY Budget'!$E:$E),IF($G$4="APRIL 2015",SUMIF('TY Budget'!$A:$A,'Next 3-Months'!$A53,'TY Budget'!$F:$F),IF($G$4="MAY 2015",SUMIF('TY Budget'!$A:$A,'Next 3-Months'!$A53,'TY Budget'!$G:$G),IF($G$4="JUNE 2015",SUMIF('TY Budget'!$A:$A,'Next 3-Months'!$A53,'TY Budget'!$H:$H),IF($G$4="JULY 2015",SUMIF('TY Budget'!$A:$A,'Next 3-Months'!$A53,'TY Budget'!$I:$I),IF($G$4="AUGUST 2015",SUMIF('TY Budget'!$A:$A,'Next 3-Months'!$A53,'TY Budget'!$J:$J),IF($G$4="SEPTEMBER 2015",SUMIF('TY Budget'!$A:$A,'Next 3-Months'!$A53,'TY Budget'!$K:$K),IF($G$4="OCTOBER 2015",SUMIF('TY Budget'!$A:$A,'Next 3-Months'!$A53,'TY Budget'!$L:$L),IF($G$4="NOVEMBER 2015",SUMIF('TY Budget'!$A:$A,'Next 3-Months'!$A53,'TY Budget'!$M:$M),IF($G$4="DECEMBER 2015",SUMIF('TY Budget'!$A:$A,'Next 3-Months'!$A53,'TY Budget'!$N:$N),IF($G$4="JANUARY 2016",SUMIF('TY Budget'!$A:$A,'Next 3-Months'!$A53,'TY Budget'!$Q:$Q),IF($G$4="FEBRUARY 2016",SUMIF('TY Budget'!$A:$A,'Next 3-Months'!$A53,'TY Budget'!$R:$R),IF($G$4="MARCH 2016",SUMIF('TY Budget'!$A:$A,'Next 3-Months'!$A53,'TY Budget'!$S:$S),0))))))))))))))</f>
        <v>785000</v>
      </c>
      <c r="I53" s="31">
        <f>IF($G$4="FEBRUARY 2015",SUMIF('TY Budget'!$A:$A,'Next 3-Months'!$A53,'LY Actual'!$D:$D),IF($G$4="MARCH 2015",SUMIF('TY Budget'!$A:$A,'Next 3-Months'!$A53,'LY Actual'!$E:$E),IF($G$4="APRIL 2015",SUMIF('TY Budget'!$A:$A,'Next 3-Months'!$A53,'LY Actual'!$F:$F),IF($G$4="MAY 2015",SUMIF('TY Budget'!$A:$A,'Next 3-Months'!$A53,'LY Actual'!$G:$G),IF($G$4="JUNE 2015",SUMIF('TY Budget'!$A:$A,'Next 3-Months'!$A53,'LY Actual'!$H:$H),IF($G$4="JULY 2015",SUMIF('TY Budget'!$A:$A,'Next 3-Months'!$A53,'LY Actual'!$I:$I),IF($G$4="AUGUST 2015",SUMIF('TY Budget'!$A:$A,'Next 3-Months'!$A53,'LY Actual'!$J:$J),IF($G$4="SEPTEMBER 2015",SUMIF('TY Budget'!$A:$A,'Next 3-Months'!$A53,'LY Actual'!$K:$K),IF($G$4="OCTOBER 2015",SUMIF('TY Budget'!$A:$A,'Next 3-Months'!$A53,'LY Actual'!$L:$L),IF($G$4="NOVEMBER 2015",SUMIF('TY Budget'!$A:$A,'Next 3-Months'!$A53,'LY Actual'!$M:$M),IF($G$4="DECEMBER 2015",SUMIF('TY Budget'!$A:$A,'Next 3-Months'!$A53,'LY Actual'!$N:$N),IF($G$4="JANUARY 2016",SUMIF('TY Budget'!$A:$A,'Next 3-Months'!$A53,'LY Actual'!$Q:$Q),IF($G$4="FEBRUARY 2016",SUMIF('TY Budget'!$A:$A,'Next 3-Months'!$A53,'LY Actual'!$R:$R),IF($G$4="MARCH 2016",SUMIF('TY Budget'!$A:$A,'Next 3-Months'!$A53,'LY Actual'!$S:$S),0))))))))))))))</f>
        <v>0</v>
      </c>
      <c r="J53" s="28"/>
      <c r="K53" s="31">
        <f>IF($K$4="FEBRUARY 2015",SUMIF('TY Actual-Forecast'!$A:$A,'Next 3-Months'!$A53,'TY Actual-Forecast'!$D:$D),IF($K$4="MARCH 2015",SUMIF('TY Actual-Forecast'!$A:$A,'Next 3-Months'!$A53,'TY Actual-Forecast'!$E:$E),IF($K$4="APRIL 2015",SUMIF('TY Actual-Forecast'!$A:$A,'Next 3-Months'!$A53,'TY Actual-Forecast'!$F:$F),IF($K$4="MAY 2015",SUMIF('TY Actual-Forecast'!$A:$A,'Next 3-Months'!$A53,'TY Actual-Forecast'!$G:$G),IF($K$4="JUNE 2015",SUMIF('TY Actual-Forecast'!$A:$A,'Next 3-Months'!$A53,'TY Actual-Forecast'!$H:$H),IF($K$4="JULY 2015",SUMIF('TY Actual-Forecast'!$A:$A,'Next 3-Months'!$A53,'TY Actual-Forecast'!$I:$I),IF($K$4="AUGUST 2015",SUMIF('TY Actual-Forecast'!$A:$A,'Next 3-Months'!$A53,'TY Actual-Forecast'!$J:$J),IF($K$4="SEPTEMBER 2015",SUMIF('TY Actual-Forecast'!$A:$A,'Next 3-Months'!$A53,'TY Actual-Forecast'!$K:$K),IF($K$4="OCTOBER 2015",SUMIF('TY Actual-Forecast'!$A:$A,'Next 3-Months'!$A53,'TY Actual-Forecast'!$L:$L),IF($K$4="NOVEMBER 2015",SUMIF('TY Actual-Forecast'!$A:$A,'Next 3-Months'!$A53,'TY Actual-Forecast'!$M:$M),IF($K$4="DECEMBER 2015",SUMIF('TY Actual-Forecast'!$A:$A,'Next 3-Months'!$A53,'TY Actual-Forecast'!$N:$N),IF($K$4="JANUARY 2016",SUMIF('TY Actual-Forecast'!$A:$A,'Next 3-Months'!$A53,'TY Actual-Forecast'!$Q:$Q),IF($K$4="FEBRUARY 2016",SUMIF('TY Actual-Forecast'!$A:$A,'Next 3-Months'!$A53,'TY Actual-Forecast'!$R:$R),IF($K$4="MARCH 2016",SUMIF('TY Actual-Forecast'!$A:$A,'Next 3-Months'!$A53,'TY Actual-Forecast'!$S:$S),0))))))))))))))</f>
        <v>785000</v>
      </c>
      <c r="L53" s="31">
        <f>IF($K$4="FEBRUARY 2015",SUMIF('TY Budget'!$A:$A,'Next 3-Months'!$A53,'TY Budget'!$D:$D),IF($K$4="MARCH 2015",SUMIF('TY Budget'!$A:$A,'Next 3-Months'!$A53,'TY Budget'!$E:$E),IF($K$4="APRIL 2015",SUMIF('TY Budget'!$A:$A,'Next 3-Months'!$A53,'TY Budget'!$F:$F),IF($K$4="MAY 2015",SUMIF('TY Budget'!$A:$A,'Next 3-Months'!$A53,'TY Budget'!$G:$G),IF($K$4="JUNE 2015",SUMIF('TY Budget'!$A:$A,'Next 3-Months'!$A53,'TY Budget'!$H:$H),IF($K$4="JULY 2015",SUMIF('TY Budget'!$A:$A,'Next 3-Months'!$A53,'TY Budget'!$I:$I),IF($K$4="AUGUST 2015",SUMIF('TY Budget'!$A:$A,'Next 3-Months'!$A53,'TY Budget'!$J:$J),IF($K$4="SEPTEMBER 2015",SUMIF('TY Budget'!$A:$A,'Next 3-Months'!$A53,'TY Budget'!$K:$K),IF($K$4="OCTOBER 2015",SUMIF('TY Budget'!$A:$A,'Next 3-Months'!$A53,'TY Budget'!$L:$L),IF($K$4="NOVEMBER 2015",SUMIF('TY Budget'!$A:$A,'Next 3-Months'!$A53,'TY Budget'!$M:$M),IF($K$4="DECEMBER 2015",SUMIF('TY Budget'!$A:$A,'Next 3-Months'!$A53,'TY Budget'!$N:$N),IF($K$4="JANUARY 2016",SUMIF('TY Budget'!$A:$A,'Next 3-Months'!$A53,'TY Budget'!$Q:$Q),IF($K$4="FEBRUARY 2016",SUMIF('TY Budget'!$A:$A,'Next 3-Months'!$A53,'TY Budget'!$R:$R),IF($K$4="MARCH 2016",SUMIF('TY Budget'!$A:$A,'Next 3-Months'!$A53,'TY Budget'!$S:$S),0))))))))))))))</f>
        <v>785000</v>
      </c>
      <c r="M53" s="31">
        <f>IF($K$4="FEBRUARY 2015",SUMIF('TY Budget'!$A:$A,'Next 3-Months'!$A53,'LY Actual'!$D:$D),IF($K$4="MARCH 2015",SUMIF('TY Budget'!$A:$A,'Next 3-Months'!$A53,'LY Actual'!$E:$E),IF($K$4="APRIL 2015",SUMIF('TY Budget'!$A:$A,'Next 3-Months'!$A53,'LY Actual'!$F:$F),IF($K$4="MAY 2015",SUMIF('TY Budget'!$A:$A,'Next 3-Months'!$A53,'LY Actual'!$G:$G),IF($K$4="JUNE 2015",SUMIF('TY Budget'!$A:$A,'Next 3-Months'!$A53,'LY Actual'!$H:$H),IF($K$4="JULY 2015",SUMIF('TY Budget'!$A:$A,'Next 3-Months'!$A53,'LY Actual'!$I:$I),IF($K$4="AUGUST 2015",SUMIF('TY Budget'!$A:$A,'Next 3-Months'!$A53,'LY Actual'!$J:$J),IF($K$4="SEPTEMBER 2015",SUMIF('TY Budget'!$A:$A,'Next 3-Months'!$A53,'LY Actual'!$K:$K),IF($K$4="OCTOBER 2015",SUMIF('TY Budget'!$A:$A,'Next 3-Months'!$A53,'LY Actual'!$L:$L),IF($K$4="NOVEMBER 2015",SUMIF('TY Budget'!$A:$A,'Next 3-Months'!$A53,'LY Actual'!$M:$M),IF($K$4="DECEMBER 2015",SUMIF('TY Budget'!$A:$A,'Next 3-Months'!$A53,'LY Actual'!$N:$N),IF($K$4="JANUARY 2016",SUMIF('TY Budget'!$A:$A,'Next 3-Months'!$A53,'LY Actual'!$Q:$Q),IF($K$4="FEBRUARY 2016",SUMIF('TY Budget'!$A:$A,'Next 3-Months'!$A53,'LY Actual'!$R:$R),IF($K$4="MARCH 2016",SUMIF('TY Budget'!$A:$A,'Next 3-Months'!$A53,'LY Actual'!$S:$S),0))))))))))))))</f>
        <v>0</v>
      </c>
      <c r="O53" s="31">
        <f t="shared" si="19"/>
        <v>937.74166666669771</v>
      </c>
      <c r="P53" s="31">
        <f t="shared" si="20"/>
        <v>-2354062.2583333333</v>
      </c>
    </row>
    <row r="54" spans="1:16" ht="15">
      <c r="A54" s="39" t="s">
        <v>36</v>
      </c>
      <c r="B54" s="36"/>
      <c r="C54" s="31">
        <f>IF($C$4="FEBRUARY 2015",SUMIF('TY Actual-Forecast'!$A:$A,'Next 3-Months'!A54,'TY Actual-Forecast'!$D:$D),IF($C$4="MARCH 2015",SUMIF('TY Actual-Forecast'!$A:$A,'Next 3-Months'!A54,'TY Actual-Forecast'!$E:$E),IF($C$4="APRIL 2015",SUMIF('TY Actual-Forecast'!$A:$A,'Next 3-Months'!A54,'TY Actual-Forecast'!$F:$F),IF($C$4="MAY 2015",SUMIF('TY Actual-Forecast'!$A:$A,'Next 3-Months'!A54,'TY Actual-Forecast'!$G:$G),IF($C$4="JUNE 2015",SUMIF('TY Actual-Forecast'!$A:$A,'Next 3-Months'!A54,'TY Actual-Forecast'!$H:$H),IF($C$4="JULY 2015",SUMIF('TY Actual-Forecast'!$A:$A,'Next 3-Months'!A54,'TY Actual-Forecast'!$I:$I),IF($C$4="AUGUST 2015",SUMIF('TY Actual-Forecast'!$A:$A,'Next 3-Months'!A54,'TY Actual-Forecast'!$J:$J),IF($C$4="SEPTEMBER 2015",SUMIF('TY Actual-Forecast'!$A:$A,'Next 3-Months'!A54,'TY Actual-Forecast'!$K:$K),IF($C$4="OCTOBER 2015",SUMIF('TY Actual-Forecast'!$A:$A,'Next 3-Months'!A54,'TY Actual-Forecast'!$L:$L),IF($C$4="NOVEMBER 2015",SUMIF('TY Actual-Forecast'!$A:$A,'Next 3-Months'!A54,'TY Actual-Forecast'!$M:$M),IF($C$4="DECEMBER 2015",SUMIF('TY Actual-Forecast'!$A:$A,'Next 3-Months'!A54,'TY Actual-Forecast'!$N:$N),IF($C$4="JANUARY 2016",SUMIF('TY Actual-Forecast'!$A:$A,'Next 3-Months'!A54,'TY Actual-Forecast'!$Q:$Q),IF($C$4="FEBRUARY 2016",SUMIF('TY Actual-Forecast'!$A:$A,'Next 3-Months'!A54,'TY Actual-Forecast'!$R:$R),IF($C$4="MARCH 2016",SUMIF('TY Actual-Forecast'!$A:$A,'Next 3-Months'!A54,'TY Actual-Forecast'!$S:$S),0))))))))))))))</f>
        <v>0</v>
      </c>
      <c r="D54" s="31">
        <f>IF($C$4="FEBRUARY 2015",SUMIF('TY Budget'!$A:$A,'Next 3-Months'!$A54,'TY Budget'!$D:$D),IF($C$4="MARCH 2015",SUMIF('TY Budget'!$A:$A,'Next 3-Months'!$A54,'TY Budget'!$E:$E),IF($C$4="APRIL 2015",SUMIF('TY Budget'!$A:$A,'Next 3-Months'!$A54,'TY Budget'!$F:$F),IF($C$4="MAY 2015",SUMIF('TY Budget'!$A:$A,'Next 3-Months'!$A54,'TY Budget'!$G:$G),IF($C$4="JUNE 2015",SUMIF('TY Budget'!$A:$A,'Next 3-Months'!$A54,'TY Budget'!$H:$H),IF($C$4="JULY 2015",SUMIF('TY Budget'!$A:$A,'Next 3-Months'!$A54,'TY Budget'!$I:$I),IF($C$4="AUGUST 2015",SUMIF('TY Budget'!$A:$A,'Next 3-Months'!$A54,'TY Budget'!$J:$J),IF($C$4="SEPTEMBER 2015",SUMIF('TY Budget'!$A:$A,'Next 3-Months'!$A54,'TY Budget'!$K:$K),IF($C$4="OCTOBER 2015",SUMIF('TY Budget'!$A:$A,'Next 3-Months'!$A54,'TY Budget'!$L:$L),IF($C$4="NOVEMBER 2015",SUMIF('TY Budget'!$A:$A,'Next 3-Months'!$A54,'TY Budget'!$M:$M),IF($C$4="DECEMBER 2015",SUMIF('TY Budget'!$A:$A,'Next 3-Months'!$A54,'TY Budget'!$N:$N),IF($C$4="JANUARY 2016",SUMIF('TY Budget'!$A:$A,'Next 3-Months'!$A54,'TY Budget'!$Q:$Q),IF($C$4="FEBRUARY 2016",SUMIF('TY Budget'!$A:$A,'Next 3-Months'!$A54,'TY Budget'!$R:$R),IF($C$4="MARCH 2016",SUMIF('TY Budget'!$A:$A,'Next 3-Months'!$A54,'TY Budget'!$S:$S),0))))))))))))))</f>
        <v>0</v>
      </c>
      <c r="E54" s="31">
        <f>IF($C$4="FEBRUARY 2015",SUMIF('TY Budget'!$A:$A,'Next 3-Months'!$A54,'LY Actual'!$D:$D),IF($C$4="MARCH 2015",SUMIF('TY Budget'!$A:$A,'Next 3-Months'!$A54,'LY Actual'!$E:$E),IF($C$4="APRIL 2015",SUMIF('TY Budget'!$A:$A,'Next 3-Months'!$A54,'LY Actual'!$F:$F),IF($C$4="MAY 2015",SUMIF('TY Budget'!$A:$A,'Next 3-Months'!$A54,'LY Actual'!$G:$G),IF($C$4="JUNE 2015",SUMIF('TY Budget'!$A:$A,'Next 3-Months'!$A54,'LY Actual'!$H:$H),IF($C$4="JULY 2015",SUMIF('TY Budget'!$A:$A,'Next 3-Months'!$A54,'LY Actual'!$I:$I),IF($C$4="AUGUST 2015",SUMIF('TY Budget'!$A:$A,'Next 3-Months'!$A54,'LY Actual'!$J:$J),IF($C$4="SEPTEMBER 2015",SUMIF('TY Budget'!$A:$A,'Next 3-Months'!$A54,'LY Actual'!$K:$K),IF($C$4="OCTOBER 2015",SUMIF('TY Budget'!$A:$A,'Next 3-Months'!$A54,'LY Actual'!$L:$L),IF($C$4="NOVEMBER 2015",SUMIF('TY Budget'!$A:$A,'Next 3-Months'!$A54,'LY Actual'!$M:$M),IF($C$4="DECEMBER 2015",SUMIF('TY Budget'!$A:$A,'Next 3-Months'!$A54,'LY Actual'!$N:$N),IF($C$4="JANUARY 2016",SUMIF('TY Budget'!$A:$A,'Next 3-Months'!$A54,'LY Actual'!$Q:$Q),IF($C$4="FEBRUARY 2016",SUMIF('TY Budget'!$A:$A,'Next 3-Months'!$A54,'LY Actual'!$R:$R),IF($C$4="MARCH 2016",SUMIF('TY Budget'!$A:$A,'Next 3-Months'!$A54,'LY Actual'!$S:$S),0))))))))))))))</f>
        <v>0</v>
      </c>
      <c r="F54" s="27"/>
      <c r="G54" s="31">
        <f>IF($G$4="FEBRUARY 2015",SUMIF('TY Actual-Forecast'!$A:$A,'Next 3-Months'!$A54,'TY Actual-Forecast'!$D:$D),IF($G$4="MARCH 2015",SUMIF('TY Actual-Forecast'!$A:$A,'Next 3-Months'!$A54,'TY Actual-Forecast'!$E:$E),IF($G$4="APRIL 2015",SUMIF('TY Actual-Forecast'!$A:$A,'Next 3-Months'!$A54,'TY Actual-Forecast'!$F:$F),IF($G$4="MAY 2015",SUMIF('TY Actual-Forecast'!$A:$A,'Next 3-Months'!$A54,'TY Actual-Forecast'!$G:$G),IF($G$4="JUNE 2015",SUMIF('TY Actual-Forecast'!$A:$A,'Next 3-Months'!$A54,'TY Actual-Forecast'!$H:$H),IF($G$4="JULY 2015",SUMIF('TY Actual-Forecast'!$A:$A,'Next 3-Months'!$A54,'TY Actual-Forecast'!$I:$I),IF($G$4="AUGUST 2015",SUMIF('TY Actual-Forecast'!$A:$A,'Next 3-Months'!$A54,'TY Actual-Forecast'!$J:$J),IF($G$4="SEPTEMBER 2015",SUMIF('TY Actual-Forecast'!$A:$A,'Next 3-Months'!$A54,'TY Actual-Forecast'!$K:$K),IF($G$4="OCTOBER 2015",SUMIF('TY Actual-Forecast'!$A:$A,'Next 3-Months'!$A54,'TY Actual-Forecast'!$L:$L),IF($G$4="NOVEMBER 2015",SUMIF('TY Actual-Forecast'!$A:$A,'Next 3-Months'!$A54,'TY Actual-Forecast'!$M:$M),IF($G$4="DECEMBER 2015",SUMIF('TY Actual-Forecast'!$A:$A,'Next 3-Months'!$A54,'TY Actual-Forecast'!$N:$N),IF($G$4="JANUARY 2016",SUMIF('TY Actual-Forecast'!$A:$A,'Next 3-Months'!$A54,'TY Actual-Forecast'!$Q:$Q),IF($G$4="FEBRUARY 2016",SUMIF('TY Actual-Forecast'!$A:$A,'Next 3-Months'!$A54,'TY Actual-Forecast'!$R:$R),IF($G$4="MARCH 2016",SUMIF('TY Actual-Forecast'!$A:$A,'Next 3-Months'!$A54,'TY Actual-Forecast'!$S:$S),0))))))))))))))</f>
        <v>0</v>
      </c>
      <c r="H54" s="31">
        <f>IF($G$4="FEBRUARY 2015",SUMIF('TY Budget'!$A:$A,'Next 3-Months'!$A54,'TY Budget'!$D:$D),IF($G$4="MARCH 2015",SUMIF('TY Budget'!$A:$A,'Next 3-Months'!$A54,'TY Budget'!$E:$E),IF($G$4="APRIL 2015",SUMIF('TY Budget'!$A:$A,'Next 3-Months'!$A54,'TY Budget'!$F:$F),IF($G$4="MAY 2015",SUMIF('TY Budget'!$A:$A,'Next 3-Months'!$A54,'TY Budget'!$G:$G),IF($G$4="JUNE 2015",SUMIF('TY Budget'!$A:$A,'Next 3-Months'!$A54,'TY Budget'!$H:$H),IF($G$4="JULY 2015",SUMIF('TY Budget'!$A:$A,'Next 3-Months'!$A54,'TY Budget'!$I:$I),IF($G$4="AUGUST 2015",SUMIF('TY Budget'!$A:$A,'Next 3-Months'!$A54,'TY Budget'!$J:$J),IF($G$4="SEPTEMBER 2015",SUMIF('TY Budget'!$A:$A,'Next 3-Months'!$A54,'TY Budget'!$K:$K),IF($G$4="OCTOBER 2015",SUMIF('TY Budget'!$A:$A,'Next 3-Months'!$A54,'TY Budget'!$L:$L),IF($G$4="NOVEMBER 2015",SUMIF('TY Budget'!$A:$A,'Next 3-Months'!$A54,'TY Budget'!$M:$M),IF($G$4="DECEMBER 2015",SUMIF('TY Budget'!$A:$A,'Next 3-Months'!$A54,'TY Budget'!$N:$N),IF($G$4="JANUARY 2016",SUMIF('TY Budget'!$A:$A,'Next 3-Months'!$A54,'TY Budget'!$Q:$Q),IF($G$4="FEBRUARY 2016",SUMIF('TY Budget'!$A:$A,'Next 3-Months'!$A54,'TY Budget'!$R:$R),IF($G$4="MARCH 2016",SUMIF('TY Budget'!$A:$A,'Next 3-Months'!$A54,'TY Budget'!$S:$S),0))))))))))))))</f>
        <v>0</v>
      </c>
      <c r="I54" s="31">
        <f>IF($G$4="FEBRUARY 2015",SUMIF('TY Budget'!$A:$A,'Next 3-Months'!$A54,'LY Actual'!$D:$D),IF($G$4="MARCH 2015",SUMIF('TY Budget'!$A:$A,'Next 3-Months'!$A54,'LY Actual'!$E:$E),IF($G$4="APRIL 2015",SUMIF('TY Budget'!$A:$A,'Next 3-Months'!$A54,'LY Actual'!$F:$F),IF($G$4="MAY 2015",SUMIF('TY Budget'!$A:$A,'Next 3-Months'!$A54,'LY Actual'!$G:$G),IF($G$4="JUNE 2015",SUMIF('TY Budget'!$A:$A,'Next 3-Months'!$A54,'LY Actual'!$H:$H),IF($G$4="JULY 2015",SUMIF('TY Budget'!$A:$A,'Next 3-Months'!$A54,'LY Actual'!$I:$I),IF($G$4="AUGUST 2015",SUMIF('TY Budget'!$A:$A,'Next 3-Months'!$A54,'LY Actual'!$J:$J),IF($G$4="SEPTEMBER 2015",SUMIF('TY Budget'!$A:$A,'Next 3-Months'!$A54,'LY Actual'!$K:$K),IF($G$4="OCTOBER 2015",SUMIF('TY Budget'!$A:$A,'Next 3-Months'!$A54,'LY Actual'!$L:$L),IF($G$4="NOVEMBER 2015",SUMIF('TY Budget'!$A:$A,'Next 3-Months'!$A54,'LY Actual'!$M:$M),IF($G$4="DECEMBER 2015",SUMIF('TY Budget'!$A:$A,'Next 3-Months'!$A54,'LY Actual'!$N:$N),IF($G$4="JANUARY 2016",SUMIF('TY Budget'!$A:$A,'Next 3-Months'!$A54,'LY Actual'!$Q:$Q),IF($G$4="FEBRUARY 2016",SUMIF('TY Budget'!$A:$A,'Next 3-Months'!$A54,'LY Actual'!$R:$R),IF($G$4="MARCH 2016",SUMIF('TY Budget'!$A:$A,'Next 3-Months'!$A54,'LY Actual'!$S:$S),0))))))))))))))</f>
        <v>0</v>
      </c>
      <c r="J54" s="28"/>
      <c r="K54" s="31">
        <f>IF($K$4="FEBRUARY 2015",SUMIF('TY Actual-Forecast'!$A:$A,'Next 3-Months'!$A54,'TY Actual-Forecast'!$D:$D),IF($K$4="MARCH 2015",SUMIF('TY Actual-Forecast'!$A:$A,'Next 3-Months'!$A54,'TY Actual-Forecast'!$E:$E),IF($K$4="APRIL 2015",SUMIF('TY Actual-Forecast'!$A:$A,'Next 3-Months'!$A54,'TY Actual-Forecast'!$F:$F),IF($K$4="MAY 2015",SUMIF('TY Actual-Forecast'!$A:$A,'Next 3-Months'!$A54,'TY Actual-Forecast'!$G:$G),IF($K$4="JUNE 2015",SUMIF('TY Actual-Forecast'!$A:$A,'Next 3-Months'!$A54,'TY Actual-Forecast'!$H:$H),IF($K$4="JULY 2015",SUMIF('TY Actual-Forecast'!$A:$A,'Next 3-Months'!$A54,'TY Actual-Forecast'!$I:$I),IF($K$4="AUGUST 2015",SUMIF('TY Actual-Forecast'!$A:$A,'Next 3-Months'!$A54,'TY Actual-Forecast'!$J:$J),IF($K$4="SEPTEMBER 2015",SUMIF('TY Actual-Forecast'!$A:$A,'Next 3-Months'!$A54,'TY Actual-Forecast'!$K:$K),IF($K$4="OCTOBER 2015",SUMIF('TY Actual-Forecast'!$A:$A,'Next 3-Months'!$A54,'TY Actual-Forecast'!$L:$L),IF($K$4="NOVEMBER 2015",SUMIF('TY Actual-Forecast'!$A:$A,'Next 3-Months'!$A54,'TY Actual-Forecast'!$M:$M),IF($K$4="DECEMBER 2015",SUMIF('TY Actual-Forecast'!$A:$A,'Next 3-Months'!$A54,'TY Actual-Forecast'!$N:$N),IF($K$4="JANUARY 2016",SUMIF('TY Actual-Forecast'!$A:$A,'Next 3-Months'!$A54,'TY Actual-Forecast'!$Q:$Q),IF($K$4="FEBRUARY 2016",SUMIF('TY Actual-Forecast'!$A:$A,'Next 3-Months'!$A54,'TY Actual-Forecast'!$R:$R),IF($K$4="MARCH 2016",SUMIF('TY Actual-Forecast'!$A:$A,'Next 3-Months'!$A54,'TY Actual-Forecast'!$S:$S),0))))))))))))))</f>
        <v>0</v>
      </c>
      <c r="L54" s="31">
        <f>IF($K$4="FEBRUARY 2015",SUMIF('TY Budget'!$A:$A,'Next 3-Months'!$A54,'TY Budget'!$D:$D),IF($K$4="MARCH 2015",SUMIF('TY Budget'!$A:$A,'Next 3-Months'!$A54,'TY Budget'!$E:$E),IF($K$4="APRIL 2015",SUMIF('TY Budget'!$A:$A,'Next 3-Months'!$A54,'TY Budget'!$F:$F),IF($K$4="MAY 2015",SUMIF('TY Budget'!$A:$A,'Next 3-Months'!$A54,'TY Budget'!$G:$G),IF($K$4="JUNE 2015",SUMIF('TY Budget'!$A:$A,'Next 3-Months'!$A54,'TY Budget'!$H:$H),IF($K$4="JULY 2015",SUMIF('TY Budget'!$A:$A,'Next 3-Months'!$A54,'TY Budget'!$I:$I),IF($K$4="AUGUST 2015",SUMIF('TY Budget'!$A:$A,'Next 3-Months'!$A54,'TY Budget'!$J:$J),IF($K$4="SEPTEMBER 2015",SUMIF('TY Budget'!$A:$A,'Next 3-Months'!$A54,'TY Budget'!$K:$K),IF($K$4="OCTOBER 2015",SUMIF('TY Budget'!$A:$A,'Next 3-Months'!$A54,'TY Budget'!$L:$L),IF($K$4="NOVEMBER 2015",SUMIF('TY Budget'!$A:$A,'Next 3-Months'!$A54,'TY Budget'!$M:$M),IF($K$4="DECEMBER 2015",SUMIF('TY Budget'!$A:$A,'Next 3-Months'!$A54,'TY Budget'!$N:$N),IF($K$4="JANUARY 2016",SUMIF('TY Budget'!$A:$A,'Next 3-Months'!$A54,'TY Budget'!$Q:$Q),IF($K$4="FEBRUARY 2016",SUMIF('TY Budget'!$A:$A,'Next 3-Months'!$A54,'TY Budget'!$R:$R),IF($K$4="MARCH 2016",SUMIF('TY Budget'!$A:$A,'Next 3-Months'!$A54,'TY Budget'!$S:$S),0))))))))))))))</f>
        <v>0</v>
      </c>
      <c r="M54" s="31">
        <f>IF($K$4="FEBRUARY 2015",SUMIF('TY Budget'!$A:$A,'Next 3-Months'!$A54,'LY Actual'!$D:$D),IF($K$4="MARCH 2015",SUMIF('TY Budget'!$A:$A,'Next 3-Months'!$A54,'LY Actual'!$E:$E),IF($K$4="APRIL 2015",SUMIF('TY Budget'!$A:$A,'Next 3-Months'!$A54,'LY Actual'!$F:$F),IF($K$4="MAY 2015",SUMIF('TY Budget'!$A:$A,'Next 3-Months'!$A54,'LY Actual'!$G:$G),IF($K$4="JUNE 2015",SUMIF('TY Budget'!$A:$A,'Next 3-Months'!$A54,'LY Actual'!$H:$H),IF($K$4="JULY 2015",SUMIF('TY Budget'!$A:$A,'Next 3-Months'!$A54,'LY Actual'!$I:$I),IF($K$4="AUGUST 2015",SUMIF('TY Budget'!$A:$A,'Next 3-Months'!$A54,'LY Actual'!$J:$J),IF($K$4="SEPTEMBER 2015",SUMIF('TY Budget'!$A:$A,'Next 3-Months'!$A54,'LY Actual'!$K:$K),IF($K$4="OCTOBER 2015",SUMIF('TY Budget'!$A:$A,'Next 3-Months'!$A54,'LY Actual'!$L:$L),IF($K$4="NOVEMBER 2015",SUMIF('TY Budget'!$A:$A,'Next 3-Months'!$A54,'LY Actual'!$M:$M),IF($K$4="DECEMBER 2015",SUMIF('TY Budget'!$A:$A,'Next 3-Months'!$A54,'LY Actual'!$N:$N),IF($K$4="JANUARY 2016",SUMIF('TY Budget'!$A:$A,'Next 3-Months'!$A54,'LY Actual'!$Q:$Q),IF($K$4="FEBRUARY 2016",SUMIF('TY Budget'!$A:$A,'Next 3-Months'!$A54,'LY Actual'!$R:$R),IF($K$4="MARCH 2016",SUMIF('TY Budget'!$A:$A,'Next 3-Months'!$A54,'LY Actual'!$S:$S),0))))))))))))))</f>
        <v>0</v>
      </c>
      <c r="O54" s="31">
        <f t="shared" si="19"/>
        <v>0</v>
      </c>
      <c r="P54" s="31">
        <f t="shared" si="20"/>
        <v>0</v>
      </c>
    </row>
    <row r="55" spans="1:16" ht="15.75" customHeight="1">
      <c r="A55" s="39" t="s">
        <v>204</v>
      </c>
      <c r="B55" s="36"/>
      <c r="C55" s="31">
        <f>IF($C$4="FEBRUARY 2015",SUMIF('TY Actual-Forecast'!$A:$A,'Next 3-Months'!A55,'TY Actual-Forecast'!$D:$D),IF($C$4="MARCH 2015",SUMIF('TY Actual-Forecast'!$A:$A,'Next 3-Months'!A55,'TY Actual-Forecast'!$E:$E),IF($C$4="APRIL 2015",SUMIF('TY Actual-Forecast'!$A:$A,'Next 3-Months'!A55,'TY Actual-Forecast'!$F:$F),IF($C$4="MAY 2015",SUMIF('TY Actual-Forecast'!$A:$A,'Next 3-Months'!A55,'TY Actual-Forecast'!$G:$G),IF($C$4="JUNE 2015",SUMIF('TY Actual-Forecast'!$A:$A,'Next 3-Months'!A55,'TY Actual-Forecast'!$H:$H),IF($C$4="JULY 2015",SUMIF('TY Actual-Forecast'!$A:$A,'Next 3-Months'!A55,'TY Actual-Forecast'!$I:$I),IF($C$4="AUGUST 2015",SUMIF('TY Actual-Forecast'!$A:$A,'Next 3-Months'!A55,'TY Actual-Forecast'!$J:$J),IF($C$4="SEPTEMBER 2015",SUMIF('TY Actual-Forecast'!$A:$A,'Next 3-Months'!A55,'TY Actual-Forecast'!$K:$K),IF($C$4="OCTOBER 2015",SUMIF('TY Actual-Forecast'!$A:$A,'Next 3-Months'!A55,'TY Actual-Forecast'!$L:$L),IF($C$4="NOVEMBER 2015",SUMIF('TY Actual-Forecast'!$A:$A,'Next 3-Months'!A55,'TY Actual-Forecast'!$M:$M),IF($C$4="DECEMBER 2015",SUMIF('TY Actual-Forecast'!$A:$A,'Next 3-Months'!A55,'TY Actual-Forecast'!$N:$N),IF($C$4="JANUARY 2016",SUMIF('TY Actual-Forecast'!$A:$A,'Next 3-Months'!A55,'TY Actual-Forecast'!$Q:$Q),IF($C$4="FEBRUARY 2016",SUMIF('TY Actual-Forecast'!$A:$A,'Next 3-Months'!A55,'TY Actual-Forecast'!$R:$R),IF($C$4="MARCH 2016",SUMIF('TY Actual-Forecast'!$A:$A,'Next 3-Months'!A55,'TY Actual-Forecast'!$S:$S),0))))))))))))))</f>
        <v>0</v>
      </c>
      <c r="D55" s="31">
        <f>IF($C$4="FEBRUARY 2015",SUMIF('TY Budget'!$A:$A,'Next 3-Months'!$A55,'TY Budget'!$D:$D),IF($C$4="MARCH 2015",SUMIF('TY Budget'!$A:$A,'Next 3-Months'!$A55,'TY Budget'!$E:$E),IF($C$4="APRIL 2015",SUMIF('TY Budget'!$A:$A,'Next 3-Months'!$A55,'TY Budget'!$F:$F),IF($C$4="MAY 2015",SUMIF('TY Budget'!$A:$A,'Next 3-Months'!$A55,'TY Budget'!$G:$G),IF($C$4="JUNE 2015",SUMIF('TY Budget'!$A:$A,'Next 3-Months'!$A55,'TY Budget'!$H:$H),IF($C$4="JULY 2015",SUMIF('TY Budget'!$A:$A,'Next 3-Months'!$A55,'TY Budget'!$I:$I),IF($C$4="AUGUST 2015",SUMIF('TY Budget'!$A:$A,'Next 3-Months'!$A55,'TY Budget'!$J:$J),IF($C$4="SEPTEMBER 2015",SUMIF('TY Budget'!$A:$A,'Next 3-Months'!$A55,'TY Budget'!$K:$K),IF($C$4="OCTOBER 2015",SUMIF('TY Budget'!$A:$A,'Next 3-Months'!$A55,'TY Budget'!$L:$L),IF($C$4="NOVEMBER 2015",SUMIF('TY Budget'!$A:$A,'Next 3-Months'!$A55,'TY Budget'!$M:$M),IF($C$4="DECEMBER 2015",SUMIF('TY Budget'!$A:$A,'Next 3-Months'!$A55,'TY Budget'!$N:$N),IF($C$4="JANUARY 2016",SUMIF('TY Budget'!$A:$A,'Next 3-Months'!$A55,'TY Budget'!$Q:$Q),IF($C$4="FEBRUARY 2016",SUMIF('TY Budget'!$A:$A,'Next 3-Months'!$A55,'TY Budget'!$R:$R),IF($C$4="MARCH 2016",SUMIF('TY Budget'!$A:$A,'Next 3-Months'!$A55,'TY Budget'!$S:$S),0))))))))))))))</f>
        <v>0</v>
      </c>
      <c r="E55" s="31">
        <f>IF($C$4="FEBRUARY 2015",SUMIF('TY Budget'!$A:$A,'Next 3-Months'!$A55,'LY Actual'!$D:$D),IF($C$4="MARCH 2015",SUMIF('TY Budget'!$A:$A,'Next 3-Months'!$A55,'LY Actual'!$E:$E),IF($C$4="APRIL 2015",SUMIF('TY Budget'!$A:$A,'Next 3-Months'!$A55,'LY Actual'!$F:$F),IF($C$4="MAY 2015",SUMIF('TY Budget'!$A:$A,'Next 3-Months'!$A55,'LY Actual'!$G:$G),IF($C$4="JUNE 2015",SUMIF('TY Budget'!$A:$A,'Next 3-Months'!$A55,'LY Actual'!$H:$H),IF($C$4="JULY 2015",SUMIF('TY Budget'!$A:$A,'Next 3-Months'!$A55,'LY Actual'!$I:$I),IF($C$4="AUGUST 2015",SUMIF('TY Budget'!$A:$A,'Next 3-Months'!$A55,'LY Actual'!$J:$J),IF($C$4="SEPTEMBER 2015",SUMIF('TY Budget'!$A:$A,'Next 3-Months'!$A55,'LY Actual'!$K:$K),IF($C$4="OCTOBER 2015",SUMIF('TY Budget'!$A:$A,'Next 3-Months'!$A55,'LY Actual'!$L:$L),IF($C$4="NOVEMBER 2015",SUMIF('TY Budget'!$A:$A,'Next 3-Months'!$A55,'LY Actual'!$M:$M),IF($C$4="DECEMBER 2015",SUMIF('TY Budget'!$A:$A,'Next 3-Months'!$A55,'LY Actual'!$N:$N),IF($C$4="JANUARY 2016",SUMIF('TY Budget'!$A:$A,'Next 3-Months'!$A55,'LY Actual'!$Q:$Q),IF($C$4="FEBRUARY 2016",SUMIF('TY Budget'!$A:$A,'Next 3-Months'!$A55,'LY Actual'!$R:$R),IF($C$4="MARCH 2016",SUMIF('TY Budget'!$A:$A,'Next 3-Months'!$A55,'LY Actual'!$S:$S),0))))))))))))))</f>
        <v>0</v>
      </c>
      <c r="F55" s="27"/>
      <c r="G55" s="31">
        <f>IF($G$4="FEBRUARY 2015",SUMIF('TY Actual-Forecast'!$A:$A,'Next 3-Months'!$A55,'TY Actual-Forecast'!$D:$D),IF($G$4="MARCH 2015",SUMIF('TY Actual-Forecast'!$A:$A,'Next 3-Months'!$A55,'TY Actual-Forecast'!$E:$E),IF($G$4="APRIL 2015",SUMIF('TY Actual-Forecast'!$A:$A,'Next 3-Months'!$A55,'TY Actual-Forecast'!$F:$F),IF($G$4="MAY 2015",SUMIF('TY Actual-Forecast'!$A:$A,'Next 3-Months'!$A55,'TY Actual-Forecast'!$G:$G),IF($G$4="JUNE 2015",SUMIF('TY Actual-Forecast'!$A:$A,'Next 3-Months'!$A55,'TY Actual-Forecast'!$H:$H),IF($G$4="JULY 2015",SUMIF('TY Actual-Forecast'!$A:$A,'Next 3-Months'!$A55,'TY Actual-Forecast'!$I:$I),IF($G$4="AUGUST 2015",SUMIF('TY Actual-Forecast'!$A:$A,'Next 3-Months'!$A55,'TY Actual-Forecast'!$J:$J),IF($G$4="SEPTEMBER 2015",SUMIF('TY Actual-Forecast'!$A:$A,'Next 3-Months'!$A55,'TY Actual-Forecast'!$K:$K),IF($G$4="OCTOBER 2015",SUMIF('TY Actual-Forecast'!$A:$A,'Next 3-Months'!$A55,'TY Actual-Forecast'!$L:$L),IF($G$4="NOVEMBER 2015",SUMIF('TY Actual-Forecast'!$A:$A,'Next 3-Months'!$A55,'TY Actual-Forecast'!$M:$M),IF($G$4="DECEMBER 2015",SUMIF('TY Actual-Forecast'!$A:$A,'Next 3-Months'!$A55,'TY Actual-Forecast'!$N:$N),IF($G$4="JANUARY 2016",SUMIF('TY Actual-Forecast'!$A:$A,'Next 3-Months'!$A55,'TY Actual-Forecast'!$Q:$Q),IF($G$4="FEBRUARY 2016",SUMIF('TY Actual-Forecast'!$A:$A,'Next 3-Months'!$A55,'TY Actual-Forecast'!$R:$R),IF($G$4="MARCH 2016",SUMIF('TY Actual-Forecast'!$A:$A,'Next 3-Months'!$A55,'TY Actual-Forecast'!$S:$S),0))))))))))))))</f>
        <v>0</v>
      </c>
      <c r="H55" s="31">
        <f>IF($G$4="FEBRUARY 2015",SUMIF('TY Budget'!$A:$A,'Next 3-Months'!$A55,'TY Budget'!$D:$D),IF($G$4="MARCH 2015",SUMIF('TY Budget'!$A:$A,'Next 3-Months'!$A55,'TY Budget'!$E:$E),IF($G$4="APRIL 2015",SUMIF('TY Budget'!$A:$A,'Next 3-Months'!$A55,'TY Budget'!$F:$F),IF($G$4="MAY 2015",SUMIF('TY Budget'!$A:$A,'Next 3-Months'!$A55,'TY Budget'!$G:$G),IF($G$4="JUNE 2015",SUMIF('TY Budget'!$A:$A,'Next 3-Months'!$A55,'TY Budget'!$H:$H),IF($G$4="JULY 2015",SUMIF('TY Budget'!$A:$A,'Next 3-Months'!$A55,'TY Budget'!$I:$I),IF($G$4="AUGUST 2015",SUMIF('TY Budget'!$A:$A,'Next 3-Months'!$A55,'TY Budget'!$J:$J),IF($G$4="SEPTEMBER 2015",SUMIF('TY Budget'!$A:$A,'Next 3-Months'!$A55,'TY Budget'!$K:$K),IF($G$4="OCTOBER 2015",SUMIF('TY Budget'!$A:$A,'Next 3-Months'!$A55,'TY Budget'!$L:$L),IF($G$4="NOVEMBER 2015",SUMIF('TY Budget'!$A:$A,'Next 3-Months'!$A55,'TY Budget'!$M:$M),IF($G$4="DECEMBER 2015",SUMIF('TY Budget'!$A:$A,'Next 3-Months'!$A55,'TY Budget'!$N:$N),IF($G$4="JANUARY 2016",SUMIF('TY Budget'!$A:$A,'Next 3-Months'!$A55,'TY Budget'!$Q:$Q),IF($G$4="FEBRUARY 2016",SUMIF('TY Budget'!$A:$A,'Next 3-Months'!$A55,'TY Budget'!$R:$R),IF($G$4="MARCH 2016",SUMIF('TY Budget'!$A:$A,'Next 3-Months'!$A55,'TY Budget'!$S:$S),0))))))))))))))</f>
        <v>0</v>
      </c>
      <c r="I55" s="31">
        <f>IF($G$4="FEBRUARY 2015",SUMIF('TY Budget'!$A:$A,'Next 3-Months'!$A55,'LY Actual'!$D:$D),IF($G$4="MARCH 2015",SUMIF('TY Budget'!$A:$A,'Next 3-Months'!$A55,'LY Actual'!$E:$E),IF($G$4="APRIL 2015",SUMIF('TY Budget'!$A:$A,'Next 3-Months'!$A55,'LY Actual'!$F:$F),IF($G$4="MAY 2015",SUMIF('TY Budget'!$A:$A,'Next 3-Months'!$A55,'LY Actual'!$G:$G),IF($G$4="JUNE 2015",SUMIF('TY Budget'!$A:$A,'Next 3-Months'!$A55,'LY Actual'!$H:$H),IF($G$4="JULY 2015",SUMIF('TY Budget'!$A:$A,'Next 3-Months'!$A55,'LY Actual'!$I:$I),IF($G$4="AUGUST 2015",SUMIF('TY Budget'!$A:$A,'Next 3-Months'!$A55,'LY Actual'!$J:$J),IF($G$4="SEPTEMBER 2015",SUMIF('TY Budget'!$A:$A,'Next 3-Months'!$A55,'LY Actual'!$K:$K),IF($G$4="OCTOBER 2015",SUMIF('TY Budget'!$A:$A,'Next 3-Months'!$A55,'LY Actual'!$L:$L),IF($G$4="NOVEMBER 2015",SUMIF('TY Budget'!$A:$A,'Next 3-Months'!$A55,'LY Actual'!$M:$M),IF($G$4="DECEMBER 2015",SUMIF('TY Budget'!$A:$A,'Next 3-Months'!$A55,'LY Actual'!$N:$N),IF($G$4="JANUARY 2016",SUMIF('TY Budget'!$A:$A,'Next 3-Months'!$A55,'LY Actual'!$Q:$Q),IF($G$4="FEBRUARY 2016",SUMIF('TY Budget'!$A:$A,'Next 3-Months'!$A55,'LY Actual'!$R:$R),IF($G$4="MARCH 2016",SUMIF('TY Budget'!$A:$A,'Next 3-Months'!$A55,'LY Actual'!$S:$S),0))))))))))))))</f>
        <v>0</v>
      </c>
      <c r="J55" s="28"/>
      <c r="K55" s="31">
        <f>IF($K$4="FEBRUARY 2015",SUMIF('TY Actual-Forecast'!$A:$A,'Next 3-Months'!$A55,'TY Actual-Forecast'!$D:$D),IF($K$4="MARCH 2015",SUMIF('TY Actual-Forecast'!$A:$A,'Next 3-Months'!$A55,'TY Actual-Forecast'!$E:$E),IF($K$4="APRIL 2015",SUMIF('TY Actual-Forecast'!$A:$A,'Next 3-Months'!$A55,'TY Actual-Forecast'!$F:$F),IF($K$4="MAY 2015",SUMIF('TY Actual-Forecast'!$A:$A,'Next 3-Months'!$A55,'TY Actual-Forecast'!$G:$G),IF($K$4="JUNE 2015",SUMIF('TY Actual-Forecast'!$A:$A,'Next 3-Months'!$A55,'TY Actual-Forecast'!$H:$H),IF($K$4="JULY 2015",SUMIF('TY Actual-Forecast'!$A:$A,'Next 3-Months'!$A55,'TY Actual-Forecast'!$I:$I),IF($K$4="AUGUST 2015",SUMIF('TY Actual-Forecast'!$A:$A,'Next 3-Months'!$A55,'TY Actual-Forecast'!$J:$J),IF($K$4="SEPTEMBER 2015",SUMIF('TY Actual-Forecast'!$A:$A,'Next 3-Months'!$A55,'TY Actual-Forecast'!$K:$K),IF($K$4="OCTOBER 2015",SUMIF('TY Actual-Forecast'!$A:$A,'Next 3-Months'!$A55,'TY Actual-Forecast'!$L:$L),IF($K$4="NOVEMBER 2015",SUMIF('TY Actual-Forecast'!$A:$A,'Next 3-Months'!$A55,'TY Actual-Forecast'!$M:$M),IF($K$4="DECEMBER 2015",SUMIF('TY Actual-Forecast'!$A:$A,'Next 3-Months'!$A55,'TY Actual-Forecast'!$N:$N),IF($K$4="JANUARY 2016",SUMIF('TY Actual-Forecast'!$A:$A,'Next 3-Months'!$A55,'TY Actual-Forecast'!$Q:$Q),IF($K$4="FEBRUARY 2016",SUMIF('TY Actual-Forecast'!$A:$A,'Next 3-Months'!$A55,'TY Actual-Forecast'!$R:$R),IF($K$4="MARCH 2016",SUMIF('TY Actual-Forecast'!$A:$A,'Next 3-Months'!$A55,'TY Actual-Forecast'!$S:$S),0))))))))))))))</f>
        <v>0</v>
      </c>
      <c r="L55" s="31">
        <f>IF($K$4="FEBRUARY 2015",SUMIF('TY Budget'!$A:$A,'Next 3-Months'!$A55,'TY Budget'!$D:$D),IF($K$4="MARCH 2015",SUMIF('TY Budget'!$A:$A,'Next 3-Months'!$A55,'TY Budget'!$E:$E),IF($K$4="APRIL 2015",SUMIF('TY Budget'!$A:$A,'Next 3-Months'!$A55,'TY Budget'!$F:$F),IF($K$4="MAY 2015",SUMIF('TY Budget'!$A:$A,'Next 3-Months'!$A55,'TY Budget'!$G:$G),IF($K$4="JUNE 2015",SUMIF('TY Budget'!$A:$A,'Next 3-Months'!$A55,'TY Budget'!$H:$H),IF($K$4="JULY 2015",SUMIF('TY Budget'!$A:$A,'Next 3-Months'!$A55,'TY Budget'!$I:$I),IF($K$4="AUGUST 2015",SUMIF('TY Budget'!$A:$A,'Next 3-Months'!$A55,'TY Budget'!$J:$J),IF($K$4="SEPTEMBER 2015",SUMIF('TY Budget'!$A:$A,'Next 3-Months'!$A55,'TY Budget'!$K:$K),IF($K$4="OCTOBER 2015",SUMIF('TY Budget'!$A:$A,'Next 3-Months'!$A55,'TY Budget'!$L:$L),IF($K$4="NOVEMBER 2015",SUMIF('TY Budget'!$A:$A,'Next 3-Months'!$A55,'TY Budget'!$M:$M),IF($K$4="DECEMBER 2015",SUMIF('TY Budget'!$A:$A,'Next 3-Months'!$A55,'TY Budget'!$N:$N),IF($K$4="JANUARY 2016",SUMIF('TY Budget'!$A:$A,'Next 3-Months'!$A55,'TY Budget'!$Q:$Q),IF($K$4="FEBRUARY 2016",SUMIF('TY Budget'!$A:$A,'Next 3-Months'!$A55,'TY Budget'!$R:$R),IF($K$4="MARCH 2016",SUMIF('TY Budget'!$A:$A,'Next 3-Months'!$A55,'TY Budget'!$S:$S),0))))))))))))))</f>
        <v>0</v>
      </c>
      <c r="M55" s="31">
        <f>IF($K$4="FEBRUARY 2015",SUMIF('TY Budget'!$A:$A,'Next 3-Months'!$A55,'LY Actual'!$D:$D),IF($K$4="MARCH 2015",SUMIF('TY Budget'!$A:$A,'Next 3-Months'!$A55,'LY Actual'!$E:$E),IF($K$4="APRIL 2015",SUMIF('TY Budget'!$A:$A,'Next 3-Months'!$A55,'LY Actual'!$F:$F),IF($K$4="MAY 2015",SUMIF('TY Budget'!$A:$A,'Next 3-Months'!$A55,'LY Actual'!$G:$G),IF($K$4="JUNE 2015",SUMIF('TY Budget'!$A:$A,'Next 3-Months'!$A55,'LY Actual'!$H:$H),IF($K$4="JULY 2015",SUMIF('TY Budget'!$A:$A,'Next 3-Months'!$A55,'LY Actual'!$I:$I),IF($K$4="AUGUST 2015",SUMIF('TY Budget'!$A:$A,'Next 3-Months'!$A55,'LY Actual'!$J:$J),IF($K$4="SEPTEMBER 2015",SUMIF('TY Budget'!$A:$A,'Next 3-Months'!$A55,'LY Actual'!$K:$K),IF($K$4="OCTOBER 2015",SUMIF('TY Budget'!$A:$A,'Next 3-Months'!$A55,'LY Actual'!$L:$L),IF($K$4="NOVEMBER 2015",SUMIF('TY Budget'!$A:$A,'Next 3-Months'!$A55,'LY Actual'!$M:$M),IF($K$4="DECEMBER 2015",SUMIF('TY Budget'!$A:$A,'Next 3-Months'!$A55,'LY Actual'!$N:$N),IF($K$4="JANUARY 2016",SUMIF('TY Budget'!$A:$A,'Next 3-Months'!$A55,'LY Actual'!$Q:$Q),IF($K$4="FEBRUARY 2016",SUMIF('TY Budget'!$A:$A,'Next 3-Months'!$A55,'LY Actual'!$R:$R),IF($K$4="MARCH 2016",SUMIF('TY Budget'!$A:$A,'Next 3-Months'!$A55,'LY Actual'!$S:$S),0))))))))))))))</f>
        <v>-5000000</v>
      </c>
      <c r="O55" s="31">
        <f t="shared" si="19"/>
        <v>0</v>
      </c>
      <c r="P55" s="31">
        <f t="shared" si="20"/>
        <v>-5000000</v>
      </c>
    </row>
    <row r="56" spans="1:16" s="24" customFormat="1" ht="15">
      <c r="A56" s="39" t="s">
        <v>16</v>
      </c>
      <c r="B56" s="36"/>
      <c r="C56" s="22">
        <f>SUBTOTAL(9,C51:C55)</f>
        <v>1640611.3808333334</v>
      </c>
      <c r="D56" s="22">
        <f>SUBTOTAL(9,D51:D55)</f>
        <v>1641000</v>
      </c>
      <c r="E56" s="22">
        <f>SUBTOTAL(9,E51:E55)</f>
        <v>1376389.53</v>
      </c>
      <c r="F56" s="37"/>
      <c r="G56" s="22">
        <f>SUBTOTAL(9,G51:G55)</f>
        <v>1640611</v>
      </c>
      <c r="H56" s="22">
        <f>SUBTOTAL(9,H51:H55)</f>
        <v>1641000</v>
      </c>
      <c r="I56" s="22">
        <f>SUBTOTAL(9,I51:I55)</f>
        <v>1031860.47</v>
      </c>
      <c r="J56" s="38"/>
      <c r="K56" s="22">
        <f t="shared" ref="K56:M56" si="21">SUBTOTAL(9,K51:K55)</f>
        <v>1641000</v>
      </c>
      <c r="L56" s="22">
        <f t="shared" si="21"/>
        <v>1641000</v>
      </c>
      <c r="M56" s="22">
        <f t="shared" si="21"/>
        <v>-4286507.3600000003</v>
      </c>
      <c r="O56" s="22">
        <f>(D56+H56+L56)-(C56+G56+K56)</f>
        <v>777.61916666664183</v>
      </c>
      <c r="P56" s="22">
        <f>(E56+I56+M56)-(C56+G56+K56)</f>
        <v>-6800479.7408333337</v>
      </c>
    </row>
    <row r="57" spans="1:16" ht="15">
      <c r="A57" s="18"/>
      <c r="B57" s="18"/>
      <c r="C57" s="40"/>
      <c r="D57" s="40"/>
      <c r="E57" s="40"/>
      <c r="F57" s="27"/>
      <c r="G57" s="40"/>
      <c r="H57" s="40"/>
      <c r="I57" s="40"/>
      <c r="J57" s="28"/>
      <c r="K57" s="40"/>
      <c r="L57" s="40"/>
      <c r="M57" s="40"/>
      <c r="O57" s="40"/>
      <c r="P57" s="40"/>
    </row>
    <row r="58" spans="1:16" s="24" customFormat="1" ht="15">
      <c r="A58" s="18" t="s">
        <v>3</v>
      </c>
      <c r="B58" s="18"/>
      <c r="C58" s="22">
        <f>C47-C56</f>
        <v>18683619.095296882</v>
      </c>
      <c r="D58" s="22">
        <f>D47-D56</f>
        <v>20194497</v>
      </c>
      <c r="E58" s="22">
        <f>E47-E56</f>
        <v>17138861.029999997</v>
      </c>
      <c r="F58" s="37"/>
      <c r="G58" s="22">
        <f>G47-G56</f>
        <v>14065117.573271949</v>
      </c>
      <c r="H58" s="22">
        <f>H47-H56</f>
        <v>16127000</v>
      </c>
      <c r="I58" s="22">
        <f>I47-I56</f>
        <v>12794611.759999989</v>
      </c>
      <c r="J58" s="38"/>
      <c r="K58" s="22">
        <f t="shared" ref="K58:M58" si="22">K47-K56</f>
        <v>15776144.237844892</v>
      </c>
      <c r="L58" s="22">
        <f t="shared" si="22"/>
        <v>18541800</v>
      </c>
      <c r="M58" s="22">
        <f t="shared" si="22"/>
        <v>26653257.549999993</v>
      </c>
      <c r="O58" s="22">
        <f>(C58+G58+K58)-(D58+H58+L58)</f>
        <v>-6338416.0935862809</v>
      </c>
      <c r="P58" s="22">
        <f>(C58+G58+K58)-(E58+I58+M58)</f>
        <v>-8061849.4335862547</v>
      </c>
    </row>
    <row r="59" spans="1:16" s="48" customFormat="1" ht="15">
      <c r="A59" s="45" t="s">
        <v>1</v>
      </c>
      <c r="B59" s="46"/>
      <c r="C59" s="32">
        <f>IFERROR(C58/C$8,)</f>
        <v>0.38223896509283661</v>
      </c>
      <c r="D59" s="32">
        <f>IFERROR(D58/D$8,)</f>
        <v>0.39630233548480787</v>
      </c>
      <c r="E59" s="32">
        <f>IFERROR(E58/E$8,)</f>
        <v>0.39169906498508456</v>
      </c>
      <c r="F59" s="47"/>
      <c r="G59" s="32">
        <f>IFERROR(G58/G$8,)</f>
        <v>0.33831500231646167</v>
      </c>
      <c r="H59" s="32">
        <f>IFERROR(H58/H$8,)</f>
        <v>0.36192463924235285</v>
      </c>
      <c r="I59" s="32">
        <f>IFERROR(I58/I$8,)</f>
        <v>0.34214986754412463</v>
      </c>
      <c r="J59" s="47"/>
      <c r="K59" s="32">
        <f t="shared" ref="K59:M59" si="23">IFERROR(K58/K$8,)</f>
        <v>0.35827746500188379</v>
      </c>
      <c r="L59" s="32">
        <f t="shared" si="23"/>
        <v>0.380955707411684</v>
      </c>
      <c r="M59" s="32">
        <f t="shared" si="23"/>
        <v>0.56723816862796972</v>
      </c>
      <c r="O59" s="32"/>
      <c r="P59" s="32"/>
    </row>
    <row r="60" spans="1:16" ht="15">
      <c r="A60" s="18"/>
      <c r="B60" s="18"/>
      <c r="C60" s="40"/>
      <c r="D60" s="40"/>
      <c r="E60" s="40"/>
      <c r="F60" s="27"/>
      <c r="G60" s="40"/>
      <c r="H60" s="40"/>
      <c r="I60" s="40"/>
      <c r="J60" s="28"/>
      <c r="K60" s="40"/>
      <c r="L60" s="40"/>
      <c r="M60" s="40"/>
      <c r="O60" s="40"/>
      <c r="P60" s="40"/>
    </row>
    <row r="61" spans="1:16" ht="15">
      <c r="A61" s="39" t="s">
        <v>14</v>
      </c>
      <c r="B61" s="36"/>
      <c r="C61" s="31">
        <f>IF($C$4="FEBRUARY 2015",SUMIF('TY Actual-Forecast'!$A:$A,'Next 3-Months'!A61,'TY Actual-Forecast'!$D:$D),IF($C$4="MARCH 2015",SUMIF('TY Actual-Forecast'!$A:$A,'Next 3-Months'!A61,'TY Actual-Forecast'!$E:$E),IF($C$4="APRIL 2015",SUMIF('TY Actual-Forecast'!$A:$A,'Next 3-Months'!A61,'TY Actual-Forecast'!$F:$F),IF($C$4="MAY 2015",SUMIF('TY Actual-Forecast'!$A:$A,'Next 3-Months'!A61,'TY Actual-Forecast'!$G:$G),IF($C$4="JUNE 2015",SUMIF('TY Actual-Forecast'!$A:$A,'Next 3-Months'!A61,'TY Actual-Forecast'!$H:$H),IF($C$4="JULY 2015",SUMIF('TY Actual-Forecast'!$A:$A,'Next 3-Months'!A61,'TY Actual-Forecast'!$I:$I),IF($C$4="AUGUST 2015",SUMIF('TY Actual-Forecast'!$A:$A,'Next 3-Months'!A61,'TY Actual-Forecast'!$J:$J),IF($C$4="SEPTEMBER 2015",SUMIF('TY Actual-Forecast'!$A:$A,'Next 3-Months'!A61,'TY Actual-Forecast'!$K:$K),IF($C$4="OCTOBER 2015",SUMIF('TY Actual-Forecast'!$A:$A,'Next 3-Months'!A61,'TY Actual-Forecast'!$L:$L),IF($C$4="NOVEMBER 2015",SUMIF('TY Actual-Forecast'!$A:$A,'Next 3-Months'!A61,'TY Actual-Forecast'!$M:$M),IF($C$4="DECEMBER 2015",SUMIF('TY Actual-Forecast'!$A:$A,'Next 3-Months'!A61,'TY Actual-Forecast'!$N:$N),IF($C$4="JANUARY 2016",SUMIF('TY Actual-Forecast'!$A:$A,'Next 3-Months'!A61,'TY Actual-Forecast'!$Q:$Q),IF($C$4="FEBRUARY 2016",SUMIF('TY Actual-Forecast'!$A:$A,'Next 3-Months'!A61,'TY Actual-Forecast'!$R:$R),IF($C$4="MARCH 2016",SUMIF('TY Actual-Forecast'!$A:$A,'Next 3-Months'!A61,'TY Actual-Forecast'!$S:$S),0))))))))))))))</f>
        <v>4562326.6541666668</v>
      </c>
      <c r="D61" s="31">
        <f>IF($C$4="FEBRUARY 2015",SUMIF('TY Budget'!$A:$A,'Next 3-Months'!$A61,'TY Budget'!$D:$D),IF($C$4="MARCH 2015",SUMIF('TY Budget'!$A:$A,'Next 3-Months'!$A61,'TY Budget'!$E:$E),IF($C$4="APRIL 2015",SUMIF('TY Budget'!$A:$A,'Next 3-Months'!$A61,'TY Budget'!$F:$F),IF($C$4="MAY 2015",SUMIF('TY Budget'!$A:$A,'Next 3-Months'!$A61,'TY Budget'!$G:$G),IF($C$4="JUNE 2015",SUMIF('TY Budget'!$A:$A,'Next 3-Months'!$A61,'TY Budget'!$H:$H),IF($C$4="JULY 2015",SUMIF('TY Budget'!$A:$A,'Next 3-Months'!$A61,'TY Budget'!$I:$I),IF($C$4="AUGUST 2015",SUMIF('TY Budget'!$A:$A,'Next 3-Months'!$A61,'TY Budget'!$J:$J),IF($C$4="SEPTEMBER 2015",SUMIF('TY Budget'!$A:$A,'Next 3-Months'!$A61,'TY Budget'!$K:$K),IF($C$4="OCTOBER 2015",SUMIF('TY Budget'!$A:$A,'Next 3-Months'!$A61,'TY Budget'!$L:$L),IF($C$4="NOVEMBER 2015",SUMIF('TY Budget'!$A:$A,'Next 3-Months'!$A61,'TY Budget'!$M:$M),IF($C$4="DECEMBER 2015",SUMIF('TY Budget'!$A:$A,'Next 3-Months'!$A61,'TY Budget'!$N:$N),IF($C$4="JANUARY 2016",SUMIF('TY Budget'!$A:$A,'Next 3-Months'!$A61,'TY Budget'!$Q:$Q),IF($C$4="FEBRUARY 2016",SUMIF('TY Budget'!$A:$A,'Next 3-Months'!$A61,'TY Budget'!$R:$R),IF($C$4="MARCH 2016",SUMIF('TY Budget'!$A:$A,'Next 3-Months'!$A61,'TY Budget'!$S:$S),0))))))))))))))</f>
        <v>4176000</v>
      </c>
      <c r="E61" s="31">
        <f>IF($C$4="FEBRUARY 2015",SUMIF('TY Budget'!$A:$A,'Next 3-Months'!$A61,'LY Actual'!$D:$D),IF($C$4="MARCH 2015",SUMIF('TY Budget'!$A:$A,'Next 3-Months'!$A61,'LY Actual'!$E:$E),IF($C$4="APRIL 2015",SUMIF('TY Budget'!$A:$A,'Next 3-Months'!$A61,'LY Actual'!$F:$F),IF($C$4="MAY 2015",SUMIF('TY Budget'!$A:$A,'Next 3-Months'!$A61,'LY Actual'!$G:$G),IF($C$4="JUNE 2015",SUMIF('TY Budget'!$A:$A,'Next 3-Months'!$A61,'LY Actual'!$H:$H),IF($C$4="JULY 2015",SUMIF('TY Budget'!$A:$A,'Next 3-Months'!$A61,'LY Actual'!$I:$I),IF($C$4="AUGUST 2015",SUMIF('TY Budget'!$A:$A,'Next 3-Months'!$A61,'LY Actual'!$J:$J),IF($C$4="SEPTEMBER 2015",SUMIF('TY Budget'!$A:$A,'Next 3-Months'!$A61,'LY Actual'!$K:$K),IF($C$4="OCTOBER 2015",SUMIF('TY Budget'!$A:$A,'Next 3-Months'!$A61,'LY Actual'!$L:$L),IF($C$4="NOVEMBER 2015",SUMIF('TY Budget'!$A:$A,'Next 3-Months'!$A61,'LY Actual'!$M:$M),IF($C$4="DECEMBER 2015",SUMIF('TY Budget'!$A:$A,'Next 3-Months'!$A61,'LY Actual'!$N:$N),IF($C$4="JANUARY 2016",SUMIF('TY Budget'!$A:$A,'Next 3-Months'!$A61,'LY Actual'!$Q:$Q),IF($C$4="FEBRUARY 2016",SUMIF('TY Budget'!$A:$A,'Next 3-Months'!$A61,'LY Actual'!$R:$R),IF($C$4="MARCH 2016",SUMIF('TY Budget'!$A:$A,'Next 3-Months'!$A61,'LY Actual'!$S:$S),0))))))))))))))</f>
        <v>5074399.9999999991</v>
      </c>
      <c r="F61" s="27"/>
      <c r="G61" s="31">
        <f>IF($G$4="FEBRUARY 2015",SUMIF('TY Actual-Forecast'!$A:$A,'Next 3-Months'!$A61,'TY Actual-Forecast'!$D:$D),IF($G$4="MARCH 2015",SUMIF('TY Actual-Forecast'!$A:$A,'Next 3-Months'!$A61,'TY Actual-Forecast'!$E:$E),IF($G$4="APRIL 2015",SUMIF('TY Actual-Forecast'!$A:$A,'Next 3-Months'!$A61,'TY Actual-Forecast'!$F:$F),IF($G$4="MAY 2015",SUMIF('TY Actual-Forecast'!$A:$A,'Next 3-Months'!$A61,'TY Actual-Forecast'!$G:$G),IF($G$4="JUNE 2015",SUMIF('TY Actual-Forecast'!$A:$A,'Next 3-Months'!$A61,'TY Actual-Forecast'!$H:$H),IF($G$4="JULY 2015",SUMIF('TY Actual-Forecast'!$A:$A,'Next 3-Months'!$A61,'TY Actual-Forecast'!$I:$I),IF($G$4="AUGUST 2015",SUMIF('TY Actual-Forecast'!$A:$A,'Next 3-Months'!$A61,'TY Actual-Forecast'!$J:$J),IF($G$4="SEPTEMBER 2015",SUMIF('TY Actual-Forecast'!$A:$A,'Next 3-Months'!$A61,'TY Actual-Forecast'!$K:$K),IF($G$4="OCTOBER 2015",SUMIF('TY Actual-Forecast'!$A:$A,'Next 3-Months'!$A61,'TY Actual-Forecast'!$L:$L),IF($G$4="NOVEMBER 2015",SUMIF('TY Actual-Forecast'!$A:$A,'Next 3-Months'!$A61,'TY Actual-Forecast'!$M:$M),IF($G$4="DECEMBER 2015",SUMIF('TY Actual-Forecast'!$A:$A,'Next 3-Months'!$A61,'TY Actual-Forecast'!$N:$N),IF($G$4="JANUARY 2016",SUMIF('TY Actual-Forecast'!$A:$A,'Next 3-Months'!$A61,'TY Actual-Forecast'!$Q:$Q),IF($G$4="FEBRUARY 2016",SUMIF('TY Actual-Forecast'!$A:$A,'Next 3-Months'!$A61,'TY Actual-Forecast'!$R:$R),IF($G$4="MARCH 2016",SUMIF('TY Actual-Forecast'!$A:$A,'Next 3-Months'!$A61,'TY Actual-Forecast'!$S:$S),0))))))))))))))</f>
        <v>4562326.6541666668</v>
      </c>
      <c r="H61" s="31">
        <f>IF($G$4="FEBRUARY 2015",SUMIF('TY Budget'!$A:$A,'Next 3-Months'!$A61,'TY Budget'!$D:$D),IF($G$4="MARCH 2015",SUMIF('TY Budget'!$A:$A,'Next 3-Months'!$A61,'TY Budget'!$E:$E),IF($G$4="APRIL 2015",SUMIF('TY Budget'!$A:$A,'Next 3-Months'!$A61,'TY Budget'!$F:$F),IF($G$4="MAY 2015",SUMIF('TY Budget'!$A:$A,'Next 3-Months'!$A61,'TY Budget'!$G:$G),IF($G$4="JUNE 2015",SUMIF('TY Budget'!$A:$A,'Next 3-Months'!$A61,'TY Budget'!$H:$H),IF($G$4="JULY 2015",SUMIF('TY Budget'!$A:$A,'Next 3-Months'!$A61,'TY Budget'!$I:$I),IF($G$4="AUGUST 2015",SUMIF('TY Budget'!$A:$A,'Next 3-Months'!$A61,'TY Budget'!$J:$J),IF($G$4="SEPTEMBER 2015",SUMIF('TY Budget'!$A:$A,'Next 3-Months'!$A61,'TY Budget'!$K:$K),IF($G$4="OCTOBER 2015",SUMIF('TY Budget'!$A:$A,'Next 3-Months'!$A61,'TY Budget'!$L:$L),IF($G$4="NOVEMBER 2015",SUMIF('TY Budget'!$A:$A,'Next 3-Months'!$A61,'TY Budget'!$M:$M),IF($G$4="DECEMBER 2015",SUMIF('TY Budget'!$A:$A,'Next 3-Months'!$A61,'TY Budget'!$N:$N),IF($G$4="JANUARY 2016",SUMIF('TY Budget'!$A:$A,'Next 3-Months'!$A61,'TY Budget'!$Q:$Q),IF($G$4="FEBRUARY 2016",SUMIF('TY Budget'!$A:$A,'Next 3-Months'!$A61,'TY Budget'!$R:$R),IF($G$4="MARCH 2016",SUMIF('TY Budget'!$A:$A,'Next 3-Months'!$A61,'TY Budget'!$S:$S),0))))))))))))))</f>
        <v>4176000</v>
      </c>
      <c r="I61" s="31">
        <f>IF($G$4="FEBRUARY 2015",SUMIF('TY Budget'!$A:$A,'Next 3-Months'!$A61,'LY Actual'!$D:$D),IF($G$4="MARCH 2015",SUMIF('TY Budget'!$A:$A,'Next 3-Months'!$A61,'LY Actual'!$E:$E),IF($G$4="APRIL 2015",SUMIF('TY Budget'!$A:$A,'Next 3-Months'!$A61,'LY Actual'!$F:$F),IF($G$4="MAY 2015",SUMIF('TY Budget'!$A:$A,'Next 3-Months'!$A61,'LY Actual'!$G:$G),IF($G$4="JUNE 2015",SUMIF('TY Budget'!$A:$A,'Next 3-Months'!$A61,'LY Actual'!$H:$H),IF($G$4="JULY 2015",SUMIF('TY Budget'!$A:$A,'Next 3-Months'!$A61,'LY Actual'!$I:$I),IF($G$4="AUGUST 2015",SUMIF('TY Budget'!$A:$A,'Next 3-Months'!$A61,'LY Actual'!$J:$J),IF($G$4="SEPTEMBER 2015",SUMIF('TY Budget'!$A:$A,'Next 3-Months'!$A61,'LY Actual'!$K:$K),IF($G$4="OCTOBER 2015",SUMIF('TY Budget'!$A:$A,'Next 3-Months'!$A61,'LY Actual'!$L:$L),IF($G$4="NOVEMBER 2015",SUMIF('TY Budget'!$A:$A,'Next 3-Months'!$A61,'LY Actual'!$M:$M),IF($G$4="DECEMBER 2015",SUMIF('TY Budget'!$A:$A,'Next 3-Months'!$A61,'LY Actual'!$N:$N),IF($G$4="JANUARY 2016",SUMIF('TY Budget'!$A:$A,'Next 3-Months'!$A61,'LY Actual'!$Q:$Q),IF($G$4="FEBRUARY 2016",SUMIF('TY Budget'!$A:$A,'Next 3-Months'!$A61,'LY Actual'!$R:$R),IF($G$4="MARCH 2016",SUMIF('TY Budget'!$A:$A,'Next 3-Months'!$A61,'LY Actual'!$S:$S),0))))))))))))))</f>
        <v>5074399.9999999991</v>
      </c>
      <c r="J61" s="28"/>
      <c r="K61" s="31">
        <f>IF($K$4="FEBRUARY 2015",SUMIF('TY Actual-Forecast'!$A:$A,'Next 3-Months'!$A61,'TY Actual-Forecast'!$D:$D),IF($K$4="MARCH 2015",SUMIF('TY Actual-Forecast'!$A:$A,'Next 3-Months'!$A61,'TY Actual-Forecast'!$E:$E),IF($K$4="APRIL 2015",SUMIF('TY Actual-Forecast'!$A:$A,'Next 3-Months'!$A61,'TY Actual-Forecast'!$F:$F),IF($K$4="MAY 2015",SUMIF('TY Actual-Forecast'!$A:$A,'Next 3-Months'!$A61,'TY Actual-Forecast'!$G:$G),IF($K$4="JUNE 2015",SUMIF('TY Actual-Forecast'!$A:$A,'Next 3-Months'!$A61,'TY Actual-Forecast'!$H:$H),IF($K$4="JULY 2015",SUMIF('TY Actual-Forecast'!$A:$A,'Next 3-Months'!$A61,'TY Actual-Forecast'!$I:$I),IF($K$4="AUGUST 2015",SUMIF('TY Actual-Forecast'!$A:$A,'Next 3-Months'!$A61,'TY Actual-Forecast'!$J:$J),IF($K$4="SEPTEMBER 2015",SUMIF('TY Actual-Forecast'!$A:$A,'Next 3-Months'!$A61,'TY Actual-Forecast'!$K:$K),IF($K$4="OCTOBER 2015",SUMIF('TY Actual-Forecast'!$A:$A,'Next 3-Months'!$A61,'TY Actual-Forecast'!$L:$L),IF($K$4="NOVEMBER 2015",SUMIF('TY Actual-Forecast'!$A:$A,'Next 3-Months'!$A61,'TY Actual-Forecast'!$M:$M),IF($K$4="DECEMBER 2015",SUMIF('TY Actual-Forecast'!$A:$A,'Next 3-Months'!$A61,'TY Actual-Forecast'!$N:$N),IF($K$4="JANUARY 2016",SUMIF('TY Actual-Forecast'!$A:$A,'Next 3-Months'!$A61,'TY Actual-Forecast'!$Q:$Q),IF($K$4="FEBRUARY 2016",SUMIF('TY Actual-Forecast'!$A:$A,'Next 3-Months'!$A61,'TY Actual-Forecast'!$R:$R),IF($K$4="MARCH 2016",SUMIF('TY Actual-Forecast'!$A:$A,'Next 3-Months'!$A61,'TY Actual-Forecast'!$S:$S),0))))))))))))))</f>
        <v>4562326.6541666668</v>
      </c>
      <c r="L61" s="31">
        <f>IF($K$4="FEBRUARY 2015",SUMIF('TY Budget'!$A:$A,'Next 3-Months'!$A61,'TY Budget'!$D:$D),IF($K$4="MARCH 2015",SUMIF('TY Budget'!$A:$A,'Next 3-Months'!$A61,'TY Budget'!$E:$E),IF($K$4="APRIL 2015",SUMIF('TY Budget'!$A:$A,'Next 3-Months'!$A61,'TY Budget'!$F:$F),IF($K$4="MAY 2015",SUMIF('TY Budget'!$A:$A,'Next 3-Months'!$A61,'TY Budget'!$G:$G),IF($K$4="JUNE 2015",SUMIF('TY Budget'!$A:$A,'Next 3-Months'!$A61,'TY Budget'!$H:$H),IF($K$4="JULY 2015",SUMIF('TY Budget'!$A:$A,'Next 3-Months'!$A61,'TY Budget'!$I:$I),IF($K$4="AUGUST 2015",SUMIF('TY Budget'!$A:$A,'Next 3-Months'!$A61,'TY Budget'!$J:$J),IF($K$4="SEPTEMBER 2015",SUMIF('TY Budget'!$A:$A,'Next 3-Months'!$A61,'TY Budget'!$K:$K),IF($K$4="OCTOBER 2015",SUMIF('TY Budget'!$A:$A,'Next 3-Months'!$A61,'TY Budget'!$L:$L),IF($K$4="NOVEMBER 2015",SUMIF('TY Budget'!$A:$A,'Next 3-Months'!$A61,'TY Budget'!$M:$M),IF($K$4="DECEMBER 2015",SUMIF('TY Budget'!$A:$A,'Next 3-Months'!$A61,'TY Budget'!$N:$N),IF($K$4="JANUARY 2016",SUMIF('TY Budget'!$A:$A,'Next 3-Months'!$A61,'TY Budget'!$Q:$Q),IF($K$4="FEBRUARY 2016",SUMIF('TY Budget'!$A:$A,'Next 3-Months'!$A61,'TY Budget'!$R:$R),IF($K$4="MARCH 2016",SUMIF('TY Budget'!$A:$A,'Next 3-Months'!$A61,'TY Budget'!$S:$S),0))))))))))))))</f>
        <v>4283500</v>
      </c>
      <c r="M61" s="31">
        <f>IF($K$4="FEBRUARY 2015",SUMIF('TY Budget'!$A:$A,'Next 3-Months'!$A61,'LY Actual'!$D:$D),IF($K$4="MARCH 2015",SUMIF('TY Budget'!$A:$A,'Next 3-Months'!$A61,'LY Actual'!$E:$E),IF($K$4="APRIL 2015",SUMIF('TY Budget'!$A:$A,'Next 3-Months'!$A61,'LY Actual'!$F:$F),IF($K$4="MAY 2015",SUMIF('TY Budget'!$A:$A,'Next 3-Months'!$A61,'LY Actual'!$G:$G),IF($K$4="JUNE 2015",SUMIF('TY Budget'!$A:$A,'Next 3-Months'!$A61,'LY Actual'!$H:$H),IF($K$4="JULY 2015",SUMIF('TY Budget'!$A:$A,'Next 3-Months'!$A61,'LY Actual'!$I:$I),IF($K$4="AUGUST 2015",SUMIF('TY Budget'!$A:$A,'Next 3-Months'!$A61,'LY Actual'!$J:$J),IF($K$4="SEPTEMBER 2015",SUMIF('TY Budget'!$A:$A,'Next 3-Months'!$A61,'LY Actual'!$K:$K),IF($K$4="OCTOBER 2015",SUMIF('TY Budget'!$A:$A,'Next 3-Months'!$A61,'LY Actual'!$L:$L),IF($K$4="NOVEMBER 2015",SUMIF('TY Budget'!$A:$A,'Next 3-Months'!$A61,'LY Actual'!$M:$M),IF($K$4="DECEMBER 2015",SUMIF('TY Budget'!$A:$A,'Next 3-Months'!$A61,'LY Actual'!$N:$N),IF($K$4="JANUARY 2016",SUMIF('TY Budget'!$A:$A,'Next 3-Months'!$A61,'LY Actual'!$Q:$Q),IF($K$4="FEBRUARY 2016",SUMIF('TY Budget'!$A:$A,'Next 3-Months'!$A61,'LY Actual'!$R:$R),IF($K$4="MARCH 2016",SUMIF('TY Budget'!$A:$A,'Next 3-Months'!$A61,'LY Actual'!$S:$S),0))))))))))))))</f>
        <v>5074399.9999999991</v>
      </c>
      <c r="O61" s="31">
        <f>(D61+H61+L61)-(C61+G61+K61)</f>
        <v>-1051479.9625000004</v>
      </c>
      <c r="P61" s="31">
        <f>(E61+I61+M61)-(C61+G61+K61)</f>
        <v>1536220.0374999959</v>
      </c>
    </row>
    <row r="62" spans="1:16" ht="15">
      <c r="A62" s="18"/>
      <c r="B62" s="18"/>
      <c r="C62" s="40"/>
      <c r="D62" s="40"/>
      <c r="E62" s="40"/>
      <c r="F62" s="27"/>
      <c r="G62" s="40"/>
      <c r="H62" s="40"/>
      <c r="I62" s="40"/>
      <c r="J62" s="28"/>
      <c r="K62" s="40"/>
      <c r="L62" s="40"/>
      <c r="M62" s="40"/>
      <c r="O62" s="40"/>
      <c r="P62" s="40"/>
    </row>
    <row r="63" spans="1:16" s="24" customFormat="1" ht="15">
      <c r="A63" s="18" t="s">
        <v>196</v>
      </c>
      <c r="B63" s="18"/>
      <c r="C63" s="22">
        <f>C58-C61</f>
        <v>14121292.441130215</v>
      </c>
      <c r="D63" s="22">
        <f>D58-D61</f>
        <v>16018497</v>
      </c>
      <c r="E63" s="22">
        <f>E58-E61</f>
        <v>12064461.029999997</v>
      </c>
      <c r="F63" s="37"/>
      <c r="G63" s="22">
        <f>G58-G61</f>
        <v>9502790.9191052821</v>
      </c>
      <c r="H63" s="22">
        <f>H58-H61</f>
        <v>11951000</v>
      </c>
      <c r="I63" s="22">
        <f>I58-I61</f>
        <v>7720211.7599999895</v>
      </c>
      <c r="J63" s="38"/>
      <c r="K63" s="22">
        <f t="shared" ref="K63:M63" si="24">K58-K61</f>
        <v>11213817.583678225</v>
      </c>
      <c r="L63" s="22">
        <f t="shared" si="24"/>
        <v>14258300</v>
      </c>
      <c r="M63" s="22">
        <f t="shared" si="24"/>
        <v>21578857.549999993</v>
      </c>
      <c r="O63" s="22">
        <f>(C63+G63+K63)-(D63+H63+L63)</f>
        <v>-7389896.0560862795</v>
      </c>
      <c r="P63" s="22">
        <f>(C63+G63+K63)-(E63+I63+M63)</f>
        <v>-6525629.3960862607</v>
      </c>
    </row>
    <row r="64" spans="1:16" ht="15">
      <c r="A64" s="18"/>
      <c r="B64" s="18"/>
      <c r="C64" s="26"/>
      <c r="D64" s="26"/>
      <c r="E64" s="26"/>
      <c r="F64" s="27"/>
      <c r="G64" s="26"/>
      <c r="H64" s="26"/>
      <c r="I64" s="26"/>
      <c r="J64" s="28"/>
      <c r="K64" s="26"/>
      <c r="L64" s="26"/>
      <c r="M64" s="26"/>
      <c r="O64" s="26"/>
      <c r="P64" s="26"/>
    </row>
    <row r="65" spans="1:16" ht="15">
      <c r="A65" s="39" t="s">
        <v>197</v>
      </c>
      <c r="B65" s="18"/>
      <c r="C65" s="31">
        <f>IF($C$4="FEBRUARY 2015",SUMIF('TY Actual-Forecast'!$A:$A,'Next 3-Months'!A65,'TY Actual-Forecast'!$D:$D),IF($C$4="MARCH 2015",SUMIF('TY Actual-Forecast'!$A:$A,'Next 3-Months'!A65,'TY Actual-Forecast'!$E:$E),IF($C$4="APRIL 2015",SUMIF('TY Actual-Forecast'!$A:$A,'Next 3-Months'!A65,'TY Actual-Forecast'!$F:$F),IF($C$4="MAY 2015",SUMIF('TY Actual-Forecast'!$A:$A,'Next 3-Months'!A65,'TY Actual-Forecast'!$G:$G),IF($C$4="JUNE 2015",SUMIF('TY Actual-Forecast'!$A:$A,'Next 3-Months'!A65,'TY Actual-Forecast'!$H:$H),IF($C$4="JULY 2015",SUMIF('TY Actual-Forecast'!$A:$A,'Next 3-Months'!A65,'TY Actual-Forecast'!$I:$I),IF($C$4="AUGUST 2015",SUMIF('TY Actual-Forecast'!$A:$A,'Next 3-Months'!A65,'TY Actual-Forecast'!$J:$J),IF($C$4="SEPTEMBER 2015",SUMIF('TY Actual-Forecast'!$A:$A,'Next 3-Months'!A65,'TY Actual-Forecast'!$K:$K),IF($C$4="OCTOBER 2015",SUMIF('TY Actual-Forecast'!$A:$A,'Next 3-Months'!A65,'TY Actual-Forecast'!$L:$L),IF($C$4="NOVEMBER 2015",SUMIF('TY Actual-Forecast'!$A:$A,'Next 3-Months'!A65,'TY Actual-Forecast'!$M:$M),IF($C$4="DECEMBER 2015",SUMIF('TY Actual-Forecast'!$A:$A,'Next 3-Months'!A65,'TY Actual-Forecast'!$N:$N),IF($C$4="JANUARY 2016",SUMIF('TY Actual-Forecast'!$A:$A,'Next 3-Months'!A65,'TY Actual-Forecast'!$Q:$Q),IF($C$4="FEBRUARY 2016",SUMIF('TY Actual-Forecast'!$A:$A,'Next 3-Months'!A65,'TY Actual-Forecast'!$R:$R),IF($C$4="MARCH 2016",SUMIF('TY Actual-Forecast'!$A:$A,'Next 3-Months'!A65,'TY Actual-Forecast'!$S:$S),0))))))))))))))</f>
        <v>3106684.3370486475</v>
      </c>
      <c r="D65" s="31">
        <f>IF($C$4="FEBRUARY 2015",SUMIF('TY Budget'!$A:$A,'Next 3-Months'!$A65,'TY Budget'!$D:$D),IF($C$4="MARCH 2015",SUMIF('TY Budget'!$A:$A,'Next 3-Months'!$A65,'TY Budget'!$E:$E),IF($C$4="APRIL 2015",SUMIF('TY Budget'!$A:$A,'Next 3-Months'!$A65,'TY Budget'!$F:$F),IF($C$4="MAY 2015",SUMIF('TY Budget'!$A:$A,'Next 3-Months'!$A65,'TY Budget'!$G:$G),IF($C$4="JUNE 2015",SUMIF('TY Budget'!$A:$A,'Next 3-Months'!$A65,'TY Budget'!$H:$H),IF($C$4="JULY 2015",SUMIF('TY Budget'!$A:$A,'Next 3-Months'!$A65,'TY Budget'!$I:$I),IF($C$4="AUGUST 2015",SUMIF('TY Budget'!$A:$A,'Next 3-Months'!$A65,'TY Budget'!$J:$J),IF($C$4="SEPTEMBER 2015",SUMIF('TY Budget'!$A:$A,'Next 3-Months'!$A65,'TY Budget'!$K:$K),IF($C$4="OCTOBER 2015",SUMIF('TY Budget'!$A:$A,'Next 3-Months'!$A65,'TY Budget'!$L:$L),IF($C$4="NOVEMBER 2015",SUMIF('TY Budget'!$A:$A,'Next 3-Months'!$A65,'TY Budget'!$M:$M),IF($C$4="DECEMBER 2015",SUMIF('TY Budget'!$A:$A,'Next 3-Months'!$A65,'TY Budget'!$N:$N),IF($C$4="JANUARY 2016",SUMIF('TY Budget'!$A:$A,'Next 3-Months'!$A65,'TY Budget'!$Q:$Q),IF($C$4="FEBRUARY 2016",SUMIF('TY Budget'!$A:$A,'Next 3-Months'!$A65,'TY Budget'!$R:$R),IF($C$4="MARCH 2016",SUMIF('TY Budget'!$A:$A,'Next 3-Months'!$A65,'TY Budget'!$S:$S),0))))))))))))))</f>
        <v>3523500</v>
      </c>
      <c r="E65" s="31">
        <f>IF($C$4="FEBRUARY 2015",SUMIF('TY Budget'!$A:$A,'Next 3-Months'!$A65,'LY Actual'!$D:$D),IF($C$4="MARCH 2015",SUMIF('TY Budget'!$A:$A,'Next 3-Months'!$A65,'LY Actual'!$E:$E),IF($C$4="APRIL 2015",SUMIF('TY Budget'!$A:$A,'Next 3-Months'!$A65,'LY Actual'!$F:$F),IF($C$4="MAY 2015",SUMIF('TY Budget'!$A:$A,'Next 3-Months'!$A65,'LY Actual'!$G:$G),IF($C$4="JUNE 2015",SUMIF('TY Budget'!$A:$A,'Next 3-Months'!$A65,'LY Actual'!$H:$H),IF($C$4="JULY 2015",SUMIF('TY Budget'!$A:$A,'Next 3-Months'!$A65,'LY Actual'!$I:$I),IF($C$4="AUGUST 2015",SUMIF('TY Budget'!$A:$A,'Next 3-Months'!$A65,'LY Actual'!$J:$J),IF($C$4="SEPTEMBER 2015",SUMIF('TY Budget'!$A:$A,'Next 3-Months'!$A65,'LY Actual'!$K:$K),IF($C$4="OCTOBER 2015",SUMIF('TY Budget'!$A:$A,'Next 3-Months'!$A65,'LY Actual'!$L:$L),IF($C$4="NOVEMBER 2015",SUMIF('TY Budget'!$A:$A,'Next 3-Months'!$A65,'LY Actual'!$M:$M),IF($C$4="DECEMBER 2015",SUMIF('TY Budget'!$A:$A,'Next 3-Months'!$A65,'LY Actual'!$N:$N),IF($C$4="JANUARY 2016",SUMIF('TY Budget'!$A:$A,'Next 3-Months'!$A65,'LY Actual'!$Q:$Q),IF($C$4="FEBRUARY 2016",SUMIF('TY Budget'!$A:$A,'Next 3-Months'!$A65,'LY Actual'!$R:$R),IF($C$4="MARCH 2016",SUMIF('TY Budget'!$A:$A,'Next 3-Months'!$A65,'LY Actual'!$S:$S),0))))))))))))))</f>
        <v>2654181.4265999994</v>
      </c>
      <c r="F65" s="27"/>
      <c r="G65" s="31">
        <f>IF($G$4="FEBRUARY 2015",SUMIF('TY Actual-Forecast'!$A:$A,'Next 3-Months'!$A65,'TY Actual-Forecast'!$D:$D),IF($G$4="MARCH 2015",SUMIF('TY Actual-Forecast'!$A:$A,'Next 3-Months'!$A65,'TY Actual-Forecast'!$E:$E),IF($G$4="APRIL 2015",SUMIF('TY Actual-Forecast'!$A:$A,'Next 3-Months'!$A65,'TY Actual-Forecast'!$F:$F),IF($G$4="MAY 2015",SUMIF('TY Actual-Forecast'!$A:$A,'Next 3-Months'!$A65,'TY Actual-Forecast'!$G:$G),IF($G$4="JUNE 2015",SUMIF('TY Actual-Forecast'!$A:$A,'Next 3-Months'!$A65,'TY Actual-Forecast'!$H:$H),IF($G$4="JULY 2015",SUMIF('TY Actual-Forecast'!$A:$A,'Next 3-Months'!$A65,'TY Actual-Forecast'!$I:$I),IF($G$4="AUGUST 2015",SUMIF('TY Actual-Forecast'!$A:$A,'Next 3-Months'!$A65,'TY Actual-Forecast'!$J:$J),IF($G$4="SEPTEMBER 2015",SUMIF('TY Actual-Forecast'!$A:$A,'Next 3-Months'!$A65,'TY Actual-Forecast'!$K:$K),IF($G$4="OCTOBER 2015",SUMIF('TY Actual-Forecast'!$A:$A,'Next 3-Months'!$A65,'TY Actual-Forecast'!$L:$L),IF($G$4="NOVEMBER 2015",SUMIF('TY Actual-Forecast'!$A:$A,'Next 3-Months'!$A65,'TY Actual-Forecast'!$M:$M),IF($G$4="DECEMBER 2015",SUMIF('TY Actual-Forecast'!$A:$A,'Next 3-Months'!$A65,'TY Actual-Forecast'!$N:$N),IF($G$4="JANUARY 2016",SUMIF('TY Actual-Forecast'!$A:$A,'Next 3-Months'!$A65,'TY Actual-Forecast'!$Q:$Q),IF($G$4="FEBRUARY 2016",SUMIF('TY Actual-Forecast'!$A:$A,'Next 3-Months'!$A65,'TY Actual-Forecast'!$R:$R),IF($G$4="MARCH 2016",SUMIF('TY Actual-Forecast'!$A:$A,'Next 3-Months'!$A65,'TY Actual-Forecast'!$S:$S),0))))))))))))))</f>
        <v>2090614.0022031621</v>
      </c>
      <c r="H65" s="31">
        <f>IF($G$4="FEBRUARY 2015",SUMIF('TY Budget'!$A:$A,'Next 3-Months'!$A65,'TY Budget'!$D:$D),IF($G$4="MARCH 2015",SUMIF('TY Budget'!$A:$A,'Next 3-Months'!$A65,'TY Budget'!$E:$E),IF($G$4="APRIL 2015",SUMIF('TY Budget'!$A:$A,'Next 3-Months'!$A65,'TY Budget'!$F:$F),IF($G$4="MAY 2015",SUMIF('TY Budget'!$A:$A,'Next 3-Months'!$A65,'TY Budget'!$G:$G),IF($G$4="JUNE 2015",SUMIF('TY Budget'!$A:$A,'Next 3-Months'!$A65,'TY Budget'!$H:$H),IF($G$4="JULY 2015",SUMIF('TY Budget'!$A:$A,'Next 3-Months'!$A65,'TY Budget'!$I:$I),IF($G$4="AUGUST 2015",SUMIF('TY Budget'!$A:$A,'Next 3-Months'!$A65,'TY Budget'!$J:$J),IF($G$4="SEPTEMBER 2015",SUMIF('TY Budget'!$A:$A,'Next 3-Months'!$A65,'TY Budget'!$K:$K),IF($G$4="OCTOBER 2015",SUMIF('TY Budget'!$A:$A,'Next 3-Months'!$A65,'TY Budget'!$L:$L),IF($G$4="NOVEMBER 2015",SUMIF('TY Budget'!$A:$A,'Next 3-Months'!$A65,'TY Budget'!$M:$M),IF($G$4="DECEMBER 2015",SUMIF('TY Budget'!$A:$A,'Next 3-Months'!$A65,'TY Budget'!$N:$N),IF($G$4="JANUARY 2016",SUMIF('TY Budget'!$A:$A,'Next 3-Months'!$A65,'TY Budget'!$Q:$Q),IF($G$4="FEBRUARY 2016",SUMIF('TY Budget'!$A:$A,'Next 3-Months'!$A65,'TY Budget'!$R:$R),IF($G$4="MARCH 2016",SUMIF('TY Budget'!$A:$A,'Next 3-Months'!$A65,'TY Budget'!$S:$S),0))))))))))))))</f>
        <v>2629000</v>
      </c>
      <c r="I65" s="31">
        <f>IF($G$4="FEBRUARY 2015",SUMIF('TY Budget'!$A:$A,'Next 3-Months'!$A65,'LY Actual'!$D:$D),IF($G$4="MARCH 2015",SUMIF('TY Budget'!$A:$A,'Next 3-Months'!$A65,'LY Actual'!$E:$E),IF($G$4="APRIL 2015",SUMIF('TY Budget'!$A:$A,'Next 3-Months'!$A65,'LY Actual'!$F:$F),IF($G$4="MAY 2015",SUMIF('TY Budget'!$A:$A,'Next 3-Months'!$A65,'LY Actual'!$G:$G),IF($G$4="JUNE 2015",SUMIF('TY Budget'!$A:$A,'Next 3-Months'!$A65,'LY Actual'!$H:$H),IF($G$4="JULY 2015",SUMIF('TY Budget'!$A:$A,'Next 3-Months'!$A65,'LY Actual'!$I:$I),IF($G$4="AUGUST 2015",SUMIF('TY Budget'!$A:$A,'Next 3-Months'!$A65,'LY Actual'!$J:$J),IF($G$4="SEPTEMBER 2015",SUMIF('TY Budget'!$A:$A,'Next 3-Months'!$A65,'LY Actual'!$K:$K),IF($G$4="OCTOBER 2015",SUMIF('TY Budget'!$A:$A,'Next 3-Months'!$A65,'LY Actual'!$L:$L),IF($G$4="NOVEMBER 2015",SUMIF('TY Budget'!$A:$A,'Next 3-Months'!$A65,'LY Actual'!$M:$M),IF($G$4="DECEMBER 2015",SUMIF('TY Budget'!$A:$A,'Next 3-Months'!$A65,'LY Actual'!$N:$N),IF($G$4="JANUARY 2016",SUMIF('TY Budget'!$A:$A,'Next 3-Months'!$A65,'LY Actual'!$Q:$Q),IF($G$4="FEBRUARY 2016",SUMIF('TY Budget'!$A:$A,'Next 3-Months'!$A65,'LY Actual'!$R:$R),IF($G$4="MARCH 2016",SUMIF('TY Budget'!$A:$A,'Next 3-Months'!$A65,'LY Actual'!$S:$S),0))))))))))))))</f>
        <v>1698446.5871999976</v>
      </c>
      <c r="J65" s="28"/>
      <c r="K65" s="31">
        <f>IF($K$4="FEBRUARY 2015",SUMIF('TY Actual-Forecast'!$A:$A,'Next 3-Months'!$A65,'TY Actual-Forecast'!$D:$D),IF($K$4="MARCH 2015",SUMIF('TY Actual-Forecast'!$A:$A,'Next 3-Months'!$A65,'TY Actual-Forecast'!$E:$E),IF($K$4="APRIL 2015",SUMIF('TY Actual-Forecast'!$A:$A,'Next 3-Months'!$A65,'TY Actual-Forecast'!$F:$F),IF($K$4="MAY 2015",SUMIF('TY Actual-Forecast'!$A:$A,'Next 3-Months'!$A65,'TY Actual-Forecast'!$G:$G),IF($K$4="JUNE 2015",SUMIF('TY Actual-Forecast'!$A:$A,'Next 3-Months'!$A65,'TY Actual-Forecast'!$H:$H),IF($K$4="JULY 2015",SUMIF('TY Actual-Forecast'!$A:$A,'Next 3-Months'!$A65,'TY Actual-Forecast'!$I:$I),IF($K$4="AUGUST 2015",SUMIF('TY Actual-Forecast'!$A:$A,'Next 3-Months'!$A65,'TY Actual-Forecast'!$J:$J),IF($K$4="SEPTEMBER 2015",SUMIF('TY Actual-Forecast'!$A:$A,'Next 3-Months'!$A65,'TY Actual-Forecast'!$K:$K),IF($K$4="OCTOBER 2015",SUMIF('TY Actual-Forecast'!$A:$A,'Next 3-Months'!$A65,'TY Actual-Forecast'!$L:$L),IF($K$4="NOVEMBER 2015",SUMIF('TY Actual-Forecast'!$A:$A,'Next 3-Months'!$A65,'TY Actual-Forecast'!$M:$M),IF($K$4="DECEMBER 2015",SUMIF('TY Actual-Forecast'!$A:$A,'Next 3-Months'!$A65,'TY Actual-Forecast'!$N:$N),IF($K$4="JANUARY 2016",SUMIF('TY Actual-Forecast'!$A:$A,'Next 3-Months'!$A65,'TY Actual-Forecast'!$Q:$Q),IF($K$4="FEBRUARY 2016",SUMIF('TY Actual-Forecast'!$A:$A,'Next 3-Months'!$A65,'TY Actual-Forecast'!$R:$R),IF($K$4="MARCH 2016",SUMIF('TY Actual-Forecast'!$A:$A,'Next 3-Months'!$A65,'TY Actual-Forecast'!$S:$S),0))))))))))))))</f>
        <v>2467039.8684092094</v>
      </c>
      <c r="L65" s="31">
        <f>IF($K$4="FEBRUARY 2015",SUMIF('TY Budget'!$A:$A,'Next 3-Months'!$A65,'TY Budget'!$D:$D),IF($K$4="MARCH 2015",SUMIF('TY Budget'!$A:$A,'Next 3-Months'!$A65,'TY Budget'!$E:$E),IF($K$4="APRIL 2015",SUMIF('TY Budget'!$A:$A,'Next 3-Months'!$A65,'TY Budget'!$F:$F),IF($K$4="MAY 2015",SUMIF('TY Budget'!$A:$A,'Next 3-Months'!$A65,'TY Budget'!$G:$G),IF($K$4="JUNE 2015",SUMIF('TY Budget'!$A:$A,'Next 3-Months'!$A65,'TY Budget'!$H:$H),IF($K$4="JULY 2015",SUMIF('TY Budget'!$A:$A,'Next 3-Months'!$A65,'TY Budget'!$I:$I),IF($K$4="AUGUST 2015",SUMIF('TY Budget'!$A:$A,'Next 3-Months'!$A65,'TY Budget'!$J:$J),IF($K$4="SEPTEMBER 2015",SUMIF('TY Budget'!$A:$A,'Next 3-Months'!$A65,'TY Budget'!$K:$K),IF($K$4="OCTOBER 2015",SUMIF('TY Budget'!$A:$A,'Next 3-Months'!$A65,'TY Budget'!$L:$L),IF($K$4="NOVEMBER 2015",SUMIF('TY Budget'!$A:$A,'Next 3-Months'!$A65,'TY Budget'!$M:$M),IF($K$4="DECEMBER 2015",SUMIF('TY Budget'!$A:$A,'Next 3-Months'!$A65,'TY Budget'!$N:$N),IF($K$4="JANUARY 2016",SUMIF('TY Budget'!$A:$A,'Next 3-Months'!$A65,'TY Budget'!$Q:$Q),IF($K$4="FEBRUARY 2016",SUMIF('TY Budget'!$A:$A,'Next 3-Months'!$A65,'TY Budget'!$R:$R),IF($K$4="MARCH 2016",SUMIF('TY Budget'!$A:$A,'Next 3-Months'!$A65,'TY Budget'!$S:$S),0))))))))))))))</f>
        <v>3136500</v>
      </c>
      <c r="M65" s="31">
        <f>IF($K$4="FEBRUARY 2015",SUMIF('TY Budget'!$A:$A,'Next 3-Months'!$A65,'LY Actual'!$D:$D),IF($K$4="MARCH 2015",SUMIF('TY Budget'!$A:$A,'Next 3-Months'!$A65,'LY Actual'!$E:$E),IF($K$4="APRIL 2015",SUMIF('TY Budget'!$A:$A,'Next 3-Months'!$A65,'LY Actual'!$F:$F),IF($K$4="MAY 2015",SUMIF('TY Budget'!$A:$A,'Next 3-Months'!$A65,'LY Actual'!$G:$G),IF($K$4="JUNE 2015",SUMIF('TY Budget'!$A:$A,'Next 3-Months'!$A65,'LY Actual'!$H:$H),IF($K$4="JULY 2015",SUMIF('TY Budget'!$A:$A,'Next 3-Months'!$A65,'LY Actual'!$I:$I),IF($K$4="AUGUST 2015",SUMIF('TY Budget'!$A:$A,'Next 3-Months'!$A65,'LY Actual'!$J:$J),IF($K$4="SEPTEMBER 2015",SUMIF('TY Budget'!$A:$A,'Next 3-Months'!$A65,'LY Actual'!$K:$K),IF($K$4="OCTOBER 2015",SUMIF('TY Budget'!$A:$A,'Next 3-Months'!$A65,'LY Actual'!$L:$L),IF($K$4="NOVEMBER 2015",SUMIF('TY Budget'!$A:$A,'Next 3-Months'!$A65,'LY Actual'!$M:$M),IF($K$4="DECEMBER 2015",SUMIF('TY Budget'!$A:$A,'Next 3-Months'!$A65,'LY Actual'!$N:$N),IF($K$4="JANUARY 2016",SUMIF('TY Budget'!$A:$A,'Next 3-Months'!$A65,'LY Actual'!$Q:$Q),IF($K$4="FEBRUARY 2016",SUMIF('TY Budget'!$A:$A,'Next 3-Months'!$A65,'LY Actual'!$R:$R),IF($K$4="MARCH 2016",SUMIF('TY Budget'!$A:$A,'Next 3-Months'!$A65,'LY Actual'!$S:$S),0))))))))))))))</f>
        <v>4747348.6609999985</v>
      </c>
      <c r="O65" s="31">
        <f>(D65+H65+L65)-(C65+G65+K65)</f>
        <v>1624661.7923389804</v>
      </c>
      <c r="P65" s="31">
        <f>(E65+I65+M65)-(C65+G65+K65)</f>
        <v>1435638.4671389759</v>
      </c>
    </row>
    <row r="66" spans="1:16" ht="15">
      <c r="A66" s="18"/>
      <c r="B66" s="18"/>
      <c r="C66" s="40"/>
      <c r="D66" s="40"/>
      <c r="E66" s="40"/>
      <c r="F66" s="27"/>
      <c r="G66" s="40"/>
      <c r="H66" s="40"/>
      <c r="I66" s="40"/>
      <c r="J66" s="28"/>
      <c r="K66" s="40"/>
      <c r="L66" s="40"/>
      <c r="M66" s="40"/>
      <c r="O66" s="40"/>
      <c r="P66" s="40"/>
    </row>
    <row r="67" spans="1:16" s="24" customFormat="1" ht="24" customHeight="1" thickBot="1">
      <c r="A67" s="18" t="s">
        <v>25</v>
      </c>
      <c r="B67" s="18"/>
      <c r="C67" s="74">
        <f>C63-C65</f>
        <v>11014608.104081567</v>
      </c>
      <c r="D67" s="74">
        <f>D63-D65</f>
        <v>12494997</v>
      </c>
      <c r="E67" s="74">
        <f>E63-E65</f>
        <v>9410279.6033999976</v>
      </c>
      <c r="F67" s="37"/>
      <c r="G67" s="74">
        <f>G63-G65</f>
        <v>7412176.9169021202</v>
      </c>
      <c r="H67" s="74">
        <f>H63-H65</f>
        <v>9322000</v>
      </c>
      <c r="I67" s="74">
        <f>I63-I65</f>
        <v>6021765.1727999914</v>
      </c>
      <c r="J67" s="38"/>
      <c r="K67" s="74">
        <f t="shared" ref="K67:M67" si="25">K63-K65</f>
        <v>8746777.7152690161</v>
      </c>
      <c r="L67" s="74">
        <f t="shared" si="25"/>
        <v>11121800</v>
      </c>
      <c r="M67" s="74">
        <f t="shared" si="25"/>
        <v>16831508.888999995</v>
      </c>
      <c r="O67" s="74">
        <f>(C67+G67+K67)-(D67+H67+L67)</f>
        <v>-5765234.2637472972</v>
      </c>
      <c r="P67" s="74">
        <f>(C67+G67+K67)-(E67+I67+M67)</f>
        <v>-5089990.9289472811</v>
      </c>
    </row>
    <row r="68" spans="1:16" s="44" customFormat="1" ht="15">
      <c r="A68" s="50"/>
      <c r="B68" s="50"/>
      <c r="C68" s="51">
        <f>IFERROR(C67/C$8,)</f>
        <v>0.22534244469087478</v>
      </c>
      <c r="D68" s="51">
        <f>IFERROR(D67/D$8,)</f>
        <v>0.24520524046603726</v>
      </c>
      <c r="E68" s="51">
        <f>IFERROR(E67/E$8,)</f>
        <v>0.21506666723348719</v>
      </c>
      <c r="F68" s="43"/>
      <c r="G68" s="51">
        <f>IFERROR(G67/G$8,)</f>
        <v>0.17828863767033645</v>
      </c>
      <c r="H68" s="51">
        <f>IFERROR(H67/H$8,)</f>
        <v>0.20920577212235464</v>
      </c>
      <c r="I68" s="51">
        <f>IFERROR(I67/I$8,)</f>
        <v>0.16103233102364503</v>
      </c>
      <c r="J68" s="43"/>
      <c r="K68" s="51">
        <f t="shared" ref="K68:M68" si="26">IFERROR(K67/K$8,)</f>
        <v>0.19864000350884486</v>
      </c>
      <c r="L68" s="51">
        <f t="shared" si="26"/>
        <v>0.22850603429501271</v>
      </c>
      <c r="M68" s="51">
        <f t="shared" si="26"/>
        <v>0.35821040859756942</v>
      </c>
      <c r="O68" s="51"/>
      <c r="P68" s="51"/>
    </row>
    <row r="69" spans="1:16" s="44" customFormat="1" ht="15">
      <c r="A69" s="50"/>
      <c r="B69" s="50"/>
      <c r="C69" s="26"/>
      <c r="D69" s="26"/>
      <c r="E69" s="26"/>
      <c r="F69" s="43"/>
      <c r="G69" s="26"/>
      <c r="H69" s="26"/>
      <c r="I69" s="26"/>
      <c r="J69" s="43"/>
      <c r="K69" s="26"/>
      <c r="L69" s="26"/>
      <c r="M69" s="26"/>
      <c r="O69" s="26"/>
      <c r="P69" s="26"/>
    </row>
    <row r="70" spans="1:16" ht="15">
      <c r="A70" s="1" t="s">
        <v>4</v>
      </c>
      <c r="B70" s="1"/>
      <c r="D70" s="53"/>
      <c r="E70" s="53"/>
      <c r="G70" s="54"/>
      <c r="H70" s="33"/>
      <c r="I70" s="54"/>
      <c r="J70" s="54"/>
      <c r="K70" s="54"/>
      <c r="L70" s="20"/>
      <c r="M70" s="20"/>
      <c r="O70" s="20"/>
      <c r="P70" s="20"/>
    </row>
    <row r="71" spans="1:16" s="53" customFormat="1" ht="15">
      <c r="A71" s="56" t="s">
        <v>206</v>
      </c>
      <c r="B71" s="57"/>
      <c r="C71" s="58">
        <f>IF($C$4="FEBRUARY 2015",SUMIF('TY Actual-Forecast'!$A:$A,'Next 3-Months'!A71,'TY Actual-Forecast'!$D:$D),IF($C$4="MARCH 2015",SUMIF('TY Actual-Forecast'!$A:$A,'Next 3-Months'!A71,'TY Actual-Forecast'!$E:$E),IF($C$4="APRIL 2015",SUMIF('TY Actual-Forecast'!$A:$A,'Next 3-Months'!A71,'TY Actual-Forecast'!$F:$F),IF($C$4="MAY 2015",SUMIF('TY Actual-Forecast'!$A:$A,'Next 3-Months'!A71,'TY Actual-Forecast'!$G:$G),IF($C$4="JUNE 2015",SUMIF('TY Actual-Forecast'!$A:$A,'Next 3-Months'!A71,'TY Actual-Forecast'!$H:$H),IF($C$4="JULY 2015",SUMIF('TY Actual-Forecast'!$A:$A,'Next 3-Months'!A71,'TY Actual-Forecast'!$I:$I),IF($C$4="AUGUST 2015",SUMIF('TY Actual-Forecast'!$A:$A,'Next 3-Months'!A71,'TY Actual-Forecast'!$J:$J),IF($C$4="SEPTEMBER 2015",SUMIF('TY Actual-Forecast'!$A:$A,'Next 3-Months'!A71,'TY Actual-Forecast'!$K:$K),IF($C$4="OCTOBER 2015",SUMIF('TY Actual-Forecast'!$A:$A,'Next 3-Months'!A71,'TY Actual-Forecast'!$L:$L),IF($C$4="NOVEMBER 2015",SUMIF('TY Actual-Forecast'!$A:$A,'Next 3-Months'!A71,'TY Actual-Forecast'!$M:$M),IF($C$4="DECEMBER 2015",SUMIF('TY Actual-Forecast'!$A:$A,'Next 3-Months'!A71,'TY Actual-Forecast'!$N:$N),IF($C$4="JANUARY 2016",SUMIF('TY Actual-Forecast'!$A:$A,'Next 3-Months'!A71,'TY Actual-Forecast'!$Q:$Q),IF($C$4="FEBRUARY 2016",SUMIF('TY Actual-Forecast'!$A:$A,'Next 3-Months'!A71,'TY Actual-Forecast'!$R:$R),IF($C$4="MARCH 2016",SUMIF('TY Actual-Forecast'!$A:$A,'Next 3-Months'!A71,'TY Actual-Forecast'!$S:$S),0))))))))))))))</f>
        <v>8091</v>
      </c>
      <c r="D71" s="58">
        <f>IF($C$4="FEBRUARY 2015",SUMIF('TY Budget'!$A:$A,'Next 3-Months'!$A71,'TY Budget'!$D:$D),IF($C$4="MARCH 2015",SUMIF('TY Budget'!$A:$A,'Next 3-Months'!$A71,'TY Budget'!$E:$E),IF($C$4="APRIL 2015",SUMIF('TY Budget'!$A:$A,'Next 3-Months'!$A71,'TY Budget'!$F:$F),IF($C$4="MAY 2015",SUMIF('TY Budget'!$A:$A,'Next 3-Months'!$A71,'TY Budget'!$G:$G),IF($C$4="JUNE 2015",SUMIF('TY Budget'!$A:$A,'Next 3-Months'!$A71,'TY Budget'!$H:$H),IF($C$4="JULY 2015",SUMIF('TY Budget'!$A:$A,'Next 3-Months'!$A71,'TY Budget'!$I:$I),IF($C$4="AUGUST 2015",SUMIF('TY Budget'!$A:$A,'Next 3-Months'!$A71,'TY Budget'!$J:$J),IF($C$4="SEPTEMBER 2015",SUMIF('TY Budget'!$A:$A,'Next 3-Months'!$A71,'TY Budget'!$K:$K),IF($C$4="OCTOBER 2015",SUMIF('TY Budget'!$A:$A,'Next 3-Months'!$A71,'TY Budget'!$L:$L),IF($C$4="NOVEMBER 2015",SUMIF('TY Budget'!$A:$A,'Next 3-Months'!$A71,'TY Budget'!$M:$M),IF($C$4="DECEMBER 2015",SUMIF('TY Budget'!$A:$A,'Next 3-Months'!$A71,'TY Budget'!$N:$N),IF($C$4="JANUARY 2016",SUMIF('TY Budget'!$A:$A,'Next 3-Months'!$A71,'TY Budget'!$Q:$Q),IF($C$4="FEBRUARY 2016",SUMIF('TY Budget'!$A:$A,'Next 3-Months'!$A71,'TY Budget'!$R:$R),IF($C$4="MARCH 2016",SUMIF('TY Budget'!$A:$A,'Next 3-Months'!$A71,'TY Budget'!$S:$S),0))))))))))))))</f>
        <v>8091</v>
      </c>
      <c r="E71" s="58">
        <f>IF($C$4="FEBRUARY 2015",SUMIF('TY Budget'!$A:$A,'Next 3-Months'!$A71,'LY Actual'!$D:$D),IF($C$4="MARCH 2015",SUMIF('TY Budget'!$A:$A,'Next 3-Months'!$A71,'LY Actual'!$E:$E),IF($C$4="APRIL 2015",SUMIF('TY Budget'!$A:$A,'Next 3-Months'!$A71,'LY Actual'!$F:$F),IF($C$4="MAY 2015",SUMIF('TY Budget'!$A:$A,'Next 3-Months'!$A71,'LY Actual'!$G:$G),IF($C$4="JUNE 2015",SUMIF('TY Budget'!$A:$A,'Next 3-Months'!$A71,'LY Actual'!$H:$H),IF($C$4="JULY 2015",SUMIF('TY Budget'!$A:$A,'Next 3-Months'!$A71,'LY Actual'!$I:$I),IF($C$4="AUGUST 2015",SUMIF('TY Budget'!$A:$A,'Next 3-Months'!$A71,'LY Actual'!$J:$J),IF($C$4="SEPTEMBER 2015",SUMIF('TY Budget'!$A:$A,'Next 3-Months'!$A71,'LY Actual'!$K:$K),IF($C$4="OCTOBER 2015",SUMIF('TY Budget'!$A:$A,'Next 3-Months'!$A71,'LY Actual'!$L:$L),IF($C$4="NOVEMBER 2015",SUMIF('TY Budget'!$A:$A,'Next 3-Months'!$A71,'LY Actual'!$M:$M),IF($C$4="DECEMBER 2015",SUMIF('TY Budget'!$A:$A,'Next 3-Months'!$A71,'LY Actual'!$N:$N),IF($C$4="JANUARY 2016",SUMIF('TY Budget'!$A:$A,'Next 3-Months'!$A71,'LY Actual'!$Q:$Q),IF($C$4="FEBRUARY 2016",SUMIF('TY Budget'!$A:$A,'Next 3-Months'!$A71,'LY Actual'!$R:$R),IF($C$4="MARCH 2016",SUMIF('TY Budget'!$A:$A,'Next 3-Months'!$A71,'LY Actual'!$S:$S),0))))))))))))))</f>
        <v>8091</v>
      </c>
      <c r="G71" s="58">
        <f>IF($G$4="FEBRUARY 2015",SUMIF('TY Actual-Forecast'!$A:$A,'Next 3-Months'!$A71,'TY Actual-Forecast'!$D:$D),IF($G$4="MARCH 2015",SUMIF('TY Actual-Forecast'!$A:$A,'Next 3-Months'!$A71,'TY Actual-Forecast'!$E:$E),IF($G$4="APRIL 2015",SUMIF('TY Actual-Forecast'!$A:$A,'Next 3-Months'!$A71,'TY Actual-Forecast'!$F:$F),IF($G$4="MAY 2015",SUMIF('TY Actual-Forecast'!$A:$A,'Next 3-Months'!$A71,'TY Actual-Forecast'!$G:$G),IF($G$4="JUNE 2015",SUMIF('TY Actual-Forecast'!$A:$A,'Next 3-Months'!$A71,'TY Actual-Forecast'!$H:$H),IF($G$4="JULY 2015",SUMIF('TY Actual-Forecast'!$A:$A,'Next 3-Months'!$A71,'TY Actual-Forecast'!$I:$I),IF($G$4="AUGUST 2015",SUMIF('TY Actual-Forecast'!$A:$A,'Next 3-Months'!$A71,'TY Actual-Forecast'!$J:$J),IF($G$4="SEPTEMBER 2015",SUMIF('TY Actual-Forecast'!$A:$A,'Next 3-Months'!$A71,'TY Actual-Forecast'!$K:$K),IF($G$4="OCTOBER 2015",SUMIF('TY Actual-Forecast'!$A:$A,'Next 3-Months'!$A71,'TY Actual-Forecast'!$L:$L),IF($G$4="NOVEMBER 2015",SUMIF('TY Actual-Forecast'!$A:$A,'Next 3-Months'!$A71,'TY Actual-Forecast'!$M:$M),IF($G$4="DECEMBER 2015",SUMIF('TY Actual-Forecast'!$A:$A,'Next 3-Months'!$A71,'TY Actual-Forecast'!$N:$N),IF($G$4="JANUARY 2016",SUMIF('TY Actual-Forecast'!$A:$A,'Next 3-Months'!$A71,'TY Actual-Forecast'!$Q:$Q),IF($G$4="FEBRUARY 2016",SUMIF('TY Actual-Forecast'!$A:$A,'Next 3-Months'!$A71,'TY Actual-Forecast'!$R:$R),IF($G$4="MARCH 2016",SUMIF('TY Actual-Forecast'!$A:$A,'Next 3-Months'!$A71,'TY Actual-Forecast'!$S:$S),0))))))))))))))</f>
        <v>7569</v>
      </c>
      <c r="H71" s="58">
        <f>IF($G$4="FEBRUARY 2015",SUMIF('TY Budget'!$A:$A,'Next 3-Months'!$A71,'TY Budget'!$D:$D),IF($G$4="MARCH 2015",SUMIF('TY Budget'!$A:$A,'Next 3-Months'!$A71,'TY Budget'!$E:$E),IF($G$4="APRIL 2015",SUMIF('TY Budget'!$A:$A,'Next 3-Months'!$A71,'TY Budget'!$F:$F),IF($G$4="MAY 2015",SUMIF('TY Budget'!$A:$A,'Next 3-Months'!$A71,'TY Budget'!$G:$G),IF($G$4="JUNE 2015",SUMIF('TY Budget'!$A:$A,'Next 3-Months'!$A71,'TY Budget'!$H:$H),IF($G$4="JULY 2015",SUMIF('TY Budget'!$A:$A,'Next 3-Months'!$A71,'TY Budget'!$I:$I),IF($G$4="AUGUST 2015",SUMIF('TY Budget'!$A:$A,'Next 3-Months'!$A71,'TY Budget'!$J:$J),IF($G$4="SEPTEMBER 2015",SUMIF('TY Budget'!$A:$A,'Next 3-Months'!$A71,'TY Budget'!$K:$K),IF($G$4="OCTOBER 2015",SUMIF('TY Budget'!$A:$A,'Next 3-Months'!$A71,'TY Budget'!$L:$L),IF($G$4="NOVEMBER 2015",SUMIF('TY Budget'!$A:$A,'Next 3-Months'!$A71,'TY Budget'!$M:$M),IF($G$4="DECEMBER 2015",SUMIF('TY Budget'!$A:$A,'Next 3-Months'!$A71,'TY Budget'!$N:$N),IF($G$4="JANUARY 2016",SUMIF('TY Budget'!$A:$A,'Next 3-Months'!$A71,'TY Budget'!$Q:$Q),IF($G$4="FEBRUARY 2016",SUMIF('TY Budget'!$A:$A,'Next 3-Months'!$A71,'TY Budget'!$R:$R),IF($G$4="MARCH 2016",SUMIF('TY Budget'!$A:$A,'Next 3-Months'!$A71,'TY Budget'!$S:$S),0))))))))))))))</f>
        <v>7569</v>
      </c>
      <c r="I71" s="58">
        <f>IF($G$4="FEBRUARY 2015",SUMIF('TY Budget'!$A:$A,'Next 3-Months'!$A71,'LY Actual'!$D:$D),IF($G$4="MARCH 2015",SUMIF('TY Budget'!$A:$A,'Next 3-Months'!$A71,'LY Actual'!$E:$E),IF($G$4="APRIL 2015",SUMIF('TY Budget'!$A:$A,'Next 3-Months'!$A71,'LY Actual'!$F:$F),IF($G$4="MAY 2015",SUMIF('TY Budget'!$A:$A,'Next 3-Months'!$A71,'LY Actual'!$G:$G),IF($G$4="JUNE 2015",SUMIF('TY Budget'!$A:$A,'Next 3-Months'!$A71,'LY Actual'!$H:$H),IF($G$4="JULY 2015",SUMIF('TY Budget'!$A:$A,'Next 3-Months'!$A71,'LY Actual'!$I:$I),IF($G$4="AUGUST 2015",SUMIF('TY Budget'!$A:$A,'Next 3-Months'!$A71,'LY Actual'!$J:$J),IF($G$4="SEPTEMBER 2015",SUMIF('TY Budget'!$A:$A,'Next 3-Months'!$A71,'LY Actual'!$K:$K),IF($G$4="OCTOBER 2015",SUMIF('TY Budget'!$A:$A,'Next 3-Months'!$A71,'LY Actual'!$L:$L),IF($G$4="NOVEMBER 2015",SUMIF('TY Budget'!$A:$A,'Next 3-Months'!$A71,'LY Actual'!$M:$M),IF($G$4="DECEMBER 2015",SUMIF('TY Budget'!$A:$A,'Next 3-Months'!$A71,'LY Actual'!$N:$N),IF($G$4="JANUARY 2016",SUMIF('TY Budget'!$A:$A,'Next 3-Months'!$A71,'LY Actual'!$Q:$Q),IF($G$4="FEBRUARY 2016",SUMIF('TY Budget'!$A:$A,'Next 3-Months'!$A71,'LY Actual'!$R:$R),IF($G$4="MARCH 2016",SUMIF('TY Budget'!$A:$A,'Next 3-Months'!$A71,'LY Actual'!$S:$S),0))))))))))))))</f>
        <v>7308</v>
      </c>
      <c r="J71" s="54"/>
      <c r="K71" s="58">
        <f>IF($K$4="FEBRUARY 2015",SUMIF('TY Actual-Forecast'!$A:$A,'Next 3-Months'!$A71,'TY Actual-Forecast'!$D:$D),IF($K$4="MARCH 2015",SUMIF('TY Actual-Forecast'!$A:$A,'Next 3-Months'!$A71,'TY Actual-Forecast'!$E:$E),IF($K$4="APRIL 2015",SUMIF('TY Actual-Forecast'!$A:$A,'Next 3-Months'!$A71,'TY Actual-Forecast'!$F:$F),IF($K$4="MAY 2015",SUMIF('TY Actual-Forecast'!$A:$A,'Next 3-Months'!$A71,'TY Actual-Forecast'!$G:$G),IF($K$4="JUNE 2015",SUMIF('TY Actual-Forecast'!$A:$A,'Next 3-Months'!$A71,'TY Actual-Forecast'!$H:$H),IF($K$4="JULY 2015",SUMIF('TY Actual-Forecast'!$A:$A,'Next 3-Months'!$A71,'TY Actual-Forecast'!$I:$I),IF($K$4="AUGUST 2015",SUMIF('TY Actual-Forecast'!$A:$A,'Next 3-Months'!$A71,'TY Actual-Forecast'!$J:$J),IF($K$4="SEPTEMBER 2015",SUMIF('TY Actual-Forecast'!$A:$A,'Next 3-Months'!$A71,'TY Actual-Forecast'!$K:$K),IF($K$4="OCTOBER 2015",SUMIF('TY Actual-Forecast'!$A:$A,'Next 3-Months'!$A71,'TY Actual-Forecast'!$L:$L),IF($K$4="NOVEMBER 2015",SUMIF('TY Actual-Forecast'!$A:$A,'Next 3-Months'!$A71,'TY Actual-Forecast'!$M:$M),IF($K$4="DECEMBER 2015",SUMIF('TY Actual-Forecast'!$A:$A,'Next 3-Months'!$A71,'TY Actual-Forecast'!$N:$N),IF($K$4="JANUARY 2016",SUMIF('TY Actual-Forecast'!$A:$A,'Next 3-Months'!$A71,'TY Actual-Forecast'!$Q:$Q),IF($K$4="FEBRUARY 2016",SUMIF('TY Actual-Forecast'!$A:$A,'Next 3-Months'!$A71,'TY Actual-Forecast'!$R:$R),IF($K$4="MARCH 2016",SUMIF('TY Actual-Forecast'!$A:$A,'Next 3-Months'!$A71,'TY Actual-Forecast'!$S:$S),0))))))))))))))</f>
        <v>8091</v>
      </c>
      <c r="L71" s="58">
        <f>IF($K$4="FEBRUARY 2015",SUMIF('TY Budget'!$A:$A,'Next 3-Months'!$A71,'TY Budget'!$D:$D),IF($K$4="MARCH 2015",SUMIF('TY Budget'!$A:$A,'Next 3-Months'!$A71,'TY Budget'!$E:$E),IF($K$4="APRIL 2015",SUMIF('TY Budget'!$A:$A,'Next 3-Months'!$A71,'TY Budget'!$F:$F),IF($K$4="MAY 2015",SUMIF('TY Budget'!$A:$A,'Next 3-Months'!$A71,'TY Budget'!$G:$G),IF($K$4="JUNE 2015",SUMIF('TY Budget'!$A:$A,'Next 3-Months'!$A71,'TY Budget'!$H:$H),IF($K$4="JULY 2015",SUMIF('TY Budget'!$A:$A,'Next 3-Months'!$A71,'TY Budget'!$I:$I),IF($K$4="AUGUST 2015",SUMIF('TY Budget'!$A:$A,'Next 3-Months'!$A71,'TY Budget'!$J:$J),IF($K$4="SEPTEMBER 2015",SUMIF('TY Budget'!$A:$A,'Next 3-Months'!$A71,'TY Budget'!$K:$K),IF($K$4="OCTOBER 2015",SUMIF('TY Budget'!$A:$A,'Next 3-Months'!$A71,'TY Budget'!$L:$L),IF($K$4="NOVEMBER 2015",SUMIF('TY Budget'!$A:$A,'Next 3-Months'!$A71,'TY Budget'!$M:$M),IF($K$4="DECEMBER 2015",SUMIF('TY Budget'!$A:$A,'Next 3-Months'!$A71,'TY Budget'!$N:$N),IF($K$4="JANUARY 2016",SUMIF('TY Budget'!$A:$A,'Next 3-Months'!$A71,'TY Budget'!$Q:$Q),IF($K$4="FEBRUARY 2016",SUMIF('TY Budget'!$A:$A,'Next 3-Months'!$A71,'TY Budget'!$R:$R),IF($K$4="MARCH 2016",SUMIF('TY Budget'!$A:$A,'Next 3-Months'!$A71,'TY Budget'!$S:$S),0))))))))))))))</f>
        <v>8091</v>
      </c>
      <c r="M71" s="58">
        <f>IF($K$4="FEBRUARY 2015",SUMIF('TY Budget'!$A:$A,'Next 3-Months'!$A71,'LY Actual'!$D:$D),IF($K$4="MARCH 2015",SUMIF('TY Budget'!$A:$A,'Next 3-Months'!$A71,'LY Actual'!$E:$E),IF($K$4="APRIL 2015",SUMIF('TY Budget'!$A:$A,'Next 3-Months'!$A71,'LY Actual'!$F:$F),IF($K$4="MAY 2015",SUMIF('TY Budget'!$A:$A,'Next 3-Months'!$A71,'LY Actual'!$G:$G),IF($K$4="JUNE 2015",SUMIF('TY Budget'!$A:$A,'Next 3-Months'!$A71,'LY Actual'!$H:$H),IF($K$4="JULY 2015",SUMIF('TY Budget'!$A:$A,'Next 3-Months'!$A71,'LY Actual'!$I:$I),IF($K$4="AUGUST 2015",SUMIF('TY Budget'!$A:$A,'Next 3-Months'!$A71,'LY Actual'!$J:$J),IF($K$4="SEPTEMBER 2015",SUMIF('TY Budget'!$A:$A,'Next 3-Months'!$A71,'LY Actual'!$K:$K),IF($K$4="OCTOBER 2015",SUMIF('TY Budget'!$A:$A,'Next 3-Months'!$A71,'LY Actual'!$L:$L),IF($K$4="NOVEMBER 2015",SUMIF('TY Budget'!$A:$A,'Next 3-Months'!$A71,'LY Actual'!$M:$M),IF($K$4="DECEMBER 2015",SUMIF('TY Budget'!$A:$A,'Next 3-Months'!$A71,'LY Actual'!$N:$N),IF($K$4="JANUARY 2016",SUMIF('TY Budget'!$A:$A,'Next 3-Months'!$A71,'LY Actual'!$Q:$Q),IF($K$4="FEBRUARY 2016",SUMIF('TY Budget'!$A:$A,'Next 3-Months'!$A71,'LY Actual'!$R:$R),IF($K$4="MARCH 2016",SUMIF('TY Budget'!$A:$A,'Next 3-Months'!$A71,'LY Actual'!$S:$S),0))))))))))))))</f>
        <v>8091</v>
      </c>
      <c r="O71" s="58">
        <f>(C71+G71+K71)-(D71+H71+L71)</f>
        <v>0</v>
      </c>
      <c r="P71" s="58">
        <f>(C71+G71+K71)-(E71+I71+M71)</f>
        <v>261</v>
      </c>
    </row>
    <row r="72" spans="1:16" s="53" customFormat="1" ht="15.75" customHeight="1">
      <c r="A72" s="56" t="s">
        <v>13</v>
      </c>
      <c r="B72" s="57"/>
      <c r="C72" s="58">
        <f>IF($C$4="FEBRUARY 2015",SUMIF('TY Actual-Forecast'!$A:$A,'Next 3-Months'!A72,'TY Actual-Forecast'!$D:$D),IF($C$4="MARCH 2015",SUMIF('TY Actual-Forecast'!$A:$A,'Next 3-Months'!A72,'TY Actual-Forecast'!$E:$E),IF($C$4="APRIL 2015",SUMIF('TY Actual-Forecast'!$A:$A,'Next 3-Months'!A72,'TY Actual-Forecast'!$F:$F),IF($C$4="MAY 2015",SUMIF('TY Actual-Forecast'!$A:$A,'Next 3-Months'!A72,'TY Actual-Forecast'!$G:$G),IF($C$4="JUNE 2015",SUMIF('TY Actual-Forecast'!$A:$A,'Next 3-Months'!A72,'TY Actual-Forecast'!$H:$H),IF($C$4="JULY 2015",SUMIF('TY Actual-Forecast'!$A:$A,'Next 3-Months'!A72,'TY Actual-Forecast'!$I:$I),IF($C$4="AUGUST 2015",SUMIF('TY Actual-Forecast'!$A:$A,'Next 3-Months'!A72,'TY Actual-Forecast'!$J:$J),IF($C$4="SEPTEMBER 2015",SUMIF('TY Actual-Forecast'!$A:$A,'Next 3-Months'!A72,'TY Actual-Forecast'!$K:$K),IF($C$4="OCTOBER 2015",SUMIF('TY Actual-Forecast'!$A:$A,'Next 3-Months'!A72,'TY Actual-Forecast'!$L:$L),IF($C$4="NOVEMBER 2015",SUMIF('TY Actual-Forecast'!$A:$A,'Next 3-Months'!A72,'TY Actual-Forecast'!$M:$M),IF($C$4="DECEMBER 2015",SUMIF('TY Actual-Forecast'!$A:$A,'Next 3-Months'!A72,'TY Actual-Forecast'!$N:$N),IF($C$4="JANUARY 2016",SUMIF('TY Actual-Forecast'!$A:$A,'Next 3-Months'!A72,'TY Actual-Forecast'!$Q:$Q),IF($C$4="FEBRUARY 2016",SUMIF('TY Actual-Forecast'!$A:$A,'Next 3-Months'!A72,'TY Actual-Forecast'!$R:$R),IF($C$4="MARCH 2016",SUMIF('TY Actual-Forecast'!$A:$A,'Next 3-Months'!A72,'TY Actual-Forecast'!$S:$S),0))))))))))))))</f>
        <v>5268</v>
      </c>
      <c r="D72" s="58">
        <f>IF($C$4="FEBRUARY 2015",SUMIF('TY Budget'!$A:$A,'Next 3-Months'!$A72,'TY Budget'!$D:$D),IF($C$4="MARCH 2015",SUMIF('TY Budget'!$A:$A,'Next 3-Months'!$A72,'TY Budget'!$E:$E),IF($C$4="APRIL 2015",SUMIF('TY Budget'!$A:$A,'Next 3-Months'!$A72,'TY Budget'!$F:$F),IF($C$4="MAY 2015",SUMIF('TY Budget'!$A:$A,'Next 3-Months'!$A72,'TY Budget'!$G:$G),IF($C$4="JUNE 2015",SUMIF('TY Budget'!$A:$A,'Next 3-Months'!$A72,'TY Budget'!$H:$H),IF($C$4="JULY 2015",SUMIF('TY Budget'!$A:$A,'Next 3-Months'!$A72,'TY Budget'!$I:$I),IF($C$4="AUGUST 2015",SUMIF('TY Budget'!$A:$A,'Next 3-Months'!$A72,'TY Budget'!$J:$J),IF($C$4="SEPTEMBER 2015",SUMIF('TY Budget'!$A:$A,'Next 3-Months'!$A72,'TY Budget'!$K:$K),IF($C$4="OCTOBER 2015",SUMIF('TY Budget'!$A:$A,'Next 3-Months'!$A72,'TY Budget'!$L:$L),IF($C$4="NOVEMBER 2015",SUMIF('TY Budget'!$A:$A,'Next 3-Months'!$A72,'TY Budget'!$M:$M),IF($C$4="DECEMBER 2015",SUMIF('TY Budget'!$A:$A,'Next 3-Months'!$A72,'TY Budget'!$N:$N),IF($C$4="JANUARY 2016",SUMIF('TY Budget'!$A:$A,'Next 3-Months'!$A72,'TY Budget'!$Q:$Q),IF($C$4="FEBRUARY 2016",SUMIF('TY Budget'!$A:$A,'Next 3-Months'!$A72,'TY Budget'!$R:$R),IF($C$4="MARCH 2016",SUMIF('TY Budget'!$A:$A,'Next 3-Months'!$A72,'TY Budget'!$S:$S),0))))))))))))))</f>
        <v>5295</v>
      </c>
      <c r="E72" s="58">
        <f>IF($C$4="FEBRUARY 2015",SUMIF('TY Budget'!$A:$A,'Next 3-Months'!$A72,'LY Actual'!$D:$D),IF($C$4="MARCH 2015",SUMIF('TY Budget'!$A:$A,'Next 3-Months'!$A72,'LY Actual'!$E:$E),IF($C$4="APRIL 2015",SUMIF('TY Budget'!$A:$A,'Next 3-Months'!$A72,'LY Actual'!$F:$F),IF($C$4="MAY 2015",SUMIF('TY Budget'!$A:$A,'Next 3-Months'!$A72,'LY Actual'!$G:$G),IF($C$4="JUNE 2015",SUMIF('TY Budget'!$A:$A,'Next 3-Months'!$A72,'LY Actual'!$H:$H),IF($C$4="JULY 2015",SUMIF('TY Budget'!$A:$A,'Next 3-Months'!$A72,'LY Actual'!$I:$I),IF($C$4="AUGUST 2015",SUMIF('TY Budget'!$A:$A,'Next 3-Months'!$A72,'LY Actual'!$J:$J),IF($C$4="SEPTEMBER 2015",SUMIF('TY Budget'!$A:$A,'Next 3-Months'!$A72,'LY Actual'!$K:$K),IF($C$4="OCTOBER 2015",SUMIF('TY Budget'!$A:$A,'Next 3-Months'!$A72,'LY Actual'!$L:$L),IF($C$4="NOVEMBER 2015",SUMIF('TY Budget'!$A:$A,'Next 3-Months'!$A72,'LY Actual'!$M:$M),IF($C$4="DECEMBER 2015",SUMIF('TY Budget'!$A:$A,'Next 3-Months'!$A72,'LY Actual'!$N:$N),IF($C$4="JANUARY 2016",SUMIF('TY Budget'!$A:$A,'Next 3-Months'!$A72,'LY Actual'!$Q:$Q),IF($C$4="FEBRUARY 2016",SUMIF('TY Budget'!$A:$A,'Next 3-Months'!$A72,'LY Actual'!$R:$R),IF($C$4="MARCH 2016",SUMIF('TY Budget'!$A:$A,'Next 3-Months'!$A72,'LY Actual'!$S:$S),0))))))))))))))</f>
        <v>5087</v>
      </c>
      <c r="G72" s="58">
        <f>IF($G$4="FEBRUARY 2015",SUMIF('TY Actual-Forecast'!$A:$A,'Next 3-Months'!$A72,'TY Actual-Forecast'!$D:$D),IF($G$4="MARCH 2015",SUMIF('TY Actual-Forecast'!$A:$A,'Next 3-Months'!$A72,'TY Actual-Forecast'!$E:$E),IF($G$4="APRIL 2015",SUMIF('TY Actual-Forecast'!$A:$A,'Next 3-Months'!$A72,'TY Actual-Forecast'!$F:$F),IF($G$4="MAY 2015",SUMIF('TY Actual-Forecast'!$A:$A,'Next 3-Months'!$A72,'TY Actual-Forecast'!$G:$G),IF($G$4="JUNE 2015",SUMIF('TY Actual-Forecast'!$A:$A,'Next 3-Months'!$A72,'TY Actual-Forecast'!$H:$H),IF($G$4="JULY 2015",SUMIF('TY Actual-Forecast'!$A:$A,'Next 3-Months'!$A72,'TY Actual-Forecast'!$I:$I),IF($G$4="AUGUST 2015",SUMIF('TY Actual-Forecast'!$A:$A,'Next 3-Months'!$A72,'TY Actual-Forecast'!$J:$J),IF($G$4="SEPTEMBER 2015",SUMIF('TY Actual-Forecast'!$A:$A,'Next 3-Months'!$A72,'TY Actual-Forecast'!$K:$K),IF($G$4="OCTOBER 2015",SUMIF('TY Actual-Forecast'!$A:$A,'Next 3-Months'!$A72,'TY Actual-Forecast'!$L:$L),IF($G$4="NOVEMBER 2015",SUMIF('TY Actual-Forecast'!$A:$A,'Next 3-Months'!$A72,'TY Actual-Forecast'!$M:$M),IF($G$4="DECEMBER 2015",SUMIF('TY Actual-Forecast'!$A:$A,'Next 3-Months'!$A72,'TY Actual-Forecast'!$N:$N),IF($G$4="JANUARY 2016",SUMIF('TY Actual-Forecast'!$A:$A,'Next 3-Months'!$A72,'TY Actual-Forecast'!$Q:$Q),IF($G$4="FEBRUARY 2016",SUMIF('TY Actual-Forecast'!$A:$A,'Next 3-Months'!$A72,'TY Actual-Forecast'!$R:$R),IF($G$4="MARCH 2016",SUMIF('TY Actual-Forecast'!$A:$A,'Next 3-Months'!$A72,'TY Actual-Forecast'!$S:$S),0))))))))))))))</f>
        <v>4770</v>
      </c>
      <c r="H72" s="58">
        <f>IF($G$4="FEBRUARY 2015",SUMIF('TY Budget'!$A:$A,'Next 3-Months'!$A72,'TY Budget'!$D:$D),IF($G$4="MARCH 2015",SUMIF('TY Budget'!$A:$A,'Next 3-Months'!$A72,'TY Budget'!$E:$E),IF($G$4="APRIL 2015",SUMIF('TY Budget'!$A:$A,'Next 3-Months'!$A72,'TY Budget'!$F:$F),IF($G$4="MAY 2015",SUMIF('TY Budget'!$A:$A,'Next 3-Months'!$A72,'TY Budget'!$G:$G),IF($G$4="JUNE 2015",SUMIF('TY Budget'!$A:$A,'Next 3-Months'!$A72,'TY Budget'!$H:$H),IF($G$4="JULY 2015",SUMIF('TY Budget'!$A:$A,'Next 3-Months'!$A72,'TY Budget'!$I:$I),IF($G$4="AUGUST 2015",SUMIF('TY Budget'!$A:$A,'Next 3-Months'!$A72,'TY Budget'!$J:$J),IF($G$4="SEPTEMBER 2015",SUMIF('TY Budget'!$A:$A,'Next 3-Months'!$A72,'TY Budget'!$K:$K),IF($G$4="OCTOBER 2015",SUMIF('TY Budget'!$A:$A,'Next 3-Months'!$A72,'TY Budget'!$L:$L),IF($G$4="NOVEMBER 2015",SUMIF('TY Budget'!$A:$A,'Next 3-Months'!$A72,'TY Budget'!$M:$M),IF($G$4="DECEMBER 2015",SUMIF('TY Budget'!$A:$A,'Next 3-Months'!$A72,'TY Budget'!$N:$N),IF($G$4="JANUARY 2016",SUMIF('TY Budget'!$A:$A,'Next 3-Months'!$A72,'TY Budget'!$Q:$Q),IF($G$4="FEBRUARY 2016",SUMIF('TY Budget'!$A:$A,'Next 3-Months'!$A72,'TY Budget'!$R:$R),IF($G$4="MARCH 2016",SUMIF('TY Budget'!$A:$A,'Next 3-Months'!$A72,'TY Budget'!$S:$S),0))))))))))))))</f>
        <v>4850</v>
      </c>
      <c r="I72" s="58">
        <f>IF($G$4="FEBRUARY 2015",SUMIF('TY Budget'!$A:$A,'Next 3-Months'!$A72,'LY Actual'!$D:$D),IF($G$4="MARCH 2015",SUMIF('TY Budget'!$A:$A,'Next 3-Months'!$A72,'LY Actual'!$E:$E),IF($G$4="APRIL 2015",SUMIF('TY Budget'!$A:$A,'Next 3-Months'!$A72,'LY Actual'!$F:$F),IF($G$4="MAY 2015",SUMIF('TY Budget'!$A:$A,'Next 3-Months'!$A72,'LY Actual'!$G:$G),IF($G$4="JUNE 2015",SUMIF('TY Budget'!$A:$A,'Next 3-Months'!$A72,'LY Actual'!$H:$H),IF($G$4="JULY 2015",SUMIF('TY Budget'!$A:$A,'Next 3-Months'!$A72,'LY Actual'!$I:$I),IF($G$4="AUGUST 2015",SUMIF('TY Budget'!$A:$A,'Next 3-Months'!$A72,'LY Actual'!$J:$J),IF($G$4="SEPTEMBER 2015",SUMIF('TY Budget'!$A:$A,'Next 3-Months'!$A72,'LY Actual'!$K:$K),IF($G$4="OCTOBER 2015",SUMIF('TY Budget'!$A:$A,'Next 3-Months'!$A72,'LY Actual'!$L:$L),IF($G$4="NOVEMBER 2015",SUMIF('TY Budget'!$A:$A,'Next 3-Months'!$A72,'LY Actual'!$M:$M),IF($G$4="DECEMBER 2015",SUMIF('TY Budget'!$A:$A,'Next 3-Months'!$A72,'LY Actual'!$N:$N),IF($G$4="JANUARY 2016",SUMIF('TY Budget'!$A:$A,'Next 3-Months'!$A72,'LY Actual'!$Q:$Q),IF($G$4="FEBRUARY 2016",SUMIF('TY Budget'!$A:$A,'Next 3-Months'!$A72,'LY Actual'!$R:$R),IF($G$4="MARCH 2016",SUMIF('TY Budget'!$A:$A,'Next 3-Months'!$A72,'LY Actual'!$S:$S),0))))))))))))))</f>
        <v>4259</v>
      </c>
      <c r="J72" s="54"/>
      <c r="K72" s="58">
        <f>IF($K$4="FEBRUARY 2015",SUMIF('TY Actual-Forecast'!$A:$A,'Next 3-Months'!$A72,'TY Actual-Forecast'!$D:$D),IF($K$4="MARCH 2015",SUMIF('TY Actual-Forecast'!$A:$A,'Next 3-Months'!$A72,'TY Actual-Forecast'!$E:$E),IF($K$4="APRIL 2015",SUMIF('TY Actual-Forecast'!$A:$A,'Next 3-Months'!$A72,'TY Actual-Forecast'!$F:$F),IF($K$4="MAY 2015",SUMIF('TY Actual-Forecast'!$A:$A,'Next 3-Months'!$A72,'TY Actual-Forecast'!$G:$G),IF($K$4="JUNE 2015",SUMIF('TY Actual-Forecast'!$A:$A,'Next 3-Months'!$A72,'TY Actual-Forecast'!$H:$H),IF($K$4="JULY 2015",SUMIF('TY Actual-Forecast'!$A:$A,'Next 3-Months'!$A72,'TY Actual-Forecast'!$I:$I),IF($K$4="AUGUST 2015",SUMIF('TY Actual-Forecast'!$A:$A,'Next 3-Months'!$A72,'TY Actual-Forecast'!$J:$J),IF($K$4="SEPTEMBER 2015",SUMIF('TY Actual-Forecast'!$A:$A,'Next 3-Months'!$A72,'TY Actual-Forecast'!$K:$K),IF($K$4="OCTOBER 2015",SUMIF('TY Actual-Forecast'!$A:$A,'Next 3-Months'!$A72,'TY Actual-Forecast'!$L:$L),IF($K$4="NOVEMBER 2015",SUMIF('TY Actual-Forecast'!$A:$A,'Next 3-Months'!$A72,'TY Actual-Forecast'!$M:$M),IF($K$4="DECEMBER 2015",SUMIF('TY Actual-Forecast'!$A:$A,'Next 3-Months'!$A72,'TY Actual-Forecast'!$N:$N),IF($K$4="JANUARY 2016",SUMIF('TY Actual-Forecast'!$A:$A,'Next 3-Months'!$A72,'TY Actual-Forecast'!$Q:$Q),IF($K$4="FEBRUARY 2016",SUMIF('TY Actual-Forecast'!$A:$A,'Next 3-Months'!$A72,'TY Actual-Forecast'!$R:$R),IF($K$4="MARCH 2016",SUMIF('TY Actual-Forecast'!$A:$A,'Next 3-Months'!$A72,'TY Actual-Forecast'!$S:$S),0))))))))))))))</f>
        <v>4854</v>
      </c>
      <c r="L72" s="58">
        <f>IF($K$4="FEBRUARY 2015",SUMIF('TY Budget'!$A:$A,'Next 3-Months'!$A72,'TY Budget'!$D:$D),IF($K$4="MARCH 2015",SUMIF('TY Budget'!$A:$A,'Next 3-Months'!$A72,'TY Budget'!$E:$E),IF($K$4="APRIL 2015",SUMIF('TY Budget'!$A:$A,'Next 3-Months'!$A72,'TY Budget'!$F:$F),IF($K$4="MAY 2015",SUMIF('TY Budget'!$A:$A,'Next 3-Months'!$A72,'TY Budget'!$G:$G),IF($K$4="JUNE 2015",SUMIF('TY Budget'!$A:$A,'Next 3-Months'!$A72,'TY Budget'!$H:$H),IF($K$4="JULY 2015",SUMIF('TY Budget'!$A:$A,'Next 3-Months'!$A72,'TY Budget'!$I:$I),IF($K$4="AUGUST 2015",SUMIF('TY Budget'!$A:$A,'Next 3-Months'!$A72,'TY Budget'!$J:$J),IF($K$4="SEPTEMBER 2015",SUMIF('TY Budget'!$A:$A,'Next 3-Months'!$A72,'TY Budget'!$K:$K),IF($K$4="OCTOBER 2015",SUMIF('TY Budget'!$A:$A,'Next 3-Months'!$A72,'TY Budget'!$L:$L),IF($K$4="NOVEMBER 2015",SUMIF('TY Budget'!$A:$A,'Next 3-Months'!$A72,'TY Budget'!$M:$M),IF($K$4="DECEMBER 2015",SUMIF('TY Budget'!$A:$A,'Next 3-Months'!$A72,'TY Budget'!$N:$N),IF($K$4="JANUARY 2016",SUMIF('TY Budget'!$A:$A,'Next 3-Months'!$A72,'TY Budget'!$Q:$Q),IF($K$4="FEBRUARY 2016",SUMIF('TY Budget'!$A:$A,'Next 3-Months'!$A72,'TY Budget'!$R:$R),IF($K$4="MARCH 2016",SUMIF('TY Budget'!$A:$A,'Next 3-Months'!$A72,'TY Budget'!$S:$S),0))))))))))))))</f>
        <v>4955</v>
      </c>
      <c r="M72" s="58">
        <f>IF($K$4="FEBRUARY 2015",SUMIF('TY Budget'!$A:$A,'Next 3-Months'!$A72,'LY Actual'!$D:$D),IF($K$4="MARCH 2015",SUMIF('TY Budget'!$A:$A,'Next 3-Months'!$A72,'LY Actual'!$E:$E),IF($K$4="APRIL 2015",SUMIF('TY Budget'!$A:$A,'Next 3-Months'!$A72,'LY Actual'!$F:$F),IF($K$4="MAY 2015",SUMIF('TY Budget'!$A:$A,'Next 3-Months'!$A72,'LY Actual'!$G:$G),IF($K$4="JUNE 2015",SUMIF('TY Budget'!$A:$A,'Next 3-Months'!$A72,'LY Actual'!$H:$H),IF($K$4="JULY 2015",SUMIF('TY Budget'!$A:$A,'Next 3-Months'!$A72,'LY Actual'!$I:$I),IF($K$4="AUGUST 2015",SUMIF('TY Budget'!$A:$A,'Next 3-Months'!$A72,'LY Actual'!$J:$J),IF($K$4="SEPTEMBER 2015",SUMIF('TY Budget'!$A:$A,'Next 3-Months'!$A72,'LY Actual'!$K:$K),IF($K$4="OCTOBER 2015",SUMIF('TY Budget'!$A:$A,'Next 3-Months'!$A72,'LY Actual'!$L:$L),IF($K$4="NOVEMBER 2015",SUMIF('TY Budget'!$A:$A,'Next 3-Months'!$A72,'LY Actual'!$M:$M),IF($K$4="DECEMBER 2015",SUMIF('TY Budget'!$A:$A,'Next 3-Months'!$A72,'LY Actual'!$N:$N),IF($K$4="JANUARY 2016",SUMIF('TY Budget'!$A:$A,'Next 3-Months'!$A72,'LY Actual'!$Q:$Q),IF($K$4="FEBRUARY 2016",SUMIF('TY Budget'!$A:$A,'Next 3-Months'!$A72,'LY Actual'!$R:$R),IF($K$4="MARCH 2016",SUMIF('TY Budget'!$A:$A,'Next 3-Months'!$A72,'LY Actual'!$S:$S),0))))))))))))))</f>
        <v>4028</v>
      </c>
      <c r="O72" s="58">
        <f>(C72+G72+K72)-(D72+H72+L72)</f>
        <v>-208</v>
      </c>
      <c r="P72" s="58">
        <f>(C72+G72+K72)-(E72+I72+M72)</f>
        <v>1518</v>
      </c>
    </row>
    <row r="73" spans="1:16" s="62" customFormat="1" ht="15">
      <c r="A73" s="59" t="s">
        <v>198</v>
      </c>
      <c r="B73" s="60"/>
      <c r="C73" s="61">
        <f>IFERROR(C72/C71,)</f>
        <v>0.65109380793474225</v>
      </c>
      <c r="D73" s="61">
        <f t="shared" ref="D73:E73" si="27">IFERROR(D72/D71,)</f>
        <v>0.65443084909158322</v>
      </c>
      <c r="E73" s="61">
        <f t="shared" si="27"/>
        <v>0.62872327277221607</v>
      </c>
      <c r="G73" s="61">
        <f t="shared" ref="G73:I73" si="28">IFERROR(G72/G71,)</f>
        <v>0.63020214030915578</v>
      </c>
      <c r="H73" s="61">
        <f t="shared" si="28"/>
        <v>0.64077156823886905</v>
      </c>
      <c r="I73" s="61">
        <f t="shared" si="28"/>
        <v>0.58278598795840175</v>
      </c>
      <c r="J73" s="54"/>
      <c r="K73" s="61">
        <f>IFERROR(K72/K71,)</f>
        <v>0.59992584352984801</v>
      </c>
      <c r="L73" s="61">
        <f t="shared" ref="L73:P73" si="29">IFERROR(L72/L71,)</f>
        <v>0.61240884933877149</v>
      </c>
      <c r="M73" s="61">
        <f t="shared" si="29"/>
        <v>0.49783710295389938</v>
      </c>
      <c r="O73" s="61">
        <f t="shared" si="29"/>
        <v>0</v>
      </c>
      <c r="P73" s="61">
        <f t="shared" si="29"/>
        <v>5.8160919540229887</v>
      </c>
    </row>
    <row r="74" spans="1:16" ht="15">
      <c r="A74" s="63" t="s">
        <v>199</v>
      </c>
      <c r="B74" s="64"/>
      <c r="C74" s="178">
        <f>IFERROR(SUM(C11:C12)/C72,)</f>
        <v>4489.1419893697794</v>
      </c>
      <c r="D74" s="178">
        <f>IFERROR(SUM(D11:D12)/D72,)</f>
        <v>4465.0991501416429</v>
      </c>
      <c r="E74" s="178">
        <f>IFERROR(SUM(E11:E12)/E72,)</f>
        <v>4145.7825457047384</v>
      </c>
      <c r="F74" s="185"/>
      <c r="G74" s="178">
        <f t="shared" ref="G74:I74" si="30">IFERROR(SUM(G11:G12)/G72,)</f>
        <v>4354.7169811320755</v>
      </c>
      <c r="H74" s="178">
        <f t="shared" si="30"/>
        <v>4247.216494845361</v>
      </c>
      <c r="I74" s="178">
        <f t="shared" si="30"/>
        <v>4064.5611505048128</v>
      </c>
      <c r="J74" s="185"/>
      <c r="K74" s="178">
        <f t="shared" ref="K74:M74" si="31">IFERROR(SUM(K11:K12)/K72,)</f>
        <v>4596.085702513391</v>
      </c>
      <c r="L74" s="178">
        <f t="shared" si="31"/>
        <v>4673.8647830474265</v>
      </c>
      <c r="M74" s="178">
        <f t="shared" si="31"/>
        <v>4764.6531032770608</v>
      </c>
      <c r="N74" s="185"/>
      <c r="O74" s="178">
        <f t="shared" ref="O74:P74" si="32">IFERROR(O10/O72,)</f>
        <v>3226.0048076923076</v>
      </c>
      <c r="P74" s="178">
        <f t="shared" si="32"/>
        <v>6090.4910276679811</v>
      </c>
    </row>
    <row r="75" spans="1:16" ht="15">
      <c r="A75" s="63" t="s">
        <v>200</v>
      </c>
      <c r="B75" s="64"/>
      <c r="C75" s="178">
        <f>IFERROR(SUM(C11:C12)/C71,)</f>
        <v>2922.8525522185146</v>
      </c>
      <c r="D75" s="178">
        <f>IFERROR(SUM(D11:D12)/D71,)</f>
        <v>2922.0986281053024</v>
      </c>
      <c r="E75" s="178">
        <f>IFERROR(SUM(E11:E12)/E71,)</f>
        <v>2606.5499703374121</v>
      </c>
      <c r="F75" s="185"/>
      <c r="G75" s="178">
        <f t="shared" ref="G75:I75" si="33">IFERROR(SUM(G11:G12)/G71,)</f>
        <v>2744.3519619500594</v>
      </c>
      <c r="H75" s="178">
        <f t="shared" si="33"/>
        <v>2721.4955740520545</v>
      </c>
      <c r="I75" s="178">
        <f t="shared" si="33"/>
        <v>2368.7692857142852</v>
      </c>
      <c r="J75" s="185"/>
      <c r="K75" s="178">
        <f t="shared" ref="K75:M75" si="34">IFERROR(SUM(K11:K12)/K71,)</f>
        <v>2757.31059201582</v>
      </c>
      <c r="L75" s="178">
        <f t="shared" si="34"/>
        <v>2862.3161537510814</v>
      </c>
      <c r="M75" s="178">
        <f t="shared" si="34"/>
        <v>2372.0210975157584</v>
      </c>
      <c r="N75" s="185"/>
      <c r="O75" s="178">
        <f t="shared" ref="O75:P75" si="35">IFERROR(O10/O71,)</f>
        <v>0</v>
      </c>
      <c r="P75" s="178">
        <f t="shared" si="35"/>
        <v>35422.855862068944</v>
      </c>
    </row>
    <row r="76" spans="1:16" ht="15.75" customHeight="1">
      <c r="A76" s="63" t="s">
        <v>26</v>
      </c>
      <c r="B76" s="64"/>
      <c r="C76" s="31">
        <f>C10-C22</f>
        <v>19891274.543619145</v>
      </c>
      <c r="D76" s="31">
        <f t="shared" ref="D76:E76" si="36">D10-D22</f>
        <v>19856700</v>
      </c>
      <c r="E76" s="31">
        <f t="shared" si="36"/>
        <v>17512388.950000003</v>
      </c>
      <c r="G76" s="31">
        <f t="shared" ref="G76:I76" si="37">G10-G22</f>
        <v>17245632.550000001</v>
      </c>
      <c r="H76" s="31">
        <f t="shared" si="37"/>
        <v>17033000</v>
      </c>
      <c r="I76" s="31">
        <f t="shared" si="37"/>
        <v>14194953.109999996</v>
      </c>
      <c r="J76" s="54"/>
      <c r="K76" s="31">
        <f>K10-K22</f>
        <v>18812873.809999999</v>
      </c>
      <c r="L76" s="31">
        <f t="shared" ref="L76" si="38">L10-L22</f>
        <v>19607000</v>
      </c>
      <c r="M76" s="31">
        <f>M10-M22</f>
        <v>16067527.049999999</v>
      </c>
      <c r="O76" s="31">
        <f>(C76+G76+K76)-(D76+H76+L76)</f>
        <v>-546919.09638085961</v>
      </c>
      <c r="P76" s="31">
        <f>(C76+G76+K76)-(E76+I76+M76)</f>
        <v>8174911.793619141</v>
      </c>
    </row>
    <row r="77" spans="1:16" ht="15">
      <c r="A77" s="63" t="s">
        <v>27</v>
      </c>
      <c r="B77" s="64"/>
      <c r="C77" s="61">
        <f>IFERROR(C76/C10,)</f>
        <v>0.83567328048213474</v>
      </c>
      <c r="D77" s="61">
        <f t="shared" ref="D77:E77" si="39">IFERROR(D76/D10,)</f>
        <v>0.83443082444204453</v>
      </c>
      <c r="E77" s="61">
        <f t="shared" si="39"/>
        <v>0.82334437338611355</v>
      </c>
      <c r="G77" s="61">
        <f t="shared" ref="G77:I77" si="40">IFERROR(G76/G10,)</f>
        <v>0.82412886991250511</v>
      </c>
      <c r="H77" s="61">
        <f t="shared" si="40"/>
        <v>0.8207488074013396</v>
      </c>
      <c r="I77" s="61">
        <f t="shared" si="40"/>
        <v>0.81418163556258649</v>
      </c>
      <c r="J77" s="54"/>
      <c r="K77" s="61">
        <f>IFERROR(K76/K10,)</f>
        <v>0.83604950781271348</v>
      </c>
      <c r="L77" s="61">
        <f t="shared" ref="L77:P77" si="41">IFERROR(L76/L10,)</f>
        <v>0.83962829736211031</v>
      </c>
      <c r="M77" s="61">
        <f t="shared" si="41"/>
        <v>0.83334010385910995</v>
      </c>
      <c r="O77" s="61">
        <f t="shared" si="41"/>
        <v>0.81506968815747571</v>
      </c>
      <c r="P77" s="61">
        <f t="shared" si="41"/>
        <v>0.88421727618288515</v>
      </c>
    </row>
    <row r="78" spans="1:16" ht="15">
      <c r="A78" s="63" t="s">
        <v>28</v>
      </c>
      <c r="B78" s="64"/>
      <c r="C78" s="58">
        <f>IF($C$4="FEBRUARY 2015",SUMIF('TY Actual-Forecast'!$A:$A,'Next 3-Months'!A78,'TY Actual-Forecast'!$D:$D),IF($C$4="MARCH 2015",SUMIF('TY Actual-Forecast'!$A:$A,'Next 3-Months'!A78,'TY Actual-Forecast'!$E:$E),IF($C$4="APRIL 2015",SUMIF('TY Actual-Forecast'!$A:$A,'Next 3-Months'!A78,'TY Actual-Forecast'!$F:$F),IF($C$4="MAY 2015",SUMIF('TY Actual-Forecast'!$A:$A,'Next 3-Months'!A78,'TY Actual-Forecast'!$G:$G),IF($C$4="JUNE 2015",SUMIF('TY Actual-Forecast'!$A:$A,'Next 3-Months'!A78,'TY Actual-Forecast'!$H:$H),IF($C$4="JULY 2015",SUMIF('TY Actual-Forecast'!$A:$A,'Next 3-Months'!A78,'TY Actual-Forecast'!$I:$I),IF($C$4="AUGUST 2015",SUMIF('TY Actual-Forecast'!$A:$A,'Next 3-Months'!A78,'TY Actual-Forecast'!$J:$J),IF($C$4="SEPTEMBER 2015",SUMIF('TY Actual-Forecast'!$A:$A,'Next 3-Months'!A78,'TY Actual-Forecast'!$K:$K),IF($C$4="OCTOBER 2015",SUMIF('TY Actual-Forecast'!$A:$A,'Next 3-Months'!A78,'TY Actual-Forecast'!$L:$L),IF($C$4="NOVEMBER 2015",SUMIF('TY Actual-Forecast'!$A:$A,'Next 3-Months'!A78,'TY Actual-Forecast'!$M:$M),IF($C$4="DECEMBER 2015",SUMIF('TY Actual-Forecast'!$A:$A,'Next 3-Months'!A78,'TY Actual-Forecast'!$N:$N),IF($C$4="JANUARY 2016",SUMIF('TY Actual-Forecast'!$A:$A,'Next 3-Months'!A78,'TY Actual-Forecast'!$Q:$Q),IF($C$4="FEBRUARY 2016",SUMIF('TY Actual-Forecast'!$A:$A,'Next 3-Months'!A78,'TY Actual-Forecast'!$R:$R),IF($C$4="MARCH 2016",SUMIF('TY Actual-Forecast'!$A:$A,'Next 3-Months'!A78,'TY Actual-Forecast'!$S:$S),0))))))))))))))</f>
        <v>41696.760236623013</v>
      </c>
      <c r="D78" s="58">
        <f>IF($C$4="FEBRUARY 2015",SUMIF('TY Budget'!$A:$A,'Next 3-Months'!$A78,'TY Budget'!$D:$D),IF($C$4="MARCH 2015",SUMIF('TY Budget'!$A:$A,'Next 3-Months'!$A78,'TY Budget'!$E:$E),IF($C$4="APRIL 2015",SUMIF('TY Budget'!$A:$A,'Next 3-Months'!$A78,'TY Budget'!$F:$F),IF($C$4="MAY 2015",SUMIF('TY Budget'!$A:$A,'Next 3-Months'!$A78,'TY Budget'!$G:$G),IF($C$4="JUNE 2015",SUMIF('TY Budget'!$A:$A,'Next 3-Months'!$A78,'TY Budget'!$H:$H),IF($C$4="JULY 2015",SUMIF('TY Budget'!$A:$A,'Next 3-Months'!$A78,'TY Budget'!$I:$I),IF($C$4="AUGUST 2015",SUMIF('TY Budget'!$A:$A,'Next 3-Months'!$A78,'TY Budget'!$J:$J),IF($C$4="SEPTEMBER 2015",SUMIF('TY Budget'!$A:$A,'Next 3-Months'!$A78,'TY Budget'!$K:$K),IF($C$4="OCTOBER 2015",SUMIF('TY Budget'!$A:$A,'Next 3-Months'!$A78,'TY Budget'!$L:$L),IF($C$4="NOVEMBER 2015",SUMIF('TY Budget'!$A:$A,'Next 3-Months'!$A78,'TY Budget'!$M:$M),IF($C$4="DECEMBER 2015",SUMIF('TY Budget'!$A:$A,'Next 3-Months'!$A78,'TY Budget'!$N:$N),IF($C$4="JANUARY 2016",SUMIF('TY Budget'!$A:$A,'Next 3-Months'!$A78,'TY Budget'!$Q:$Q),IF($C$4="FEBRUARY 2016",SUMIF('TY Budget'!$A:$A,'Next 3-Months'!$A78,'TY Budget'!$R:$R),IF($C$4="MARCH 2016",SUMIF('TY Budget'!$A:$A,'Next 3-Months'!$A78,'TY Budget'!$S:$S),0))))))))))))))</f>
        <v>42561</v>
      </c>
      <c r="E78" s="58">
        <f>IF($C$4="FEBRUARY 2015",SUMIF('TY Budget'!$A:$A,'Next 3-Months'!$A78,'LY Actual'!$D:$D),IF($C$4="MARCH 2015",SUMIF('TY Budget'!$A:$A,'Next 3-Months'!$A78,'LY Actual'!$E:$E),IF($C$4="APRIL 2015",SUMIF('TY Budget'!$A:$A,'Next 3-Months'!$A78,'LY Actual'!$F:$F),IF($C$4="MAY 2015",SUMIF('TY Budget'!$A:$A,'Next 3-Months'!$A78,'LY Actual'!$G:$G),IF($C$4="JUNE 2015",SUMIF('TY Budget'!$A:$A,'Next 3-Months'!$A78,'LY Actual'!$H:$H),IF($C$4="JULY 2015",SUMIF('TY Budget'!$A:$A,'Next 3-Months'!$A78,'LY Actual'!$I:$I),IF($C$4="AUGUST 2015",SUMIF('TY Budget'!$A:$A,'Next 3-Months'!$A78,'LY Actual'!$J:$J),IF($C$4="SEPTEMBER 2015",SUMIF('TY Budget'!$A:$A,'Next 3-Months'!$A78,'LY Actual'!$K:$K),IF($C$4="OCTOBER 2015",SUMIF('TY Budget'!$A:$A,'Next 3-Months'!$A78,'LY Actual'!$L:$L),IF($C$4="NOVEMBER 2015",SUMIF('TY Budget'!$A:$A,'Next 3-Months'!$A78,'LY Actual'!$M:$M),IF($C$4="DECEMBER 2015",SUMIF('TY Budget'!$A:$A,'Next 3-Months'!$A78,'LY Actual'!$N:$N),IF($C$4="JANUARY 2016",SUMIF('TY Budget'!$A:$A,'Next 3-Months'!$A78,'LY Actual'!$Q:$Q),IF($C$4="FEBRUARY 2016",SUMIF('TY Budget'!$A:$A,'Next 3-Months'!$A78,'LY Actual'!$R:$R),IF($C$4="MARCH 2016",SUMIF('TY Budget'!$A:$A,'Next 3-Months'!$A78,'LY Actual'!$S:$S),0))))))))))))))</f>
        <v>38993</v>
      </c>
      <c r="G78" s="58">
        <f>IF($G$4="FEBRUARY 2015",SUMIF('TY Actual-Forecast'!$A:$A,'Next 3-Months'!$A78,'TY Actual-Forecast'!$D:$D),IF($G$4="MARCH 2015",SUMIF('TY Actual-Forecast'!$A:$A,'Next 3-Months'!$A78,'TY Actual-Forecast'!$E:$E),IF($G$4="APRIL 2015",SUMIF('TY Actual-Forecast'!$A:$A,'Next 3-Months'!$A78,'TY Actual-Forecast'!$F:$F),IF($G$4="MAY 2015",SUMIF('TY Actual-Forecast'!$A:$A,'Next 3-Months'!$A78,'TY Actual-Forecast'!$G:$G),IF($G$4="JUNE 2015",SUMIF('TY Actual-Forecast'!$A:$A,'Next 3-Months'!$A78,'TY Actual-Forecast'!$H:$H),IF($G$4="JULY 2015",SUMIF('TY Actual-Forecast'!$A:$A,'Next 3-Months'!$A78,'TY Actual-Forecast'!$I:$I),IF($G$4="AUGUST 2015",SUMIF('TY Actual-Forecast'!$A:$A,'Next 3-Months'!$A78,'TY Actual-Forecast'!$J:$J),IF($G$4="SEPTEMBER 2015",SUMIF('TY Actual-Forecast'!$A:$A,'Next 3-Months'!$A78,'TY Actual-Forecast'!$K:$K),IF($G$4="OCTOBER 2015",SUMIF('TY Actual-Forecast'!$A:$A,'Next 3-Months'!$A78,'TY Actual-Forecast'!$L:$L),IF($G$4="NOVEMBER 2015",SUMIF('TY Actual-Forecast'!$A:$A,'Next 3-Months'!$A78,'TY Actual-Forecast'!$M:$M),IF($G$4="DECEMBER 2015",SUMIF('TY Actual-Forecast'!$A:$A,'Next 3-Months'!$A78,'TY Actual-Forecast'!$N:$N),IF($G$4="JANUARY 2016",SUMIF('TY Actual-Forecast'!$A:$A,'Next 3-Months'!$A78,'TY Actual-Forecast'!$Q:$Q),IF($G$4="FEBRUARY 2016",SUMIF('TY Actual-Forecast'!$A:$A,'Next 3-Months'!$A78,'TY Actual-Forecast'!$R:$R),IF($G$4="MARCH 2016",SUMIF('TY Actual-Forecast'!$A:$A,'Next 3-Months'!$A78,'TY Actual-Forecast'!$S:$S),0))))))))))))))</f>
        <v>34933.840157748673</v>
      </c>
      <c r="H78" s="58">
        <f>IF($G$4="FEBRUARY 2015",SUMIF('TY Budget'!$A:$A,'Next 3-Months'!$A78,'TY Budget'!$D:$D),IF($G$4="MARCH 2015",SUMIF('TY Budget'!$A:$A,'Next 3-Months'!$A78,'TY Budget'!$E:$E),IF($G$4="APRIL 2015",SUMIF('TY Budget'!$A:$A,'Next 3-Months'!$A78,'TY Budget'!$F:$F),IF($G$4="MAY 2015",SUMIF('TY Budget'!$A:$A,'Next 3-Months'!$A78,'TY Budget'!$G:$G),IF($G$4="JUNE 2015",SUMIF('TY Budget'!$A:$A,'Next 3-Months'!$A78,'TY Budget'!$H:$H),IF($G$4="JULY 2015",SUMIF('TY Budget'!$A:$A,'Next 3-Months'!$A78,'TY Budget'!$I:$I),IF($G$4="AUGUST 2015",SUMIF('TY Budget'!$A:$A,'Next 3-Months'!$A78,'TY Budget'!$J:$J),IF($G$4="SEPTEMBER 2015",SUMIF('TY Budget'!$A:$A,'Next 3-Months'!$A78,'TY Budget'!$K:$K),IF($G$4="OCTOBER 2015",SUMIF('TY Budget'!$A:$A,'Next 3-Months'!$A78,'TY Budget'!$L:$L),IF($G$4="NOVEMBER 2015",SUMIF('TY Budget'!$A:$A,'Next 3-Months'!$A78,'TY Budget'!$M:$M),IF($G$4="DECEMBER 2015",SUMIF('TY Budget'!$A:$A,'Next 3-Months'!$A78,'TY Budget'!$N:$N),IF($G$4="JANUARY 2016",SUMIF('TY Budget'!$A:$A,'Next 3-Months'!$A78,'TY Budget'!$Q:$Q),IF($G$4="FEBRUARY 2016",SUMIF('TY Budget'!$A:$A,'Next 3-Months'!$A78,'TY Budget'!$R:$R),IF($G$4="MARCH 2016",SUMIF('TY Budget'!$A:$A,'Next 3-Months'!$A78,'TY Budget'!$S:$S),0))))))))))))))</f>
        <v>36832</v>
      </c>
      <c r="I78" s="58">
        <f>IF($G$4="FEBRUARY 2015",SUMIF('TY Budget'!$A:$A,'Next 3-Months'!$A78,'LY Actual'!$D:$D),IF($G$4="MARCH 2015",SUMIF('TY Budget'!$A:$A,'Next 3-Months'!$A78,'LY Actual'!$E:$E),IF($G$4="APRIL 2015",SUMIF('TY Budget'!$A:$A,'Next 3-Months'!$A78,'LY Actual'!$F:$F),IF($G$4="MAY 2015",SUMIF('TY Budget'!$A:$A,'Next 3-Months'!$A78,'LY Actual'!$G:$G),IF($G$4="JUNE 2015",SUMIF('TY Budget'!$A:$A,'Next 3-Months'!$A78,'LY Actual'!$H:$H),IF($G$4="JULY 2015",SUMIF('TY Budget'!$A:$A,'Next 3-Months'!$A78,'LY Actual'!$I:$I),IF($G$4="AUGUST 2015",SUMIF('TY Budget'!$A:$A,'Next 3-Months'!$A78,'LY Actual'!$J:$J),IF($G$4="SEPTEMBER 2015",SUMIF('TY Budget'!$A:$A,'Next 3-Months'!$A78,'LY Actual'!$K:$K),IF($G$4="OCTOBER 2015",SUMIF('TY Budget'!$A:$A,'Next 3-Months'!$A78,'LY Actual'!$L:$L),IF($G$4="NOVEMBER 2015",SUMIF('TY Budget'!$A:$A,'Next 3-Months'!$A78,'LY Actual'!$M:$M),IF($G$4="DECEMBER 2015",SUMIF('TY Budget'!$A:$A,'Next 3-Months'!$A78,'LY Actual'!$N:$N),IF($G$4="JANUARY 2016",SUMIF('TY Budget'!$A:$A,'Next 3-Months'!$A78,'LY Actual'!$Q:$Q),IF($G$4="FEBRUARY 2016",SUMIF('TY Budget'!$A:$A,'Next 3-Months'!$A78,'LY Actual'!$R:$R),IF($G$4="MARCH 2016",SUMIF('TY Budget'!$A:$A,'Next 3-Months'!$A78,'LY Actual'!$S:$S),0))))))))))))))</f>
        <v>33312</v>
      </c>
      <c r="J78" s="54"/>
      <c r="K78" s="58">
        <f>IF($K$4="FEBRUARY 2015",SUMIF('TY Actual-Forecast'!$A:$A,'Next 3-Months'!$A78,'TY Actual-Forecast'!$D:$D),IF($K$4="MARCH 2015",SUMIF('TY Actual-Forecast'!$A:$A,'Next 3-Months'!$A78,'TY Actual-Forecast'!$E:$E),IF($K$4="APRIL 2015",SUMIF('TY Actual-Forecast'!$A:$A,'Next 3-Months'!$A78,'TY Actual-Forecast'!$F:$F),IF($K$4="MAY 2015",SUMIF('TY Actual-Forecast'!$A:$A,'Next 3-Months'!$A78,'TY Actual-Forecast'!$G:$G),IF($K$4="JUNE 2015",SUMIF('TY Actual-Forecast'!$A:$A,'Next 3-Months'!$A78,'TY Actual-Forecast'!$H:$H),IF($K$4="JULY 2015",SUMIF('TY Actual-Forecast'!$A:$A,'Next 3-Months'!$A78,'TY Actual-Forecast'!$I:$I),IF($K$4="AUGUST 2015",SUMIF('TY Actual-Forecast'!$A:$A,'Next 3-Months'!$A78,'TY Actual-Forecast'!$J:$J),IF($K$4="SEPTEMBER 2015",SUMIF('TY Actual-Forecast'!$A:$A,'Next 3-Months'!$A78,'TY Actual-Forecast'!$K:$K),IF($K$4="OCTOBER 2015",SUMIF('TY Actual-Forecast'!$A:$A,'Next 3-Months'!$A78,'TY Actual-Forecast'!$L:$L),IF($K$4="NOVEMBER 2015",SUMIF('TY Actual-Forecast'!$A:$A,'Next 3-Months'!$A78,'TY Actual-Forecast'!$M:$M),IF($K$4="DECEMBER 2015",SUMIF('TY Actual-Forecast'!$A:$A,'Next 3-Months'!$A78,'TY Actual-Forecast'!$N:$N),IF($K$4="JANUARY 2016",SUMIF('TY Actual-Forecast'!$A:$A,'Next 3-Months'!$A78,'TY Actual-Forecast'!$Q:$Q),IF($K$4="FEBRUARY 2016",SUMIF('TY Actual-Forecast'!$A:$A,'Next 3-Months'!$A78,'TY Actual-Forecast'!$R:$R),IF($K$4="MARCH 2016",SUMIF('TY Actual-Forecast'!$A:$A,'Next 3-Months'!$A78,'TY Actual-Forecast'!$S:$S),0))))))))))))))</f>
        <v>35544.600394371679</v>
      </c>
      <c r="L78" s="58">
        <f>IF($K$4="FEBRUARY 2015",SUMIF('TY Budget'!$A:$A,'Next 3-Months'!$A78,'TY Budget'!$D:$D),IF($K$4="MARCH 2015",SUMIF('TY Budget'!$A:$A,'Next 3-Months'!$A78,'TY Budget'!$E:$E),IF($K$4="APRIL 2015",SUMIF('TY Budget'!$A:$A,'Next 3-Months'!$A78,'TY Budget'!$F:$F),IF($K$4="MAY 2015",SUMIF('TY Budget'!$A:$A,'Next 3-Months'!$A78,'TY Budget'!$G:$G),IF($K$4="JUNE 2015",SUMIF('TY Budget'!$A:$A,'Next 3-Months'!$A78,'TY Budget'!$H:$H),IF($K$4="JULY 2015",SUMIF('TY Budget'!$A:$A,'Next 3-Months'!$A78,'TY Budget'!$I:$I),IF($K$4="AUGUST 2015",SUMIF('TY Budget'!$A:$A,'Next 3-Months'!$A78,'TY Budget'!$J:$J),IF($K$4="SEPTEMBER 2015",SUMIF('TY Budget'!$A:$A,'Next 3-Months'!$A78,'TY Budget'!$K:$K),IF($K$4="OCTOBER 2015",SUMIF('TY Budget'!$A:$A,'Next 3-Months'!$A78,'TY Budget'!$L:$L),IF($K$4="NOVEMBER 2015",SUMIF('TY Budget'!$A:$A,'Next 3-Months'!$A78,'TY Budget'!$M:$M),IF($K$4="DECEMBER 2015",SUMIF('TY Budget'!$A:$A,'Next 3-Months'!$A78,'TY Budget'!$N:$N),IF($K$4="JANUARY 2016",SUMIF('TY Budget'!$A:$A,'Next 3-Months'!$A78,'TY Budget'!$Q:$Q),IF($K$4="FEBRUARY 2016",SUMIF('TY Budget'!$A:$A,'Next 3-Months'!$A78,'TY Budget'!$R:$R),IF($K$4="MARCH 2016",SUMIF('TY Budget'!$A:$A,'Next 3-Months'!$A78,'TY Budget'!$S:$S),0))))))))))))))</f>
        <v>38805</v>
      </c>
      <c r="M78" s="58">
        <f>IF($K$4="FEBRUARY 2015",SUMIF('TY Budget'!$A:$A,'Next 3-Months'!$A78,'LY Actual'!$D:$D),IF($K$4="MARCH 2015",SUMIF('TY Budget'!$A:$A,'Next 3-Months'!$A78,'LY Actual'!$E:$E),IF($K$4="APRIL 2015",SUMIF('TY Budget'!$A:$A,'Next 3-Months'!$A78,'LY Actual'!$F:$F),IF($K$4="MAY 2015",SUMIF('TY Budget'!$A:$A,'Next 3-Months'!$A78,'LY Actual'!$G:$G),IF($K$4="JUNE 2015",SUMIF('TY Budget'!$A:$A,'Next 3-Months'!$A78,'LY Actual'!$H:$H),IF($K$4="JULY 2015",SUMIF('TY Budget'!$A:$A,'Next 3-Months'!$A78,'LY Actual'!$I:$I),IF($K$4="AUGUST 2015",SUMIF('TY Budget'!$A:$A,'Next 3-Months'!$A78,'LY Actual'!$J:$J),IF($K$4="SEPTEMBER 2015",SUMIF('TY Budget'!$A:$A,'Next 3-Months'!$A78,'LY Actual'!$K:$K),IF($K$4="OCTOBER 2015",SUMIF('TY Budget'!$A:$A,'Next 3-Months'!$A78,'LY Actual'!$L:$L),IF($K$4="NOVEMBER 2015",SUMIF('TY Budget'!$A:$A,'Next 3-Months'!$A78,'LY Actual'!$M:$M),IF($K$4="DECEMBER 2015",SUMIF('TY Budget'!$A:$A,'Next 3-Months'!$A78,'LY Actual'!$N:$N),IF($K$4="JANUARY 2016",SUMIF('TY Budget'!$A:$A,'Next 3-Months'!$A78,'LY Actual'!$Q:$Q),IF($K$4="FEBRUARY 2016",SUMIF('TY Budget'!$A:$A,'Next 3-Months'!$A78,'LY Actual'!$R:$R),IF($K$4="MARCH 2016",SUMIF('TY Budget'!$A:$A,'Next 3-Months'!$A78,'LY Actual'!$S:$S),0))))))))))))))</f>
        <v>39574</v>
      </c>
      <c r="O78" s="58">
        <f>(C78+G78+K78)-(D78+H78+L78)</f>
        <v>-6022.799211256628</v>
      </c>
      <c r="P78" s="58">
        <f>(C78+G78+K78)-(E78+I78+M78)</f>
        <v>296.20078874337196</v>
      </c>
    </row>
    <row r="79" spans="1:16" ht="15.75" customHeight="1">
      <c r="A79" s="63" t="s">
        <v>29</v>
      </c>
      <c r="B79" s="64"/>
      <c r="C79" s="58">
        <f>IFERROR((C15+C16)/C78,)</f>
        <v>535.18337531362431</v>
      </c>
      <c r="D79" s="58">
        <f t="shared" ref="D79:E79" si="42">IFERROR((D15+D16)/D78,)</f>
        <v>563.19165433143019</v>
      </c>
      <c r="E79" s="58">
        <f t="shared" si="42"/>
        <v>511.47265098863892</v>
      </c>
      <c r="G79" s="58">
        <f t="shared" ref="G79:I79" si="43">IFERROR((G15+G16)/G78,)</f>
        <v>521.18220214293035</v>
      </c>
      <c r="H79" s="58">
        <f t="shared" si="43"/>
        <v>566.24674196350998</v>
      </c>
      <c r="I79" s="58">
        <f t="shared" si="43"/>
        <v>520.51864463256481</v>
      </c>
      <c r="J79" s="54"/>
      <c r="K79" s="58">
        <f>IFERROR((K15+K16)/K78,)</f>
        <v>524.09253899689384</v>
      </c>
      <c r="L79" s="58">
        <f t="shared" ref="L79" si="44">IFERROR((L15+L16)/L78,)</f>
        <v>568.19482025512173</v>
      </c>
      <c r="M79" s="58">
        <f>IFERROR((M15+M16)/M78,)</f>
        <v>485.82692449588114</v>
      </c>
      <c r="O79" s="58">
        <f>IFERROR((O15+O16)/O78,)</f>
        <v>1282.4321772913297</v>
      </c>
      <c r="P79" s="58">
        <f>IFERROR((P15+P16)/P78,)</f>
        <v>8917.8817697485556</v>
      </c>
    </row>
    <row r="80" spans="1:16" ht="15">
      <c r="A80" s="63" t="s">
        <v>33</v>
      </c>
      <c r="B80" s="64"/>
      <c r="C80" s="31">
        <f t="shared" ref="C80:E80" si="45">C14-C23</f>
        <v>12168230.62497814</v>
      </c>
      <c r="D80" s="31">
        <f t="shared" si="45"/>
        <v>13704877</v>
      </c>
      <c r="E80" s="31">
        <f t="shared" si="45"/>
        <v>10803067.43</v>
      </c>
      <c r="G80" s="31">
        <f t="shared" ref="G80:I80" si="46">G14-G23</f>
        <v>8992680.9495363869</v>
      </c>
      <c r="H80" s="31">
        <f t="shared" si="46"/>
        <v>11253000</v>
      </c>
      <c r="I80" s="31">
        <f t="shared" si="46"/>
        <v>9235374.5</v>
      </c>
      <c r="J80" s="54"/>
      <c r="K80" s="31">
        <f t="shared" ref="K80:M80" si="47">K14-K23</f>
        <v>9506344.5065685604</v>
      </c>
      <c r="L80" s="31">
        <f t="shared" si="47"/>
        <v>12117800</v>
      </c>
      <c r="M80" s="31">
        <f t="shared" si="47"/>
        <v>16657471.65</v>
      </c>
      <c r="O80" s="31">
        <f>(C80+G80+K80)-(D80+H80+L80)</f>
        <v>-6408420.9189169109</v>
      </c>
      <c r="P80" s="31">
        <f>(C80+G80+K80)-(E80+I80+M80)</f>
        <v>-6028657.4989169091</v>
      </c>
    </row>
    <row r="81" spans="1:16" ht="15.75" customHeight="1">
      <c r="A81" s="63" t="s">
        <v>34</v>
      </c>
      <c r="B81" s="64"/>
      <c r="C81" s="61">
        <f>IFERROR(C80/C14,)</f>
        <v>0.52100259095800949</v>
      </c>
      <c r="D81" s="61">
        <f t="shared" ref="D81:E81" si="48">IFERROR(D80/D14,)</f>
        <v>0.5393709709158172</v>
      </c>
      <c r="E81" s="61">
        <f t="shared" si="48"/>
        <v>0.50690181957595182</v>
      </c>
      <c r="G81" s="61">
        <f t="shared" ref="G81:I81" si="49">IFERROR(G80/G14,)</f>
        <v>0.47097151208458332</v>
      </c>
      <c r="H81" s="61">
        <f t="shared" si="49"/>
        <v>0.5067092939481268</v>
      </c>
      <c r="I81" s="61">
        <f t="shared" si="49"/>
        <v>0.49643788492866275</v>
      </c>
      <c r="J81" s="54"/>
      <c r="K81" s="61">
        <f>IFERROR(K80/K14,)</f>
        <v>0.47838703810171673</v>
      </c>
      <c r="L81" s="61">
        <f t="shared" ref="L81:P81" si="50">IFERROR(L80/L14,)</f>
        <v>0.51364457141888287</v>
      </c>
      <c r="M81" s="61">
        <f t="shared" si="50"/>
        <v>0.62543120072237446</v>
      </c>
      <c r="O81" s="61">
        <f t="shared" si="50"/>
        <v>0.72103312429775368</v>
      </c>
      <c r="P81" s="61">
        <f t="shared" si="50"/>
        <v>1.4259404854296136</v>
      </c>
    </row>
    <row r="82" spans="1:16" ht="15.75" customHeight="1">
      <c r="A82" s="63" t="s">
        <v>203</v>
      </c>
      <c r="B82" s="64"/>
      <c r="C82" s="32">
        <f>IFERROR(C24/(C15+C16),)</f>
        <v>0.29515132130142829</v>
      </c>
      <c r="D82" s="32">
        <f>IFERROR(D24/(D15+D16),)</f>
        <v>0.2955360867751356</v>
      </c>
      <c r="E82" s="32">
        <f>IFERROR(E24/(E15+E16),)</f>
        <v>0.28130402823845913</v>
      </c>
      <c r="G82" s="32">
        <f t="shared" ref="G82:I82" si="51">IFERROR(G24/(G15+G16),)</f>
        <v>0.29225578553314813</v>
      </c>
      <c r="H82" s="32">
        <f t="shared" si="51"/>
        <v>0.29358457997698506</v>
      </c>
      <c r="I82" s="32">
        <f t="shared" si="51"/>
        <v>0.28174161048680046</v>
      </c>
      <c r="J82" s="54"/>
      <c r="K82" s="32">
        <f t="shared" ref="K82:M82" si="52">IFERROR(K24/(K15+K16),)</f>
        <v>0.2921264121553438</v>
      </c>
      <c r="L82" s="32">
        <f t="shared" si="52"/>
        <v>0.2936214215739632</v>
      </c>
      <c r="M82" s="32">
        <f t="shared" si="52"/>
        <v>0.2767502353053421</v>
      </c>
      <c r="O82" s="32">
        <f t="shared" ref="O82:P82" si="53">IFERROR(O24/(O15+O16),)</f>
        <v>-0.30186860140510724</v>
      </c>
      <c r="P82" s="32">
        <f t="shared" si="53"/>
        <v>-0.58036942861828855</v>
      </c>
    </row>
    <row r="83" spans="1:16" ht="15">
      <c r="A83" s="63" t="s">
        <v>30</v>
      </c>
      <c r="B83" s="64"/>
      <c r="C83" s="31">
        <f>IF($C$4="FEBRUARY 2015",SUMIF('TY Actual-Forecast'!$A:$A,'Next 3-Months'!A83,'TY Actual-Forecast'!$D:$D),IF($C$4="MARCH 2015",SUMIF('TY Actual-Forecast'!$A:$A,'Next 3-Months'!A83,'TY Actual-Forecast'!$E:$E),IF($C$4="APRIL 2015",SUMIF('TY Actual-Forecast'!$A:$A,'Next 3-Months'!A83,'TY Actual-Forecast'!$F:$F),IF($C$4="MAY 2015",SUMIF('TY Actual-Forecast'!$A:$A,'Next 3-Months'!A83,'TY Actual-Forecast'!$G:$G),IF($C$4="JUNE 2015",SUMIF('TY Actual-Forecast'!$A:$A,'Next 3-Months'!A83,'TY Actual-Forecast'!$H:$H),IF($C$4="JULY 2015",SUMIF('TY Actual-Forecast'!$A:$A,'Next 3-Months'!A83,'TY Actual-Forecast'!$I:$I),IF($C$4="AUGUST 2015",SUMIF('TY Actual-Forecast'!$A:$A,'Next 3-Months'!A83,'TY Actual-Forecast'!$J:$J),IF($C$4="SEPTEMBER 2015",SUMIF('TY Actual-Forecast'!$A:$A,'Next 3-Months'!A83,'TY Actual-Forecast'!$K:$K),IF($C$4="OCTOBER 2015",SUMIF('TY Actual-Forecast'!$A:$A,'Next 3-Months'!A83,'TY Actual-Forecast'!$L:$L),IF($C$4="NOVEMBER 2015",SUMIF('TY Actual-Forecast'!$A:$A,'Next 3-Months'!A83,'TY Actual-Forecast'!$M:$M),IF($C$4="DECEMBER 2015",SUMIF('TY Actual-Forecast'!$A:$A,'Next 3-Months'!A83,'TY Actual-Forecast'!$N:$N),IF($C$4="JANUARY 2016",SUMIF('TY Actual-Forecast'!$A:$A,'Next 3-Months'!A83,'TY Actual-Forecast'!$Q:$Q),IF($C$4="FEBRUARY 2016",SUMIF('TY Actual-Forecast'!$A:$A,'Next 3-Months'!A83,'TY Actual-Forecast'!$R:$R),IF($C$4="MARCH 2016",SUMIF('TY Actual-Forecast'!$A:$A,'Next 3-Months'!A83,'TY Actual-Forecast'!$S:$S),0))))))))))))))</f>
        <v>8499313.2733333334</v>
      </c>
      <c r="D83" s="31">
        <f>IF($C$4="FEBRUARY 2015",SUMIF('TY Budget'!$A:$A,'Next 3-Months'!$A83,'TY Budget'!$D:$D),IF($C$4="MARCH 2015",SUMIF('TY Budget'!$A:$A,'Next 3-Months'!$A83,'TY Budget'!$E:$E),IF($C$4="APRIL 2015",SUMIF('TY Budget'!$A:$A,'Next 3-Months'!$A83,'TY Budget'!$F:$F),IF($C$4="MAY 2015",SUMIF('TY Budget'!$A:$A,'Next 3-Months'!$A83,'TY Budget'!$G:$G),IF($C$4="JUNE 2015",SUMIF('TY Budget'!$A:$A,'Next 3-Months'!$A83,'TY Budget'!$H:$H),IF($C$4="JULY 2015",SUMIF('TY Budget'!$A:$A,'Next 3-Months'!$A83,'TY Budget'!$I:$I),IF($C$4="AUGUST 2015",SUMIF('TY Budget'!$A:$A,'Next 3-Months'!$A83,'TY Budget'!$J:$J),IF($C$4="SEPTEMBER 2015",SUMIF('TY Budget'!$A:$A,'Next 3-Months'!$A83,'TY Budget'!$K:$K),IF($C$4="OCTOBER 2015",SUMIF('TY Budget'!$A:$A,'Next 3-Months'!$A83,'TY Budget'!$L:$L),IF($C$4="NOVEMBER 2015",SUMIF('TY Budget'!$A:$A,'Next 3-Months'!$A83,'TY Budget'!$M:$M),IF($C$4="DECEMBER 2015",SUMIF('TY Budget'!$A:$A,'Next 3-Months'!$A83,'TY Budget'!$N:$N),IF($C$4="JANUARY 2016",SUMIF('TY Budget'!$A:$A,'Next 3-Months'!$A83,'TY Budget'!$Q:$Q),IF($C$4="FEBRUARY 2016",SUMIF('TY Budget'!$A:$A,'Next 3-Months'!$A83,'TY Budget'!$R:$R),IF($C$4="MARCH 2016",SUMIF('TY Budget'!$A:$A,'Next 3-Months'!$A83,'TY Budget'!$S:$S),0))))))))))))))</f>
        <v>8499313</v>
      </c>
      <c r="E83" s="31">
        <f>IF($C$4="FEBRUARY 2015",SUMIF('TY Budget'!$A:$A,'Next 3-Months'!$A83,'LY Actual'!$D:$D),IF($C$4="MARCH 2015",SUMIF('TY Budget'!$A:$A,'Next 3-Months'!$A83,'LY Actual'!$E:$E),IF($C$4="APRIL 2015",SUMIF('TY Budget'!$A:$A,'Next 3-Months'!$A83,'LY Actual'!$F:$F),IF($C$4="MAY 2015",SUMIF('TY Budget'!$A:$A,'Next 3-Months'!$A83,'LY Actual'!$G:$G),IF($C$4="JUNE 2015",SUMIF('TY Budget'!$A:$A,'Next 3-Months'!$A83,'LY Actual'!$H:$H),IF($C$4="JULY 2015",SUMIF('TY Budget'!$A:$A,'Next 3-Months'!$A83,'LY Actual'!$I:$I),IF($C$4="AUGUST 2015",SUMIF('TY Budget'!$A:$A,'Next 3-Months'!$A83,'LY Actual'!$J:$J),IF($C$4="SEPTEMBER 2015",SUMIF('TY Budget'!$A:$A,'Next 3-Months'!$A83,'LY Actual'!$K:$K),IF($C$4="OCTOBER 2015",SUMIF('TY Budget'!$A:$A,'Next 3-Months'!$A83,'LY Actual'!$L:$L),IF($C$4="NOVEMBER 2015",SUMIF('TY Budget'!$A:$A,'Next 3-Months'!$A83,'LY Actual'!$M:$M),IF($C$4="DECEMBER 2015",SUMIF('TY Budget'!$A:$A,'Next 3-Months'!$A83,'LY Actual'!$N:$N),IF($C$4="JANUARY 2016",SUMIF('TY Budget'!$A:$A,'Next 3-Months'!$A83,'LY Actual'!$Q:$Q),IF($C$4="FEBRUARY 2016",SUMIF('TY Budget'!$A:$A,'Next 3-Months'!$A83,'LY Actual'!$R:$R),IF($C$4="MARCH 2016",SUMIF('TY Budget'!$A:$A,'Next 3-Months'!$A83,'LY Actual'!$S:$S),0))))))))))))))</f>
        <v>8792439.9100000001</v>
      </c>
      <c r="F83" s="187"/>
      <c r="G83" s="31">
        <f>IF($G$4="FEBRUARY 2015",SUMIF('TY Actual-Forecast'!$A:$A,'Next 3-Months'!$A83,'TY Actual-Forecast'!$D:$D),IF($G$4="MARCH 2015",SUMIF('TY Actual-Forecast'!$A:$A,'Next 3-Months'!$A83,'TY Actual-Forecast'!$E:$E),IF($G$4="APRIL 2015",SUMIF('TY Actual-Forecast'!$A:$A,'Next 3-Months'!$A83,'TY Actual-Forecast'!$F:$F),IF($G$4="MAY 2015",SUMIF('TY Actual-Forecast'!$A:$A,'Next 3-Months'!$A83,'TY Actual-Forecast'!$G:$G),IF($G$4="JUNE 2015",SUMIF('TY Actual-Forecast'!$A:$A,'Next 3-Months'!$A83,'TY Actual-Forecast'!$H:$H),IF($G$4="JULY 2015",SUMIF('TY Actual-Forecast'!$A:$A,'Next 3-Months'!$A83,'TY Actual-Forecast'!$I:$I),IF($G$4="AUGUST 2015",SUMIF('TY Actual-Forecast'!$A:$A,'Next 3-Months'!$A83,'TY Actual-Forecast'!$J:$J),IF($G$4="SEPTEMBER 2015",SUMIF('TY Actual-Forecast'!$A:$A,'Next 3-Months'!$A83,'TY Actual-Forecast'!$K:$K),IF($G$4="OCTOBER 2015",SUMIF('TY Actual-Forecast'!$A:$A,'Next 3-Months'!$A83,'TY Actual-Forecast'!$L:$L),IF($G$4="NOVEMBER 2015",SUMIF('TY Actual-Forecast'!$A:$A,'Next 3-Months'!$A83,'TY Actual-Forecast'!$M:$M),IF($G$4="DECEMBER 2015",SUMIF('TY Actual-Forecast'!$A:$A,'Next 3-Months'!$A83,'TY Actual-Forecast'!$N:$N),IF($G$4="JANUARY 2016",SUMIF('TY Actual-Forecast'!$A:$A,'Next 3-Months'!$A83,'TY Actual-Forecast'!$Q:$Q),IF($G$4="FEBRUARY 2016",SUMIF('TY Actual-Forecast'!$A:$A,'Next 3-Months'!$A83,'TY Actual-Forecast'!$R:$R),IF($G$4="MARCH 2016",SUMIF('TY Actual-Forecast'!$A:$A,'Next 3-Months'!$A83,'TY Actual-Forecast'!$S:$S),0))))))))))))))</f>
        <v>8400988.666666666</v>
      </c>
      <c r="H83" s="31">
        <f>IF($G$4="FEBRUARY 2015",SUMIF('TY Budget'!$A:$A,'Next 3-Months'!$A83,'TY Budget'!$D:$D),IF($G$4="MARCH 2015",SUMIF('TY Budget'!$A:$A,'Next 3-Months'!$A83,'TY Budget'!$E:$E),IF($G$4="APRIL 2015",SUMIF('TY Budget'!$A:$A,'Next 3-Months'!$A83,'TY Budget'!$F:$F),IF($G$4="MAY 2015",SUMIF('TY Budget'!$A:$A,'Next 3-Months'!$A83,'TY Budget'!$G:$G),IF($G$4="JUNE 2015",SUMIF('TY Budget'!$A:$A,'Next 3-Months'!$A83,'TY Budget'!$H:$H),IF($G$4="JULY 2015",SUMIF('TY Budget'!$A:$A,'Next 3-Months'!$A83,'TY Budget'!$I:$I),IF($G$4="AUGUST 2015",SUMIF('TY Budget'!$A:$A,'Next 3-Months'!$A83,'TY Budget'!$J:$J),IF($G$4="SEPTEMBER 2015",SUMIF('TY Budget'!$A:$A,'Next 3-Months'!$A83,'TY Budget'!$K:$K),IF($G$4="OCTOBER 2015",SUMIF('TY Budget'!$A:$A,'Next 3-Months'!$A83,'TY Budget'!$L:$L),IF($G$4="NOVEMBER 2015",SUMIF('TY Budget'!$A:$A,'Next 3-Months'!$A83,'TY Budget'!$M:$M),IF($G$4="DECEMBER 2015",SUMIF('TY Budget'!$A:$A,'Next 3-Months'!$A83,'TY Budget'!$N:$N),IF($G$4="JANUARY 2016",SUMIF('TY Budget'!$A:$A,'Next 3-Months'!$A83,'TY Budget'!$Q:$Q),IF($G$4="FEBRUARY 2016",SUMIF('TY Budget'!$A:$A,'Next 3-Months'!$A83,'TY Budget'!$R:$R),IF($G$4="MARCH 2016",SUMIF('TY Budget'!$A:$A,'Next 3-Months'!$A83,'TY Budget'!$S:$S),0))))))))))))))</f>
        <v>8401000</v>
      </c>
      <c r="I83" s="31">
        <f>IF($G$4="FEBRUARY 2015",SUMIF('TY Budget'!$A:$A,'Next 3-Months'!$A83,'LY Actual'!$D:$D),IF($G$4="MARCH 2015",SUMIF('TY Budget'!$A:$A,'Next 3-Months'!$A83,'LY Actual'!$E:$E),IF($G$4="APRIL 2015",SUMIF('TY Budget'!$A:$A,'Next 3-Months'!$A83,'LY Actual'!$F:$F),IF($G$4="MAY 2015",SUMIF('TY Budget'!$A:$A,'Next 3-Months'!$A83,'LY Actual'!$G:$G),IF($G$4="JUNE 2015",SUMIF('TY Budget'!$A:$A,'Next 3-Months'!$A83,'LY Actual'!$H:$H),IF($G$4="JULY 2015",SUMIF('TY Budget'!$A:$A,'Next 3-Months'!$A83,'LY Actual'!$I:$I),IF($G$4="AUGUST 2015",SUMIF('TY Budget'!$A:$A,'Next 3-Months'!$A83,'LY Actual'!$J:$J),IF($G$4="SEPTEMBER 2015",SUMIF('TY Budget'!$A:$A,'Next 3-Months'!$A83,'LY Actual'!$K:$K),IF($G$4="OCTOBER 2015",SUMIF('TY Budget'!$A:$A,'Next 3-Months'!$A83,'LY Actual'!$L:$L),IF($G$4="NOVEMBER 2015",SUMIF('TY Budget'!$A:$A,'Next 3-Months'!$A83,'LY Actual'!$M:$M),IF($G$4="DECEMBER 2015",SUMIF('TY Budget'!$A:$A,'Next 3-Months'!$A83,'LY Actual'!$N:$N),IF($G$4="JANUARY 2016",SUMIF('TY Budget'!$A:$A,'Next 3-Months'!$A83,'LY Actual'!$Q:$Q),IF($G$4="FEBRUARY 2016",SUMIF('TY Budget'!$A:$A,'Next 3-Months'!$A83,'LY Actual'!$R:$R),IF($G$4="MARCH 2016",SUMIF('TY Budget'!$A:$A,'Next 3-Months'!$A83,'LY Actual'!$S:$S),0))))))))))))))</f>
        <v>7409176.5299999993</v>
      </c>
      <c r="J83" s="187"/>
      <c r="K83" s="31">
        <f>IF($K$4="FEBRUARY 2015",SUMIF('TY Actual-Forecast'!$A:$A,'Next 3-Months'!$A83,'TY Actual-Forecast'!$D:$D),IF($K$4="MARCH 2015",SUMIF('TY Actual-Forecast'!$A:$A,'Next 3-Months'!$A83,'TY Actual-Forecast'!$E:$E),IF($K$4="APRIL 2015",SUMIF('TY Actual-Forecast'!$A:$A,'Next 3-Months'!$A83,'TY Actual-Forecast'!$F:$F),IF($K$4="MAY 2015",SUMIF('TY Actual-Forecast'!$A:$A,'Next 3-Months'!$A83,'TY Actual-Forecast'!$G:$G),IF($K$4="JUNE 2015",SUMIF('TY Actual-Forecast'!$A:$A,'Next 3-Months'!$A83,'TY Actual-Forecast'!$H:$H),IF($K$4="JULY 2015",SUMIF('TY Actual-Forecast'!$A:$A,'Next 3-Months'!$A83,'TY Actual-Forecast'!$I:$I),IF($K$4="AUGUST 2015",SUMIF('TY Actual-Forecast'!$A:$A,'Next 3-Months'!$A83,'TY Actual-Forecast'!$J:$J),IF($K$4="SEPTEMBER 2015",SUMIF('TY Actual-Forecast'!$A:$A,'Next 3-Months'!$A83,'TY Actual-Forecast'!$K:$K),IF($K$4="OCTOBER 2015",SUMIF('TY Actual-Forecast'!$A:$A,'Next 3-Months'!$A83,'TY Actual-Forecast'!$L:$L),IF($K$4="NOVEMBER 2015",SUMIF('TY Actual-Forecast'!$A:$A,'Next 3-Months'!$A83,'TY Actual-Forecast'!$M:$M),IF($K$4="DECEMBER 2015",SUMIF('TY Actual-Forecast'!$A:$A,'Next 3-Months'!$A83,'TY Actual-Forecast'!$N:$N),IF($K$4="JANUARY 2016",SUMIF('TY Actual-Forecast'!$A:$A,'Next 3-Months'!$A83,'TY Actual-Forecast'!$Q:$Q),IF($K$4="FEBRUARY 2016",SUMIF('TY Actual-Forecast'!$A:$A,'Next 3-Months'!$A83,'TY Actual-Forecast'!$R:$R),IF($K$4="MARCH 2016",SUMIF('TY Actual-Forecast'!$A:$A,'Next 3-Months'!$A83,'TY Actual-Forecast'!$S:$S),0))))))))))))))</f>
        <v>8427203.3333333321</v>
      </c>
      <c r="L83" s="31">
        <f>IF($K$4="FEBRUARY 2015",SUMIF('TY Budget'!$A:$A,'Next 3-Months'!$A83,'TY Budget'!$D:$D),IF($K$4="MARCH 2015",SUMIF('TY Budget'!$A:$A,'Next 3-Months'!$A83,'TY Budget'!$E:$E),IF($K$4="APRIL 2015",SUMIF('TY Budget'!$A:$A,'Next 3-Months'!$A83,'TY Budget'!$F:$F),IF($K$4="MAY 2015",SUMIF('TY Budget'!$A:$A,'Next 3-Months'!$A83,'TY Budget'!$G:$G),IF($K$4="JUNE 2015",SUMIF('TY Budget'!$A:$A,'Next 3-Months'!$A83,'TY Budget'!$H:$H),IF($K$4="JULY 2015",SUMIF('TY Budget'!$A:$A,'Next 3-Months'!$A83,'TY Budget'!$I:$I),IF($K$4="AUGUST 2015",SUMIF('TY Budget'!$A:$A,'Next 3-Months'!$A83,'TY Budget'!$J:$J),IF($K$4="SEPTEMBER 2015",SUMIF('TY Budget'!$A:$A,'Next 3-Months'!$A83,'TY Budget'!$K:$K),IF($K$4="OCTOBER 2015",SUMIF('TY Budget'!$A:$A,'Next 3-Months'!$A83,'TY Budget'!$L:$L),IF($K$4="NOVEMBER 2015",SUMIF('TY Budget'!$A:$A,'Next 3-Months'!$A83,'TY Budget'!$M:$M),IF($K$4="DECEMBER 2015",SUMIF('TY Budget'!$A:$A,'Next 3-Months'!$A83,'TY Budget'!$N:$N),IF($K$4="JANUARY 2016",SUMIF('TY Budget'!$A:$A,'Next 3-Months'!$A83,'TY Budget'!$Q:$Q),IF($K$4="FEBRUARY 2016",SUMIF('TY Budget'!$A:$A,'Next 3-Months'!$A83,'TY Budget'!$R:$R),IF($K$4="MARCH 2016",SUMIF('TY Budget'!$A:$A,'Next 3-Months'!$A83,'TY Budget'!$S:$S),0))))))))))))))</f>
        <v>8427000</v>
      </c>
      <c r="M83" s="31">
        <f>IF($K$4="FEBRUARY 2015",SUMIF('TY Budget'!$A:$A,'Next 3-Months'!$A83,'LY Actual'!$D:$D),IF($K$4="MARCH 2015",SUMIF('TY Budget'!$A:$A,'Next 3-Months'!$A83,'LY Actual'!$E:$E),IF($K$4="APRIL 2015",SUMIF('TY Budget'!$A:$A,'Next 3-Months'!$A83,'LY Actual'!$F:$F),IF($K$4="MAY 2015",SUMIF('TY Budget'!$A:$A,'Next 3-Months'!$A83,'LY Actual'!$G:$G),IF($K$4="JUNE 2015",SUMIF('TY Budget'!$A:$A,'Next 3-Months'!$A83,'LY Actual'!$H:$H),IF($K$4="JULY 2015",SUMIF('TY Budget'!$A:$A,'Next 3-Months'!$A83,'LY Actual'!$I:$I),IF($K$4="AUGUST 2015",SUMIF('TY Budget'!$A:$A,'Next 3-Months'!$A83,'LY Actual'!$J:$J),IF($K$4="SEPTEMBER 2015",SUMIF('TY Budget'!$A:$A,'Next 3-Months'!$A83,'LY Actual'!$K:$K),IF($K$4="OCTOBER 2015",SUMIF('TY Budget'!$A:$A,'Next 3-Months'!$A83,'LY Actual'!$L:$L),IF($K$4="NOVEMBER 2015",SUMIF('TY Budget'!$A:$A,'Next 3-Months'!$A83,'LY Actual'!$M:$M),IF($K$4="DECEMBER 2015",SUMIF('TY Budget'!$A:$A,'Next 3-Months'!$A83,'LY Actual'!$N:$N),IF($K$4="JANUARY 2016",SUMIF('TY Budget'!$A:$A,'Next 3-Months'!$A83,'LY Actual'!$Q:$Q),IF($K$4="FEBRUARY 2016",SUMIF('TY Budget'!$A:$A,'Next 3-Months'!$A83,'LY Actual'!$R:$R),IF($K$4="MARCH 2016",SUMIF('TY Budget'!$A:$A,'Next 3-Months'!$A83,'LY Actual'!$S:$S),0))))))))))))))</f>
        <v>8436031.8300000001</v>
      </c>
      <c r="N83" s="187"/>
      <c r="O83" s="31">
        <f>(C83+G83+K83)-(D83+H83+L83)</f>
        <v>192.27333332970738</v>
      </c>
      <c r="P83" s="31">
        <f>(C83+G83+K83)-(E83+I83+M83)</f>
        <v>689857.00333333015</v>
      </c>
    </row>
    <row r="84" spans="1:16" s="62" customFormat="1" ht="15">
      <c r="A84" s="59" t="s">
        <v>32</v>
      </c>
      <c r="B84" s="60"/>
      <c r="C84" s="61">
        <f>IFERROR(C83/C8,)</f>
        <v>0.17388326603257165</v>
      </c>
      <c r="D84" s="61">
        <f t="shared" ref="D84:E84" si="54">IFERROR(D83/D8,)</f>
        <v>0.16679284420485388</v>
      </c>
      <c r="E84" s="61">
        <f t="shared" si="54"/>
        <v>0.20094628725071945</v>
      </c>
      <c r="G84" s="61">
        <f t="shared" ref="G84:I84" si="55">IFERROR(G83/G8,)</f>
        <v>0.20207299977533916</v>
      </c>
      <c r="H84" s="61">
        <f t="shared" si="55"/>
        <v>0.18853654704997869</v>
      </c>
      <c r="I84" s="61">
        <f t="shared" si="55"/>
        <v>0.19813409081125091</v>
      </c>
      <c r="J84" s="54"/>
      <c r="K84" s="61">
        <f>IFERROR(K83/K8,)</f>
        <v>0.19138244439216293</v>
      </c>
      <c r="L84" s="61">
        <f t="shared" ref="L84:P84" si="56">IFERROR(L83/L8,)</f>
        <v>0.17313927161107664</v>
      </c>
      <c r="M84" s="61">
        <f t="shared" si="56"/>
        <v>0.17953675031127522</v>
      </c>
      <c r="O84" s="61">
        <f t="shared" si="56"/>
        <v>-1.981926212751642E-5</v>
      </c>
      <c r="P84" s="61">
        <f t="shared" si="56"/>
        <v>0.10865501304392856</v>
      </c>
    </row>
    <row r="85" spans="1:16" ht="15.75" customHeight="1">
      <c r="A85" s="63" t="s">
        <v>31</v>
      </c>
      <c r="B85" s="64"/>
      <c r="C85" s="58">
        <f>C86+C87</f>
        <v>292</v>
      </c>
      <c r="D85" s="58">
        <f t="shared" ref="D85:E85" si="57">D86+D87</f>
        <v>292</v>
      </c>
      <c r="E85" s="58">
        <f t="shared" si="57"/>
        <v>284</v>
      </c>
      <c r="G85" s="58">
        <f t="shared" ref="G85:I85" si="58">G86+G87</f>
        <v>289.5</v>
      </c>
      <c r="H85" s="58">
        <f t="shared" si="58"/>
        <v>290</v>
      </c>
      <c r="I85" s="58">
        <f t="shared" si="58"/>
        <v>269</v>
      </c>
      <c r="J85" s="54"/>
      <c r="K85" s="58">
        <f>K86+K87</f>
        <v>297</v>
      </c>
      <c r="L85" s="58">
        <f t="shared" ref="L85:M85" si="59">L86+L87</f>
        <v>297</v>
      </c>
      <c r="M85" s="58">
        <f t="shared" si="59"/>
        <v>269</v>
      </c>
      <c r="O85" s="58">
        <f>(C85+G85+K85)-(D85+H85+L85)</f>
        <v>-0.5</v>
      </c>
      <c r="P85" s="58">
        <f>(C85+G85+K85)-(E85+I85+M85)</f>
        <v>56.5</v>
      </c>
    </row>
    <row r="86" spans="1:16" ht="15.75" customHeight="1">
      <c r="A86" s="65" t="s">
        <v>159</v>
      </c>
      <c r="B86" s="64"/>
      <c r="C86" s="58">
        <f>IF($C$4="FEBRUARY 2015",SUMIF('TY Actual-Forecast'!$A:$A,'Next 3-Months'!A86,'TY Actual-Forecast'!$D:$D),IF($C$4="MARCH 2015",SUMIF('TY Actual-Forecast'!$A:$A,'Next 3-Months'!A86,'TY Actual-Forecast'!$E:$E),IF($C$4="APRIL 2015",SUMIF('TY Actual-Forecast'!$A:$A,'Next 3-Months'!A86,'TY Actual-Forecast'!$F:$F),IF($C$4="MAY 2015",SUMIF('TY Actual-Forecast'!$A:$A,'Next 3-Months'!A86,'TY Actual-Forecast'!$G:$G),IF($C$4="JUNE 2015",SUMIF('TY Actual-Forecast'!$A:$A,'Next 3-Months'!A86,'TY Actual-Forecast'!$H:$H),IF($C$4="JULY 2015",SUMIF('TY Actual-Forecast'!$A:$A,'Next 3-Months'!A86,'TY Actual-Forecast'!$I:$I),IF($C$4="AUGUST 2015",SUMIF('TY Actual-Forecast'!$A:$A,'Next 3-Months'!A86,'TY Actual-Forecast'!$J:$J),IF($C$4="SEPTEMBER 2015",SUMIF('TY Actual-Forecast'!$A:$A,'Next 3-Months'!A86,'TY Actual-Forecast'!$K:$K),IF($C$4="OCTOBER 2015",SUMIF('TY Actual-Forecast'!$A:$A,'Next 3-Months'!A86,'TY Actual-Forecast'!$L:$L),IF($C$4="NOVEMBER 2015",SUMIF('TY Actual-Forecast'!$A:$A,'Next 3-Months'!A86,'TY Actual-Forecast'!$M:$M),IF($C$4="DECEMBER 2015",SUMIF('TY Actual-Forecast'!$A:$A,'Next 3-Months'!A86,'TY Actual-Forecast'!$N:$N),IF($C$4="JANUARY 2016",SUMIF('TY Actual-Forecast'!$A:$A,'Next 3-Months'!A86,'TY Actual-Forecast'!$Q:$Q),IF($C$4="FEBRUARY 2016",SUMIF('TY Actual-Forecast'!$A:$A,'Next 3-Months'!A86,'TY Actual-Forecast'!$R:$R),IF($C$4="MARCH 2016",SUMIF('TY Actual-Forecast'!$A:$A,'Next 3-Months'!A86,'TY Actual-Forecast'!$S:$S),0))))))))))))))</f>
        <v>191</v>
      </c>
      <c r="D86" s="58">
        <f>IF($C$4="FEBRUARY 2015",SUMIF('TY Budget'!$A:$A,'Next 3-Months'!$A86,'TY Budget'!$D:$D),IF($C$4="MARCH 2015",SUMIF('TY Budget'!$A:$A,'Next 3-Months'!$A86,'TY Budget'!$E:$E),IF($C$4="APRIL 2015",SUMIF('TY Budget'!$A:$A,'Next 3-Months'!$A86,'TY Budget'!$F:$F),IF($C$4="MAY 2015",SUMIF('TY Budget'!$A:$A,'Next 3-Months'!$A86,'TY Budget'!$G:$G),IF($C$4="JUNE 2015",SUMIF('TY Budget'!$A:$A,'Next 3-Months'!$A86,'TY Budget'!$H:$H),IF($C$4="JULY 2015",SUMIF('TY Budget'!$A:$A,'Next 3-Months'!$A86,'TY Budget'!$I:$I),IF($C$4="AUGUST 2015",SUMIF('TY Budget'!$A:$A,'Next 3-Months'!$A86,'TY Budget'!$J:$J),IF($C$4="SEPTEMBER 2015",SUMIF('TY Budget'!$A:$A,'Next 3-Months'!$A86,'TY Budget'!$K:$K),IF($C$4="OCTOBER 2015",SUMIF('TY Budget'!$A:$A,'Next 3-Months'!$A86,'TY Budget'!$L:$L),IF($C$4="NOVEMBER 2015",SUMIF('TY Budget'!$A:$A,'Next 3-Months'!$A86,'TY Budget'!$M:$M),IF($C$4="DECEMBER 2015",SUMIF('TY Budget'!$A:$A,'Next 3-Months'!$A86,'TY Budget'!$N:$N),IF($C$4="JANUARY 2016",SUMIF('TY Budget'!$A:$A,'Next 3-Months'!$A86,'TY Budget'!$Q:$Q),IF($C$4="FEBRUARY 2016",SUMIF('TY Budget'!$A:$A,'Next 3-Months'!$A86,'TY Budget'!$R:$R),IF($C$4="MARCH 2016",SUMIF('TY Budget'!$A:$A,'Next 3-Months'!$A86,'TY Budget'!$S:$S),0))))))))))))))</f>
        <v>191</v>
      </c>
      <c r="E86" s="58">
        <f>IF($C$4="FEBRUARY 2015",SUMIF('TY Budget'!$A:$A,'Next 3-Months'!$A86,'LY Actual'!$D:$D),IF($C$4="MARCH 2015",SUMIF('TY Budget'!$A:$A,'Next 3-Months'!$A86,'LY Actual'!$E:$E),IF($C$4="APRIL 2015",SUMIF('TY Budget'!$A:$A,'Next 3-Months'!$A86,'LY Actual'!$F:$F),IF($C$4="MAY 2015",SUMIF('TY Budget'!$A:$A,'Next 3-Months'!$A86,'LY Actual'!$G:$G),IF($C$4="JUNE 2015",SUMIF('TY Budget'!$A:$A,'Next 3-Months'!$A86,'LY Actual'!$H:$H),IF($C$4="JULY 2015",SUMIF('TY Budget'!$A:$A,'Next 3-Months'!$A86,'LY Actual'!$I:$I),IF($C$4="AUGUST 2015",SUMIF('TY Budget'!$A:$A,'Next 3-Months'!$A86,'LY Actual'!$J:$J),IF($C$4="SEPTEMBER 2015",SUMIF('TY Budget'!$A:$A,'Next 3-Months'!$A86,'LY Actual'!$K:$K),IF($C$4="OCTOBER 2015",SUMIF('TY Budget'!$A:$A,'Next 3-Months'!$A86,'LY Actual'!$L:$L),IF($C$4="NOVEMBER 2015",SUMIF('TY Budget'!$A:$A,'Next 3-Months'!$A86,'LY Actual'!$M:$M),IF($C$4="DECEMBER 2015",SUMIF('TY Budget'!$A:$A,'Next 3-Months'!$A86,'LY Actual'!$N:$N),IF($C$4="JANUARY 2016",SUMIF('TY Budget'!$A:$A,'Next 3-Months'!$A86,'LY Actual'!$Q:$Q),IF($C$4="FEBRUARY 2016",SUMIF('TY Budget'!$A:$A,'Next 3-Months'!$A86,'LY Actual'!$R:$R),IF($C$4="MARCH 2016",SUMIF('TY Budget'!$A:$A,'Next 3-Months'!$A86,'LY Actual'!$S:$S),0))))))))))))))</f>
        <v>162</v>
      </c>
      <c r="G86" s="58">
        <f>IF($G$4="FEBRUARY 2015",SUMIF('TY Actual-Forecast'!$A:$A,'Next 3-Months'!$A86,'TY Actual-Forecast'!$D:$D),IF($G$4="MARCH 2015",SUMIF('TY Actual-Forecast'!$A:$A,'Next 3-Months'!$A86,'TY Actual-Forecast'!$E:$E),IF($G$4="APRIL 2015",SUMIF('TY Actual-Forecast'!$A:$A,'Next 3-Months'!$A86,'TY Actual-Forecast'!$F:$F),IF($G$4="MAY 2015",SUMIF('TY Actual-Forecast'!$A:$A,'Next 3-Months'!$A86,'TY Actual-Forecast'!$G:$G),IF($G$4="JUNE 2015",SUMIF('TY Actual-Forecast'!$A:$A,'Next 3-Months'!$A86,'TY Actual-Forecast'!$H:$H),IF($G$4="JULY 2015",SUMIF('TY Actual-Forecast'!$A:$A,'Next 3-Months'!$A86,'TY Actual-Forecast'!$I:$I),IF($G$4="AUGUST 2015",SUMIF('TY Actual-Forecast'!$A:$A,'Next 3-Months'!$A86,'TY Actual-Forecast'!$J:$J),IF($G$4="SEPTEMBER 2015",SUMIF('TY Actual-Forecast'!$A:$A,'Next 3-Months'!$A86,'TY Actual-Forecast'!$K:$K),IF($G$4="OCTOBER 2015",SUMIF('TY Actual-Forecast'!$A:$A,'Next 3-Months'!$A86,'TY Actual-Forecast'!$L:$L),IF($G$4="NOVEMBER 2015",SUMIF('TY Actual-Forecast'!$A:$A,'Next 3-Months'!$A86,'TY Actual-Forecast'!$M:$M),IF($G$4="DECEMBER 2015",SUMIF('TY Actual-Forecast'!$A:$A,'Next 3-Months'!$A86,'TY Actual-Forecast'!$N:$N),IF($G$4="JANUARY 2016",SUMIF('TY Actual-Forecast'!$A:$A,'Next 3-Months'!$A86,'TY Actual-Forecast'!$Q:$Q),IF($G$4="FEBRUARY 2016",SUMIF('TY Actual-Forecast'!$A:$A,'Next 3-Months'!$A86,'TY Actual-Forecast'!$R:$R),IF($G$4="MARCH 2016",SUMIF('TY Actual-Forecast'!$A:$A,'Next 3-Months'!$A86,'TY Actual-Forecast'!$S:$S),0))))))))))))))</f>
        <v>189</v>
      </c>
      <c r="H86" s="58">
        <f>IF($G$4="FEBRUARY 2015",SUMIF('TY Budget'!$A:$A,'Next 3-Months'!$A86,'TY Budget'!$D:$D),IF($G$4="MARCH 2015",SUMIF('TY Budget'!$A:$A,'Next 3-Months'!$A86,'TY Budget'!$E:$E),IF($G$4="APRIL 2015",SUMIF('TY Budget'!$A:$A,'Next 3-Months'!$A86,'TY Budget'!$F:$F),IF($G$4="MAY 2015",SUMIF('TY Budget'!$A:$A,'Next 3-Months'!$A86,'TY Budget'!$G:$G),IF($G$4="JUNE 2015",SUMIF('TY Budget'!$A:$A,'Next 3-Months'!$A86,'TY Budget'!$H:$H),IF($G$4="JULY 2015",SUMIF('TY Budget'!$A:$A,'Next 3-Months'!$A86,'TY Budget'!$I:$I),IF($G$4="AUGUST 2015",SUMIF('TY Budget'!$A:$A,'Next 3-Months'!$A86,'TY Budget'!$J:$J),IF($G$4="SEPTEMBER 2015",SUMIF('TY Budget'!$A:$A,'Next 3-Months'!$A86,'TY Budget'!$K:$K),IF($G$4="OCTOBER 2015",SUMIF('TY Budget'!$A:$A,'Next 3-Months'!$A86,'TY Budget'!$L:$L),IF($G$4="NOVEMBER 2015",SUMIF('TY Budget'!$A:$A,'Next 3-Months'!$A86,'TY Budget'!$M:$M),IF($G$4="DECEMBER 2015",SUMIF('TY Budget'!$A:$A,'Next 3-Months'!$A86,'TY Budget'!$N:$N),IF($G$4="JANUARY 2016",SUMIF('TY Budget'!$A:$A,'Next 3-Months'!$A86,'TY Budget'!$Q:$Q),IF($G$4="FEBRUARY 2016",SUMIF('TY Budget'!$A:$A,'Next 3-Months'!$A86,'TY Budget'!$R:$R),IF($G$4="MARCH 2016",SUMIF('TY Budget'!$A:$A,'Next 3-Months'!$A86,'TY Budget'!$S:$S),0))))))))))))))</f>
        <v>189</v>
      </c>
      <c r="I86" s="58">
        <f>IF($G$4="FEBRUARY 2015",SUMIF('TY Budget'!$A:$A,'Next 3-Months'!$A86,'LY Actual'!$D:$D),IF($G$4="MARCH 2015",SUMIF('TY Budget'!$A:$A,'Next 3-Months'!$A86,'LY Actual'!$E:$E),IF($G$4="APRIL 2015",SUMIF('TY Budget'!$A:$A,'Next 3-Months'!$A86,'LY Actual'!$F:$F),IF($G$4="MAY 2015",SUMIF('TY Budget'!$A:$A,'Next 3-Months'!$A86,'LY Actual'!$G:$G),IF($G$4="JUNE 2015",SUMIF('TY Budget'!$A:$A,'Next 3-Months'!$A86,'LY Actual'!$H:$H),IF($G$4="JULY 2015",SUMIF('TY Budget'!$A:$A,'Next 3-Months'!$A86,'LY Actual'!$I:$I),IF($G$4="AUGUST 2015",SUMIF('TY Budget'!$A:$A,'Next 3-Months'!$A86,'LY Actual'!$J:$J),IF($G$4="SEPTEMBER 2015",SUMIF('TY Budget'!$A:$A,'Next 3-Months'!$A86,'LY Actual'!$K:$K),IF($G$4="OCTOBER 2015",SUMIF('TY Budget'!$A:$A,'Next 3-Months'!$A86,'LY Actual'!$L:$L),IF($G$4="NOVEMBER 2015",SUMIF('TY Budget'!$A:$A,'Next 3-Months'!$A86,'LY Actual'!$M:$M),IF($G$4="DECEMBER 2015",SUMIF('TY Budget'!$A:$A,'Next 3-Months'!$A86,'LY Actual'!$N:$N),IF($G$4="JANUARY 2016",SUMIF('TY Budget'!$A:$A,'Next 3-Months'!$A86,'LY Actual'!$Q:$Q),IF($G$4="FEBRUARY 2016",SUMIF('TY Budget'!$A:$A,'Next 3-Months'!$A86,'LY Actual'!$R:$R),IF($G$4="MARCH 2016",SUMIF('TY Budget'!$A:$A,'Next 3-Months'!$A86,'LY Actual'!$S:$S),0))))))))))))))</f>
        <v>162</v>
      </c>
      <c r="J86" s="54"/>
      <c r="K86" s="58">
        <f>IF($K$4="FEBRUARY 2015",SUMIF('TY Actual-Forecast'!$A:$A,'Next 3-Months'!$A86,'TY Actual-Forecast'!$D:$D),IF($K$4="MARCH 2015",SUMIF('TY Actual-Forecast'!$A:$A,'Next 3-Months'!$A86,'TY Actual-Forecast'!$E:$E),IF($K$4="APRIL 2015",SUMIF('TY Actual-Forecast'!$A:$A,'Next 3-Months'!$A86,'TY Actual-Forecast'!$F:$F),IF($K$4="MAY 2015",SUMIF('TY Actual-Forecast'!$A:$A,'Next 3-Months'!$A86,'TY Actual-Forecast'!$G:$G),IF($K$4="JUNE 2015",SUMIF('TY Actual-Forecast'!$A:$A,'Next 3-Months'!$A86,'TY Actual-Forecast'!$H:$H),IF($K$4="JULY 2015",SUMIF('TY Actual-Forecast'!$A:$A,'Next 3-Months'!$A86,'TY Actual-Forecast'!$I:$I),IF($K$4="AUGUST 2015",SUMIF('TY Actual-Forecast'!$A:$A,'Next 3-Months'!$A86,'TY Actual-Forecast'!$J:$J),IF($K$4="SEPTEMBER 2015",SUMIF('TY Actual-Forecast'!$A:$A,'Next 3-Months'!$A86,'TY Actual-Forecast'!$K:$K),IF($K$4="OCTOBER 2015",SUMIF('TY Actual-Forecast'!$A:$A,'Next 3-Months'!$A86,'TY Actual-Forecast'!$L:$L),IF($K$4="NOVEMBER 2015",SUMIF('TY Actual-Forecast'!$A:$A,'Next 3-Months'!$A86,'TY Actual-Forecast'!$M:$M),IF($K$4="DECEMBER 2015",SUMIF('TY Actual-Forecast'!$A:$A,'Next 3-Months'!$A86,'TY Actual-Forecast'!$N:$N),IF($K$4="JANUARY 2016",SUMIF('TY Actual-Forecast'!$A:$A,'Next 3-Months'!$A86,'TY Actual-Forecast'!$Q:$Q),IF($K$4="FEBRUARY 2016",SUMIF('TY Actual-Forecast'!$A:$A,'Next 3-Months'!$A86,'TY Actual-Forecast'!$R:$R),IF($K$4="MARCH 2016",SUMIF('TY Actual-Forecast'!$A:$A,'Next 3-Months'!$A86,'TY Actual-Forecast'!$S:$S),0))))))))))))))</f>
        <v>191</v>
      </c>
      <c r="L86" s="58">
        <f>IF($K$4="FEBRUARY 2015",SUMIF('TY Budget'!$A:$A,'Next 3-Months'!$A86,'TY Budget'!$D:$D),IF($K$4="MARCH 2015",SUMIF('TY Budget'!$A:$A,'Next 3-Months'!$A86,'TY Budget'!$E:$E),IF($K$4="APRIL 2015",SUMIF('TY Budget'!$A:$A,'Next 3-Months'!$A86,'TY Budget'!$F:$F),IF($K$4="MAY 2015",SUMIF('TY Budget'!$A:$A,'Next 3-Months'!$A86,'TY Budget'!$G:$G),IF($K$4="JUNE 2015",SUMIF('TY Budget'!$A:$A,'Next 3-Months'!$A86,'TY Budget'!$H:$H),IF($K$4="JULY 2015",SUMIF('TY Budget'!$A:$A,'Next 3-Months'!$A86,'TY Budget'!$I:$I),IF($K$4="AUGUST 2015",SUMIF('TY Budget'!$A:$A,'Next 3-Months'!$A86,'TY Budget'!$J:$J),IF($K$4="SEPTEMBER 2015",SUMIF('TY Budget'!$A:$A,'Next 3-Months'!$A86,'TY Budget'!$K:$K),IF($K$4="OCTOBER 2015",SUMIF('TY Budget'!$A:$A,'Next 3-Months'!$A86,'TY Budget'!$L:$L),IF($K$4="NOVEMBER 2015",SUMIF('TY Budget'!$A:$A,'Next 3-Months'!$A86,'TY Budget'!$M:$M),IF($K$4="DECEMBER 2015",SUMIF('TY Budget'!$A:$A,'Next 3-Months'!$A86,'TY Budget'!$N:$N),IF($K$4="JANUARY 2016",SUMIF('TY Budget'!$A:$A,'Next 3-Months'!$A86,'TY Budget'!$Q:$Q),IF($K$4="FEBRUARY 2016",SUMIF('TY Budget'!$A:$A,'Next 3-Months'!$A86,'TY Budget'!$R:$R),IF($K$4="MARCH 2016",SUMIF('TY Budget'!$A:$A,'Next 3-Months'!$A86,'TY Budget'!$S:$S),0))))))))))))))</f>
        <v>191</v>
      </c>
      <c r="M86" s="58">
        <f>IF($K$4="FEBRUARY 2015",SUMIF('TY Budget'!$A:$A,'Next 3-Months'!$A86,'LY Actual'!$D:$D),IF($K$4="MARCH 2015",SUMIF('TY Budget'!$A:$A,'Next 3-Months'!$A86,'LY Actual'!$E:$E),IF($K$4="APRIL 2015",SUMIF('TY Budget'!$A:$A,'Next 3-Months'!$A86,'LY Actual'!$F:$F),IF($K$4="MAY 2015",SUMIF('TY Budget'!$A:$A,'Next 3-Months'!$A86,'LY Actual'!$G:$G),IF($K$4="JUNE 2015",SUMIF('TY Budget'!$A:$A,'Next 3-Months'!$A86,'LY Actual'!$H:$H),IF($K$4="JULY 2015",SUMIF('TY Budget'!$A:$A,'Next 3-Months'!$A86,'LY Actual'!$I:$I),IF($K$4="AUGUST 2015",SUMIF('TY Budget'!$A:$A,'Next 3-Months'!$A86,'LY Actual'!$J:$J),IF($K$4="SEPTEMBER 2015",SUMIF('TY Budget'!$A:$A,'Next 3-Months'!$A86,'LY Actual'!$K:$K),IF($K$4="OCTOBER 2015",SUMIF('TY Budget'!$A:$A,'Next 3-Months'!$A86,'LY Actual'!$L:$L),IF($K$4="NOVEMBER 2015",SUMIF('TY Budget'!$A:$A,'Next 3-Months'!$A86,'LY Actual'!$M:$M),IF($K$4="DECEMBER 2015",SUMIF('TY Budget'!$A:$A,'Next 3-Months'!$A86,'LY Actual'!$N:$N),IF($K$4="JANUARY 2016",SUMIF('TY Budget'!$A:$A,'Next 3-Months'!$A86,'LY Actual'!$Q:$Q),IF($K$4="FEBRUARY 2016",SUMIF('TY Budget'!$A:$A,'Next 3-Months'!$A86,'LY Actual'!$R:$R),IF($K$4="MARCH 2016",SUMIF('TY Budget'!$A:$A,'Next 3-Months'!$A86,'LY Actual'!$S:$S),0))))))))))))))</f>
        <v>163</v>
      </c>
      <c r="O86" s="58">
        <f>(C86+G86+K86)-(D86+H86+L86)</f>
        <v>0</v>
      </c>
      <c r="P86" s="58">
        <f>(C86+G86+K86)-(E86+I86+M86)</f>
        <v>84</v>
      </c>
    </row>
    <row r="87" spans="1:16" ht="15.75" customHeight="1">
      <c r="A87" s="65" t="s">
        <v>201</v>
      </c>
      <c r="B87" s="64"/>
      <c r="C87" s="58">
        <f>IF($C$4="FEBRUARY 2015",SUMIF('TY Actual-Forecast'!$A:$A,'Next 3-Months'!A87,'TY Actual-Forecast'!$D:$D),IF($C$4="MARCH 2015",SUMIF('TY Actual-Forecast'!$A:$A,'Next 3-Months'!A87,'TY Actual-Forecast'!$E:$E),IF($C$4="APRIL 2015",SUMIF('TY Actual-Forecast'!$A:$A,'Next 3-Months'!A87,'TY Actual-Forecast'!$F:$F),IF($C$4="MAY 2015",SUMIF('TY Actual-Forecast'!$A:$A,'Next 3-Months'!A87,'TY Actual-Forecast'!$G:$G),IF($C$4="JUNE 2015",SUMIF('TY Actual-Forecast'!$A:$A,'Next 3-Months'!A87,'TY Actual-Forecast'!$H:$H),IF($C$4="JULY 2015",SUMIF('TY Actual-Forecast'!$A:$A,'Next 3-Months'!A87,'TY Actual-Forecast'!$I:$I),IF($C$4="AUGUST 2015",SUMIF('TY Actual-Forecast'!$A:$A,'Next 3-Months'!A87,'TY Actual-Forecast'!$J:$J),IF($C$4="SEPTEMBER 2015",SUMIF('TY Actual-Forecast'!$A:$A,'Next 3-Months'!A87,'TY Actual-Forecast'!$K:$K),IF($C$4="OCTOBER 2015",SUMIF('TY Actual-Forecast'!$A:$A,'Next 3-Months'!A87,'TY Actual-Forecast'!$L:$L),IF($C$4="NOVEMBER 2015",SUMIF('TY Actual-Forecast'!$A:$A,'Next 3-Months'!A87,'TY Actual-Forecast'!$M:$M),IF($C$4="DECEMBER 2015",SUMIF('TY Actual-Forecast'!$A:$A,'Next 3-Months'!A87,'TY Actual-Forecast'!$N:$N),IF($C$4="JANUARY 2016",SUMIF('TY Actual-Forecast'!$A:$A,'Next 3-Months'!A87,'TY Actual-Forecast'!$Q:$Q),IF($C$4="FEBRUARY 2016",SUMIF('TY Actual-Forecast'!$A:$A,'Next 3-Months'!A87,'TY Actual-Forecast'!$R:$R),IF($C$4="MARCH 2016",SUMIF('TY Actual-Forecast'!$A:$A,'Next 3-Months'!A87,'TY Actual-Forecast'!$S:$S),0))))))))))))))</f>
        <v>101</v>
      </c>
      <c r="D87" s="58">
        <f>IF($C$4="FEBRUARY 2015",SUMIF('TY Budget'!$A:$A,'Next 3-Months'!$A87,'TY Budget'!$D:$D),IF($C$4="MARCH 2015",SUMIF('TY Budget'!$A:$A,'Next 3-Months'!$A87,'TY Budget'!$E:$E),IF($C$4="APRIL 2015",SUMIF('TY Budget'!$A:$A,'Next 3-Months'!$A87,'TY Budget'!$F:$F),IF($C$4="MAY 2015",SUMIF('TY Budget'!$A:$A,'Next 3-Months'!$A87,'TY Budget'!$G:$G),IF($C$4="JUNE 2015",SUMIF('TY Budget'!$A:$A,'Next 3-Months'!$A87,'TY Budget'!$H:$H),IF($C$4="JULY 2015",SUMIF('TY Budget'!$A:$A,'Next 3-Months'!$A87,'TY Budget'!$I:$I),IF($C$4="AUGUST 2015",SUMIF('TY Budget'!$A:$A,'Next 3-Months'!$A87,'TY Budget'!$J:$J),IF($C$4="SEPTEMBER 2015",SUMIF('TY Budget'!$A:$A,'Next 3-Months'!$A87,'TY Budget'!$K:$K),IF($C$4="OCTOBER 2015",SUMIF('TY Budget'!$A:$A,'Next 3-Months'!$A87,'TY Budget'!$L:$L),IF($C$4="NOVEMBER 2015",SUMIF('TY Budget'!$A:$A,'Next 3-Months'!$A87,'TY Budget'!$M:$M),IF($C$4="DECEMBER 2015",SUMIF('TY Budget'!$A:$A,'Next 3-Months'!$A87,'TY Budget'!$N:$N),IF($C$4="JANUARY 2016",SUMIF('TY Budget'!$A:$A,'Next 3-Months'!$A87,'TY Budget'!$Q:$Q),IF($C$4="FEBRUARY 2016",SUMIF('TY Budget'!$A:$A,'Next 3-Months'!$A87,'TY Budget'!$R:$R),IF($C$4="MARCH 2016",SUMIF('TY Budget'!$A:$A,'Next 3-Months'!$A87,'TY Budget'!$S:$S),0))))))))))))))</f>
        <v>101</v>
      </c>
      <c r="E87" s="58">
        <f>IF($C$4="FEBRUARY 2015",SUMIF('TY Budget'!$A:$A,'Next 3-Months'!$A87,'LY Actual'!$D:$D),IF($C$4="MARCH 2015",SUMIF('TY Budget'!$A:$A,'Next 3-Months'!$A87,'LY Actual'!$E:$E),IF($C$4="APRIL 2015",SUMIF('TY Budget'!$A:$A,'Next 3-Months'!$A87,'LY Actual'!$F:$F),IF($C$4="MAY 2015",SUMIF('TY Budget'!$A:$A,'Next 3-Months'!$A87,'LY Actual'!$G:$G),IF($C$4="JUNE 2015",SUMIF('TY Budget'!$A:$A,'Next 3-Months'!$A87,'LY Actual'!$H:$H),IF($C$4="JULY 2015",SUMIF('TY Budget'!$A:$A,'Next 3-Months'!$A87,'LY Actual'!$I:$I),IF($C$4="AUGUST 2015",SUMIF('TY Budget'!$A:$A,'Next 3-Months'!$A87,'LY Actual'!$J:$J),IF($C$4="SEPTEMBER 2015",SUMIF('TY Budget'!$A:$A,'Next 3-Months'!$A87,'LY Actual'!$K:$K),IF($C$4="OCTOBER 2015",SUMIF('TY Budget'!$A:$A,'Next 3-Months'!$A87,'LY Actual'!$L:$L),IF($C$4="NOVEMBER 2015",SUMIF('TY Budget'!$A:$A,'Next 3-Months'!$A87,'LY Actual'!$M:$M),IF($C$4="DECEMBER 2015",SUMIF('TY Budget'!$A:$A,'Next 3-Months'!$A87,'LY Actual'!$N:$N),IF($C$4="JANUARY 2016",SUMIF('TY Budget'!$A:$A,'Next 3-Months'!$A87,'LY Actual'!$Q:$Q),IF($C$4="FEBRUARY 2016",SUMIF('TY Budget'!$A:$A,'Next 3-Months'!$A87,'LY Actual'!$R:$R),IF($C$4="MARCH 2016",SUMIF('TY Budget'!$A:$A,'Next 3-Months'!$A87,'LY Actual'!$S:$S),0))))))))))))))</f>
        <v>122</v>
      </c>
      <c r="G87" s="58">
        <f>IF($G$4="FEBRUARY 2015",SUMIF('TY Actual-Forecast'!$A:$A,'Next 3-Months'!$A87,'TY Actual-Forecast'!$D:$D),IF($G$4="MARCH 2015",SUMIF('TY Actual-Forecast'!$A:$A,'Next 3-Months'!$A87,'TY Actual-Forecast'!$E:$E),IF($G$4="APRIL 2015",SUMIF('TY Actual-Forecast'!$A:$A,'Next 3-Months'!$A87,'TY Actual-Forecast'!$F:$F),IF($G$4="MAY 2015",SUMIF('TY Actual-Forecast'!$A:$A,'Next 3-Months'!$A87,'TY Actual-Forecast'!$G:$G),IF($G$4="JUNE 2015",SUMIF('TY Actual-Forecast'!$A:$A,'Next 3-Months'!$A87,'TY Actual-Forecast'!$H:$H),IF($G$4="JULY 2015",SUMIF('TY Actual-Forecast'!$A:$A,'Next 3-Months'!$A87,'TY Actual-Forecast'!$I:$I),IF($G$4="AUGUST 2015",SUMIF('TY Actual-Forecast'!$A:$A,'Next 3-Months'!$A87,'TY Actual-Forecast'!$J:$J),IF($G$4="SEPTEMBER 2015",SUMIF('TY Actual-Forecast'!$A:$A,'Next 3-Months'!$A87,'TY Actual-Forecast'!$K:$K),IF($G$4="OCTOBER 2015",SUMIF('TY Actual-Forecast'!$A:$A,'Next 3-Months'!$A87,'TY Actual-Forecast'!$L:$L),IF($G$4="NOVEMBER 2015",SUMIF('TY Actual-Forecast'!$A:$A,'Next 3-Months'!$A87,'TY Actual-Forecast'!$M:$M),IF($G$4="DECEMBER 2015",SUMIF('TY Actual-Forecast'!$A:$A,'Next 3-Months'!$A87,'TY Actual-Forecast'!$N:$N),IF($G$4="JANUARY 2016",SUMIF('TY Actual-Forecast'!$A:$A,'Next 3-Months'!$A87,'TY Actual-Forecast'!$Q:$Q),IF($G$4="FEBRUARY 2016",SUMIF('TY Actual-Forecast'!$A:$A,'Next 3-Months'!$A87,'TY Actual-Forecast'!$R:$R),IF($G$4="MARCH 2016",SUMIF('TY Actual-Forecast'!$A:$A,'Next 3-Months'!$A87,'TY Actual-Forecast'!$S:$S),0))))))))))))))</f>
        <v>100.5</v>
      </c>
      <c r="H87" s="58">
        <f>IF($G$4="FEBRUARY 2015",SUMIF('TY Budget'!$A:$A,'Next 3-Months'!$A87,'TY Budget'!$D:$D),IF($G$4="MARCH 2015",SUMIF('TY Budget'!$A:$A,'Next 3-Months'!$A87,'TY Budget'!$E:$E),IF($G$4="APRIL 2015",SUMIF('TY Budget'!$A:$A,'Next 3-Months'!$A87,'TY Budget'!$F:$F),IF($G$4="MAY 2015",SUMIF('TY Budget'!$A:$A,'Next 3-Months'!$A87,'TY Budget'!$G:$G),IF($G$4="JUNE 2015",SUMIF('TY Budget'!$A:$A,'Next 3-Months'!$A87,'TY Budget'!$H:$H),IF($G$4="JULY 2015",SUMIF('TY Budget'!$A:$A,'Next 3-Months'!$A87,'TY Budget'!$I:$I),IF($G$4="AUGUST 2015",SUMIF('TY Budget'!$A:$A,'Next 3-Months'!$A87,'TY Budget'!$J:$J),IF($G$4="SEPTEMBER 2015",SUMIF('TY Budget'!$A:$A,'Next 3-Months'!$A87,'TY Budget'!$K:$K),IF($G$4="OCTOBER 2015",SUMIF('TY Budget'!$A:$A,'Next 3-Months'!$A87,'TY Budget'!$L:$L),IF($G$4="NOVEMBER 2015",SUMIF('TY Budget'!$A:$A,'Next 3-Months'!$A87,'TY Budget'!$M:$M),IF($G$4="DECEMBER 2015",SUMIF('TY Budget'!$A:$A,'Next 3-Months'!$A87,'TY Budget'!$N:$N),IF($G$4="JANUARY 2016",SUMIF('TY Budget'!$A:$A,'Next 3-Months'!$A87,'TY Budget'!$Q:$Q),IF($G$4="FEBRUARY 2016",SUMIF('TY Budget'!$A:$A,'Next 3-Months'!$A87,'TY Budget'!$R:$R),IF($G$4="MARCH 2016",SUMIF('TY Budget'!$A:$A,'Next 3-Months'!$A87,'TY Budget'!$S:$S),0))))))))))))))</f>
        <v>101</v>
      </c>
      <c r="I87" s="58">
        <f>IF($G$4="FEBRUARY 2015",SUMIF('TY Budget'!$A:$A,'Next 3-Months'!$A87,'LY Actual'!$D:$D),IF($G$4="MARCH 2015",SUMIF('TY Budget'!$A:$A,'Next 3-Months'!$A87,'LY Actual'!$E:$E),IF($G$4="APRIL 2015",SUMIF('TY Budget'!$A:$A,'Next 3-Months'!$A87,'LY Actual'!$F:$F),IF($G$4="MAY 2015",SUMIF('TY Budget'!$A:$A,'Next 3-Months'!$A87,'LY Actual'!$G:$G),IF($G$4="JUNE 2015",SUMIF('TY Budget'!$A:$A,'Next 3-Months'!$A87,'LY Actual'!$H:$H),IF($G$4="JULY 2015",SUMIF('TY Budget'!$A:$A,'Next 3-Months'!$A87,'LY Actual'!$I:$I),IF($G$4="AUGUST 2015",SUMIF('TY Budget'!$A:$A,'Next 3-Months'!$A87,'LY Actual'!$J:$J),IF($G$4="SEPTEMBER 2015",SUMIF('TY Budget'!$A:$A,'Next 3-Months'!$A87,'LY Actual'!$K:$K),IF($G$4="OCTOBER 2015",SUMIF('TY Budget'!$A:$A,'Next 3-Months'!$A87,'LY Actual'!$L:$L),IF($G$4="NOVEMBER 2015",SUMIF('TY Budget'!$A:$A,'Next 3-Months'!$A87,'LY Actual'!$M:$M),IF($G$4="DECEMBER 2015",SUMIF('TY Budget'!$A:$A,'Next 3-Months'!$A87,'LY Actual'!$N:$N),IF($G$4="JANUARY 2016",SUMIF('TY Budget'!$A:$A,'Next 3-Months'!$A87,'LY Actual'!$Q:$Q),IF($G$4="FEBRUARY 2016",SUMIF('TY Budget'!$A:$A,'Next 3-Months'!$A87,'LY Actual'!$R:$R),IF($G$4="MARCH 2016",SUMIF('TY Budget'!$A:$A,'Next 3-Months'!$A87,'LY Actual'!$S:$S),0))))))))))))))</f>
        <v>107</v>
      </c>
      <c r="J87" s="54"/>
      <c r="K87" s="58">
        <f>IF($K$4="FEBRUARY 2015",SUMIF('TY Actual-Forecast'!$A:$A,'Next 3-Months'!$A87,'TY Actual-Forecast'!$D:$D),IF($K$4="MARCH 2015",SUMIF('TY Actual-Forecast'!$A:$A,'Next 3-Months'!$A87,'TY Actual-Forecast'!$E:$E),IF($K$4="APRIL 2015",SUMIF('TY Actual-Forecast'!$A:$A,'Next 3-Months'!$A87,'TY Actual-Forecast'!$F:$F),IF($K$4="MAY 2015",SUMIF('TY Actual-Forecast'!$A:$A,'Next 3-Months'!$A87,'TY Actual-Forecast'!$G:$G),IF($K$4="JUNE 2015",SUMIF('TY Actual-Forecast'!$A:$A,'Next 3-Months'!$A87,'TY Actual-Forecast'!$H:$H),IF($K$4="JULY 2015",SUMIF('TY Actual-Forecast'!$A:$A,'Next 3-Months'!$A87,'TY Actual-Forecast'!$I:$I),IF($K$4="AUGUST 2015",SUMIF('TY Actual-Forecast'!$A:$A,'Next 3-Months'!$A87,'TY Actual-Forecast'!$J:$J),IF($K$4="SEPTEMBER 2015",SUMIF('TY Actual-Forecast'!$A:$A,'Next 3-Months'!$A87,'TY Actual-Forecast'!$K:$K),IF($K$4="OCTOBER 2015",SUMIF('TY Actual-Forecast'!$A:$A,'Next 3-Months'!$A87,'TY Actual-Forecast'!$L:$L),IF($K$4="NOVEMBER 2015",SUMIF('TY Actual-Forecast'!$A:$A,'Next 3-Months'!$A87,'TY Actual-Forecast'!$M:$M),IF($K$4="DECEMBER 2015",SUMIF('TY Actual-Forecast'!$A:$A,'Next 3-Months'!$A87,'TY Actual-Forecast'!$N:$N),IF($K$4="JANUARY 2016",SUMIF('TY Actual-Forecast'!$A:$A,'Next 3-Months'!$A87,'TY Actual-Forecast'!$Q:$Q),IF($K$4="FEBRUARY 2016",SUMIF('TY Actual-Forecast'!$A:$A,'Next 3-Months'!$A87,'TY Actual-Forecast'!$R:$R),IF($K$4="MARCH 2016",SUMIF('TY Actual-Forecast'!$A:$A,'Next 3-Months'!$A87,'TY Actual-Forecast'!$S:$S),0))))))))))))))</f>
        <v>106</v>
      </c>
      <c r="L87" s="58">
        <f>IF($K$4="FEBRUARY 2015",SUMIF('TY Budget'!$A:$A,'Next 3-Months'!$A87,'TY Budget'!$D:$D),IF($K$4="MARCH 2015",SUMIF('TY Budget'!$A:$A,'Next 3-Months'!$A87,'TY Budget'!$E:$E),IF($K$4="APRIL 2015",SUMIF('TY Budget'!$A:$A,'Next 3-Months'!$A87,'TY Budget'!$F:$F),IF($K$4="MAY 2015",SUMIF('TY Budget'!$A:$A,'Next 3-Months'!$A87,'TY Budget'!$G:$G),IF($K$4="JUNE 2015",SUMIF('TY Budget'!$A:$A,'Next 3-Months'!$A87,'TY Budget'!$H:$H),IF($K$4="JULY 2015",SUMIF('TY Budget'!$A:$A,'Next 3-Months'!$A87,'TY Budget'!$I:$I),IF($K$4="AUGUST 2015",SUMIF('TY Budget'!$A:$A,'Next 3-Months'!$A87,'TY Budget'!$J:$J),IF($K$4="SEPTEMBER 2015",SUMIF('TY Budget'!$A:$A,'Next 3-Months'!$A87,'TY Budget'!$K:$K),IF($K$4="OCTOBER 2015",SUMIF('TY Budget'!$A:$A,'Next 3-Months'!$A87,'TY Budget'!$L:$L),IF($K$4="NOVEMBER 2015",SUMIF('TY Budget'!$A:$A,'Next 3-Months'!$A87,'TY Budget'!$M:$M),IF($K$4="DECEMBER 2015",SUMIF('TY Budget'!$A:$A,'Next 3-Months'!$A87,'TY Budget'!$N:$N),IF($K$4="JANUARY 2016",SUMIF('TY Budget'!$A:$A,'Next 3-Months'!$A87,'TY Budget'!$Q:$Q),IF($K$4="FEBRUARY 2016",SUMIF('TY Budget'!$A:$A,'Next 3-Months'!$A87,'TY Budget'!$R:$R),IF($K$4="MARCH 2016",SUMIF('TY Budget'!$A:$A,'Next 3-Months'!$A87,'TY Budget'!$S:$S),0))))))))))))))</f>
        <v>106</v>
      </c>
      <c r="M87" s="58">
        <f>IF($K$4="FEBRUARY 2015",SUMIF('TY Budget'!$A:$A,'Next 3-Months'!$A87,'LY Actual'!$D:$D),IF($K$4="MARCH 2015",SUMIF('TY Budget'!$A:$A,'Next 3-Months'!$A87,'LY Actual'!$E:$E),IF($K$4="APRIL 2015",SUMIF('TY Budget'!$A:$A,'Next 3-Months'!$A87,'LY Actual'!$F:$F),IF($K$4="MAY 2015",SUMIF('TY Budget'!$A:$A,'Next 3-Months'!$A87,'LY Actual'!$G:$G),IF($K$4="JUNE 2015",SUMIF('TY Budget'!$A:$A,'Next 3-Months'!$A87,'LY Actual'!$H:$H),IF($K$4="JULY 2015",SUMIF('TY Budget'!$A:$A,'Next 3-Months'!$A87,'LY Actual'!$I:$I),IF($K$4="AUGUST 2015",SUMIF('TY Budget'!$A:$A,'Next 3-Months'!$A87,'LY Actual'!$J:$J),IF($K$4="SEPTEMBER 2015",SUMIF('TY Budget'!$A:$A,'Next 3-Months'!$A87,'LY Actual'!$K:$K),IF($K$4="OCTOBER 2015",SUMIF('TY Budget'!$A:$A,'Next 3-Months'!$A87,'LY Actual'!$L:$L),IF($K$4="NOVEMBER 2015",SUMIF('TY Budget'!$A:$A,'Next 3-Months'!$A87,'LY Actual'!$M:$M),IF($K$4="DECEMBER 2015",SUMIF('TY Budget'!$A:$A,'Next 3-Months'!$A87,'LY Actual'!$N:$N),IF($K$4="JANUARY 2016",SUMIF('TY Budget'!$A:$A,'Next 3-Months'!$A87,'LY Actual'!$Q:$Q),IF($K$4="FEBRUARY 2016",SUMIF('TY Budget'!$A:$A,'Next 3-Months'!$A87,'LY Actual'!$R:$R),IF($K$4="MARCH 2016",SUMIF('TY Budget'!$A:$A,'Next 3-Months'!$A87,'LY Actual'!$S:$S),0))))))))))))))</f>
        <v>106</v>
      </c>
      <c r="O87" s="58">
        <f>(C87+G87+K87)-(D87+H87+L87)</f>
        <v>-0.5</v>
      </c>
      <c r="P87" s="58">
        <f>(C87+G87+K87)-(E87+I87+M87)</f>
        <v>-27.5</v>
      </c>
    </row>
    <row r="88" spans="1:16" s="62" customFormat="1" ht="15">
      <c r="A88" s="59" t="s">
        <v>37</v>
      </c>
      <c r="B88" s="60"/>
      <c r="C88" s="32">
        <f>IF($C$4="FEBRUARY 2015",SUMIF('TY Actual-Forecast'!$A:$A,'Next 3-Months'!A88,'TY Actual-Forecast'!$D:$D),IF($C$4="MARCH 2015",SUMIF('TY Actual-Forecast'!$A:$A,'Next 3-Months'!A88,'TY Actual-Forecast'!$E:$E),IF($C$4="APRIL 2015",SUMIF('TY Actual-Forecast'!$A:$A,'Next 3-Months'!A88,'TY Actual-Forecast'!$F:$F),IF($C$4="MAY 2015",SUMIF('TY Actual-Forecast'!$A:$A,'Next 3-Months'!A88,'TY Actual-Forecast'!$G:$G),IF($C$4="JUNE 2015",SUMIF('TY Actual-Forecast'!$A:$A,'Next 3-Months'!A88,'TY Actual-Forecast'!$H:$H),IF($C$4="JULY 2015",SUMIF('TY Actual-Forecast'!$A:$A,'Next 3-Months'!A88,'TY Actual-Forecast'!$I:$I),IF($C$4="AUGUST 2015",SUMIF('TY Actual-Forecast'!$A:$A,'Next 3-Months'!A88,'TY Actual-Forecast'!$J:$J),IF($C$4="SEPTEMBER 2015",SUMIF('TY Actual-Forecast'!$A:$A,'Next 3-Months'!A88,'TY Actual-Forecast'!$K:$K),IF($C$4="OCTOBER 2015",SUMIF('TY Actual-Forecast'!$A:$A,'Next 3-Months'!A88,'TY Actual-Forecast'!$L:$L),IF($C$4="NOVEMBER 2015",SUMIF('TY Actual-Forecast'!$A:$A,'Next 3-Months'!A88,'TY Actual-Forecast'!$M:$M),IF($C$4="DECEMBER 2015",SUMIF('TY Actual-Forecast'!$A:$A,'Next 3-Months'!A88,'TY Actual-Forecast'!$N:$N),IF($C$4="JANUARY 2016",SUMIF('TY Actual-Forecast'!$A:$A,'Next 3-Months'!A88,'TY Actual-Forecast'!$Q:$Q),IF($C$4="FEBRUARY 2016",SUMIF('TY Actual-Forecast'!$A:$A,'Next 3-Months'!A88,'TY Actual-Forecast'!$R:$R),IF($C$4="MARCH 2016",SUMIF('TY Actual-Forecast'!$A:$A,'Next 3-Months'!A88,'TY Actual-Forecast'!$S:$S),0))))))))))))))</f>
        <v>0</v>
      </c>
      <c r="D88" s="32">
        <f>IF($C$4="FEBRUARY 2015",SUMIF('TY Budget'!$A:$A,'Next 3-Months'!$A88,'TY Budget'!$D:$D),IF($C$4="MARCH 2015",SUMIF('TY Budget'!$A:$A,'Next 3-Months'!$A88,'TY Budget'!$E:$E),IF($C$4="APRIL 2015",SUMIF('TY Budget'!$A:$A,'Next 3-Months'!$A88,'TY Budget'!$F:$F),IF($C$4="MAY 2015",SUMIF('TY Budget'!$A:$A,'Next 3-Months'!$A88,'TY Budget'!$G:$G),IF($C$4="JUNE 2015",SUMIF('TY Budget'!$A:$A,'Next 3-Months'!$A88,'TY Budget'!$H:$H),IF($C$4="JULY 2015",SUMIF('TY Budget'!$A:$A,'Next 3-Months'!$A88,'TY Budget'!$I:$I),IF($C$4="AUGUST 2015",SUMIF('TY Budget'!$A:$A,'Next 3-Months'!$A88,'TY Budget'!$J:$J),IF($C$4="SEPTEMBER 2015",SUMIF('TY Budget'!$A:$A,'Next 3-Months'!$A88,'TY Budget'!$K:$K),IF($C$4="OCTOBER 2015",SUMIF('TY Budget'!$A:$A,'Next 3-Months'!$A88,'TY Budget'!$L:$L),IF($C$4="NOVEMBER 2015",SUMIF('TY Budget'!$A:$A,'Next 3-Months'!$A88,'TY Budget'!$M:$M),IF($C$4="DECEMBER 2015",SUMIF('TY Budget'!$A:$A,'Next 3-Months'!$A88,'TY Budget'!$N:$N),IF($C$4="JANUARY 2016",SUMIF('TY Budget'!$A:$A,'Next 3-Months'!$A88,'TY Budget'!$Q:$Q),IF($C$4="FEBRUARY 2016",SUMIF('TY Budget'!$A:$A,'Next 3-Months'!$A88,'TY Budget'!$R:$R),IF($C$4="MARCH 2016",SUMIF('TY Budget'!$A:$A,'Next 3-Months'!$A88,'TY Budget'!$S:$S),0))))))))))))))</f>
        <v>0</v>
      </c>
      <c r="E88" s="32">
        <f>IF($C$4="FEBRUARY 2015",SUMIF('TY Budget'!$A:$A,'Next 3-Months'!$A88,'LY Actual'!$D:$D),IF($C$4="MARCH 2015",SUMIF('TY Budget'!$A:$A,'Next 3-Months'!$A88,'LY Actual'!$E:$E),IF($C$4="APRIL 2015",SUMIF('TY Budget'!$A:$A,'Next 3-Months'!$A88,'LY Actual'!$F:$F),IF($C$4="MAY 2015",SUMIF('TY Budget'!$A:$A,'Next 3-Months'!$A88,'LY Actual'!$G:$G),IF($C$4="JUNE 2015",SUMIF('TY Budget'!$A:$A,'Next 3-Months'!$A88,'LY Actual'!$H:$H),IF($C$4="JULY 2015",SUMIF('TY Budget'!$A:$A,'Next 3-Months'!$A88,'LY Actual'!$I:$I),IF($C$4="AUGUST 2015",SUMIF('TY Budget'!$A:$A,'Next 3-Months'!$A88,'LY Actual'!$J:$J),IF($C$4="SEPTEMBER 2015",SUMIF('TY Budget'!$A:$A,'Next 3-Months'!$A88,'LY Actual'!$K:$K),IF($C$4="OCTOBER 2015",SUMIF('TY Budget'!$A:$A,'Next 3-Months'!$A88,'LY Actual'!$L:$L),IF($C$4="NOVEMBER 2015",SUMIF('TY Budget'!$A:$A,'Next 3-Months'!$A88,'LY Actual'!$M:$M),IF($C$4="DECEMBER 2015",SUMIF('TY Budget'!$A:$A,'Next 3-Months'!$A88,'LY Actual'!$N:$N),IF($C$4="JANUARY 2016",SUMIF('TY Budget'!$A:$A,'Next 3-Months'!$A88,'LY Actual'!$Q:$Q),IF($C$4="FEBRUARY 2016",SUMIF('TY Budget'!$A:$A,'Next 3-Months'!$A88,'LY Actual'!$R:$R),IF($C$4="MARCH 2016",SUMIF('TY Budget'!$A:$A,'Next 3-Months'!$A88,'LY Actual'!$S:$S),0))))))))))))))</f>
        <v>1.066824315670749E-2</v>
      </c>
      <c r="G88" s="32">
        <f>IF($G$4="FEBRUARY 2015",SUMIF('TY Actual-Forecast'!$A:$A,'Next 3-Months'!$A88,'TY Actual-Forecast'!$D:$D),IF($G$4="MARCH 2015",SUMIF('TY Actual-Forecast'!$A:$A,'Next 3-Months'!$A88,'TY Actual-Forecast'!$E:$E),IF($G$4="APRIL 2015",SUMIF('TY Actual-Forecast'!$A:$A,'Next 3-Months'!$A88,'TY Actual-Forecast'!$F:$F),IF($G$4="MAY 2015",SUMIF('TY Actual-Forecast'!$A:$A,'Next 3-Months'!$A88,'TY Actual-Forecast'!$G:$G),IF($G$4="JUNE 2015",SUMIF('TY Actual-Forecast'!$A:$A,'Next 3-Months'!$A88,'TY Actual-Forecast'!$H:$H),IF($G$4="JULY 2015",SUMIF('TY Actual-Forecast'!$A:$A,'Next 3-Months'!$A88,'TY Actual-Forecast'!$I:$I),IF($G$4="AUGUST 2015",SUMIF('TY Actual-Forecast'!$A:$A,'Next 3-Months'!$A88,'TY Actual-Forecast'!$J:$J),IF($G$4="SEPTEMBER 2015",SUMIF('TY Actual-Forecast'!$A:$A,'Next 3-Months'!$A88,'TY Actual-Forecast'!$K:$K),IF($G$4="OCTOBER 2015",SUMIF('TY Actual-Forecast'!$A:$A,'Next 3-Months'!$A88,'TY Actual-Forecast'!$L:$L),IF($G$4="NOVEMBER 2015",SUMIF('TY Actual-Forecast'!$A:$A,'Next 3-Months'!$A88,'TY Actual-Forecast'!$M:$M),IF($G$4="DECEMBER 2015",SUMIF('TY Actual-Forecast'!$A:$A,'Next 3-Months'!$A88,'TY Actual-Forecast'!$N:$N),IF($G$4="JANUARY 2016",SUMIF('TY Actual-Forecast'!$A:$A,'Next 3-Months'!$A88,'TY Actual-Forecast'!$Q:$Q),IF($G$4="FEBRUARY 2016",SUMIF('TY Actual-Forecast'!$A:$A,'Next 3-Months'!$A88,'TY Actual-Forecast'!$R:$R),IF($G$4="MARCH 2016",SUMIF('TY Actual-Forecast'!$A:$A,'Next 3-Months'!$A88,'TY Actual-Forecast'!$S:$S),0))))))))))))))</f>
        <v>0</v>
      </c>
      <c r="H88" s="32">
        <f>IF($G$4="FEBRUARY 2015",SUMIF('TY Budget'!$A:$A,'Next 3-Months'!$A88,'TY Budget'!$D:$D),IF($G$4="MARCH 2015",SUMIF('TY Budget'!$A:$A,'Next 3-Months'!$A88,'TY Budget'!$E:$E),IF($G$4="APRIL 2015",SUMIF('TY Budget'!$A:$A,'Next 3-Months'!$A88,'TY Budget'!$F:$F),IF($G$4="MAY 2015",SUMIF('TY Budget'!$A:$A,'Next 3-Months'!$A88,'TY Budget'!$G:$G),IF($G$4="JUNE 2015",SUMIF('TY Budget'!$A:$A,'Next 3-Months'!$A88,'TY Budget'!$H:$H),IF($G$4="JULY 2015",SUMIF('TY Budget'!$A:$A,'Next 3-Months'!$A88,'TY Budget'!$I:$I),IF($G$4="AUGUST 2015",SUMIF('TY Budget'!$A:$A,'Next 3-Months'!$A88,'TY Budget'!$J:$J),IF($G$4="SEPTEMBER 2015",SUMIF('TY Budget'!$A:$A,'Next 3-Months'!$A88,'TY Budget'!$K:$K),IF($G$4="OCTOBER 2015",SUMIF('TY Budget'!$A:$A,'Next 3-Months'!$A88,'TY Budget'!$L:$L),IF($G$4="NOVEMBER 2015",SUMIF('TY Budget'!$A:$A,'Next 3-Months'!$A88,'TY Budget'!$M:$M),IF($G$4="DECEMBER 2015",SUMIF('TY Budget'!$A:$A,'Next 3-Months'!$A88,'TY Budget'!$N:$N),IF($G$4="JANUARY 2016",SUMIF('TY Budget'!$A:$A,'Next 3-Months'!$A88,'TY Budget'!$Q:$Q),IF($G$4="FEBRUARY 2016",SUMIF('TY Budget'!$A:$A,'Next 3-Months'!$A88,'TY Budget'!$R:$R),IF($G$4="MARCH 2016",SUMIF('TY Budget'!$A:$A,'Next 3-Months'!$A88,'TY Budget'!$S:$S),0))))))))))))))</f>
        <v>0</v>
      </c>
      <c r="I88" s="32">
        <f>IF($G$4="FEBRUARY 2015",SUMIF('TY Budget'!$A:$A,'Next 3-Months'!$A88,'LY Actual'!$D:$D),IF($G$4="MARCH 2015",SUMIF('TY Budget'!$A:$A,'Next 3-Months'!$A88,'LY Actual'!$E:$E),IF($G$4="APRIL 2015",SUMIF('TY Budget'!$A:$A,'Next 3-Months'!$A88,'LY Actual'!$F:$F),IF($G$4="MAY 2015",SUMIF('TY Budget'!$A:$A,'Next 3-Months'!$A88,'LY Actual'!$G:$G),IF($G$4="JUNE 2015",SUMIF('TY Budget'!$A:$A,'Next 3-Months'!$A88,'LY Actual'!$H:$H),IF($G$4="JULY 2015",SUMIF('TY Budget'!$A:$A,'Next 3-Months'!$A88,'LY Actual'!$I:$I),IF($G$4="AUGUST 2015",SUMIF('TY Budget'!$A:$A,'Next 3-Months'!$A88,'LY Actual'!$J:$J),IF($G$4="SEPTEMBER 2015",SUMIF('TY Budget'!$A:$A,'Next 3-Months'!$A88,'LY Actual'!$K:$K),IF($G$4="OCTOBER 2015",SUMIF('TY Budget'!$A:$A,'Next 3-Months'!$A88,'LY Actual'!$L:$L),IF($G$4="NOVEMBER 2015",SUMIF('TY Budget'!$A:$A,'Next 3-Months'!$A88,'LY Actual'!$M:$M),IF($G$4="DECEMBER 2015",SUMIF('TY Budget'!$A:$A,'Next 3-Months'!$A88,'LY Actual'!$N:$N),IF($G$4="JANUARY 2016",SUMIF('TY Budget'!$A:$A,'Next 3-Months'!$A88,'LY Actual'!$Q:$Q),IF($G$4="FEBRUARY 2016",SUMIF('TY Budget'!$A:$A,'Next 3-Months'!$A88,'LY Actual'!$R:$R),IF($G$4="MARCH 2016",SUMIF('TY Budget'!$A:$A,'Next 3-Months'!$A88,'LY Actual'!$S:$S),0))))))))))))))</f>
        <v>6.7675538970001208E-3</v>
      </c>
      <c r="J88" s="54"/>
      <c r="K88" s="32">
        <f>IF($K$4="FEBRUARY 2015",SUMIF('TY Actual-Forecast'!$A:$A,'Next 3-Months'!$A88,'TY Actual-Forecast'!$D:$D),IF($K$4="MARCH 2015",SUMIF('TY Actual-Forecast'!$A:$A,'Next 3-Months'!$A88,'TY Actual-Forecast'!$E:$E),IF($K$4="APRIL 2015",SUMIF('TY Actual-Forecast'!$A:$A,'Next 3-Months'!$A88,'TY Actual-Forecast'!$F:$F),IF($K$4="MAY 2015",SUMIF('TY Actual-Forecast'!$A:$A,'Next 3-Months'!$A88,'TY Actual-Forecast'!$G:$G),IF($K$4="JUNE 2015",SUMIF('TY Actual-Forecast'!$A:$A,'Next 3-Months'!$A88,'TY Actual-Forecast'!$H:$H),IF($K$4="JULY 2015",SUMIF('TY Actual-Forecast'!$A:$A,'Next 3-Months'!$A88,'TY Actual-Forecast'!$I:$I),IF($K$4="AUGUST 2015",SUMIF('TY Actual-Forecast'!$A:$A,'Next 3-Months'!$A88,'TY Actual-Forecast'!$J:$J),IF($K$4="SEPTEMBER 2015",SUMIF('TY Actual-Forecast'!$A:$A,'Next 3-Months'!$A88,'TY Actual-Forecast'!$K:$K),IF($K$4="OCTOBER 2015",SUMIF('TY Actual-Forecast'!$A:$A,'Next 3-Months'!$A88,'TY Actual-Forecast'!$L:$L),IF($K$4="NOVEMBER 2015",SUMIF('TY Actual-Forecast'!$A:$A,'Next 3-Months'!$A88,'TY Actual-Forecast'!$M:$M),IF($K$4="DECEMBER 2015",SUMIF('TY Actual-Forecast'!$A:$A,'Next 3-Months'!$A88,'TY Actual-Forecast'!$N:$N),IF($K$4="JANUARY 2016",SUMIF('TY Actual-Forecast'!$A:$A,'Next 3-Months'!$A88,'TY Actual-Forecast'!$Q:$Q),IF($K$4="FEBRUARY 2016",SUMIF('TY Actual-Forecast'!$A:$A,'Next 3-Months'!$A88,'TY Actual-Forecast'!$R:$R),IF($K$4="MARCH 2016",SUMIF('TY Actual-Forecast'!$A:$A,'Next 3-Months'!$A88,'TY Actual-Forecast'!$S:$S),0))))))))))))))</f>
        <v>0</v>
      </c>
      <c r="L88" s="32">
        <f>IF($K$4="FEBRUARY 2015",SUMIF('TY Budget'!$A:$A,'Next 3-Months'!$A88,'TY Budget'!$D:$D),IF($K$4="MARCH 2015",SUMIF('TY Budget'!$A:$A,'Next 3-Months'!$A88,'TY Budget'!$E:$E),IF($K$4="APRIL 2015",SUMIF('TY Budget'!$A:$A,'Next 3-Months'!$A88,'TY Budget'!$F:$F),IF($K$4="MAY 2015",SUMIF('TY Budget'!$A:$A,'Next 3-Months'!$A88,'TY Budget'!$G:$G),IF($K$4="JUNE 2015",SUMIF('TY Budget'!$A:$A,'Next 3-Months'!$A88,'TY Budget'!$H:$H),IF($K$4="JULY 2015",SUMIF('TY Budget'!$A:$A,'Next 3-Months'!$A88,'TY Budget'!$I:$I),IF($K$4="AUGUST 2015",SUMIF('TY Budget'!$A:$A,'Next 3-Months'!$A88,'TY Budget'!$J:$J),IF($K$4="SEPTEMBER 2015",SUMIF('TY Budget'!$A:$A,'Next 3-Months'!$A88,'TY Budget'!$K:$K),IF($K$4="OCTOBER 2015",SUMIF('TY Budget'!$A:$A,'Next 3-Months'!$A88,'TY Budget'!$L:$L),IF($K$4="NOVEMBER 2015",SUMIF('TY Budget'!$A:$A,'Next 3-Months'!$A88,'TY Budget'!$M:$M),IF($K$4="DECEMBER 2015",SUMIF('TY Budget'!$A:$A,'Next 3-Months'!$A88,'TY Budget'!$N:$N),IF($K$4="JANUARY 2016",SUMIF('TY Budget'!$A:$A,'Next 3-Months'!$A88,'TY Budget'!$Q:$Q),IF($K$4="FEBRUARY 2016",SUMIF('TY Budget'!$A:$A,'Next 3-Months'!$A88,'TY Budget'!$R:$R),IF($K$4="MARCH 2016",SUMIF('TY Budget'!$A:$A,'Next 3-Months'!$A88,'TY Budget'!$S:$S),0))))))))))))))</f>
        <v>0</v>
      </c>
      <c r="M88" s="32">
        <f>IF($K$4="FEBRUARY 2015",SUMIF('TY Budget'!$A:$A,'Next 3-Months'!$A88,'LY Actual'!$D:$D),IF($K$4="MARCH 2015",SUMIF('TY Budget'!$A:$A,'Next 3-Months'!$A88,'LY Actual'!$E:$E),IF($K$4="APRIL 2015",SUMIF('TY Budget'!$A:$A,'Next 3-Months'!$A88,'LY Actual'!$F:$F),IF($K$4="MAY 2015",SUMIF('TY Budget'!$A:$A,'Next 3-Months'!$A88,'LY Actual'!$G:$G),IF($K$4="JUNE 2015",SUMIF('TY Budget'!$A:$A,'Next 3-Months'!$A88,'LY Actual'!$H:$H),IF($K$4="JULY 2015",SUMIF('TY Budget'!$A:$A,'Next 3-Months'!$A88,'LY Actual'!$I:$I),IF($K$4="AUGUST 2015",SUMIF('TY Budget'!$A:$A,'Next 3-Months'!$A88,'LY Actual'!$J:$J),IF($K$4="SEPTEMBER 2015",SUMIF('TY Budget'!$A:$A,'Next 3-Months'!$A88,'LY Actual'!$K:$K),IF($K$4="OCTOBER 2015",SUMIF('TY Budget'!$A:$A,'Next 3-Months'!$A88,'LY Actual'!$L:$L),IF($K$4="NOVEMBER 2015",SUMIF('TY Budget'!$A:$A,'Next 3-Months'!$A88,'LY Actual'!$M:$M),IF($K$4="DECEMBER 2015",SUMIF('TY Budget'!$A:$A,'Next 3-Months'!$A88,'LY Actual'!$N:$N),IF($K$4="JANUARY 2016",SUMIF('TY Budget'!$A:$A,'Next 3-Months'!$A88,'LY Actual'!$Q:$Q),IF($K$4="FEBRUARY 2016",SUMIF('TY Budget'!$A:$A,'Next 3-Months'!$A88,'LY Actual'!$R:$R),IF($K$4="MARCH 2016",SUMIF('TY Budget'!$A:$A,'Next 3-Months'!$A88,'LY Actual'!$S:$S),0))))))))))))))</f>
        <v>1.8676235279687429E-2</v>
      </c>
      <c r="O88" s="32"/>
      <c r="P88" s="32"/>
    </row>
    <row r="89" spans="1:16">
      <c r="G89" s="54"/>
      <c r="H89" s="54"/>
      <c r="I89" s="54"/>
      <c r="J89" s="54"/>
      <c r="K89" s="54"/>
      <c r="L89" s="54"/>
      <c r="M89" s="54"/>
    </row>
    <row r="90" spans="1:16">
      <c r="J90" s="54"/>
    </row>
    <row r="371" spans="26:30" ht="15">
      <c r="Z371" s="24"/>
      <c r="AA371" s="24" t="s">
        <v>56</v>
      </c>
    </row>
    <row r="372" spans="26:30" ht="15">
      <c r="Z372" s="24"/>
      <c r="AA372" s="70" t="s">
        <v>165</v>
      </c>
      <c r="AB372" s="71" t="s">
        <v>166</v>
      </c>
      <c r="AC372" s="71" t="s">
        <v>167</v>
      </c>
      <c r="AD372" s="71" t="s">
        <v>168</v>
      </c>
    </row>
    <row r="373" spans="26:30" ht="15">
      <c r="Z373" s="24"/>
      <c r="AA373" s="71" t="s">
        <v>166</v>
      </c>
      <c r="AB373" s="71" t="s">
        <v>167</v>
      </c>
      <c r="AC373" s="71" t="s">
        <v>168</v>
      </c>
      <c r="AD373" s="71" t="s">
        <v>169</v>
      </c>
    </row>
    <row r="374" spans="26:30" ht="15">
      <c r="Z374" s="24"/>
      <c r="AA374" s="71" t="s">
        <v>167</v>
      </c>
      <c r="AB374" s="71" t="s">
        <v>168</v>
      </c>
      <c r="AC374" s="71" t="s">
        <v>169</v>
      </c>
      <c r="AD374" s="71" t="s">
        <v>170</v>
      </c>
    </row>
    <row r="375" spans="26:30" ht="15">
      <c r="Z375" s="24"/>
      <c r="AA375" s="71" t="s">
        <v>168</v>
      </c>
      <c r="AB375" s="71" t="s">
        <v>169</v>
      </c>
      <c r="AC375" s="71" t="s">
        <v>170</v>
      </c>
      <c r="AD375" s="71" t="s">
        <v>171</v>
      </c>
    </row>
    <row r="376" spans="26:30" ht="15">
      <c r="Z376" s="24"/>
      <c r="AA376" s="71" t="s">
        <v>169</v>
      </c>
      <c r="AB376" s="71" t="s">
        <v>170</v>
      </c>
      <c r="AC376" s="71" t="s">
        <v>171</v>
      </c>
      <c r="AD376" s="71" t="s">
        <v>172</v>
      </c>
    </row>
    <row r="377" spans="26:30" ht="15">
      <c r="Z377" s="24"/>
      <c r="AA377" s="71" t="s">
        <v>170</v>
      </c>
      <c r="AB377" s="71" t="s">
        <v>171</v>
      </c>
      <c r="AC377" s="71" t="s">
        <v>172</v>
      </c>
      <c r="AD377" s="71" t="s">
        <v>173</v>
      </c>
    </row>
    <row r="378" spans="26:30" ht="15">
      <c r="AA378" s="71" t="s">
        <v>171</v>
      </c>
      <c r="AB378" s="71" t="s">
        <v>172</v>
      </c>
      <c r="AC378" s="71" t="s">
        <v>173</v>
      </c>
      <c r="AD378" s="71" t="s">
        <v>174</v>
      </c>
    </row>
    <row r="379" spans="26:30" ht="15">
      <c r="AA379" s="71" t="s">
        <v>172</v>
      </c>
      <c r="AB379" s="71" t="s">
        <v>173</v>
      </c>
      <c r="AC379" s="71" t="s">
        <v>174</v>
      </c>
      <c r="AD379" s="71" t="s">
        <v>175</v>
      </c>
    </row>
    <row r="380" spans="26:30" ht="15">
      <c r="AA380" s="71" t="s">
        <v>173</v>
      </c>
      <c r="AB380" s="71" t="s">
        <v>174</v>
      </c>
      <c r="AC380" s="71" t="s">
        <v>175</v>
      </c>
      <c r="AD380" s="71" t="s">
        <v>176</v>
      </c>
    </row>
    <row r="381" spans="26:30" ht="15">
      <c r="AA381" s="71" t="s">
        <v>174</v>
      </c>
      <c r="AB381" s="71" t="s">
        <v>175</v>
      </c>
      <c r="AC381" s="71" t="s">
        <v>176</v>
      </c>
      <c r="AD381" s="70" t="s">
        <v>208</v>
      </c>
    </row>
    <row r="382" spans="26:30" ht="15">
      <c r="AA382" s="71" t="s">
        <v>175</v>
      </c>
      <c r="AB382" s="71" t="s">
        <v>176</v>
      </c>
      <c r="AC382" s="70" t="s">
        <v>208</v>
      </c>
      <c r="AD382" s="71" t="s">
        <v>209</v>
      </c>
    </row>
    <row r="383" spans="26:30" ht="15">
      <c r="AA383" s="71" t="s">
        <v>176</v>
      </c>
      <c r="AB383" s="70" t="s">
        <v>208</v>
      </c>
      <c r="AC383" s="71" t="s">
        <v>209</v>
      </c>
      <c r="AD383" s="71" t="s">
        <v>210</v>
      </c>
    </row>
  </sheetData>
  <sheetProtection password="CE24" sheet="1" objects="1" scenarios="1"/>
  <mergeCells count="13">
    <mergeCell ref="O4:P5"/>
    <mergeCell ref="M5:M6"/>
    <mergeCell ref="C4:E4"/>
    <mergeCell ref="G4:I4"/>
    <mergeCell ref="K4:M4"/>
    <mergeCell ref="H5:H6"/>
    <mergeCell ref="I5:I6"/>
    <mergeCell ref="K5:K6"/>
    <mergeCell ref="L5:L6"/>
    <mergeCell ref="C5:C6"/>
    <mergeCell ref="D5:D6"/>
    <mergeCell ref="E5:E6"/>
    <mergeCell ref="G5:G6"/>
  </mergeCells>
  <printOptions horizontalCentered="1"/>
  <pageMargins left="0" right="0" top="0" bottom="0" header="0" footer="0"/>
  <pageSetup paperSize="8" fitToHeight="0" orientation="landscape" r:id="rId1"/>
  <headerFooter scaleWithDoc="0"/>
  <rowBreaks count="1" manualBreakCount="1">
    <brk id="49" max="1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50"/>
    <pageSetUpPr fitToPage="1"/>
  </sheetPr>
  <dimension ref="A1:X383"/>
  <sheetViews>
    <sheetView view="pageBreakPreview" zoomScale="80" zoomScaleNormal="90" zoomScaleSheetLayoutView="80" workbookViewId="0">
      <pane xSplit="2" ySplit="6" topLeftCell="C7" activePane="bottomRight" state="frozen"/>
      <selection pane="topRight" activeCell="C1" sqref="C1"/>
      <selection pane="bottomLeft" activeCell="A7" sqref="A7"/>
      <selection pane="bottomRight" activeCell="E84" sqref="E84"/>
    </sheetView>
  </sheetViews>
  <sheetFormatPr defaultRowHeight="14.25"/>
  <cols>
    <col min="1" max="1" width="38.28515625" style="7" customWidth="1"/>
    <col min="2" max="2" width="2.28515625" style="7" customWidth="1"/>
    <col min="3" max="4" width="12.28515625" style="21" customWidth="1"/>
    <col min="5" max="6" width="11.85546875" style="13" customWidth="1"/>
    <col min="7" max="7" width="80.85546875" style="13" customWidth="1"/>
    <col min="8" max="8" width="9.140625" style="13"/>
    <col min="9" max="10" width="12.28515625" style="21" customWidth="1"/>
    <col min="11" max="12" width="11.85546875" style="13" customWidth="1"/>
    <col min="13" max="16384" width="9.140625" style="13"/>
  </cols>
  <sheetData>
    <row r="1" spans="1:12" s="3" customFormat="1" ht="15">
      <c r="A1" s="4" t="str">
        <f>'Top Flash'!A1</f>
        <v>TAAL VISTA HOTEL</v>
      </c>
      <c r="B1" s="2"/>
      <c r="C1" s="2"/>
      <c r="D1" s="2"/>
      <c r="I1" s="2"/>
      <c r="J1" s="2"/>
    </row>
    <row r="2" spans="1:12" s="3" customFormat="1" ht="15">
      <c r="A2" s="4" t="s">
        <v>217</v>
      </c>
      <c r="B2" s="2"/>
      <c r="C2" s="2"/>
      <c r="D2" s="2"/>
      <c r="I2" s="2"/>
      <c r="J2" s="2"/>
    </row>
    <row r="3" spans="1:12" s="7" customFormat="1" ht="15">
      <c r="A3" s="4" t="str">
        <f>'Top Flash'!A3</f>
        <v>December 2015</v>
      </c>
      <c r="B3" s="6"/>
      <c r="C3" s="6"/>
      <c r="D3" s="6"/>
      <c r="I3" s="6"/>
      <c r="J3" s="6"/>
    </row>
    <row r="4" spans="1:12" ht="15.75" customHeight="1">
      <c r="A4" s="8" t="s">
        <v>38</v>
      </c>
      <c r="B4" s="8"/>
      <c r="C4" s="9" t="s">
        <v>230</v>
      </c>
      <c r="D4" s="10"/>
      <c r="E4" s="11"/>
      <c r="F4" s="12"/>
      <c r="G4" s="85"/>
      <c r="I4" s="79" t="s">
        <v>231</v>
      </c>
      <c r="J4" s="10"/>
      <c r="K4" s="11"/>
      <c r="L4" s="12"/>
    </row>
    <row r="5" spans="1:12" ht="15.75" customHeight="1">
      <c r="A5" s="8"/>
      <c r="B5" s="8"/>
      <c r="C5" s="283" t="s">
        <v>6</v>
      </c>
      <c r="D5" s="283" t="s">
        <v>185</v>
      </c>
      <c r="E5" s="292" t="s">
        <v>11</v>
      </c>
      <c r="F5" s="293"/>
      <c r="G5" s="86"/>
      <c r="I5" s="283" t="s">
        <v>5</v>
      </c>
      <c r="J5" s="283" t="s">
        <v>185</v>
      </c>
      <c r="K5" s="292" t="s">
        <v>11</v>
      </c>
      <c r="L5" s="293"/>
    </row>
    <row r="6" spans="1:12" ht="30" customHeight="1">
      <c r="A6" s="18"/>
      <c r="B6" s="18"/>
      <c r="C6" s="283"/>
      <c r="D6" s="283"/>
      <c r="E6" s="83" t="s">
        <v>59</v>
      </c>
      <c r="F6" s="83" t="s">
        <v>12</v>
      </c>
      <c r="G6" s="84" t="s">
        <v>218</v>
      </c>
      <c r="I6" s="283"/>
      <c r="J6" s="283"/>
      <c r="K6" s="83" t="s">
        <v>59</v>
      </c>
      <c r="L6" s="83" t="s">
        <v>12</v>
      </c>
    </row>
    <row r="7" spans="1:12" ht="15" customHeight="1">
      <c r="C7" s="20"/>
      <c r="D7" s="20"/>
      <c r="I7" s="20"/>
      <c r="J7" s="20"/>
    </row>
    <row r="8" spans="1:12" s="24" customFormat="1" ht="15" customHeight="1">
      <c r="A8" s="18" t="s">
        <v>177</v>
      </c>
      <c r="B8" s="18"/>
      <c r="C8" s="72">
        <f>SUBTOTAL(9,C10:C19)</f>
        <v>65539945.450000003</v>
      </c>
      <c r="D8" s="72">
        <f>SUBTOTAL(9,D10:D19)</f>
        <v>62566019.790663503</v>
      </c>
      <c r="E8" s="72">
        <f>C8-D8</f>
        <v>2973925.6593364999</v>
      </c>
      <c r="F8" s="73">
        <f>IFERROR(E8/D8,)</f>
        <v>4.7532601071425158E-2</v>
      </c>
      <c r="G8" s="89"/>
      <c r="I8" s="72">
        <f>SUBTOTAL(9,I10:I19)</f>
        <v>487262378.69999999</v>
      </c>
      <c r="J8" s="72">
        <f>SUBTOTAL(9,J10:J19)</f>
        <v>484288976.35066348</v>
      </c>
      <c r="K8" s="72">
        <f>I8-J8</f>
        <v>2973402.3493365049</v>
      </c>
      <c r="L8" s="73">
        <f>IFERROR(K8/J8,)</f>
        <v>6.1397275067924043E-3</v>
      </c>
    </row>
    <row r="9" spans="1:12" ht="15" customHeight="1">
      <c r="A9" s="1"/>
      <c r="B9" s="1"/>
      <c r="C9" s="20"/>
      <c r="D9" s="20"/>
      <c r="E9" s="20"/>
      <c r="F9" s="20"/>
      <c r="G9" s="87"/>
      <c r="I9" s="20"/>
      <c r="J9" s="20"/>
      <c r="K9" s="20"/>
      <c r="L9" s="20"/>
    </row>
    <row r="10" spans="1:12" ht="15" customHeight="1">
      <c r="A10" s="29" t="s">
        <v>156</v>
      </c>
      <c r="B10" s="30"/>
      <c r="C10" s="31">
        <f>SUBTOTAL(9,C11:C13)</f>
        <v>31888733.59</v>
      </c>
      <c r="D10" s="31">
        <f>SUBTOTAL(9,D11:D13)</f>
        <v>30631318.199999999</v>
      </c>
      <c r="E10" s="31">
        <f>C10-D10</f>
        <v>1257415.3900000006</v>
      </c>
      <c r="F10" s="32">
        <f t="shared" ref="F10:F19" si="0">IFERROR(E10/D10,)</f>
        <v>4.1049992748924548E-2</v>
      </c>
      <c r="G10" s="294" t="s">
        <v>302</v>
      </c>
      <c r="I10" s="31">
        <f>SUBTOTAL(9,I11:I13)</f>
        <v>228725034.52999997</v>
      </c>
      <c r="J10" s="31">
        <f>SUBTOTAL(9,J11:J13)</f>
        <v>227468300.50999999</v>
      </c>
      <c r="K10" s="31">
        <f>I10-J10</f>
        <v>1256734.0199999809</v>
      </c>
      <c r="L10" s="32">
        <f t="shared" ref="L10:L19" si="1">IFERROR(K10/J10,)</f>
        <v>5.5248754098144422E-3</v>
      </c>
    </row>
    <row r="11" spans="1:12" ht="15" customHeight="1">
      <c r="A11" s="30" t="s">
        <v>179</v>
      </c>
      <c r="B11" s="30"/>
      <c r="C11" s="31">
        <f>'Top Flash'!C11</f>
        <v>22806043.59</v>
      </c>
      <c r="D11" s="188">
        <v>24885229.199999999</v>
      </c>
      <c r="E11" s="31">
        <f t="shared" ref="E11:E19" si="2">C11-D11</f>
        <v>-2079185.6099999994</v>
      </c>
      <c r="F11" s="32">
        <f t="shared" si="0"/>
        <v>-8.3550992972168378E-2</v>
      </c>
      <c r="G11" s="295"/>
      <c r="I11" s="31">
        <f>'Top Flash'!P11</f>
        <v>145823704.82999998</v>
      </c>
      <c r="J11" s="188">
        <v>147903572.34999999</v>
      </c>
      <c r="K11" s="31">
        <f t="shared" ref="K11:K19" si="3">I11-J11</f>
        <v>-2079867.5200000107</v>
      </c>
      <c r="L11" s="32">
        <f t="shared" si="1"/>
        <v>-1.406232105792684E-2</v>
      </c>
    </row>
    <row r="12" spans="1:12" ht="15" customHeight="1">
      <c r="A12" s="30" t="s">
        <v>180</v>
      </c>
      <c r="B12" s="30"/>
      <c r="C12" s="31">
        <f>'Top Flash'!C12</f>
        <v>8795945.0300000012</v>
      </c>
      <c r="D12" s="188">
        <v>5442420</v>
      </c>
      <c r="E12" s="31">
        <f t="shared" si="2"/>
        <v>3353525.0300000012</v>
      </c>
      <c r="F12" s="32">
        <f t="shared" si="0"/>
        <v>0.61618269630054301</v>
      </c>
      <c r="G12" s="295"/>
      <c r="I12" s="31">
        <f>'Top Flash'!P12</f>
        <v>80373210.209999993</v>
      </c>
      <c r="J12" s="188">
        <v>77019684.699999988</v>
      </c>
      <c r="K12" s="31">
        <f t="shared" si="3"/>
        <v>3353525.5100000054</v>
      </c>
      <c r="L12" s="32">
        <f t="shared" si="1"/>
        <v>4.3541148254012597E-2</v>
      </c>
    </row>
    <row r="13" spans="1:12" ht="15" customHeight="1">
      <c r="A13" s="30" t="s">
        <v>181</v>
      </c>
      <c r="B13" s="30"/>
      <c r="C13" s="31">
        <f>'Top Flash'!C13</f>
        <v>286744.96999999997</v>
      </c>
      <c r="D13" s="188">
        <v>303669</v>
      </c>
      <c r="E13" s="31">
        <f t="shared" si="2"/>
        <v>-16924.030000000028</v>
      </c>
      <c r="F13" s="32">
        <f t="shared" si="0"/>
        <v>-5.5731833015553213E-2</v>
      </c>
      <c r="G13" s="295"/>
      <c r="I13" s="31">
        <f>'Top Flash'!P13</f>
        <v>2528119.4900000002</v>
      </c>
      <c r="J13" s="188">
        <v>2545043.46</v>
      </c>
      <c r="K13" s="31">
        <f t="shared" si="3"/>
        <v>-16923.969999999739</v>
      </c>
      <c r="L13" s="32">
        <f t="shared" si="1"/>
        <v>-6.6497764246429567E-3</v>
      </c>
    </row>
    <row r="14" spans="1:12" ht="15" customHeight="1">
      <c r="A14" s="29" t="s">
        <v>182</v>
      </c>
      <c r="B14" s="30"/>
      <c r="C14" s="31">
        <f>SUBTOTAL(9,C15:C17)</f>
        <v>32445909.09</v>
      </c>
      <c r="D14" s="31">
        <f>SUBTOTAL(9,D15:D17)</f>
        <v>30572352</v>
      </c>
      <c r="E14" s="31">
        <f t="shared" si="2"/>
        <v>1873557.0899999999</v>
      </c>
      <c r="F14" s="32">
        <f t="shared" si="0"/>
        <v>6.1282726628294738E-2</v>
      </c>
      <c r="G14" s="295"/>
      <c r="I14" s="31">
        <f>SUBTOTAL(9,I15:I17)</f>
        <v>242613100.84999996</v>
      </c>
      <c r="J14" s="31">
        <f>SUBTOTAL(9,J15:J17)</f>
        <v>240739385.69999999</v>
      </c>
      <c r="K14" s="31">
        <f t="shared" si="3"/>
        <v>1873715.1499999762</v>
      </c>
      <c r="L14" s="32">
        <f t="shared" si="1"/>
        <v>7.7831682778111214E-3</v>
      </c>
    </row>
    <row r="15" spans="1:12" ht="15" customHeight="1">
      <c r="A15" s="30" t="s">
        <v>183</v>
      </c>
      <c r="B15" s="30"/>
      <c r="C15" s="31">
        <f>'Top Flash'!C15</f>
        <v>14904099</v>
      </c>
      <c r="D15" s="188">
        <v>16302000</v>
      </c>
      <c r="E15" s="31">
        <f t="shared" si="2"/>
        <v>-1397901</v>
      </c>
      <c r="F15" s="32">
        <f t="shared" si="0"/>
        <v>-8.5750276039749718E-2</v>
      </c>
      <c r="G15" s="295"/>
      <c r="I15" s="31">
        <f>'Top Flash'!P15</f>
        <v>124026390.80999999</v>
      </c>
      <c r="J15" s="188">
        <v>125424133.74999999</v>
      </c>
      <c r="K15" s="31">
        <f t="shared" si="3"/>
        <v>-1397742.9399999976</v>
      </c>
      <c r="L15" s="32">
        <f t="shared" si="1"/>
        <v>-1.11441307044307E-2</v>
      </c>
    </row>
    <row r="16" spans="1:12" ht="15.75" customHeight="1">
      <c r="A16" s="30" t="s">
        <v>184</v>
      </c>
      <c r="B16" s="30"/>
      <c r="C16" s="31">
        <f>'Top Flash'!C16</f>
        <v>14465971.210000001</v>
      </c>
      <c r="D16" s="188">
        <v>12280352</v>
      </c>
      <c r="E16" s="31">
        <f t="shared" si="2"/>
        <v>2185619.2100000009</v>
      </c>
      <c r="F16" s="32">
        <f t="shared" si="0"/>
        <v>0.17797691873978863</v>
      </c>
      <c r="G16" s="295"/>
      <c r="I16" s="31">
        <f>'Top Flash'!P16</f>
        <v>95448271.650000006</v>
      </c>
      <c r="J16" s="188">
        <v>93262652.439999998</v>
      </c>
      <c r="K16" s="31">
        <f t="shared" si="3"/>
        <v>2185619.2100000083</v>
      </c>
      <c r="L16" s="32">
        <f t="shared" si="1"/>
        <v>2.3435095966267035E-2</v>
      </c>
    </row>
    <row r="17" spans="1:12" ht="15.75" customHeight="1">
      <c r="A17" s="30" t="s">
        <v>250</v>
      </c>
      <c r="B17" s="30"/>
      <c r="C17" s="31">
        <f>'Top Flash'!C17</f>
        <v>3075838.88</v>
      </c>
      <c r="D17" s="188">
        <v>1990000</v>
      </c>
      <c r="E17" s="31">
        <f t="shared" si="2"/>
        <v>1085838.8799999999</v>
      </c>
      <c r="F17" s="32">
        <f t="shared" si="0"/>
        <v>0.54564767839195971</v>
      </c>
      <c r="G17" s="295"/>
      <c r="I17" s="31">
        <f>'Top Flash'!P17</f>
        <v>23138438.390000001</v>
      </c>
      <c r="J17" s="188">
        <v>22052599.510000002</v>
      </c>
      <c r="K17" s="31">
        <f t="shared" si="3"/>
        <v>1085838.879999999</v>
      </c>
      <c r="L17" s="32">
        <f t="shared" si="1"/>
        <v>4.9238588834282913E-2</v>
      </c>
    </row>
    <row r="18" spans="1:12" ht="15" customHeight="1">
      <c r="A18" s="29" t="s">
        <v>251</v>
      </c>
      <c r="B18" s="30"/>
      <c r="C18" s="31">
        <f>'Top Flash'!C18</f>
        <v>294776.83</v>
      </c>
      <c r="D18" s="188">
        <v>253544.23387462451</v>
      </c>
      <c r="E18" s="31">
        <f t="shared" si="2"/>
        <v>41232.596125375509</v>
      </c>
      <c r="F18" s="32">
        <f t="shared" si="0"/>
        <v>0.16262486231796808</v>
      </c>
      <c r="G18" s="295"/>
      <c r="I18" s="31">
        <f>'Top Flash'!P18</f>
        <v>2374081.0799999996</v>
      </c>
      <c r="J18" s="188">
        <v>2332848.4838746241</v>
      </c>
      <c r="K18" s="31">
        <f t="shared" si="3"/>
        <v>41232.596125375479</v>
      </c>
      <c r="L18" s="32">
        <f t="shared" si="1"/>
        <v>1.7674785315200725E-2</v>
      </c>
    </row>
    <row r="19" spans="1:12" ht="15.75" customHeight="1">
      <c r="A19" s="29" t="s">
        <v>178</v>
      </c>
      <c r="B19" s="30"/>
      <c r="C19" s="31">
        <f>'Top Flash'!C19</f>
        <v>910525.94</v>
      </c>
      <c r="D19" s="188">
        <v>1108805.3567888751</v>
      </c>
      <c r="E19" s="31">
        <f t="shared" si="2"/>
        <v>-198279.41678887513</v>
      </c>
      <c r="F19" s="32">
        <f t="shared" si="0"/>
        <v>-0.17882256391969165</v>
      </c>
      <c r="G19" s="296"/>
      <c r="I19" s="31">
        <f>'Top Flash'!P19</f>
        <v>13550162.239999998</v>
      </c>
      <c r="J19" s="188">
        <v>13748441.656788874</v>
      </c>
      <c r="K19" s="31">
        <f t="shared" si="3"/>
        <v>-198279.41678887606</v>
      </c>
      <c r="L19" s="32">
        <f t="shared" si="1"/>
        <v>-1.4421955719684581E-2</v>
      </c>
    </row>
    <row r="20" spans="1:12" ht="15" customHeight="1">
      <c r="C20" s="33"/>
      <c r="D20" s="33"/>
      <c r="E20" s="33"/>
      <c r="F20" s="20"/>
      <c r="G20" s="88"/>
      <c r="I20" s="33"/>
      <c r="J20" s="33"/>
      <c r="K20" s="33"/>
      <c r="L20" s="20"/>
    </row>
    <row r="21" spans="1:12" ht="15" customHeight="1">
      <c r="A21" s="18" t="s">
        <v>189</v>
      </c>
      <c r="B21" s="18"/>
      <c r="C21" s="20"/>
      <c r="D21" s="20"/>
      <c r="E21" s="20"/>
      <c r="F21" s="20"/>
      <c r="G21" s="87"/>
      <c r="I21" s="20"/>
      <c r="J21" s="20"/>
      <c r="K21" s="20"/>
      <c r="L21" s="20"/>
    </row>
    <row r="22" spans="1:12" ht="15" customHeight="1">
      <c r="A22" s="29" t="s">
        <v>19</v>
      </c>
      <c r="B22" s="35"/>
      <c r="C22" s="31">
        <f>'Top Flash'!C22</f>
        <v>5868900.5700000003</v>
      </c>
      <c r="D22" s="188">
        <v>4387748</v>
      </c>
      <c r="E22" s="31">
        <f>D22-C22</f>
        <v>-1481152.5700000003</v>
      </c>
      <c r="F22" s="32">
        <f t="shared" ref="F22:F29" si="4">IFERROR(E22/D22,)</f>
        <v>-0.33756555071075189</v>
      </c>
      <c r="G22" s="303" t="s">
        <v>303</v>
      </c>
      <c r="I22" s="31">
        <f>'Top Flash'!P22</f>
        <v>45100461.600000001</v>
      </c>
      <c r="J22" s="188">
        <v>43548792.649999999</v>
      </c>
      <c r="K22" s="31">
        <f t="shared" ref="K22:K29" si="5">I22-J22</f>
        <v>1551668.950000003</v>
      </c>
      <c r="L22" s="32">
        <f t="shared" ref="L22:L29" si="6">IFERROR(K22/J22,)</f>
        <v>3.5630584812550548E-2</v>
      </c>
    </row>
    <row r="23" spans="1:12" ht="15" customHeight="1">
      <c r="A23" s="29" t="s">
        <v>186</v>
      </c>
      <c r="B23" s="36"/>
      <c r="C23" s="31">
        <f>SUBTOTAL(9,C24:C25)</f>
        <v>14673774.300000001</v>
      </c>
      <c r="D23" s="31">
        <f>SUBTOTAL(9,D24:D25)</f>
        <v>13490424.079999998</v>
      </c>
      <c r="E23" s="31">
        <f t="shared" ref="E23:E28" si="7">D23-C23</f>
        <v>-1183350.2200000025</v>
      </c>
      <c r="F23" s="32">
        <f t="shared" si="4"/>
        <v>-8.771779248617978E-2</v>
      </c>
      <c r="G23" s="304"/>
      <c r="I23" s="31">
        <f>SUBTOTAL(9,I24:I25)</f>
        <v>120020326.65000001</v>
      </c>
      <c r="J23" s="31">
        <f>SUBTOTAL(9,J24:J25)</f>
        <v>118802975.81999999</v>
      </c>
      <c r="K23" s="31">
        <f t="shared" si="5"/>
        <v>1217350.8300000131</v>
      </c>
      <c r="L23" s="32">
        <f t="shared" si="6"/>
        <v>1.0246804186491406E-2</v>
      </c>
    </row>
    <row r="24" spans="1:12" ht="15" customHeight="1">
      <c r="A24" s="36" t="s">
        <v>187</v>
      </c>
      <c r="B24" s="36"/>
      <c r="C24" s="31">
        <f>'Top Flash'!C24</f>
        <v>8661200.3800000008</v>
      </c>
      <c r="D24" s="188">
        <v>8288882.0799999991</v>
      </c>
      <c r="E24" s="31">
        <f t="shared" si="7"/>
        <v>-372318.30000000168</v>
      </c>
      <c r="F24" s="32">
        <f t="shared" si="4"/>
        <v>-4.4917794270274106E-2</v>
      </c>
      <c r="G24" s="304"/>
      <c r="I24" s="31">
        <f>'Top Flash'!P24</f>
        <v>63387385.549999997</v>
      </c>
      <c r="J24" s="188">
        <v>63015067.249999993</v>
      </c>
      <c r="K24" s="31">
        <f t="shared" si="5"/>
        <v>372318.30000000447</v>
      </c>
      <c r="L24" s="32">
        <f t="shared" si="6"/>
        <v>5.9084012165361056E-3</v>
      </c>
    </row>
    <row r="25" spans="1:12" s="24" customFormat="1" ht="15" customHeight="1">
      <c r="A25" s="36" t="s">
        <v>287</v>
      </c>
      <c r="B25" s="36"/>
      <c r="C25" s="31">
        <f>'Top Flash'!C25</f>
        <v>6012573.9199999999</v>
      </c>
      <c r="D25" s="188">
        <v>5201542</v>
      </c>
      <c r="E25" s="31">
        <f t="shared" si="7"/>
        <v>-811031.91999999993</v>
      </c>
      <c r="F25" s="32">
        <f t="shared" si="4"/>
        <v>-0.15592144021907348</v>
      </c>
      <c r="G25" s="304"/>
      <c r="I25" s="31">
        <f>'Top Flash'!P25</f>
        <v>56632941.100000001</v>
      </c>
      <c r="J25" s="188">
        <v>55787908.57</v>
      </c>
      <c r="K25" s="31">
        <f t="shared" si="5"/>
        <v>845032.53000000119</v>
      </c>
      <c r="L25" s="32">
        <f t="shared" si="6"/>
        <v>1.5147234439514698E-2</v>
      </c>
    </row>
    <row r="26" spans="1:12" ht="15" customHeight="1">
      <c r="A26" s="29" t="s">
        <v>157</v>
      </c>
      <c r="B26" s="1"/>
      <c r="C26" s="31">
        <f>SUBTOTAL(9,C27:C28)</f>
        <v>172943.37</v>
      </c>
      <c r="D26" s="31">
        <f>SUBTOTAL(9,D27:D28)</f>
        <v>135407.35999999999</v>
      </c>
      <c r="E26" s="31">
        <f t="shared" si="7"/>
        <v>-37536.010000000009</v>
      </c>
      <c r="F26" s="32">
        <f t="shared" si="4"/>
        <v>-0.27720804836605639</v>
      </c>
      <c r="G26" s="304"/>
      <c r="I26" s="31">
        <f>SUBTOTAL(9,I27:I28)</f>
        <v>2058661.78</v>
      </c>
      <c r="J26" s="31">
        <f>SUBTOTAL(9,J27:J28)</f>
        <v>2116740.3200000003</v>
      </c>
      <c r="K26" s="31">
        <f t="shared" si="5"/>
        <v>-58078.54000000027</v>
      </c>
      <c r="L26" s="32">
        <f t="shared" si="6"/>
        <v>-2.7437725568529001E-2</v>
      </c>
    </row>
    <row r="27" spans="1:12" ht="15" customHeight="1">
      <c r="A27" s="36" t="s">
        <v>188</v>
      </c>
      <c r="B27" s="35"/>
      <c r="C27" s="31">
        <f>'Top Flash'!C27</f>
        <v>15383</v>
      </c>
      <c r="D27" s="188">
        <v>15382.36</v>
      </c>
      <c r="E27" s="31">
        <f t="shared" si="7"/>
        <v>-0.63999999999941792</v>
      </c>
      <c r="F27" s="32">
        <f t="shared" si="4"/>
        <v>-4.1606099454142141E-5</v>
      </c>
      <c r="G27" s="304"/>
      <c r="I27" s="31">
        <f>'Top Flash'!P27</f>
        <v>150382.41</v>
      </c>
      <c r="J27" s="188">
        <v>150381.77000000002</v>
      </c>
      <c r="K27" s="31">
        <f t="shared" si="5"/>
        <v>0.63999999998486601</v>
      </c>
      <c r="L27" s="32">
        <f t="shared" si="6"/>
        <v>4.2558349990485278E-6</v>
      </c>
    </row>
    <row r="28" spans="1:12" ht="15" customHeight="1">
      <c r="A28" s="36" t="s">
        <v>288</v>
      </c>
      <c r="B28" s="36"/>
      <c r="C28" s="31">
        <f>'Top Flash'!C28</f>
        <v>157560.37</v>
      </c>
      <c r="D28" s="188">
        <v>120025</v>
      </c>
      <c r="E28" s="31">
        <f t="shared" si="7"/>
        <v>-37535.369999999995</v>
      </c>
      <c r="F28" s="32">
        <f t="shared" si="4"/>
        <v>-0.31272959800041655</v>
      </c>
      <c r="G28" s="304"/>
      <c r="I28" s="31">
        <f>'Top Flash'!P28</f>
        <v>1908279.37</v>
      </c>
      <c r="J28" s="188">
        <v>1966358.5500000003</v>
      </c>
      <c r="K28" s="31">
        <f t="shared" si="5"/>
        <v>-58079.180000000168</v>
      </c>
      <c r="L28" s="32">
        <f t="shared" si="6"/>
        <v>-2.9536413895624558E-2</v>
      </c>
    </row>
    <row r="29" spans="1:12" s="24" customFormat="1" ht="15.75" customHeight="1">
      <c r="A29" s="39" t="s">
        <v>21</v>
      </c>
      <c r="B29" s="36"/>
      <c r="C29" s="22">
        <f>SUBTOTAL(9,C22:C28)</f>
        <v>20715618.240000002</v>
      </c>
      <c r="D29" s="22">
        <f>SUBTOTAL(9,D22:D28)</f>
        <v>18013579.439999998</v>
      </c>
      <c r="E29" s="22">
        <f>D29-C29</f>
        <v>-2702038.8000000045</v>
      </c>
      <c r="F29" s="23">
        <f t="shared" si="4"/>
        <v>-0.15000010458776453</v>
      </c>
      <c r="G29" s="305"/>
      <c r="I29" s="22">
        <f>SUBTOTAL(9,I22:I28)</f>
        <v>167179450.03</v>
      </c>
      <c r="J29" s="22">
        <f>SUBTOTAL(9,J22:J28)</f>
        <v>164468508.79000002</v>
      </c>
      <c r="K29" s="22">
        <f t="shared" si="5"/>
        <v>2710941.2399999797</v>
      </c>
      <c r="L29" s="23">
        <f t="shared" si="6"/>
        <v>1.6483041403758444E-2</v>
      </c>
    </row>
    <row r="30" spans="1:12" ht="15" customHeight="1">
      <c r="A30" s="18"/>
      <c r="B30" s="18"/>
      <c r="C30" s="40"/>
      <c r="D30" s="40"/>
      <c r="E30" s="40"/>
      <c r="F30" s="26"/>
      <c r="G30" s="90"/>
      <c r="I30" s="40"/>
      <c r="J30" s="40"/>
      <c r="K30" s="40"/>
      <c r="L30" s="26"/>
    </row>
    <row r="31" spans="1:12" ht="15" customHeight="1">
      <c r="A31" s="18" t="s">
        <v>158</v>
      </c>
      <c r="B31" s="35"/>
      <c r="C31" s="26"/>
      <c r="D31" s="26"/>
      <c r="E31" s="26"/>
      <c r="F31" s="26"/>
      <c r="G31" s="91"/>
      <c r="I31" s="26"/>
      <c r="J31" s="26"/>
      <c r="K31" s="26"/>
      <c r="L31" s="26"/>
    </row>
    <row r="32" spans="1:12" ht="15" customHeight="1">
      <c r="A32" s="39" t="s">
        <v>150</v>
      </c>
      <c r="B32" s="36"/>
      <c r="C32" s="31">
        <f>'Top Flash'!C32</f>
        <v>4576031.4400000004</v>
      </c>
      <c r="D32" s="188">
        <v>3620428</v>
      </c>
      <c r="E32" s="31">
        <f t="shared" ref="E32:E36" si="8">D32-C32</f>
        <v>-955603.44000000041</v>
      </c>
      <c r="F32" s="32">
        <f t="shared" ref="F32:F37" si="9">IFERROR(E32/D32,)</f>
        <v>-0.26394764375924623</v>
      </c>
      <c r="G32" s="294"/>
      <c r="I32" s="31">
        <f>'Top Flash'!P32</f>
        <v>45813339.539999999</v>
      </c>
      <c r="J32" s="188">
        <v>44833406.639999993</v>
      </c>
      <c r="K32" s="31">
        <f t="shared" ref="K32:K37" si="10">I32-J32</f>
        <v>979932.90000000596</v>
      </c>
      <c r="L32" s="32">
        <f t="shared" ref="L32:L37" si="11">IFERROR(K32/J32,)</f>
        <v>2.1857203666645262E-2</v>
      </c>
    </row>
    <row r="33" spans="1:12" ht="15" customHeight="1">
      <c r="A33" s="39" t="s">
        <v>202</v>
      </c>
      <c r="B33" s="36"/>
      <c r="C33" s="31">
        <f>'Top Flash'!C33</f>
        <v>486710.17</v>
      </c>
      <c r="D33" s="261">
        <v>428741</v>
      </c>
      <c r="E33" s="31">
        <f t="shared" si="8"/>
        <v>-57969.169999999984</v>
      </c>
      <c r="F33" s="32">
        <f t="shared" si="9"/>
        <v>-0.13520789940780095</v>
      </c>
      <c r="G33" s="295"/>
      <c r="I33" s="31">
        <f>'Top Flash'!P33</f>
        <v>3825204.4899999993</v>
      </c>
      <c r="J33" s="188">
        <v>3767235.3199999994</v>
      </c>
      <c r="K33" s="31">
        <f t="shared" si="10"/>
        <v>57969.169999999925</v>
      </c>
      <c r="L33" s="32">
        <f t="shared" si="11"/>
        <v>1.5387722049707247E-2</v>
      </c>
    </row>
    <row r="34" spans="1:12" ht="15" customHeight="1">
      <c r="A34" s="39" t="s">
        <v>22</v>
      </c>
      <c r="B34" s="36"/>
      <c r="C34" s="31">
        <f>'Top Flash'!C34</f>
        <v>2770191.5999999996</v>
      </c>
      <c r="D34" s="188">
        <v>2575505</v>
      </c>
      <c r="E34" s="31">
        <f t="shared" si="8"/>
        <v>-194686.59999999963</v>
      </c>
      <c r="F34" s="32">
        <f t="shared" si="9"/>
        <v>-7.5591621837270598E-2</v>
      </c>
      <c r="G34" s="295"/>
      <c r="I34" s="31">
        <f>'Top Flash'!P34</f>
        <v>21954938.710000001</v>
      </c>
      <c r="J34" s="188">
        <v>22121250.949999999</v>
      </c>
      <c r="K34" s="31">
        <f t="shared" si="10"/>
        <v>-166312.23999999836</v>
      </c>
      <c r="L34" s="32">
        <f t="shared" si="11"/>
        <v>-7.5182113514244264E-3</v>
      </c>
    </row>
    <row r="35" spans="1:12" ht="15" customHeight="1">
      <c r="A35" s="39" t="s">
        <v>190</v>
      </c>
      <c r="B35" s="36"/>
      <c r="C35" s="31">
        <f>'Top Flash'!C35</f>
        <v>2133498.66</v>
      </c>
      <c r="D35" s="188">
        <v>1646367</v>
      </c>
      <c r="E35" s="31">
        <f t="shared" si="8"/>
        <v>-487131.66000000015</v>
      </c>
      <c r="F35" s="32">
        <f t="shared" si="9"/>
        <v>-0.29588278919584765</v>
      </c>
      <c r="G35" s="295"/>
      <c r="I35" s="31">
        <f>'Top Flash'!P35</f>
        <v>21426226.859999999</v>
      </c>
      <c r="J35" s="188">
        <v>20869037.190000001</v>
      </c>
      <c r="K35" s="31">
        <f t="shared" si="10"/>
        <v>557189.66999999806</v>
      </c>
      <c r="L35" s="32">
        <f t="shared" si="11"/>
        <v>2.6699347216027364E-2</v>
      </c>
    </row>
    <row r="36" spans="1:12" ht="15.75" customHeight="1">
      <c r="A36" s="39" t="s">
        <v>20</v>
      </c>
      <c r="B36" s="36"/>
      <c r="C36" s="31">
        <f>'Top Flash'!C36</f>
        <v>3737239.89</v>
      </c>
      <c r="D36" s="188">
        <v>3800000</v>
      </c>
      <c r="E36" s="31">
        <f t="shared" si="8"/>
        <v>62760.10999999987</v>
      </c>
      <c r="F36" s="32">
        <f t="shared" si="9"/>
        <v>1.6515818421052597E-2</v>
      </c>
      <c r="G36" s="295"/>
      <c r="I36" s="31">
        <f>'Top Flash'!P36</f>
        <v>46399048.970000006</v>
      </c>
      <c r="J36" s="188">
        <v>46460319.800000004</v>
      </c>
      <c r="K36" s="31">
        <f t="shared" si="10"/>
        <v>-61270.829999998212</v>
      </c>
      <c r="L36" s="32">
        <f t="shared" si="11"/>
        <v>-1.3187776206395852E-3</v>
      </c>
    </row>
    <row r="37" spans="1:12" s="24" customFormat="1" ht="15.75" customHeight="1">
      <c r="A37" s="39" t="s">
        <v>23</v>
      </c>
      <c r="B37" s="36"/>
      <c r="C37" s="22">
        <f>SUBTOTAL(9,C32:C36)</f>
        <v>13703671.760000002</v>
      </c>
      <c r="D37" s="22">
        <f>SUBTOTAL(9,D32:D36)</f>
        <v>12071041</v>
      </c>
      <c r="E37" s="22">
        <f>D37-C37</f>
        <v>-1632630.7600000016</v>
      </c>
      <c r="F37" s="23">
        <f t="shared" si="9"/>
        <v>-0.1352518610449589</v>
      </c>
      <c r="G37" s="296"/>
      <c r="I37" s="22">
        <f>SUBTOTAL(9,I32:I36)</f>
        <v>139418758.57000002</v>
      </c>
      <c r="J37" s="22">
        <f>SUBTOTAL(9,J32:J36)</f>
        <v>138051249.90000001</v>
      </c>
      <c r="K37" s="22">
        <f t="shared" si="10"/>
        <v>1367508.6700000167</v>
      </c>
      <c r="L37" s="23">
        <f t="shared" si="11"/>
        <v>9.9058043370892843E-3</v>
      </c>
    </row>
    <row r="38" spans="1:12" ht="15" customHeight="1">
      <c r="A38" s="18"/>
      <c r="B38" s="18"/>
      <c r="C38" s="26"/>
      <c r="D38" s="26"/>
      <c r="E38" s="26"/>
      <c r="F38" s="26"/>
      <c r="G38" s="91"/>
      <c r="I38" s="26"/>
      <c r="J38" s="26"/>
      <c r="K38" s="26"/>
      <c r="L38" s="26"/>
    </row>
    <row r="39" spans="1:12" s="24" customFormat="1" ht="15" customHeight="1">
      <c r="A39" s="18" t="s">
        <v>15</v>
      </c>
      <c r="B39" s="18"/>
      <c r="C39" s="22">
        <f>C29+C37</f>
        <v>34419290</v>
      </c>
      <c r="D39" s="22">
        <f>D29+D37</f>
        <v>30084620.439999998</v>
      </c>
      <c r="E39" s="22">
        <f>D39-C39</f>
        <v>-4334669.5600000024</v>
      </c>
      <c r="F39" s="23">
        <f>IFERROR(E39/D39,)</f>
        <v>-0.1440825743055312</v>
      </c>
      <c r="G39" s="89"/>
      <c r="I39" s="22">
        <f>I29+I37</f>
        <v>306598208.60000002</v>
      </c>
      <c r="J39" s="22">
        <f>J29+J37</f>
        <v>302519758.69000006</v>
      </c>
      <c r="K39" s="22">
        <f t="shared" ref="K39" si="12">I39-J39</f>
        <v>4078449.9099999666</v>
      </c>
      <c r="L39" s="23">
        <f>IFERROR(K39/J39,)</f>
        <v>1.3481598450497448E-2</v>
      </c>
    </row>
    <row r="40" spans="1:12" s="44" customFormat="1" ht="15" customHeight="1">
      <c r="A40" s="41" t="s">
        <v>1</v>
      </c>
      <c r="B40" s="42"/>
      <c r="C40" s="32">
        <f>IFERROR(C39/C$8,)</f>
        <v>0.52516506938899199</v>
      </c>
      <c r="D40" s="32">
        <f>IFERROR(D39/D$8,)</f>
        <v>0.48084600140233652</v>
      </c>
      <c r="E40" s="32"/>
      <c r="F40" s="32"/>
      <c r="G40" s="92"/>
      <c r="I40" s="32">
        <f>IFERROR(I39/I$8,)</f>
        <v>0.62922610487186381</v>
      </c>
      <c r="J40" s="32">
        <f>IFERROR(J39/J$8,)</f>
        <v>0.62466786043659983</v>
      </c>
      <c r="K40" s="32"/>
      <c r="L40" s="32"/>
    </row>
    <row r="41" spans="1:12" ht="15" customHeight="1">
      <c r="A41" s="18"/>
      <c r="B41" s="18"/>
      <c r="C41" s="26"/>
      <c r="D41" s="26"/>
      <c r="E41" s="26"/>
      <c r="F41" s="26"/>
      <c r="G41" s="91"/>
      <c r="I41" s="26"/>
      <c r="J41" s="26"/>
      <c r="K41" s="26"/>
      <c r="L41" s="26"/>
    </row>
    <row r="42" spans="1:12" s="24" customFormat="1" ht="15">
      <c r="A42" s="18" t="s">
        <v>2</v>
      </c>
      <c r="B42" s="18"/>
      <c r="C42" s="72">
        <f>C8-C39</f>
        <v>31120655.450000003</v>
      </c>
      <c r="D42" s="72">
        <f>D8-D39</f>
        <v>32481399.350663505</v>
      </c>
      <c r="E42" s="72">
        <f>C42-D42</f>
        <v>-1360743.9006635025</v>
      </c>
      <c r="F42" s="73">
        <f>IFERROR(IF(D42&lt;C42,ABS(E42/D42),E42/D42),)</f>
        <v>-4.1893019631732899E-2</v>
      </c>
      <c r="G42" s="294"/>
      <c r="I42" s="72">
        <f>I8-I39</f>
        <v>180664170.09999996</v>
      </c>
      <c r="J42" s="72">
        <f>J8-J39</f>
        <v>181769217.66066343</v>
      </c>
      <c r="K42" s="72">
        <f>I42-J42</f>
        <v>-1105047.5606634617</v>
      </c>
      <c r="L42" s="73">
        <f>IFERROR(IF(J42&lt;I42,ABS(K42/J42),K42/J42),)</f>
        <v>-6.0793987831670379E-3</v>
      </c>
    </row>
    <row r="43" spans="1:12" s="48" customFormat="1" ht="15">
      <c r="A43" s="45" t="s">
        <v>1</v>
      </c>
      <c r="B43" s="46"/>
      <c r="C43" s="32">
        <f>IFERROR(C42/C$8,)</f>
        <v>0.47483493061100801</v>
      </c>
      <c r="D43" s="32">
        <f>IFERROR(D42/D$8,)</f>
        <v>0.51915399859766342</v>
      </c>
      <c r="E43" s="32"/>
      <c r="F43" s="32"/>
      <c r="G43" s="296"/>
      <c r="I43" s="32">
        <f>IFERROR(I42/I$8,)</f>
        <v>0.37077389512813619</v>
      </c>
      <c r="J43" s="32">
        <f>IFERROR(J42/J$8,)</f>
        <v>0.37533213956340017</v>
      </c>
      <c r="K43" s="32"/>
      <c r="L43" s="32"/>
    </row>
    <row r="44" spans="1:12" ht="15">
      <c r="A44" s="18"/>
      <c r="B44" s="18"/>
      <c r="C44" s="40"/>
      <c r="D44" s="40"/>
      <c r="E44" s="40"/>
      <c r="F44" s="26"/>
      <c r="G44" s="90"/>
      <c r="I44" s="40"/>
      <c r="J44" s="40"/>
      <c r="K44" s="40"/>
      <c r="L44" s="26"/>
    </row>
    <row r="45" spans="1:12" ht="15">
      <c r="A45" s="39" t="s">
        <v>191</v>
      </c>
      <c r="B45" s="36"/>
      <c r="C45" s="31">
        <f>'Top Flash'!C45</f>
        <v>0</v>
      </c>
      <c r="D45" s="188"/>
      <c r="E45" s="31">
        <f>D45-C45</f>
        <v>0</v>
      </c>
      <c r="F45" s="32">
        <f t="shared" ref="F45" si="13">IFERROR(E45/D45,)</f>
        <v>0</v>
      </c>
      <c r="G45" s="300"/>
      <c r="I45" s="31">
        <f>'Top Flash'!P45</f>
        <v>0</v>
      </c>
      <c r="J45" s="188"/>
      <c r="K45" s="31">
        <f t="shared" ref="K45" si="14">I45-J45</f>
        <v>0</v>
      </c>
      <c r="L45" s="32">
        <f t="shared" ref="L45" si="15">IFERROR(K45/J45,)</f>
        <v>0</v>
      </c>
    </row>
    <row r="46" spans="1:12" ht="15">
      <c r="A46" s="18"/>
      <c r="B46" s="18"/>
      <c r="C46" s="40"/>
      <c r="D46" s="40"/>
      <c r="E46" s="40"/>
      <c r="F46" s="26"/>
      <c r="G46" s="301"/>
      <c r="I46" s="40"/>
      <c r="J46" s="40"/>
      <c r="K46" s="40"/>
      <c r="L46" s="26"/>
    </row>
    <row r="47" spans="1:12" s="24" customFormat="1" ht="30">
      <c r="A47" s="49" t="s">
        <v>192</v>
      </c>
      <c r="B47" s="18"/>
      <c r="C47" s="22">
        <f>C42-C45</f>
        <v>31120655.450000003</v>
      </c>
      <c r="D47" s="22">
        <f>D42-D45</f>
        <v>32481399.350663505</v>
      </c>
      <c r="E47" s="22">
        <f>C47-D47</f>
        <v>-1360743.9006635025</v>
      </c>
      <c r="F47" s="23">
        <f>IFERROR(IF(D47&lt;C47,ABS(E47/D47),E47/D47),)</f>
        <v>-4.1893019631732899E-2</v>
      </c>
      <c r="G47" s="301"/>
      <c r="I47" s="22">
        <f>I42-I45</f>
        <v>180664170.09999996</v>
      </c>
      <c r="J47" s="22">
        <f>J42-J45</f>
        <v>181769217.66066343</v>
      </c>
      <c r="K47" s="22">
        <f t="shared" ref="K47" si="16">I47-J47</f>
        <v>-1105047.5606634617</v>
      </c>
      <c r="L47" s="23">
        <f>IFERROR(IF(J47&lt;I47,ABS(K47/J47),K47/J47),)</f>
        <v>-6.0793987831670379E-3</v>
      </c>
    </row>
    <row r="48" spans="1:12" s="24" customFormat="1" ht="15">
      <c r="A48" s="49"/>
      <c r="B48" s="18"/>
      <c r="C48" s="32">
        <f>IFERROR(C47/C$8,)</f>
        <v>0.47483493061100801</v>
      </c>
      <c r="D48" s="32">
        <f>IFERROR(D47/D$8,)</f>
        <v>0.51915399859766342</v>
      </c>
      <c r="E48" s="32"/>
      <c r="F48" s="95"/>
      <c r="G48" s="302"/>
      <c r="I48" s="32">
        <f>IFERROR(I47/I$8,)</f>
        <v>0.37077389512813619</v>
      </c>
      <c r="J48" s="32">
        <f>IFERROR(J47/J$8,)</f>
        <v>0.37533213956340017</v>
      </c>
      <c r="K48" s="32"/>
      <c r="L48" s="95"/>
    </row>
    <row r="49" spans="1:12" ht="15">
      <c r="A49" s="18"/>
      <c r="B49" s="18"/>
      <c r="C49" s="40"/>
      <c r="D49" s="40"/>
      <c r="E49" s="40"/>
      <c r="F49" s="26"/>
      <c r="G49" s="90"/>
      <c r="I49" s="40"/>
      <c r="J49" s="40"/>
      <c r="K49" s="40"/>
      <c r="L49" s="26"/>
    </row>
    <row r="50" spans="1:12" ht="15">
      <c r="A50" s="18" t="s">
        <v>195</v>
      </c>
      <c r="B50" s="18"/>
      <c r="C50" s="40"/>
      <c r="D50" s="40"/>
      <c r="E50" s="40"/>
      <c r="F50" s="26"/>
      <c r="G50" s="90"/>
      <c r="I50" s="40"/>
      <c r="J50" s="40"/>
      <c r="K50" s="40"/>
      <c r="L50" s="26"/>
    </row>
    <row r="51" spans="1:12" ht="15">
      <c r="A51" s="39" t="s">
        <v>193</v>
      </c>
      <c r="B51" s="36"/>
      <c r="C51" s="31">
        <f>'Top Flash'!C51</f>
        <v>0</v>
      </c>
      <c r="D51" s="188">
        <v>0</v>
      </c>
      <c r="E51" s="31">
        <f t="shared" ref="E51:E55" si="17">D51-C51</f>
        <v>0</v>
      </c>
      <c r="F51" s="32">
        <f t="shared" ref="F51:F56" si="18">IFERROR(E51/D51,)</f>
        <v>0</v>
      </c>
      <c r="G51" s="300" t="s">
        <v>304</v>
      </c>
      <c r="I51" s="31">
        <f>'Top Flash'!P51</f>
        <v>0</v>
      </c>
      <c r="J51" s="188">
        <v>0</v>
      </c>
      <c r="K51" s="31">
        <f t="shared" ref="K51:K56" si="19">I51-J51</f>
        <v>0</v>
      </c>
      <c r="L51" s="32">
        <f t="shared" ref="L51:L56" si="20">IFERROR(K51/J51,)</f>
        <v>0</v>
      </c>
    </row>
    <row r="52" spans="1:12" ht="15">
      <c r="A52" s="39" t="s">
        <v>205</v>
      </c>
      <c r="B52" s="36"/>
      <c r="C52" s="31">
        <f>'Top Flash'!C52</f>
        <v>1258733.55</v>
      </c>
      <c r="D52" s="188">
        <v>1946891.08</v>
      </c>
      <c r="E52" s="31">
        <f t="shared" si="17"/>
        <v>688157.53</v>
      </c>
      <c r="F52" s="32">
        <f t="shared" si="18"/>
        <v>0.3534648327630121</v>
      </c>
      <c r="G52" s="301"/>
      <c r="I52" s="31">
        <f>'Top Flash'!P52</f>
        <v>19644031.040000003</v>
      </c>
      <c r="J52" s="188">
        <v>20676717.630000003</v>
      </c>
      <c r="K52" s="31">
        <f t="shared" si="19"/>
        <v>-1032686.5899999999</v>
      </c>
      <c r="L52" s="32">
        <f t="shared" si="20"/>
        <v>-4.9944416153445324E-2</v>
      </c>
    </row>
    <row r="53" spans="1:12" ht="15">
      <c r="A53" s="39" t="s">
        <v>194</v>
      </c>
      <c r="B53" s="36"/>
      <c r="C53" s="31">
        <f>'Top Flash'!C53</f>
        <v>0</v>
      </c>
      <c r="D53" s="188">
        <v>0</v>
      </c>
      <c r="E53" s="31">
        <f t="shared" si="17"/>
        <v>0</v>
      </c>
      <c r="F53" s="32">
        <f t="shared" si="18"/>
        <v>0</v>
      </c>
      <c r="G53" s="301"/>
      <c r="I53" s="31">
        <f>'Top Flash'!P53</f>
        <v>0</v>
      </c>
      <c r="J53" s="188">
        <v>0</v>
      </c>
      <c r="K53" s="31">
        <f t="shared" si="19"/>
        <v>0</v>
      </c>
      <c r="L53" s="32">
        <f t="shared" si="20"/>
        <v>0</v>
      </c>
    </row>
    <row r="54" spans="1:12" ht="15">
      <c r="A54" s="39" t="s">
        <v>36</v>
      </c>
      <c r="B54" s="36"/>
      <c r="C54" s="31">
        <f>'Top Flash'!C54</f>
        <v>0</v>
      </c>
      <c r="D54" s="188">
        <v>0</v>
      </c>
      <c r="E54" s="31">
        <f t="shared" si="17"/>
        <v>0</v>
      </c>
      <c r="F54" s="32">
        <f t="shared" si="18"/>
        <v>0</v>
      </c>
      <c r="G54" s="301"/>
      <c r="I54" s="31">
        <f>'Top Flash'!P54</f>
        <v>0</v>
      </c>
      <c r="J54" s="188">
        <v>0</v>
      </c>
      <c r="K54" s="31">
        <f t="shared" si="19"/>
        <v>0</v>
      </c>
      <c r="L54" s="32">
        <f t="shared" si="20"/>
        <v>0</v>
      </c>
    </row>
    <row r="55" spans="1:12" ht="15.75" customHeight="1">
      <c r="A55" s="39" t="s">
        <v>204</v>
      </c>
      <c r="B55" s="36"/>
      <c r="C55" s="31">
        <f>'Top Flash'!C55</f>
        <v>-5000000</v>
      </c>
      <c r="D55" s="188">
        <v>-15000000</v>
      </c>
      <c r="E55" s="31">
        <f t="shared" si="17"/>
        <v>-10000000</v>
      </c>
      <c r="F55" s="32">
        <f t="shared" si="18"/>
        <v>0.66666666666666663</v>
      </c>
      <c r="G55" s="301"/>
      <c r="I55" s="31">
        <f>'Top Flash'!P55</f>
        <v>-489684.15000000037</v>
      </c>
      <c r="J55" s="188">
        <v>-5489684.1500000004</v>
      </c>
      <c r="K55" s="31">
        <f t="shared" si="19"/>
        <v>5000000</v>
      </c>
      <c r="L55" s="32">
        <f t="shared" si="20"/>
        <v>-0.91079921237362982</v>
      </c>
    </row>
    <row r="56" spans="1:12" s="24" customFormat="1" ht="15">
      <c r="A56" s="39" t="s">
        <v>16</v>
      </c>
      <c r="B56" s="36"/>
      <c r="C56" s="22">
        <f>SUBTOTAL(9,C51:C55)</f>
        <v>-3741266.45</v>
      </c>
      <c r="D56" s="22">
        <f>SUBTOTAL(9,D51:D55)</f>
        <v>-13053108.92</v>
      </c>
      <c r="E56" s="22">
        <f>D56-C56</f>
        <v>-9311842.4699999988</v>
      </c>
      <c r="F56" s="23">
        <f t="shared" si="18"/>
        <v>0.71338119731249428</v>
      </c>
      <c r="G56" s="301"/>
      <c r="I56" s="22">
        <f>SUBTOTAL(9,I51:I55)</f>
        <v>19154346.890000001</v>
      </c>
      <c r="J56" s="22">
        <f>SUBTOTAL(9,J51:J55)</f>
        <v>15187033.480000002</v>
      </c>
      <c r="K56" s="22">
        <f t="shared" si="19"/>
        <v>3967313.4099999983</v>
      </c>
      <c r="L56" s="23">
        <f t="shared" si="20"/>
        <v>0.26123030644691764</v>
      </c>
    </row>
    <row r="57" spans="1:12" ht="15">
      <c r="A57" s="18"/>
      <c r="B57" s="18"/>
      <c r="C57" s="40"/>
      <c r="D57" s="40"/>
      <c r="E57" s="40"/>
      <c r="F57" s="26"/>
      <c r="G57" s="301"/>
      <c r="I57" s="40"/>
      <c r="J57" s="40"/>
      <c r="K57" s="40"/>
      <c r="L57" s="26"/>
    </row>
    <row r="58" spans="1:12" s="24" customFormat="1" ht="15">
      <c r="A58" s="18" t="s">
        <v>3</v>
      </c>
      <c r="B58" s="18"/>
      <c r="C58" s="22">
        <f>C47-C56</f>
        <v>34861921.900000006</v>
      </c>
      <c r="D58" s="22">
        <f>D47-D56</f>
        <v>45534508.270663507</v>
      </c>
      <c r="E58" s="22">
        <f t="shared" ref="E58" si="21">C58-D58</f>
        <v>-10672586.370663501</v>
      </c>
      <c r="F58" s="23">
        <f>IFERROR(IF(D58&lt;C58,ABS(E58/D58),E58/D58),)</f>
        <v>-0.23438457503975119</v>
      </c>
      <c r="G58" s="301"/>
      <c r="I58" s="22">
        <f>I47-I56</f>
        <v>161509823.20999998</v>
      </c>
      <c r="J58" s="22">
        <f>J47-J56</f>
        <v>166582184.18066344</v>
      </c>
      <c r="K58" s="22">
        <f t="shared" ref="K58" si="22">I58-J58</f>
        <v>-5072360.9706634581</v>
      </c>
      <c r="L58" s="23">
        <f>IFERROR(IF(J58&lt;I58,ABS(K58/J58),K58/J58),)</f>
        <v>-3.0449600571705367E-2</v>
      </c>
    </row>
    <row r="59" spans="1:12" s="48" customFormat="1" ht="15">
      <c r="A59" s="45" t="s">
        <v>1</v>
      </c>
      <c r="B59" s="46"/>
      <c r="C59" s="32">
        <f>IFERROR(C58/C$8,)</f>
        <v>0.53191868959665123</v>
      </c>
      <c r="D59" s="32">
        <f>IFERROR(D58/D$8,)</f>
        <v>0.72778336264661114</v>
      </c>
      <c r="E59" s="32"/>
      <c r="F59" s="95"/>
      <c r="G59" s="301"/>
      <c r="I59" s="32">
        <f>IFERROR(I58/I$8,)</f>
        <v>0.33146376627906893</v>
      </c>
      <c r="J59" s="32">
        <f>IFERROR(J58/J$8,)</f>
        <v>0.34397269464181396</v>
      </c>
      <c r="K59" s="32"/>
      <c r="L59" s="95"/>
    </row>
    <row r="60" spans="1:12" ht="15">
      <c r="A60" s="18"/>
      <c r="B60" s="18"/>
      <c r="C60" s="40"/>
      <c r="D60" s="40"/>
      <c r="E60" s="40"/>
      <c r="F60" s="26"/>
      <c r="G60" s="301"/>
      <c r="I60" s="40"/>
      <c r="J60" s="40"/>
      <c r="K60" s="40"/>
      <c r="L60" s="26"/>
    </row>
    <row r="61" spans="1:12" ht="15">
      <c r="A61" s="39" t="s">
        <v>14</v>
      </c>
      <c r="B61" s="36"/>
      <c r="C61" s="31">
        <f>'Top Flash'!C61</f>
        <v>2706665.9099999992</v>
      </c>
      <c r="D61" s="188">
        <v>5299000</v>
      </c>
      <c r="E61" s="31">
        <f>D61-C61</f>
        <v>2592334.0900000008</v>
      </c>
      <c r="F61" s="32">
        <f t="shared" ref="F61" si="23">IFERROR(E61/D61,)</f>
        <v>0.48921194376297428</v>
      </c>
      <c r="G61" s="302"/>
      <c r="I61" s="31">
        <f>'Top Flash'!P61</f>
        <v>48048956.889999993</v>
      </c>
      <c r="J61" s="188">
        <v>50641290.979999997</v>
      </c>
      <c r="K61" s="31">
        <f t="shared" ref="K61" si="24">I61-J61</f>
        <v>-2592334.0900000036</v>
      </c>
      <c r="L61" s="32">
        <f t="shared" ref="L61" si="25">IFERROR(K61/J61,)</f>
        <v>-5.1190126472561812E-2</v>
      </c>
    </row>
    <row r="62" spans="1:12" ht="15">
      <c r="A62" s="18"/>
      <c r="B62" s="18"/>
      <c r="C62" s="40"/>
      <c r="D62" s="40"/>
      <c r="E62" s="40"/>
      <c r="F62" s="26"/>
      <c r="G62" s="90"/>
      <c r="I62" s="40"/>
      <c r="J62" s="40"/>
      <c r="K62" s="40"/>
      <c r="L62" s="26"/>
    </row>
    <row r="63" spans="1:12" s="24" customFormat="1" ht="15">
      <c r="A63" s="18" t="s">
        <v>196</v>
      </c>
      <c r="B63" s="18"/>
      <c r="C63" s="22">
        <f>C58-C61</f>
        <v>32155255.990000006</v>
      </c>
      <c r="D63" s="22">
        <f>D58-D61</f>
        <v>40235508.270663507</v>
      </c>
      <c r="E63" s="22">
        <f t="shared" ref="E63" si="26">C63-D63</f>
        <v>-8080252.2806635015</v>
      </c>
      <c r="F63" s="23">
        <f>IFERROR(IF(D63&lt;C63,ABS(E63/D63),E63/D63),)</f>
        <v>-0.2008239146951443</v>
      </c>
      <c r="G63" s="300"/>
      <c r="I63" s="22">
        <f>I58-I61</f>
        <v>113460866.31999999</v>
      </c>
      <c r="J63" s="22">
        <f>J58-J61</f>
        <v>115940893.20066345</v>
      </c>
      <c r="K63" s="22">
        <f t="shared" ref="K63" si="27">I63-J63</f>
        <v>-2480026.8806634545</v>
      </c>
      <c r="L63" s="23">
        <f>IFERROR(IF(J63&lt;I63,ABS(K63/J63),K63/J63),)</f>
        <v>-2.1390441389572312E-2</v>
      </c>
    </row>
    <row r="64" spans="1:12" ht="15">
      <c r="A64" s="18"/>
      <c r="B64" s="18"/>
      <c r="C64" s="26"/>
      <c r="D64" s="26"/>
      <c r="E64" s="26"/>
      <c r="F64" s="26"/>
      <c r="G64" s="301"/>
      <c r="I64" s="26"/>
      <c r="J64" s="26"/>
      <c r="K64" s="26"/>
      <c r="L64" s="26"/>
    </row>
    <row r="65" spans="1:12" ht="15">
      <c r="A65" s="39" t="s">
        <v>197</v>
      </c>
      <c r="B65" s="18"/>
      <c r="C65" s="31">
        <f>'Top Flash'!C65</f>
        <v>7074156.3178000012</v>
      </c>
      <c r="D65" s="188">
        <v>8851811.8195459712</v>
      </c>
      <c r="E65" s="31">
        <f>D65-C65</f>
        <v>1777655.50174597</v>
      </c>
      <c r="F65" s="32">
        <f t="shared" ref="F65" si="28">IFERROR(E65/D65,)</f>
        <v>0.20082391469514427</v>
      </c>
      <c r="G65" s="301"/>
      <c r="I65" s="31">
        <f>'Top Flash'!P65</f>
        <v>24961390.590399999</v>
      </c>
      <c r="J65" s="188">
        <v>25837758.73594597</v>
      </c>
      <c r="K65" s="31">
        <f t="shared" ref="K65" si="29">I65-J65</f>
        <v>-876368.14554597065</v>
      </c>
      <c r="L65" s="32">
        <f t="shared" ref="L65" si="30">IFERROR(K65/J65,)</f>
        <v>-3.3918117840722427E-2</v>
      </c>
    </row>
    <row r="66" spans="1:12" ht="15">
      <c r="A66" s="18"/>
      <c r="B66" s="18"/>
      <c r="C66" s="40"/>
      <c r="D66" s="40"/>
      <c r="E66" s="40"/>
      <c r="F66" s="26"/>
      <c r="G66" s="301"/>
      <c r="I66" s="40"/>
      <c r="J66" s="40"/>
      <c r="K66" s="40"/>
      <c r="L66" s="26"/>
    </row>
    <row r="67" spans="1:12" s="24" customFormat="1" ht="24" customHeight="1" thickBot="1">
      <c r="A67" s="18" t="s">
        <v>25</v>
      </c>
      <c r="B67" s="18"/>
      <c r="C67" s="74">
        <f>C63-C65</f>
        <v>25081099.672200006</v>
      </c>
      <c r="D67" s="74">
        <f>D63-D65</f>
        <v>31383696.451117538</v>
      </c>
      <c r="E67" s="74">
        <f>C67-D67</f>
        <v>-6302596.7789175324</v>
      </c>
      <c r="F67" s="75">
        <f>IFERROR(IF(D67&lt;C67,ABS(E67/D67),E67/D67),)</f>
        <v>-0.20082391469514432</v>
      </c>
      <c r="G67" s="301"/>
      <c r="I67" s="74">
        <f>I63-I65</f>
        <v>88499475.729599997</v>
      </c>
      <c r="J67" s="74">
        <f>J63-J65</f>
        <v>90103134.464717478</v>
      </c>
      <c r="K67" s="74">
        <f>I67-J67</f>
        <v>-1603658.7351174802</v>
      </c>
      <c r="L67" s="75">
        <f>IFERROR(IF(J67&lt;I67,ABS(K67/J67),K67/J67),)</f>
        <v>-1.779803493679168E-2</v>
      </c>
    </row>
    <row r="68" spans="1:12" s="44" customFormat="1" ht="15">
      <c r="A68" s="50"/>
      <c r="B68" s="50"/>
      <c r="C68" s="51">
        <f>IFERROR(C67/C$8,)</f>
        <v>0.38268417069913818</v>
      </c>
      <c r="D68" s="51">
        <f>IFERROR(D67/D$8,)</f>
        <v>0.50160928497805468</v>
      </c>
      <c r="E68" s="51"/>
      <c r="F68" s="96"/>
      <c r="G68" s="302"/>
      <c r="I68" s="51">
        <f>IFERROR(I67/I$8,)</f>
        <v>0.18162591572473477</v>
      </c>
      <c r="J68" s="51">
        <f>IFERROR(J67/J$8,)</f>
        <v>0.18605241676918882</v>
      </c>
      <c r="K68" s="51"/>
      <c r="L68" s="51"/>
    </row>
    <row r="69" spans="1:12" s="44" customFormat="1" ht="15">
      <c r="A69" s="50"/>
      <c r="B69" s="50"/>
      <c r="C69" s="26"/>
      <c r="D69" s="26"/>
      <c r="E69" s="26"/>
      <c r="F69" s="43"/>
      <c r="G69" s="91"/>
      <c r="I69" s="26"/>
      <c r="J69" s="26"/>
      <c r="K69" s="26"/>
      <c r="L69" s="43"/>
    </row>
    <row r="70" spans="1:12" ht="15">
      <c r="A70" s="1" t="s">
        <v>4</v>
      </c>
      <c r="B70" s="1"/>
      <c r="E70" s="21"/>
      <c r="F70" s="26"/>
      <c r="G70" s="93"/>
      <c r="K70" s="21"/>
      <c r="L70" s="26"/>
    </row>
    <row r="71" spans="1:12" s="53" customFormat="1" ht="15">
      <c r="A71" s="56" t="s">
        <v>206</v>
      </c>
      <c r="B71" s="57"/>
      <c r="C71" s="58">
        <f>'Top Flash'!C71</f>
        <v>8091</v>
      </c>
      <c r="D71" s="189">
        <v>8091</v>
      </c>
      <c r="E71" s="58">
        <f t="shared" ref="E71:E88" si="31">C71-D71</f>
        <v>0</v>
      </c>
      <c r="F71" s="32">
        <f t="shared" ref="F71:F88" si="32">IFERROR(E71/D71,)</f>
        <v>0</v>
      </c>
      <c r="G71" s="297" t="s">
        <v>305</v>
      </c>
      <c r="I71" s="58">
        <f>'Top Flash'!P71</f>
        <v>95265</v>
      </c>
      <c r="J71" s="189">
        <v>95265</v>
      </c>
      <c r="K71" s="58">
        <f t="shared" ref="K71:K88" si="33">I71-J71</f>
        <v>0</v>
      </c>
      <c r="L71" s="32">
        <f t="shared" ref="L71:L88" si="34">IFERROR(K71/J71,)</f>
        <v>0</v>
      </c>
    </row>
    <row r="72" spans="1:12" s="53" customFormat="1" ht="15.75" customHeight="1">
      <c r="A72" s="56" t="s">
        <v>13</v>
      </c>
      <c r="B72" s="57"/>
      <c r="C72" s="58">
        <f>'Top Flash'!C72</f>
        <v>6114</v>
      </c>
      <c r="D72" s="189">
        <v>6006</v>
      </c>
      <c r="E72" s="58">
        <f t="shared" si="31"/>
        <v>108</v>
      </c>
      <c r="F72" s="32">
        <f t="shared" si="32"/>
        <v>1.7982017982017984E-2</v>
      </c>
      <c r="G72" s="298"/>
      <c r="I72" s="58">
        <f>'Top Flash'!P72</f>
        <v>51980</v>
      </c>
      <c r="J72" s="189">
        <v>51872</v>
      </c>
      <c r="K72" s="58">
        <f t="shared" si="33"/>
        <v>108</v>
      </c>
      <c r="L72" s="32">
        <f t="shared" si="34"/>
        <v>2.0820481184454041E-3</v>
      </c>
    </row>
    <row r="73" spans="1:12" s="62" customFormat="1" ht="15">
      <c r="A73" s="59" t="s">
        <v>198</v>
      </c>
      <c r="B73" s="60"/>
      <c r="C73" s="61">
        <f>IFERROR(C72/C71,)</f>
        <v>0.75565443084909156</v>
      </c>
      <c r="D73" s="61">
        <f t="shared" ref="D73" si="35">IFERROR(D72/D71,)</f>
        <v>0.7423062662217278</v>
      </c>
      <c r="E73" s="61">
        <f t="shared" si="31"/>
        <v>1.3348164627363768E-2</v>
      </c>
      <c r="F73" s="32">
        <f t="shared" si="32"/>
        <v>1.7982017982018025E-2</v>
      </c>
      <c r="G73" s="298"/>
      <c r="I73" s="61">
        <f>IFERROR(I72/I71,)</f>
        <v>0.54563585787015167</v>
      </c>
      <c r="J73" s="61">
        <f t="shared" ref="J73" si="36">IFERROR(J72/J71,)</f>
        <v>0.54450217813467694</v>
      </c>
      <c r="K73" s="61">
        <f t="shared" si="33"/>
        <v>1.1336797354747352E-3</v>
      </c>
      <c r="L73" s="32">
        <f t="shared" si="34"/>
        <v>2.0820481184454166E-3</v>
      </c>
    </row>
    <row r="74" spans="1:12" ht="15">
      <c r="A74" s="63" t="s">
        <v>199</v>
      </c>
      <c r="B74" s="64"/>
      <c r="C74" s="58">
        <f>IFERROR(SUM(C11:C12)/C72,)</f>
        <v>5168.7910729473342</v>
      </c>
      <c r="D74" s="58">
        <f>IFERROR(SUM(D11:D12)/D72,)</f>
        <v>5049.5586413586416</v>
      </c>
      <c r="E74" s="58">
        <f t="shared" si="31"/>
        <v>119.23243158869263</v>
      </c>
      <c r="F74" s="32">
        <f t="shared" si="32"/>
        <v>2.3612446167495499E-2</v>
      </c>
      <c r="G74" s="298"/>
      <c r="I74" s="58">
        <f>IFERROR(SUM(I11:I12)/I72,)</f>
        <v>4351.6143716814149</v>
      </c>
      <c r="J74" s="58">
        <f>IFERROR(SUM(J11:J12)/J72,)</f>
        <v>4336.1207790330036</v>
      </c>
      <c r="K74" s="58">
        <f t="shared" si="33"/>
        <v>15.493592648411322</v>
      </c>
      <c r="L74" s="32">
        <f t="shared" si="34"/>
        <v>3.5731460072167412E-3</v>
      </c>
    </row>
    <row r="75" spans="1:12" ht="15">
      <c r="A75" s="63" t="s">
        <v>200</v>
      </c>
      <c r="B75" s="64"/>
      <c r="C75" s="58">
        <f>IFERROR(SUM(C11:C12)/C71,)</f>
        <v>3905.8198764058834</v>
      </c>
      <c r="D75" s="58">
        <f>IFERROR(SUM(D11:D12)/D71,)</f>
        <v>3748.3190211345941</v>
      </c>
      <c r="E75" s="58">
        <f t="shared" si="31"/>
        <v>157.50085527128931</v>
      </c>
      <c r="F75" s="32">
        <f t="shared" si="32"/>
        <v>4.2019063581096874E-2</v>
      </c>
      <c r="G75" s="298"/>
      <c r="I75" s="58">
        <f t="shared" ref="I75:J75" si="37">IFERROR(SUM(I11:I12)/I71,)</f>
        <v>2374.3968408124701</v>
      </c>
      <c r="J75" s="58">
        <f t="shared" si="37"/>
        <v>2361.0272088385032</v>
      </c>
      <c r="K75" s="58">
        <f t="shared" si="33"/>
        <v>13.369631973966989</v>
      </c>
      <c r="L75" s="32">
        <f t="shared" si="34"/>
        <v>5.662633587583313E-3</v>
      </c>
    </row>
    <row r="76" spans="1:12" ht="15.75" customHeight="1">
      <c r="A76" s="63" t="s">
        <v>26</v>
      </c>
      <c r="B76" s="64"/>
      <c r="C76" s="31">
        <f>C10-C22</f>
        <v>26019833.02</v>
      </c>
      <c r="D76" s="31">
        <f t="shared" ref="D76" si="38">D10-D22</f>
        <v>26243570.199999999</v>
      </c>
      <c r="E76" s="31">
        <f t="shared" si="31"/>
        <v>-223737.1799999997</v>
      </c>
      <c r="F76" s="32">
        <f t="shared" si="32"/>
        <v>-8.5254093972320765E-3</v>
      </c>
      <c r="G76" s="298"/>
      <c r="I76" s="31">
        <f>I10-I22</f>
        <v>183624572.92999998</v>
      </c>
      <c r="J76" s="31">
        <f t="shared" ref="J76" si="39">J10-J22</f>
        <v>183919507.85999998</v>
      </c>
      <c r="K76" s="31">
        <f t="shared" si="33"/>
        <v>-294934.93000000715</v>
      </c>
      <c r="L76" s="32">
        <f t="shared" si="34"/>
        <v>-1.6036087385820563E-3</v>
      </c>
    </row>
    <row r="77" spans="1:12" ht="15">
      <c r="A77" s="63" t="s">
        <v>27</v>
      </c>
      <c r="B77" s="64"/>
      <c r="C77" s="61">
        <f>IFERROR(C76/C10,)</f>
        <v>0.81595692555691735</v>
      </c>
      <c r="D77" s="61">
        <f t="shared" ref="D77" si="40">IFERROR(D76/D10,)</f>
        <v>0.85675614835276659</v>
      </c>
      <c r="E77" s="61">
        <f t="shared" si="31"/>
        <v>-4.0799222795849244E-2</v>
      </c>
      <c r="F77" s="32">
        <f t="shared" si="32"/>
        <v>-4.7620577773840843E-2</v>
      </c>
      <c r="G77" s="298"/>
      <c r="I77" s="61">
        <f>IFERROR(I76/I10,)</f>
        <v>0.80281799194969827</v>
      </c>
      <c r="J77" s="61">
        <f t="shared" ref="J77" si="41">IFERROR(J76/J10,)</f>
        <v>0.80855005927260837</v>
      </c>
      <c r="K77" s="61">
        <f t="shared" si="33"/>
        <v>-5.7320673229100949E-3</v>
      </c>
      <c r="L77" s="32">
        <f t="shared" si="34"/>
        <v>-7.0893165576746166E-3</v>
      </c>
    </row>
    <row r="78" spans="1:12" ht="15">
      <c r="A78" s="63" t="s">
        <v>28</v>
      </c>
      <c r="B78" s="64"/>
      <c r="C78" s="58">
        <f>'Top Flash'!C78</f>
        <v>44625</v>
      </c>
      <c r="D78" s="189">
        <v>46416</v>
      </c>
      <c r="E78" s="58">
        <f t="shared" si="31"/>
        <v>-1791</v>
      </c>
      <c r="F78" s="32">
        <f t="shared" si="32"/>
        <v>-3.8585832471561533E-2</v>
      </c>
      <c r="G78" s="298"/>
      <c r="I78" s="58">
        <f>'Top Flash'!P78</f>
        <v>419989</v>
      </c>
      <c r="J78" s="189">
        <v>421780</v>
      </c>
      <c r="K78" s="58">
        <f t="shared" si="33"/>
        <v>-1791</v>
      </c>
      <c r="L78" s="32">
        <f t="shared" si="34"/>
        <v>-4.2462895348285836E-3</v>
      </c>
    </row>
    <row r="79" spans="1:12" ht="15.75" customHeight="1">
      <c r="A79" s="63" t="s">
        <v>29</v>
      </c>
      <c r="B79" s="64"/>
      <c r="C79" s="58">
        <f>IFERROR((C15+C16)/C78,)</f>
        <v>658.15283383753501</v>
      </c>
      <c r="D79" s="58">
        <f t="shared" ref="D79" si="42">IFERROR((D15+D16)/D78,)</f>
        <v>615.78662530162012</v>
      </c>
      <c r="E79" s="58">
        <f t="shared" si="31"/>
        <v>42.366208535914893</v>
      </c>
      <c r="F79" s="32">
        <f t="shared" si="32"/>
        <v>6.8800144068025815E-2</v>
      </c>
      <c r="G79" s="298"/>
      <c r="I79" s="58">
        <f>IFERROR((I15+I16)/I78,)</f>
        <v>522.57240656302895</v>
      </c>
      <c r="J79" s="58">
        <f t="shared" ref="J79" si="43">IFERROR((J15+J16)/J78,)</f>
        <v>518.48543361468069</v>
      </c>
      <c r="K79" s="58">
        <f t="shared" si="33"/>
        <v>4.0869729483482615</v>
      </c>
      <c r="L79" s="32">
        <f t="shared" si="34"/>
        <v>7.8825222144727584E-3</v>
      </c>
    </row>
    <row r="80" spans="1:12" ht="15">
      <c r="A80" s="63" t="s">
        <v>33</v>
      </c>
      <c r="B80" s="64"/>
      <c r="C80" s="31">
        <f t="shared" ref="C80:D80" si="44">C14-C23</f>
        <v>17772134.789999999</v>
      </c>
      <c r="D80" s="31">
        <f t="shared" si="44"/>
        <v>17081927.920000002</v>
      </c>
      <c r="E80" s="31">
        <f t="shared" si="31"/>
        <v>690206.86999999732</v>
      </c>
      <c r="F80" s="32">
        <f t="shared" si="32"/>
        <v>4.0405677464069131E-2</v>
      </c>
      <c r="G80" s="298"/>
      <c r="I80" s="31">
        <f t="shared" ref="I80:J80" si="45">I14-I23</f>
        <v>122592774.19999996</v>
      </c>
      <c r="J80" s="31">
        <f t="shared" si="45"/>
        <v>121936409.88</v>
      </c>
      <c r="K80" s="31">
        <f t="shared" si="33"/>
        <v>656364.31999996305</v>
      </c>
      <c r="L80" s="32">
        <f t="shared" si="34"/>
        <v>5.3828411107552212E-3</v>
      </c>
    </row>
    <row r="81" spans="1:12" ht="15.75" customHeight="1">
      <c r="A81" s="63" t="s">
        <v>34</v>
      </c>
      <c r="B81" s="64"/>
      <c r="C81" s="61">
        <f>IFERROR(C80/C14,)</f>
        <v>0.54774655075013645</v>
      </c>
      <c r="D81" s="61">
        <f t="shared" ref="D81" si="46">IFERROR(D80/D14,)</f>
        <v>0.55873777457488394</v>
      </c>
      <c r="E81" s="61">
        <f t="shared" si="31"/>
        <v>-1.0991223824747487E-2</v>
      </c>
      <c r="F81" s="32">
        <f t="shared" si="32"/>
        <v>-1.9671524505587918E-2</v>
      </c>
      <c r="G81" s="298"/>
      <c r="I81" s="61">
        <f>IFERROR(I80/I14,)</f>
        <v>0.5053015429525185</v>
      </c>
      <c r="J81" s="61">
        <f t="shared" ref="J81" si="47">IFERROR(J80/J14,)</f>
        <v>0.5065079381400116</v>
      </c>
      <c r="K81" s="61">
        <f t="shared" si="33"/>
        <v>-1.2063951874931034E-3</v>
      </c>
      <c r="L81" s="32">
        <f t="shared" si="34"/>
        <v>-2.3817893001306235E-3</v>
      </c>
    </row>
    <row r="82" spans="1:12" ht="15.75" customHeight="1">
      <c r="A82" s="63" t="s">
        <v>203</v>
      </c>
      <c r="B82" s="64"/>
      <c r="C82" s="32">
        <f>IFERROR(C24/(C15+C16),)</f>
        <v>0.29489886534391097</v>
      </c>
      <c r="D82" s="32">
        <f t="shared" ref="D82" si="48">IFERROR(D24/(D15+D16),)</f>
        <v>0.28999999999999998</v>
      </c>
      <c r="E82" s="32">
        <f t="shared" si="31"/>
        <v>4.8988653439109853E-3</v>
      </c>
      <c r="F82" s="32">
        <f t="shared" si="32"/>
        <v>1.6892639116934432E-2</v>
      </c>
      <c r="G82" s="298"/>
      <c r="I82" s="32">
        <f>IFERROR(I24/(I15+I16),)</f>
        <v>0.28881413845004805</v>
      </c>
      <c r="J82" s="32">
        <f t="shared" ref="J82" si="49">IFERROR(J24/(J15+J16),)</f>
        <v>0.28815214832070873</v>
      </c>
      <c r="K82" s="32">
        <f t="shared" si="33"/>
        <v>6.6199012933931822E-4</v>
      </c>
      <c r="L82" s="32">
        <f t="shared" si="34"/>
        <v>2.2973631576139902E-3</v>
      </c>
    </row>
    <row r="83" spans="1:12" ht="15">
      <c r="A83" s="63" t="s">
        <v>30</v>
      </c>
      <c r="B83" s="64"/>
      <c r="C83" s="31">
        <f>'Top Flash'!C83</f>
        <v>10391996.359999999</v>
      </c>
      <c r="D83" s="188">
        <v>8388625.3900000006</v>
      </c>
      <c r="E83" s="31">
        <f t="shared" si="31"/>
        <v>2003370.9699999988</v>
      </c>
      <c r="F83" s="32">
        <f t="shared" si="32"/>
        <v>0.23881993495480178</v>
      </c>
      <c r="G83" s="298"/>
      <c r="I83" s="31">
        <f>'Top Flash'!P83</f>
        <v>99514887.989999995</v>
      </c>
      <c r="J83" s="188">
        <v>97511517.019999996</v>
      </c>
      <c r="K83" s="31">
        <f t="shared" si="33"/>
        <v>2003370.9699999988</v>
      </c>
      <c r="L83" s="32">
        <f t="shared" si="34"/>
        <v>2.0544967725085229E-2</v>
      </c>
    </row>
    <row r="84" spans="1:12" s="62" customFormat="1" ht="15">
      <c r="A84" s="59" t="s">
        <v>32</v>
      </c>
      <c r="B84" s="60"/>
      <c r="C84" s="61">
        <f>IFERROR(C83/C8,)</f>
        <v>0.15855973465720971</v>
      </c>
      <c r="D84" s="61">
        <f t="shared" ref="D84" si="50">IFERROR(D83/D8,)</f>
        <v>0.1340763791282725</v>
      </c>
      <c r="E84" s="61">
        <f t="shared" si="31"/>
        <v>2.4483355528937212E-2</v>
      </c>
      <c r="F84" s="32">
        <f t="shared" si="32"/>
        <v>0.18260752332454988</v>
      </c>
      <c r="G84" s="298"/>
      <c r="I84" s="61">
        <f>IFERROR(I83/I8,)</f>
        <v>0.20423265234533897</v>
      </c>
      <c r="J84" s="61">
        <f t="shared" ref="J84" si="51">IFERROR(J83/J8,)</f>
        <v>0.20134985882766399</v>
      </c>
      <c r="K84" s="61">
        <f t="shared" si="33"/>
        <v>2.8827935176749808E-3</v>
      </c>
      <c r="L84" s="32">
        <f t="shared" si="34"/>
        <v>1.431733567860295E-2</v>
      </c>
    </row>
    <row r="85" spans="1:12" ht="15.75" customHeight="1">
      <c r="A85" s="63" t="s">
        <v>31</v>
      </c>
      <c r="B85" s="64"/>
      <c r="C85" s="58">
        <f>C86+C87</f>
        <v>330</v>
      </c>
      <c r="D85" s="58">
        <f t="shared" ref="D85" si="52">D86+D87</f>
        <v>290</v>
      </c>
      <c r="E85" s="58">
        <f t="shared" si="31"/>
        <v>40</v>
      </c>
      <c r="F85" s="32">
        <f t="shared" si="32"/>
        <v>0.13793103448275862</v>
      </c>
      <c r="G85" s="298"/>
      <c r="I85" s="58">
        <f>I86+I87</f>
        <v>284.91666666666669</v>
      </c>
      <c r="J85" s="58">
        <f t="shared" ref="J85" si="53">J86+J87</f>
        <v>281.58333333333331</v>
      </c>
      <c r="K85" s="58">
        <f t="shared" si="33"/>
        <v>3.3333333333333712</v>
      </c>
      <c r="L85" s="32">
        <f t="shared" si="34"/>
        <v>1.1837821840781432E-2</v>
      </c>
    </row>
    <row r="86" spans="1:12" ht="15.75" customHeight="1">
      <c r="A86" s="65" t="s">
        <v>159</v>
      </c>
      <c r="B86" s="64"/>
      <c r="C86" s="58">
        <f>'Top Flash'!C86</f>
        <v>187</v>
      </c>
      <c r="D86" s="189">
        <v>180</v>
      </c>
      <c r="E86" s="58">
        <f t="shared" si="31"/>
        <v>7</v>
      </c>
      <c r="F86" s="32">
        <f t="shared" si="32"/>
        <v>3.888888888888889E-2</v>
      </c>
      <c r="G86" s="298"/>
      <c r="I86" s="58">
        <f>'Top Flash'!P86</f>
        <v>171.58333333333334</v>
      </c>
      <c r="J86" s="189">
        <v>171</v>
      </c>
      <c r="K86" s="58">
        <f t="shared" si="33"/>
        <v>0.58333333333334281</v>
      </c>
      <c r="L86" s="32">
        <f t="shared" si="34"/>
        <v>3.4113060428850456E-3</v>
      </c>
    </row>
    <row r="87" spans="1:12" ht="15.75" customHeight="1">
      <c r="A87" s="65" t="s">
        <v>201</v>
      </c>
      <c r="B87" s="64"/>
      <c r="C87" s="58">
        <f>'Top Flash'!C87</f>
        <v>143</v>
      </c>
      <c r="D87" s="189">
        <v>110</v>
      </c>
      <c r="E87" s="58">
        <f t="shared" si="31"/>
        <v>33</v>
      </c>
      <c r="F87" s="32">
        <f t="shared" si="32"/>
        <v>0.3</v>
      </c>
      <c r="G87" s="298"/>
      <c r="I87" s="58">
        <f>'Top Flash'!P87</f>
        <v>113.33333333333333</v>
      </c>
      <c r="J87" s="189">
        <v>110.58333333333333</v>
      </c>
      <c r="K87" s="58">
        <f t="shared" si="33"/>
        <v>2.75</v>
      </c>
      <c r="L87" s="32">
        <f t="shared" si="34"/>
        <v>2.4868123587038434E-2</v>
      </c>
    </row>
    <row r="88" spans="1:12" s="62" customFormat="1" ht="15">
      <c r="A88" s="59" t="s">
        <v>37</v>
      </c>
      <c r="B88" s="60"/>
      <c r="C88" s="32">
        <f>'Top Flash'!C88</f>
        <v>2.6308741019184793E-2</v>
      </c>
      <c r="D88" s="190">
        <v>3.2973358868302473E-2</v>
      </c>
      <c r="E88" s="32">
        <f t="shared" si="31"/>
        <v>-6.6646178491176801E-3</v>
      </c>
      <c r="F88" s="32">
        <f t="shared" si="32"/>
        <v>-0.20212129057693376</v>
      </c>
      <c r="G88" s="299"/>
      <c r="I88" s="32">
        <f>'Top Flash'!P88</f>
        <v>9.283124814038296E-2</v>
      </c>
      <c r="J88" s="190">
        <v>9.4667082715753512E-2</v>
      </c>
      <c r="K88" s="32">
        <f t="shared" si="33"/>
        <v>-1.8358345753705513E-3</v>
      </c>
      <c r="L88" s="32">
        <f t="shared" si="34"/>
        <v>-1.9392533525964994E-2</v>
      </c>
    </row>
    <row r="89" spans="1:12">
      <c r="G89" s="93"/>
    </row>
    <row r="90" spans="1:12">
      <c r="G90" s="93"/>
    </row>
    <row r="91" spans="1:12">
      <c r="G91" s="93"/>
    </row>
    <row r="92" spans="1:12">
      <c r="G92" s="93"/>
    </row>
    <row r="93" spans="1:12">
      <c r="G93" s="93"/>
    </row>
    <row r="94" spans="1:12">
      <c r="G94" s="93"/>
    </row>
    <row r="95" spans="1:12">
      <c r="G95" s="93"/>
    </row>
    <row r="96" spans="1:12">
      <c r="G96" s="93"/>
    </row>
    <row r="97" spans="7:7">
      <c r="G97" s="93"/>
    </row>
    <row r="98" spans="7:7">
      <c r="G98" s="93"/>
    </row>
    <row r="99" spans="7:7">
      <c r="G99" s="93"/>
    </row>
    <row r="100" spans="7:7">
      <c r="G100" s="93"/>
    </row>
    <row r="101" spans="7:7">
      <c r="G101" s="93"/>
    </row>
    <row r="102" spans="7:7">
      <c r="G102" s="93"/>
    </row>
    <row r="103" spans="7:7">
      <c r="G103" s="93"/>
    </row>
    <row r="104" spans="7:7">
      <c r="G104" s="93"/>
    </row>
    <row r="105" spans="7:7">
      <c r="G105" s="93"/>
    </row>
    <row r="106" spans="7:7">
      <c r="G106" s="93"/>
    </row>
    <row r="107" spans="7:7">
      <c r="G107" s="93"/>
    </row>
    <row r="108" spans="7:7">
      <c r="G108" s="93"/>
    </row>
    <row r="109" spans="7:7">
      <c r="G109" s="93"/>
    </row>
    <row r="110" spans="7:7">
      <c r="G110" s="93"/>
    </row>
    <row r="111" spans="7:7">
      <c r="G111" s="93"/>
    </row>
    <row r="112" spans="7:7">
      <c r="G112" s="93"/>
    </row>
    <row r="113" spans="7:7">
      <c r="G113" s="93"/>
    </row>
    <row r="114" spans="7:7">
      <c r="G114" s="93"/>
    </row>
    <row r="115" spans="7:7">
      <c r="G115" s="93"/>
    </row>
    <row r="116" spans="7:7">
      <c r="G116" s="93"/>
    </row>
    <row r="117" spans="7:7">
      <c r="G117" s="93"/>
    </row>
    <row r="118" spans="7:7">
      <c r="G118" s="93"/>
    </row>
    <row r="119" spans="7:7">
      <c r="G119" s="93"/>
    </row>
    <row r="120" spans="7:7">
      <c r="G120" s="93"/>
    </row>
    <row r="121" spans="7:7">
      <c r="G121" s="93"/>
    </row>
    <row r="122" spans="7:7">
      <c r="G122" s="93"/>
    </row>
    <row r="123" spans="7:7">
      <c r="G123" s="93"/>
    </row>
    <row r="124" spans="7:7">
      <c r="G124" s="93"/>
    </row>
    <row r="125" spans="7:7">
      <c r="G125" s="93"/>
    </row>
    <row r="126" spans="7:7">
      <c r="G126" s="93"/>
    </row>
    <row r="127" spans="7:7">
      <c r="G127" s="93"/>
    </row>
    <row r="128" spans="7:7">
      <c r="G128" s="93"/>
    </row>
    <row r="129" spans="7:7">
      <c r="G129" s="93"/>
    </row>
    <row r="130" spans="7:7">
      <c r="G130" s="93"/>
    </row>
    <row r="131" spans="7:7">
      <c r="G131" s="93"/>
    </row>
    <row r="132" spans="7:7">
      <c r="G132" s="93"/>
    </row>
    <row r="133" spans="7:7">
      <c r="G133" s="93"/>
    </row>
    <row r="134" spans="7:7">
      <c r="G134" s="93"/>
    </row>
    <row r="135" spans="7:7">
      <c r="G135" s="93"/>
    </row>
    <row r="136" spans="7:7">
      <c r="G136" s="93"/>
    </row>
    <row r="137" spans="7:7">
      <c r="G137" s="93"/>
    </row>
    <row r="138" spans="7:7">
      <c r="G138" s="93"/>
    </row>
    <row r="139" spans="7:7">
      <c r="G139" s="93"/>
    </row>
    <row r="140" spans="7:7">
      <c r="G140" s="93"/>
    </row>
    <row r="141" spans="7:7">
      <c r="G141" s="93"/>
    </row>
    <row r="142" spans="7:7">
      <c r="G142" s="93"/>
    </row>
    <row r="143" spans="7:7">
      <c r="G143" s="93"/>
    </row>
    <row r="144" spans="7:7">
      <c r="G144" s="93"/>
    </row>
    <row r="145" spans="7:7">
      <c r="G145" s="93"/>
    </row>
    <row r="146" spans="7:7">
      <c r="G146" s="93"/>
    </row>
    <row r="147" spans="7:7">
      <c r="G147" s="93"/>
    </row>
    <row r="148" spans="7:7">
      <c r="G148" s="93"/>
    </row>
    <row r="149" spans="7:7">
      <c r="G149" s="93"/>
    </row>
    <row r="150" spans="7:7">
      <c r="G150" s="93"/>
    </row>
    <row r="151" spans="7:7">
      <c r="G151" s="93"/>
    </row>
    <row r="152" spans="7:7">
      <c r="G152" s="93"/>
    </row>
    <row r="153" spans="7:7">
      <c r="G153" s="93"/>
    </row>
    <row r="154" spans="7:7">
      <c r="G154" s="93"/>
    </row>
    <row r="155" spans="7:7">
      <c r="G155" s="93"/>
    </row>
    <row r="156" spans="7:7">
      <c r="G156" s="93"/>
    </row>
    <row r="157" spans="7:7">
      <c r="G157" s="93"/>
    </row>
    <row r="158" spans="7:7">
      <c r="G158" s="93"/>
    </row>
    <row r="159" spans="7:7">
      <c r="G159" s="93"/>
    </row>
    <row r="160" spans="7:7">
      <c r="G160" s="93"/>
    </row>
    <row r="161" spans="7:7">
      <c r="G161" s="93"/>
    </row>
    <row r="162" spans="7:7">
      <c r="G162" s="93"/>
    </row>
    <row r="163" spans="7:7">
      <c r="G163" s="93"/>
    </row>
    <row r="164" spans="7:7">
      <c r="G164" s="93"/>
    </row>
    <row r="165" spans="7:7">
      <c r="G165" s="93"/>
    </row>
    <row r="166" spans="7:7">
      <c r="G166" s="93"/>
    </row>
    <row r="167" spans="7:7">
      <c r="G167" s="93"/>
    </row>
    <row r="168" spans="7:7">
      <c r="G168" s="93"/>
    </row>
    <row r="169" spans="7:7">
      <c r="G169" s="93"/>
    </row>
    <row r="170" spans="7:7">
      <c r="G170" s="93"/>
    </row>
    <row r="171" spans="7:7">
      <c r="G171" s="93"/>
    </row>
    <row r="172" spans="7:7">
      <c r="G172" s="93"/>
    </row>
    <row r="173" spans="7:7">
      <c r="G173" s="93"/>
    </row>
    <row r="174" spans="7:7">
      <c r="G174" s="93"/>
    </row>
    <row r="175" spans="7:7">
      <c r="G175" s="93"/>
    </row>
    <row r="176" spans="7:7">
      <c r="G176" s="93"/>
    </row>
    <row r="177" spans="7:7">
      <c r="G177" s="93"/>
    </row>
    <row r="178" spans="7:7">
      <c r="G178" s="93"/>
    </row>
    <row r="179" spans="7:7">
      <c r="G179" s="93"/>
    </row>
    <row r="371" spans="22:24" ht="15">
      <c r="V371" s="24" t="s">
        <v>55</v>
      </c>
      <c r="W371" s="24" t="s">
        <v>56</v>
      </c>
    </row>
    <row r="372" spans="22:24" ht="15">
      <c r="V372" s="24" t="s">
        <v>9</v>
      </c>
      <c r="W372" s="70" t="s">
        <v>165</v>
      </c>
      <c r="X372" s="24"/>
    </row>
    <row r="373" spans="22:24" ht="15">
      <c r="V373" s="24" t="s">
        <v>39</v>
      </c>
      <c r="W373" s="71" t="s">
        <v>166</v>
      </c>
    </row>
    <row r="374" spans="22:24" ht="15">
      <c r="V374" s="24" t="s">
        <v>40</v>
      </c>
      <c r="W374" s="71" t="s">
        <v>167</v>
      </c>
    </row>
    <row r="375" spans="22:24" ht="15">
      <c r="V375" s="24" t="s">
        <v>42</v>
      </c>
      <c r="W375" s="71" t="s">
        <v>168</v>
      </c>
    </row>
    <row r="376" spans="22:24" ht="15">
      <c r="V376" s="24" t="s">
        <v>163</v>
      </c>
      <c r="W376" s="71" t="s">
        <v>169</v>
      </c>
    </row>
    <row r="377" spans="22:24" ht="15">
      <c r="V377" s="24" t="s">
        <v>164</v>
      </c>
      <c r="W377" s="71" t="s">
        <v>170</v>
      </c>
    </row>
    <row r="378" spans="22:24" ht="15">
      <c r="W378" s="71" t="s">
        <v>171</v>
      </c>
    </row>
    <row r="379" spans="22:24" ht="15">
      <c r="W379" s="71" t="s">
        <v>172</v>
      </c>
    </row>
    <row r="380" spans="22:24" ht="15">
      <c r="W380" s="71" t="s">
        <v>173</v>
      </c>
    </row>
    <row r="381" spans="22:24" ht="15">
      <c r="W381" s="71" t="s">
        <v>174</v>
      </c>
    </row>
    <row r="382" spans="22:24" ht="15">
      <c r="W382" s="71" t="s">
        <v>175</v>
      </c>
    </row>
    <row r="383" spans="22:24" ht="15">
      <c r="W383" s="71" t="s">
        <v>176</v>
      </c>
    </row>
  </sheetData>
  <sheetProtection password="CE24" sheet="1" objects="1" scenarios="1"/>
  <protectedRanges>
    <protectedRange sqref="J11:J13 J15:J19 J22 J24:J25 J27:J28 J32:J36 J45 J51:J55 J61 J65 J71:J72 J78 J83 J86:J88" name="Last Forecast For the Year"/>
    <protectedRange sqref="G10 G22 G32 G42 G45 G51 G63 G71" name="Variance Analysis"/>
    <protectedRange sqref="D45 D51 D65 D88 D53:D55" name="Last Forecast For the Month"/>
    <protectedRange sqref="D52" name="NonOperating Items_1"/>
    <protectedRange sqref="D61" name="Depreciation"/>
    <protectedRange sqref="D71" name="Statistics_1"/>
    <protectedRange sqref="D11:D13" name="Revenue_1"/>
    <protectedRange sqref="D15:D19" name="Revenue_3"/>
    <protectedRange sqref="D22" name="Departmental Expenses_4"/>
    <protectedRange sqref="D24:D25" name="Departmental Expenses_5"/>
    <protectedRange sqref="D27:D28" name="Departmental Expenses_7"/>
    <protectedRange sqref="D32:D36" name="Undistributed Expenses_1"/>
    <protectedRange sqref="D72" name="Statistics_4"/>
    <protectedRange sqref="D78" name="Statistics_6"/>
    <protectedRange sqref="D83" name="Statistics_7"/>
    <protectedRange sqref="D86:D87" name="Statistics_8"/>
  </protectedRanges>
  <dataConsolidate>
    <dataRefs count="2">
      <dataRef ref="A3" sheet="Top Flash"/>
      <dataRef ref="A6:XFD6" sheet="TY Actual-Forecast"/>
    </dataRefs>
  </dataConsolidate>
  <mergeCells count="14">
    <mergeCell ref="G71:G88"/>
    <mergeCell ref="G63:G68"/>
    <mergeCell ref="G51:G61"/>
    <mergeCell ref="G45:G48"/>
    <mergeCell ref="G22:G29"/>
    <mergeCell ref="G32:G37"/>
    <mergeCell ref="G42:G43"/>
    <mergeCell ref="I5:I6"/>
    <mergeCell ref="J5:J6"/>
    <mergeCell ref="K5:L5"/>
    <mergeCell ref="G10:G19"/>
    <mergeCell ref="C5:C6"/>
    <mergeCell ref="D5:D6"/>
    <mergeCell ref="E5:F5"/>
  </mergeCells>
  <printOptions horizontalCentered="1"/>
  <pageMargins left="0" right="0" top="0" bottom="0" header="0" footer="0"/>
  <pageSetup paperSize="8" scale="91" fitToHeight="0" orientation="landscape" r:id="rId1"/>
  <headerFooter scaleWithDoc="0"/>
  <rowBreaks count="1" manualBreakCount="1">
    <brk id="43" max="11"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B050"/>
    <pageSetUpPr fitToPage="1"/>
  </sheetPr>
  <dimension ref="A1:AG298"/>
  <sheetViews>
    <sheetView tabSelected="1" zoomScale="80" zoomScaleNormal="80" zoomScaleSheetLayoutView="90" workbookViewId="0">
      <pane xSplit="2" ySplit="6" topLeftCell="C9" activePane="bottomRight" state="frozen"/>
      <selection pane="topRight"/>
      <selection pane="bottomLeft"/>
      <selection pane="bottomRight" activeCell="N34" sqref="N34"/>
    </sheetView>
  </sheetViews>
  <sheetFormatPr defaultRowHeight="14.25" outlineLevelCol="1"/>
  <cols>
    <col min="1" max="1" width="47.42578125" style="7" customWidth="1"/>
    <col min="2" max="2" width="2.28515625" style="7" customWidth="1"/>
    <col min="3" max="3" width="12.28515625" style="21" customWidth="1"/>
    <col min="4" max="15" width="12.28515625" style="13" customWidth="1"/>
    <col min="16" max="16" width="3" style="13" customWidth="1"/>
    <col min="17" max="19" width="12.28515625" style="13" customWidth="1" outlineLevel="1"/>
    <col min="20" max="20" width="3.85546875" style="13" customWidth="1"/>
    <col min="21" max="32" width="11.5703125" style="13" customWidth="1"/>
    <col min="33" max="16384" width="9.140625" style="13"/>
  </cols>
  <sheetData>
    <row r="1" spans="1:33" s="3" customFormat="1" ht="15">
      <c r="A1" s="1" t="str">
        <f>'Top Flash'!A1</f>
        <v>TAAL VISTA HOTEL</v>
      </c>
      <c r="B1" s="2"/>
      <c r="C1" s="2"/>
    </row>
    <row r="2" spans="1:33" s="3" customFormat="1" ht="15">
      <c r="A2" s="4" t="s">
        <v>215</v>
      </c>
      <c r="B2" s="2"/>
      <c r="C2" s="2"/>
    </row>
    <row r="3" spans="1:33" s="7" customFormat="1" ht="15">
      <c r="A3" s="4" t="str">
        <f>'Top Flash'!A3</f>
        <v>December 2015</v>
      </c>
      <c r="B3" s="6"/>
      <c r="C3" s="6"/>
      <c r="D3" s="6"/>
      <c r="E3" s="6"/>
      <c r="F3" s="6"/>
      <c r="G3" s="6"/>
      <c r="H3" s="6"/>
      <c r="I3" s="6"/>
      <c r="J3" s="6"/>
      <c r="K3" s="6"/>
      <c r="L3" s="6"/>
      <c r="M3" s="6"/>
      <c r="N3" s="6"/>
      <c r="O3" s="6"/>
      <c r="Q3" s="6"/>
      <c r="R3" s="6"/>
      <c r="S3" s="6"/>
    </row>
    <row r="4" spans="1:33" ht="15.75" customHeight="1">
      <c r="A4" s="8" t="s">
        <v>38</v>
      </c>
      <c r="B4" s="8"/>
      <c r="C4" s="79"/>
      <c r="D4" s="80"/>
      <c r="E4" s="11"/>
      <c r="F4" s="16" t="s">
        <v>216</v>
      </c>
      <c r="G4" s="16"/>
      <c r="H4" s="16"/>
      <c r="I4" s="16"/>
      <c r="J4" s="16"/>
      <c r="K4" s="11"/>
      <c r="L4" s="11"/>
      <c r="M4" s="16"/>
      <c r="N4" s="11"/>
      <c r="O4" s="12"/>
      <c r="Q4" s="306" t="s">
        <v>232</v>
      </c>
      <c r="R4" s="307"/>
      <c r="S4" s="308"/>
      <c r="U4" s="79"/>
      <c r="V4" s="80"/>
      <c r="W4" s="11"/>
      <c r="X4" s="16" t="s">
        <v>291</v>
      </c>
      <c r="Y4" s="16"/>
      <c r="Z4" s="16"/>
      <c r="AA4" s="16"/>
      <c r="AB4" s="16"/>
      <c r="AC4" s="11"/>
      <c r="AD4" s="11"/>
      <c r="AE4" s="16"/>
      <c r="AF4" s="12"/>
    </row>
    <row r="5" spans="1:33" ht="15.75" customHeight="1">
      <c r="A5" s="8"/>
      <c r="B5" s="8"/>
      <c r="C5" s="86" t="s">
        <v>6</v>
      </c>
      <c r="D5" s="86" t="s">
        <v>6</v>
      </c>
      <c r="E5" s="86" t="s">
        <v>6</v>
      </c>
      <c r="F5" s="86" t="s">
        <v>6</v>
      </c>
      <c r="G5" s="86" t="s">
        <v>6</v>
      </c>
      <c r="H5" s="277" t="s">
        <v>6</v>
      </c>
      <c r="I5" s="86" t="s">
        <v>6</v>
      </c>
      <c r="J5" s="86" t="s">
        <v>6</v>
      </c>
      <c r="K5" s="86" t="s">
        <v>6</v>
      </c>
      <c r="L5" s="86" t="s">
        <v>6</v>
      </c>
      <c r="M5" s="277" t="s">
        <v>6</v>
      </c>
      <c r="N5" s="86" t="s">
        <v>6</v>
      </c>
      <c r="O5" s="86" t="s">
        <v>5</v>
      </c>
      <c r="Q5" s="94"/>
      <c r="R5" s="94"/>
      <c r="S5" s="94"/>
      <c r="U5" s="259" t="str">
        <f>C5</f>
        <v>Actual</v>
      </c>
      <c r="V5" s="259" t="str">
        <f t="shared" ref="V5:AF5" si="0">D5</f>
        <v>Actual</v>
      </c>
      <c r="W5" s="259" t="str">
        <f t="shared" si="0"/>
        <v>Actual</v>
      </c>
      <c r="X5" s="259" t="str">
        <f t="shared" si="0"/>
        <v>Actual</v>
      </c>
      <c r="Y5" s="259" t="str">
        <f t="shared" si="0"/>
        <v>Actual</v>
      </c>
      <c r="Z5" s="259" t="str">
        <f t="shared" si="0"/>
        <v>Actual</v>
      </c>
      <c r="AA5" s="259" t="str">
        <f t="shared" si="0"/>
        <v>Actual</v>
      </c>
      <c r="AB5" s="259" t="str">
        <f t="shared" si="0"/>
        <v>Actual</v>
      </c>
      <c r="AC5" s="259" t="str">
        <f t="shared" si="0"/>
        <v>Actual</v>
      </c>
      <c r="AD5" s="259" t="str">
        <f t="shared" si="0"/>
        <v>Actual</v>
      </c>
      <c r="AE5" s="259" t="str">
        <f t="shared" si="0"/>
        <v>Actual</v>
      </c>
      <c r="AF5" s="259" t="str">
        <f t="shared" si="0"/>
        <v>Actual</v>
      </c>
    </row>
    <row r="6" spans="1:33" ht="30" customHeight="1">
      <c r="A6" s="18"/>
      <c r="B6" s="18"/>
      <c r="C6" s="260">
        <v>42005</v>
      </c>
      <c r="D6" s="260">
        <v>42036</v>
      </c>
      <c r="E6" s="260">
        <v>42064</v>
      </c>
      <c r="F6" s="260">
        <v>42095</v>
      </c>
      <c r="G6" s="260">
        <v>42125</v>
      </c>
      <c r="H6" s="260">
        <v>42156</v>
      </c>
      <c r="I6" s="260">
        <v>42186</v>
      </c>
      <c r="J6" s="260">
        <v>42217</v>
      </c>
      <c r="K6" s="260">
        <v>42248</v>
      </c>
      <c r="L6" s="260">
        <v>42278</v>
      </c>
      <c r="M6" s="260">
        <v>42309</v>
      </c>
      <c r="N6" s="260">
        <v>42339</v>
      </c>
      <c r="O6" s="81" t="s">
        <v>214</v>
      </c>
      <c r="Q6" s="81">
        <v>42370</v>
      </c>
      <c r="R6" s="81">
        <v>42401</v>
      </c>
      <c r="S6" s="81">
        <v>42430</v>
      </c>
      <c r="U6" s="260">
        <v>42005</v>
      </c>
      <c r="V6" s="260">
        <v>42036</v>
      </c>
      <c r="W6" s="260">
        <v>42064</v>
      </c>
      <c r="X6" s="260">
        <v>42095</v>
      </c>
      <c r="Y6" s="260">
        <v>42125</v>
      </c>
      <c r="Z6" s="260">
        <v>42156</v>
      </c>
      <c r="AA6" s="260">
        <v>42186</v>
      </c>
      <c r="AB6" s="260">
        <v>42217</v>
      </c>
      <c r="AC6" s="260">
        <v>42248</v>
      </c>
      <c r="AD6" s="260">
        <v>42278</v>
      </c>
      <c r="AE6" s="260">
        <v>42309</v>
      </c>
      <c r="AF6" s="260">
        <v>42339</v>
      </c>
    </row>
    <row r="7" spans="1:33" ht="15" customHeight="1">
      <c r="C7" s="20"/>
      <c r="U7" s="20"/>
    </row>
    <row r="8" spans="1:33" s="24" customFormat="1" ht="15" customHeight="1">
      <c r="A8" s="18" t="s">
        <v>177</v>
      </c>
      <c r="B8" s="18"/>
      <c r="C8" s="72">
        <f t="shared" ref="C8:N8" si="1">SUBTOTAL(9,C10:C19)</f>
        <v>43755174.729999997</v>
      </c>
      <c r="D8" s="72">
        <f t="shared" si="1"/>
        <v>37394758.769999988</v>
      </c>
      <c r="E8" s="72">
        <f>SUBTOTAL(9,E10:E19)</f>
        <v>46987771.669999994</v>
      </c>
      <c r="F8" s="72">
        <f t="shared" si="1"/>
        <v>41269815.770000003</v>
      </c>
      <c r="G8" s="72">
        <f t="shared" si="1"/>
        <v>45216093.289999992</v>
      </c>
      <c r="H8" s="72">
        <f t="shared" si="1"/>
        <v>30891591.649999999</v>
      </c>
      <c r="I8" s="72">
        <f t="shared" si="1"/>
        <v>38377076.100000001</v>
      </c>
      <c r="J8" s="72">
        <f t="shared" si="1"/>
        <v>37587972.420000009</v>
      </c>
      <c r="K8" s="72">
        <f t="shared" si="1"/>
        <v>32368396.039999995</v>
      </c>
      <c r="L8" s="72">
        <f t="shared" si="1"/>
        <v>30100232.41</v>
      </c>
      <c r="M8" s="72">
        <f t="shared" si="1"/>
        <v>37773550.400000006</v>
      </c>
      <c r="N8" s="72">
        <f t="shared" si="1"/>
        <v>65539945.450000003</v>
      </c>
      <c r="O8" s="72">
        <f>SUM(C8:N8)</f>
        <v>487262378.70000011</v>
      </c>
      <c r="Q8" s="72">
        <f t="shared" ref="Q8:S8" si="2">SUBTOTAL(9,Q10:Q19)</f>
        <v>48879420.471325003</v>
      </c>
      <c r="R8" s="72">
        <f t="shared" si="2"/>
        <v>41574028.573865496</v>
      </c>
      <c r="S8" s="72">
        <f t="shared" si="2"/>
        <v>44033314.341335818</v>
      </c>
      <c r="U8" s="72">
        <f t="shared" ref="U8:AF8" si="3">SUBTOTAL(9,U10:U19)</f>
        <v>43755174.729999997</v>
      </c>
      <c r="V8" s="72">
        <f t="shared" si="3"/>
        <v>81149933.500000015</v>
      </c>
      <c r="W8" s="72">
        <f t="shared" si="3"/>
        <v>128137705.17</v>
      </c>
      <c r="X8" s="72">
        <f t="shared" si="3"/>
        <v>169407520.94</v>
      </c>
      <c r="Y8" s="72">
        <f t="shared" si="3"/>
        <v>214623614.23000002</v>
      </c>
      <c r="Z8" s="72">
        <f t="shared" si="3"/>
        <v>245515205.88</v>
      </c>
      <c r="AA8" s="72">
        <f t="shared" si="3"/>
        <v>283892281.98000008</v>
      </c>
      <c r="AB8" s="72">
        <f t="shared" si="3"/>
        <v>321480254.39999998</v>
      </c>
      <c r="AC8" s="72">
        <f t="shared" si="3"/>
        <v>353848650.43999994</v>
      </c>
      <c r="AD8" s="72">
        <f t="shared" si="3"/>
        <v>383948882.84999996</v>
      </c>
      <c r="AE8" s="72">
        <f t="shared" si="3"/>
        <v>421722433.25</v>
      </c>
      <c r="AF8" s="72">
        <f t="shared" si="3"/>
        <v>487262378.69999999</v>
      </c>
      <c r="AG8" s="13" t="str">
        <f>IF(O8=AF8, "Ok!", "Error!")</f>
        <v>Ok!</v>
      </c>
    </row>
    <row r="9" spans="1:33" ht="15" customHeight="1">
      <c r="A9" s="1"/>
      <c r="B9" s="1"/>
      <c r="C9" s="20"/>
      <c r="D9" s="20"/>
      <c r="E9" s="20"/>
      <c r="F9" s="20"/>
      <c r="G9" s="20"/>
      <c r="H9" s="20"/>
      <c r="I9" s="20"/>
      <c r="J9" s="20"/>
      <c r="K9" s="20"/>
      <c r="L9" s="20"/>
      <c r="M9" s="20"/>
      <c r="N9" s="20"/>
      <c r="O9" s="20"/>
      <c r="Q9" s="20"/>
      <c r="R9" s="20"/>
      <c r="S9" s="20"/>
      <c r="U9" s="20"/>
      <c r="V9" s="20"/>
      <c r="W9" s="20"/>
      <c r="X9" s="20"/>
      <c r="Y9" s="20"/>
      <c r="Z9" s="20"/>
      <c r="AA9" s="20"/>
      <c r="AB9" s="20"/>
      <c r="AC9" s="20"/>
      <c r="AD9" s="20"/>
      <c r="AE9" s="20"/>
      <c r="AF9" s="20"/>
    </row>
    <row r="10" spans="1:33" ht="15" customHeight="1">
      <c r="A10" s="29" t="s">
        <v>156</v>
      </c>
      <c r="B10" s="30"/>
      <c r="C10" s="31">
        <f t="shared" ref="C10:N10" si="4">SUBTOTAL(9,C11:C13)</f>
        <v>21269822.830000002</v>
      </c>
      <c r="D10" s="31">
        <f t="shared" si="4"/>
        <v>17434626.979999997</v>
      </c>
      <c r="E10" s="31">
        <f t="shared" si="4"/>
        <v>19280875.809999999</v>
      </c>
      <c r="F10" s="31">
        <f t="shared" si="4"/>
        <v>19555857.100000001</v>
      </c>
      <c r="G10" s="31">
        <f t="shared" si="4"/>
        <v>21273432.739999998</v>
      </c>
      <c r="H10" s="31">
        <f t="shared" si="4"/>
        <v>13726001.09</v>
      </c>
      <c r="I10" s="31">
        <f t="shared" si="4"/>
        <v>16809974.429999996</v>
      </c>
      <c r="J10" s="31">
        <f t="shared" si="4"/>
        <v>17742065.840000004</v>
      </c>
      <c r="K10" s="31">
        <f t="shared" si="4"/>
        <v>14506784.059999999</v>
      </c>
      <c r="L10" s="31">
        <f t="shared" si="4"/>
        <v>15877398.690000001</v>
      </c>
      <c r="M10" s="31">
        <f t="shared" si="4"/>
        <v>19359461.370000001</v>
      </c>
      <c r="N10" s="31">
        <f t="shared" si="4"/>
        <v>31888733.59</v>
      </c>
      <c r="O10" s="31">
        <f>SUM(C10:N10)</f>
        <v>228725034.53</v>
      </c>
      <c r="Q10" s="31">
        <f t="shared" ref="Q10:S10" si="5">SUBTOTAL(9,Q11:Q13)</f>
        <v>23802693</v>
      </c>
      <c r="R10" s="31">
        <f t="shared" si="5"/>
        <v>20925893</v>
      </c>
      <c r="S10" s="31">
        <f t="shared" si="5"/>
        <v>22502105</v>
      </c>
      <c r="U10" s="31">
        <f t="shared" ref="U10:AF10" si="6">SUBTOTAL(9,U11:U13)</f>
        <v>21269822.830000002</v>
      </c>
      <c r="V10" s="31">
        <f t="shared" si="6"/>
        <v>38704449.810000002</v>
      </c>
      <c r="W10" s="31">
        <f t="shared" si="6"/>
        <v>57985325.620000005</v>
      </c>
      <c r="X10" s="31">
        <f t="shared" si="6"/>
        <v>77541182.720000014</v>
      </c>
      <c r="Y10" s="31">
        <f t="shared" si="6"/>
        <v>98814615.460000008</v>
      </c>
      <c r="Z10" s="31">
        <f t="shared" si="6"/>
        <v>112540616.55</v>
      </c>
      <c r="AA10" s="31">
        <f t="shared" si="6"/>
        <v>129350590.98</v>
      </c>
      <c r="AB10" s="31">
        <f t="shared" si="6"/>
        <v>147092656.81999999</v>
      </c>
      <c r="AC10" s="31">
        <f t="shared" si="6"/>
        <v>161599440.88</v>
      </c>
      <c r="AD10" s="31">
        <f t="shared" si="6"/>
        <v>177476839.56999999</v>
      </c>
      <c r="AE10" s="31">
        <f t="shared" si="6"/>
        <v>196836300.94</v>
      </c>
      <c r="AF10" s="31">
        <f t="shared" si="6"/>
        <v>228725034.52999997</v>
      </c>
      <c r="AG10" s="13" t="str">
        <f t="shared" ref="AG10:AG19" si="7">IF(O10=AF10, "Ok!", "Error!")</f>
        <v>Ok!</v>
      </c>
    </row>
    <row r="11" spans="1:33" ht="15" customHeight="1">
      <c r="A11" s="82" t="s">
        <v>179</v>
      </c>
      <c r="B11" s="30"/>
      <c r="C11" s="188">
        <v>16430289.15</v>
      </c>
      <c r="D11" s="188">
        <v>10251835.939999999</v>
      </c>
      <c r="E11" s="188">
        <v>8621323.0899999999</v>
      </c>
      <c r="F11" s="188">
        <v>12489161.42</v>
      </c>
      <c r="G11" s="188">
        <f>12274610.91</f>
        <v>12274610.91</v>
      </c>
      <c r="H11" s="188">
        <f>2461*4156.3</f>
        <v>10228654.300000001</v>
      </c>
      <c r="I11" s="188">
        <v>8993199.8899999969</v>
      </c>
      <c r="J11" s="188">
        <f>11234558.92</f>
        <v>11234558.92</v>
      </c>
      <c r="K11" s="261">
        <v>8666664.3599999994</v>
      </c>
      <c r="L11" s="261">
        <f>11524679.77</f>
        <v>11524679.77</v>
      </c>
      <c r="M11" s="261">
        <f>12302683.49</f>
        <v>12302683.49</v>
      </c>
      <c r="N11" s="261">
        <v>22806043.59</v>
      </c>
      <c r="O11" s="31">
        <f t="shared" ref="O11:O19" si="8">SUM(C11:N11)</f>
        <v>145823704.82999998</v>
      </c>
      <c r="Q11" s="188">
        <v>17157500</v>
      </c>
      <c r="R11" s="188">
        <v>13352000</v>
      </c>
      <c r="S11" s="188">
        <v>15425000</v>
      </c>
      <c r="U11" s="31">
        <f>C11</f>
        <v>16430289.15</v>
      </c>
      <c r="V11" s="31">
        <f t="shared" ref="V11:AF13" si="9">U11+D11</f>
        <v>26682125.09</v>
      </c>
      <c r="W11" s="31">
        <f t="shared" si="9"/>
        <v>35303448.18</v>
      </c>
      <c r="X11" s="31">
        <f t="shared" si="9"/>
        <v>47792609.600000001</v>
      </c>
      <c r="Y11" s="31">
        <f t="shared" si="9"/>
        <v>60067220.510000005</v>
      </c>
      <c r="Z11" s="31">
        <f t="shared" si="9"/>
        <v>70295874.810000002</v>
      </c>
      <c r="AA11" s="31">
        <f t="shared" si="9"/>
        <v>79289074.700000003</v>
      </c>
      <c r="AB11" s="31">
        <f t="shared" si="9"/>
        <v>90523633.620000005</v>
      </c>
      <c r="AC11" s="31">
        <f t="shared" si="9"/>
        <v>99190297.980000004</v>
      </c>
      <c r="AD11" s="31">
        <f t="shared" si="9"/>
        <v>110714977.75</v>
      </c>
      <c r="AE11" s="31">
        <f t="shared" si="9"/>
        <v>123017661.23999999</v>
      </c>
      <c r="AF11" s="31">
        <f t="shared" si="9"/>
        <v>145823704.82999998</v>
      </c>
      <c r="AG11" s="13" t="str">
        <f t="shared" si="7"/>
        <v>Ok!</v>
      </c>
    </row>
    <row r="12" spans="1:33" ht="15" customHeight="1">
      <c r="A12" s="82" t="s">
        <v>180</v>
      </c>
      <c r="B12" s="30"/>
      <c r="C12" s="261">
        <v>4659306.66</v>
      </c>
      <c r="D12" s="188">
        <v>7059130</v>
      </c>
      <c r="E12" s="188">
        <v>10570699.609999999</v>
      </c>
      <c r="F12" s="188">
        <v>6941360.4000000004</v>
      </c>
      <c r="G12" s="188">
        <f>8725588.52</f>
        <v>8725588.5199999996</v>
      </c>
      <c r="H12" s="188">
        <f>815*4103.5</f>
        <v>3344352.5</v>
      </c>
      <c r="I12" s="188">
        <v>7685287.4799999995</v>
      </c>
      <c r="J12" s="188">
        <f>6108102</f>
        <v>6108102</v>
      </c>
      <c r="K12" s="261">
        <v>5653398.2599999998</v>
      </c>
      <c r="L12" s="261">
        <f>3989636.87</f>
        <v>3989636.87</v>
      </c>
      <c r="M12" s="261">
        <f>6840402.88</f>
        <v>6840402.8799999999</v>
      </c>
      <c r="N12" s="261">
        <v>8795945.0300000012</v>
      </c>
      <c r="O12" s="31">
        <f t="shared" si="8"/>
        <v>80373210.209999993</v>
      </c>
      <c r="Q12" s="188">
        <v>6491300</v>
      </c>
      <c r="R12" s="188">
        <v>7420000</v>
      </c>
      <c r="S12" s="188">
        <v>6884400</v>
      </c>
      <c r="U12" s="31">
        <f>C12</f>
        <v>4659306.66</v>
      </c>
      <c r="V12" s="31">
        <f t="shared" si="9"/>
        <v>11718436.66</v>
      </c>
      <c r="W12" s="31">
        <f t="shared" si="9"/>
        <v>22289136.27</v>
      </c>
      <c r="X12" s="31">
        <f t="shared" si="9"/>
        <v>29230496.670000002</v>
      </c>
      <c r="Y12" s="31">
        <f t="shared" si="9"/>
        <v>37956085.189999998</v>
      </c>
      <c r="Z12" s="31">
        <f t="shared" si="9"/>
        <v>41300437.689999998</v>
      </c>
      <c r="AA12" s="31">
        <f t="shared" si="9"/>
        <v>48985725.169999994</v>
      </c>
      <c r="AB12" s="31">
        <f t="shared" si="9"/>
        <v>55093827.169999994</v>
      </c>
      <c r="AC12" s="31">
        <f t="shared" si="9"/>
        <v>60747225.429999992</v>
      </c>
      <c r="AD12" s="31">
        <f t="shared" si="9"/>
        <v>64736862.29999999</v>
      </c>
      <c r="AE12" s="31">
        <f t="shared" si="9"/>
        <v>71577265.179999992</v>
      </c>
      <c r="AF12" s="31">
        <f t="shared" si="9"/>
        <v>80373210.209999993</v>
      </c>
      <c r="AG12" s="13" t="str">
        <f t="shared" si="7"/>
        <v>Ok!</v>
      </c>
    </row>
    <row r="13" spans="1:33" ht="15" customHeight="1">
      <c r="A13" s="82" t="s">
        <v>181</v>
      </c>
      <c r="B13" s="30"/>
      <c r="C13" s="261">
        <v>180227.02</v>
      </c>
      <c r="D13" s="188">
        <v>123661.04</v>
      </c>
      <c r="E13" s="188">
        <v>88853.11</v>
      </c>
      <c r="F13" s="188">
        <v>125335.28</v>
      </c>
      <c r="G13" s="188">
        <v>273233.31</v>
      </c>
      <c r="H13" s="188">
        <f>152994.29</f>
        <v>152994.29</v>
      </c>
      <c r="I13" s="188">
        <v>131487.06</v>
      </c>
      <c r="J13" s="188">
        <f>399404.92</f>
        <v>399404.92</v>
      </c>
      <c r="K13" s="188">
        <v>186721.44</v>
      </c>
      <c r="L13" s="188">
        <f>363082.05</f>
        <v>363082.05</v>
      </c>
      <c r="M13" s="188">
        <f>216375</f>
        <v>216375</v>
      </c>
      <c r="N13" s="188">
        <v>286744.96999999997</v>
      </c>
      <c r="O13" s="31">
        <f t="shared" si="8"/>
        <v>2528119.4900000002</v>
      </c>
      <c r="Q13" s="188">
        <v>153893</v>
      </c>
      <c r="R13" s="188">
        <v>153893</v>
      </c>
      <c r="S13" s="188">
        <v>192705</v>
      </c>
      <c r="U13" s="31">
        <f>C13</f>
        <v>180227.02</v>
      </c>
      <c r="V13" s="31">
        <f t="shared" si="9"/>
        <v>303888.06</v>
      </c>
      <c r="W13" s="31">
        <f t="shared" si="9"/>
        <v>392741.17</v>
      </c>
      <c r="X13" s="31">
        <f t="shared" si="9"/>
        <v>518076.44999999995</v>
      </c>
      <c r="Y13" s="31">
        <f t="shared" si="9"/>
        <v>791309.76</v>
      </c>
      <c r="Z13" s="31">
        <f t="shared" si="9"/>
        <v>944304.05</v>
      </c>
      <c r="AA13" s="31">
        <f t="shared" si="9"/>
        <v>1075791.1100000001</v>
      </c>
      <c r="AB13" s="31">
        <f t="shared" si="9"/>
        <v>1475196.03</v>
      </c>
      <c r="AC13" s="31">
        <f t="shared" si="9"/>
        <v>1661917.47</v>
      </c>
      <c r="AD13" s="31">
        <f t="shared" si="9"/>
        <v>2024999.52</v>
      </c>
      <c r="AE13" s="31">
        <f t="shared" si="9"/>
        <v>2241374.52</v>
      </c>
      <c r="AF13" s="31">
        <f t="shared" si="9"/>
        <v>2528119.4900000002</v>
      </c>
      <c r="AG13" s="13" t="str">
        <f t="shared" si="7"/>
        <v>Ok!</v>
      </c>
    </row>
    <row r="14" spans="1:33" ht="15" customHeight="1">
      <c r="A14" s="29" t="s">
        <v>182</v>
      </c>
      <c r="B14" s="30"/>
      <c r="C14" s="31">
        <f t="shared" ref="C14:N14" si="10">SUBTOTAL(9,C15:C17)</f>
        <v>21311952.359999999</v>
      </c>
      <c r="D14" s="31">
        <f t="shared" si="10"/>
        <v>18603283.07</v>
      </c>
      <c r="E14" s="31">
        <f t="shared" si="10"/>
        <v>26633579.57</v>
      </c>
      <c r="F14" s="31">
        <f t="shared" si="10"/>
        <v>20324552.120000001</v>
      </c>
      <c r="G14" s="31">
        <f t="shared" si="10"/>
        <v>22545699.18</v>
      </c>
      <c r="H14" s="31">
        <f t="shared" si="10"/>
        <v>14993027</v>
      </c>
      <c r="I14" s="31">
        <f t="shared" si="10"/>
        <v>20054499.670000002</v>
      </c>
      <c r="J14" s="31">
        <f t="shared" si="10"/>
        <v>18224113.23</v>
      </c>
      <c r="K14" s="31">
        <f t="shared" si="10"/>
        <v>16625306.189999999</v>
      </c>
      <c r="L14" s="31">
        <f t="shared" si="10"/>
        <v>13267742.369999999</v>
      </c>
      <c r="M14" s="31">
        <f t="shared" si="10"/>
        <v>17583437</v>
      </c>
      <c r="N14" s="31">
        <f t="shared" si="10"/>
        <v>32445909.09</v>
      </c>
      <c r="O14" s="31">
        <f t="shared" si="8"/>
        <v>242613100.85000002</v>
      </c>
      <c r="Q14" s="31">
        <f t="shared" ref="Q14:S14" si="11">SUBTOTAL(9,Q15:Q17)</f>
        <v>23355412.883078821</v>
      </c>
      <c r="R14" s="31">
        <f t="shared" si="11"/>
        <v>19093895.742724586</v>
      </c>
      <c r="S14" s="31">
        <f t="shared" si="11"/>
        <v>19871659.868316248</v>
      </c>
      <c r="U14" s="31">
        <f t="shared" ref="U14:AF14" si="12">SUBTOTAL(9,U15:U17)</f>
        <v>21311952.359999999</v>
      </c>
      <c r="V14" s="31">
        <f t="shared" si="12"/>
        <v>39915235.43</v>
      </c>
      <c r="W14" s="31">
        <f t="shared" si="12"/>
        <v>66548814.999999993</v>
      </c>
      <c r="X14" s="31">
        <f t="shared" si="12"/>
        <v>86873367.120000005</v>
      </c>
      <c r="Y14" s="31">
        <f t="shared" si="12"/>
        <v>109419066.3</v>
      </c>
      <c r="Z14" s="31">
        <f t="shared" si="12"/>
        <v>124412093.3</v>
      </c>
      <c r="AA14" s="31">
        <f t="shared" si="12"/>
        <v>144466592.97</v>
      </c>
      <c r="AB14" s="31">
        <f t="shared" si="12"/>
        <v>162690706.19999999</v>
      </c>
      <c r="AC14" s="31">
        <f t="shared" si="12"/>
        <v>179316012.39000002</v>
      </c>
      <c r="AD14" s="31">
        <f t="shared" si="12"/>
        <v>192583754.75999999</v>
      </c>
      <c r="AE14" s="31">
        <f t="shared" si="12"/>
        <v>210167191.75999999</v>
      </c>
      <c r="AF14" s="31">
        <f t="shared" si="12"/>
        <v>242613100.84999996</v>
      </c>
      <c r="AG14" s="13" t="str">
        <f t="shared" si="7"/>
        <v>Ok!</v>
      </c>
    </row>
    <row r="15" spans="1:33" ht="15" customHeight="1">
      <c r="A15" s="82" t="s">
        <v>183</v>
      </c>
      <c r="B15" s="30"/>
      <c r="C15" s="261">
        <f>21311952.36-C16-C17</f>
        <v>11252145.279999999</v>
      </c>
      <c r="D15" s="188">
        <v>9498881.4499999993</v>
      </c>
      <c r="E15" s="188">
        <v>9337140.9499999993</v>
      </c>
      <c r="F15" s="188">
        <v>10507452.060000002</v>
      </c>
      <c r="G15" s="188">
        <f>20972136.13-G16</f>
        <v>11164035.709999999</v>
      </c>
      <c r="H15" s="188">
        <f>14993027-H16-H17</f>
        <v>9510102.3800000008</v>
      </c>
      <c r="I15" s="188">
        <f>20054499.67-I16-I17</f>
        <v>9948802.2900000028</v>
      </c>
      <c r="J15" s="188">
        <f>18224113.23-J16-J17</f>
        <v>10218629.380000003</v>
      </c>
      <c r="K15" s="261">
        <f>16625306.19-8526098.23</f>
        <v>8099207.959999999</v>
      </c>
      <c r="L15" s="261">
        <f>13267742.37-L16-L17</f>
        <v>8893220.3499999996</v>
      </c>
      <c r="M15" s="261">
        <f>8114890+320645+1319056+865712+72371</f>
        <v>10692674</v>
      </c>
      <c r="N15" s="261">
        <v>14904099</v>
      </c>
      <c r="O15" s="31">
        <f t="shared" si="8"/>
        <v>124026390.80999999</v>
      </c>
      <c r="Q15" s="188">
        <v>12377644</v>
      </c>
      <c r="R15" s="188">
        <v>10388679.999997418</v>
      </c>
      <c r="S15" s="188">
        <v>10440325.580344992</v>
      </c>
      <c r="U15" s="31">
        <f>C15</f>
        <v>11252145.279999999</v>
      </c>
      <c r="V15" s="31">
        <f t="shared" ref="V15:AF19" si="13">U15+D15</f>
        <v>20751026.729999997</v>
      </c>
      <c r="W15" s="31">
        <f t="shared" si="13"/>
        <v>30088167.679999996</v>
      </c>
      <c r="X15" s="31">
        <f t="shared" si="13"/>
        <v>40595619.739999995</v>
      </c>
      <c r="Y15" s="31">
        <f t="shared" si="13"/>
        <v>51759655.449999996</v>
      </c>
      <c r="Z15" s="31">
        <f t="shared" si="13"/>
        <v>61269757.829999998</v>
      </c>
      <c r="AA15" s="31">
        <f t="shared" si="13"/>
        <v>71218560.120000005</v>
      </c>
      <c r="AB15" s="31">
        <f t="shared" si="13"/>
        <v>81437189.5</v>
      </c>
      <c r="AC15" s="31">
        <f t="shared" si="13"/>
        <v>89536397.459999993</v>
      </c>
      <c r="AD15" s="31">
        <f t="shared" si="13"/>
        <v>98429617.809999987</v>
      </c>
      <c r="AE15" s="31">
        <f t="shared" si="13"/>
        <v>109122291.80999999</v>
      </c>
      <c r="AF15" s="31">
        <f t="shared" si="13"/>
        <v>124026390.80999999</v>
      </c>
      <c r="AG15" s="13" t="str">
        <f t="shared" si="7"/>
        <v>Ok!</v>
      </c>
    </row>
    <row r="16" spans="1:33" ht="15.75" customHeight="1">
      <c r="A16" s="82" t="s">
        <v>184</v>
      </c>
      <c r="B16" s="30"/>
      <c r="C16" s="261">
        <f>8119709.73+571998.07</f>
        <v>8691707.8000000007</v>
      </c>
      <c r="D16" s="188">
        <v>7840635.6400000006</v>
      </c>
      <c r="E16" s="188">
        <v>9888973.7600000016</v>
      </c>
      <c r="F16" s="188">
        <v>8637752.6799999997</v>
      </c>
      <c r="G16" s="188">
        <f>8964356.87+843743.55</f>
        <v>9808100.4199999999</v>
      </c>
      <c r="H16" s="188">
        <f>4181136.85+267026.33</f>
        <v>4448163.18</v>
      </c>
      <c r="I16" s="188">
        <f>8078676</f>
        <v>8078676</v>
      </c>
      <c r="J16" s="188">
        <f>8005483.85-962227.95</f>
        <v>7043255.8999999994</v>
      </c>
      <c r="K16" s="261">
        <f>6811904.98+201057.23</f>
        <v>7012962.2100000009</v>
      </c>
      <c r="L16" s="261">
        <f>4374522.02-816595.17</f>
        <v>3557926.8499999996</v>
      </c>
      <c r="M16" s="261">
        <f>5974146</f>
        <v>5974146</v>
      </c>
      <c r="N16" s="261">
        <v>14465971.210000001</v>
      </c>
      <c r="O16" s="31">
        <f t="shared" si="8"/>
        <v>95448271.650000006</v>
      </c>
      <c r="Q16" s="188">
        <v>9937768.883078821</v>
      </c>
      <c r="R16" s="188">
        <v>7818215.7427271688</v>
      </c>
      <c r="S16" s="188">
        <v>8188334.2879712572</v>
      </c>
      <c r="U16" s="31">
        <f>C16</f>
        <v>8691707.8000000007</v>
      </c>
      <c r="V16" s="31">
        <f t="shared" si="13"/>
        <v>16532343.440000001</v>
      </c>
      <c r="W16" s="31">
        <f t="shared" si="13"/>
        <v>26421317.200000003</v>
      </c>
      <c r="X16" s="31">
        <f t="shared" si="13"/>
        <v>35059069.880000003</v>
      </c>
      <c r="Y16" s="31">
        <f t="shared" si="13"/>
        <v>44867170.300000004</v>
      </c>
      <c r="Z16" s="31">
        <f t="shared" si="13"/>
        <v>49315333.480000004</v>
      </c>
      <c r="AA16" s="31">
        <f t="shared" si="13"/>
        <v>57394009.480000004</v>
      </c>
      <c r="AB16" s="31">
        <f t="shared" si="13"/>
        <v>64437265.380000003</v>
      </c>
      <c r="AC16" s="31">
        <f t="shared" si="13"/>
        <v>71450227.590000004</v>
      </c>
      <c r="AD16" s="31">
        <f t="shared" si="13"/>
        <v>75008154.439999998</v>
      </c>
      <c r="AE16" s="31">
        <f t="shared" si="13"/>
        <v>80982300.439999998</v>
      </c>
      <c r="AF16" s="31">
        <f t="shared" si="13"/>
        <v>95448271.650000006</v>
      </c>
      <c r="AG16" s="13" t="str">
        <f t="shared" si="7"/>
        <v>Ok!</v>
      </c>
    </row>
    <row r="17" spans="1:33" ht="15.75" customHeight="1">
      <c r="A17" s="82" t="s">
        <v>250</v>
      </c>
      <c r="B17" s="30"/>
      <c r="C17" s="261">
        <v>1368099.28</v>
      </c>
      <c r="D17" s="188">
        <v>1263765.98</v>
      </c>
      <c r="E17" s="188">
        <v>7407464.8599999994</v>
      </c>
      <c r="F17" s="188">
        <f>1179347.38</f>
        <v>1179347.3799999999</v>
      </c>
      <c r="G17" s="188">
        <v>1573563.05</v>
      </c>
      <c r="H17" s="188">
        <v>1034761.44</v>
      </c>
      <c r="I17" s="188">
        <v>2027021.38</v>
      </c>
      <c r="J17" s="188">
        <v>962227.95</v>
      </c>
      <c r="K17" s="261">
        <v>1513136.02</v>
      </c>
      <c r="L17" s="261">
        <f>816595.17</f>
        <v>816595.17</v>
      </c>
      <c r="M17" s="261">
        <f>916617</f>
        <v>916617</v>
      </c>
      <c r="N17" s="261">
        <v>3075838.88</v>
      </c>
      <c r="O17" s="31">
        <f t="shared" si="8"/>
        <v>23138438.390000001</v>
      </c>
      <c r="Q17" s="188">
        <v>1040000</v>
      </c>
      <c r="R17" s="188">
        <v>887000</v>
      </c>
      <c r="S17" s="188">
        <v>1243000</v>
      </c>
      <c r="U17" s="31">
        <f>C17</f>
        <v>1368099.28</v>
      </c>
      <c r="V17" s="31">
        <f t="shared" si="13"/>
        <v>2631865.2599999998</v>
      </c>
      <c r="W17" s="31">
        <f t="shared" si="13"/>
        <v>10039330.119999999</v>
      </c>
      <c r="X17" s="31">
        <f t="shared" si="13"/>
        <v>11218677.5</v>
      </c>
      <c r="Y17" s="31">
        <f t="shared" si="13"/>
        <v>12792240.550000001</v>
      </c>
      <c r="Z17" s="31">
        <f t="shared" si="13"/>
        <v>13827001.99</v>
      </c>
      <c r="AA17" s="31">
        <f t="shared" si="13"/>
        <v>15854023.370000001</v>
      </c>
      <c r="AB17" s="31">
        <f t="shared" si="13"/>
        <v>16816251.32</v>
      </c>
      <c r="AC17" s="31">
        <f t="shared" si="13"/>
        <v>18329387.34</v>
      </c>
      <c r="AD17" s="31">
        <f t="shared" si="13"/>
        <v>19145982.510000002</v>
      </c>
      <c r="AE17" s="31">
        <f t="shared" si="13"/>
        <v>20062599.510000002</v>
      </c>
      <c r="AF17" s="31">
        <f t="shared" si="13"/>
        <v>23138438.390000001</v>
      </c>
      <c r="AG17" s="13" t="str">
        <f t="shared" si="7"/>
        <v>Ok!</v>
      </c>
    </row>
    <row r="18" spans="1:33" ht="15" customHeight="1">
      <c r="A18" s="29" t="s">
        <v>251</v>
      </c>
      <c r="B18" s="30"/>
      <c r="C18" s="261">
        <v>253754.08</v>
      </c>
      <c r="D18" s="188">
        <v>193195.91999999998</v>
      </c>
      <c r="E18" s="188">
        <v>180198.90999999997</v>
      </c>
      <c r="F18" s="188">
        <v>229900.47</v>
      </c>
      <c r="G18" s="188">
        <v>233014.75</v>
      </c>
      <c r="H18" s="188">
        <v>152952.29</v>
      </c>
      <c r="I18" s="188">
        <v>147871.25</v>
      </c>
      <c r="J18" s="188">
        <v>147977</v>
      </c>
      <c r="K18" s="188">
        <v>212615.24</v>
      </c>
      <c r="L18" s="188">
        <f>138583.9</f>
        <v>138583.9</v>
      </c>
      <c r="M18" s="188">
        <f>189240.44</f>
        <v>189240.44</v>
      </c>
      <c r="N18" s="188">
        <f>589553.66/2</f>
        <v>294776.83</v>
      </c>
      <c r="O18" s="31">
        <f t="shared" si="8"/>
        <v>2374081.0799999996</v>
      </c>
      <c r="Q18" s="188">
        <v>248000</v>
      </c>
      <c r="R18" s="188">
        <v>203000</v>
      </c>
      <c r="S18" s="188">
        <v>233000</v>
      </c>
      <c r="U18" s="31">
        <f>C18</f>
        <v>253754.08</v>
      </c>
      <c r="V18" s="31">
        <f t="shared" si="13"/>
        <v>446950</v>
      </c>
      <c r="W18" s="31">
        <f t="shared" si="13"/>
        <v>627148.90999999992</v>
      </c>
      <c r="X18" s="31">
        <f t="shared" si="13"/>
        <v>857049.37999999989</v>
      </c>
      <c r="Y18" s="31">
        <f t="shared" si="13"/>
        <v>1090064.1299999999</v>
      </c>
      <c r="Z18" s="31">
        <f t="shared" si="13"/>
        <v>1243016.42</v>
      </c>
      <c r="AA18" s="31">
        <f t="shared" si="13"/>
        <v>1390887.67</v>
      </c>
      <c r="AB18" s="31">
        <f t="shared" si="13"/>
        <v>1538864.67</v>
      </c>
      <c r="AC18" s="31">
        <f t="shared" si="13"/>
        <v>1751479.91</v>
      </c>
      <c r="AD18" s="31">
        <f t="shared" si="13"/>
        <v>1890063.8099999998</v>
      </c>
      <c r="AE18" s="31">
        <f t="shared" si="13"/>
        <v>2079304.2499999998</v>
      </c>
      <c r="AF18" s="31">
        <f t="shared" si="13"/>
        <v>2374081.0799999996</v>
      </c>
      <c r="AG18" s="13" t="str">
        <f t="shared" si="7"/>
        <v>Ok!</v>
      </c>
    </row>
    <row r="19" spans="1:33" ht="15.75" customHeight="1">
      <c r="A19" s="29" t="s">
        <v>178</v>
      </c>
      <c r="B19" s="30"/>
      <c r="C19" s="261">
        <v>919645.46</v>
      </c>
      <c r="D19" s="188">
        <v>1163652.8</v>
      </c>
      <c r="E19" s="188">
        <v>893117.38</v>
      </c>
      <c r="F19" s="188">
        <v>1159506.08</v>
      </c>
      <c r="G19" s="188">
        <v>1163946.6200000001</v>
      </c>
      <c r="H19" s="188">
        <f>2019611.27</f>
        <v>2019611.27</v>
      </c>
      <c r="I19" s="188">
        <v>1364730.75</v>
      </c>
      <c r="J19" s="188">
        <f>1473816.35</f>
        <v>1473816.35</v>
      </c>
      <c r="K19" s="188">
        <v>1023690.55</v>
      </c>
      <c r="L19" s="188">
        <f>816507.45</f>
        <v>816507.45</v>
      </c>
      <c r="M19" s="188">
        <f>641411.59</f>
        <v>641411.59</v>
      </c>
      <c r="N19" s="188">
        <f>910525.94</f>
        <v>910525.94</v>
      </c>
      <c r="O19" s="31">
        <f t="shared" si="8"/>
        <v>13550162.239999998</v>
      </c>
      <c r="Q19" s="188">
        <v>1473314.5882461825</v>
      </c>
      <c r="R19" s="188">
        <v>1351239.8311409075</v>
      </c>
      <c r="S19" s="188">
        <v>1426549.4730195687</v>
      </c>
      <c r="U19" s="31">
        <f>C19</f>
        <v>919645.46</v>
      </c>
      <c r="V19" s="31">
        <f t="shared" si="13"/>
        <v>2083298.26</v>
      </c>
      <c r="W19" s="31">
        <f t="shared" si="13"/>
        <v>2976415.64</v>
      </c>
      <c r="X19" s="31">
        <f t="shared" si="13"/>
        <v>4135921.72</v>
      </c>
      <c r="Y19" s="31">
        <f t="shared" si="13"/>
        <v>5299868.34</v>
      </c>
      <c r="Z19" s="31">
        <f t="shared" si="13"/>
        <v>7319479.6099999994</v>
      </c>
      <c r="AA19" s="31">
        <f t="shared" si="13"/>
        <v>8684210.3599999994</v>
      </c>
      <c r="AB19" s="31">
        <f t="shared" si="13"/>
        <v>10158026.709999999</v>
      </c>
      <c r="AC19" s="31">
        <f t="shared" si="13"/>
        <v>11181717.26</v>
      </c>
      <c r="AD19" s="31">
        <f t="shared" si="13"/>
        <v>11998224.709999999</v>
      </c>
      <c r="AE19" s="31">
        <f t="shared" si="13"/>
        <v>12639636.299999999</v>
      </c>
      <c r="AF19" s="31">
        <f t="shared" si="13"/>
        <v>13550162.239999998</v>
      </c>
      <c r="AG19" s="13" t="str">
        <f t="shared" si="7"/>
        <v>Ok!</v>
      </c>
    </row>
    <row r="20" spans="1:33" ht="15" customHeight="1">
      <c r="C20" s="33"/>
      <c r="D20" s="33"/>
      <c r="E20" s="33"/>
      <c r="F20" s="33"/>
      <c r="G20" s="33"/>
      <c r="H20" s="33"/>
      <c r="I20" s="33"/>
      <c r="J20" s="33"/>
      <c r="K20" s="33"/>
      <c r="L20" s="33"/>
      <c r="M20" s="33"/>
      <c r="N20" s="33"/>
      <c r="O20" s="33"/>
      <c r="Q20" s="33"/>
      <c r="R20" s="33"/>
      <c r="S20" s="33"/>
      <c r="U20" s="33"/>
      <c r="V20" s="33"/>
      <c r="W20" s="33"/>
      <c r="X20" s="33"/>
      <c r="Y20" s="33"/>
      <c r="Z20" s="33"/>
      <c r="AA20" s="33"/>
      <c r="AB20" s="33"/>
      <c r="AC20" s="33"/>
      <c r="AD20" s="33"/>
      <c r="AE20" s="33"/>
      <c r="AF20" s="33"/>
    </row>
    <row r="21" spans="1:33" ht="15" customHeight="1">
      <c r="A21" s="18" t="s">
        <v>189</v>
      </c>
      <c r="B21" s="18"/>
      <c r="C21" s="20"/>
      <c r="D21" s="20"/>
      <c r="E21" s="20"/>
      <c r="F21" s="20"/>
      <c r="G21" s="20"/>
      <c r="H21" s="20"/>
      <c r="I21" s="20"/>
      <c r="J21" s="20"/>
      <c r="K21" s="20"/>
      <c r="L21" s="20"/>
      <c r="M21" s="20"/>
      <c r="N21" s="20"/>
      <c r="O21" s="20"/>
      <c r="Q21" s="20"/>
      <c r="R21" s="20"/>
      <c r="S21" s="20"/>
      <c r="U21" s="20"/>
      <c r="V21" s="20"/>
      <c r="W21" s="20"/>
      <c r="X21" s="20"/>
      <c r="Y21" s="20"/>
      <c r="Z21" s="20"/>
      <c r="AA21" s="20"/>
      <c r="AB21" s="20"/>
      <c r="AC21" s="20"/>
      <c r="AD21" s="20"/>
      <c r="AE21" s="20"/>
      <c r="AF21" s="20"/>
    </row>
    <row r="22" spans="1:33" ht="15" customHeight="1">
      <c r="A22" s="29" t="s">
        <v>19</v>
      </c>
      <c r="B22" s="35"/>
      <c r="C22" s="261">
        <f>2080186.75+1677247.13</f>
        <v>3757433.88</v>
      </c>
      <c r="D22" s="188">
        <v>3239673.8700000006</v>
      </c>
      <c r="E22" s="188">
        <v>3213348.76</v>
      </c>
      <c r="F22" s="188">
        <f>1390086.47+1963041.21</f>
        <v>3353127.6799999997</v>
      </c>
      <c r="G22" s="188">
        <f>1367567+2758115.13</f>
        <v>4125682.13</v>
      </c>
      <c r="H22" s="188">
        <v>3128648.2700000005</v>
      </c>
      <c r="I22" s="188">
        <v>3971629.77</v>
      </c>
      <c r="J22" s="188">
        <v>3985107.6799999997</v>
      </c>
      <c r="K22" s="188">
        <v>2931667.79</v>
      </c>
      <c r="L22" s="188">
        <f>4052406.06-86741.07-17779.15</f>
        <v>3947885.8400000003</v>
      </c>
      <c r="M22" s="188">
        <f>3692694.43-86741.07-28598</f>
        <v>3577355.3600000003</v>
      </c>
      <c r="N22" s="188">
        <v>5868900.5700000003</v>
      </c>
      <c r="O22" s="31">
        <f t="shared" ref="O22:O29" si="14">SUM(C22:N22)</f>
        <v>45100461.600000001</v>
      </c>
      <c r="Q22" s="188">
        <v>3911418.4563808567</v>
      </c>
      <c r="R22" s="188">
        <v>3680260.4499999997</v>
      </c>
      <c r="S22" s="188">
        <v>3689231.19</v>
      </c>
      <c r="U22" s="31">
        <f>C22</f>
        <v>3757433.88</v>
      </c>
      <c r="V22" s="31">
        <f t="shared" ref="V22:AF22" si="15">U22+D22</f>
        <v>6997107.75</v>
      </c>
      <c r="W22" s="31">
        <f t="shared" si="15"/>
        <v>10210456.51</v>
      </c>
      <c r="X22" s="31">
        <f t="shared" si="15"/>
        <v>13563584.189999999</v>
      </c>
      <c r="Y22" s="31">
        <f t="shared" si="15"/>
        <v>17689266.32</v>
      </c>
      <c r="Z22" s="31">
        <f t="shared" si="15"/>
        <v>20817914.59</v>
      </c>
      <c r="AA22" s="31">
        <f t="shared" si="15"/>
        <v>24789544.359999999</v>
      </c>
      <c r="AB22" s="31">
        <f t="shared" si="15"/>
        <v>28774652.039999999</v>
      </c>
      <c r="AC22" s="31">
        <f t="shared" si="15"/>
        <v>31706319.829999998</v>
      </c>
      <c r="AD22" s="31">
        <f t="shared" si="15"/>
        <v>35654205.670000002</v>
      </c>
      <c r="AE22" s="31">
        <f t="shared" si="15"/>
        <v>39231561.030000001</v>
      </c>
      <c r="AF22" s="31">
        <f t="shared" si="15"/>
        <v>45100461.600000001</v>
      </c>
      <c r="AG22" s="13" t="str">
        <f t="shared" ref="AG22:AG29" si="16">IF(O22=AF22, "Ok!", "Error!")</f>
        <v>Ok!</v>
      </c>
    </row>
    <row r="23" spans="1:33" ht="15" customHeight="1">
      <c r="A23" s="29" t="s">
        <v>186</v>
      </c>
      <c r="B23" s="36"/>
      <c r="C23" s="31">
        <f t="shared" ref="C23:N23" si="17">SUBTOTAL(9,C24:C25)</f>
        <v>10508884.93</v>
      </c>
      <c r="D23" s="31">
        <f t="shared" si="17"/>
        <v>9367908.5700000003</v>
      </c>
      <c r="E23" s="31">
        <f t="shared" si="17"/>
        <v>9976107.9199999999</v>
      </c>
      <c r="F23" s="31">
        <f t="shared" si="17"/>
        <v>11246175.66</v>
      </c>
      <c r="G23" s="31">
        <f t="shared" si="17"/>
        <v>10602297.870000001</v>
      </c>
      <c r="H23" s="31">
        <f t="shared" si="17"/>
        <v>8680060.6799999997</v>
      </c>
      <c r="I23" s="31">
        <f t="shared" si="17"/>
        <v>9816213.1600000001</v>
      </c>
      <c r="J23" s="31">
        <f t="shared" si="17"/>
        <v>9611064.370000001</v>
      </c>
      <c r="K23" s="31">
        <f t="shared" si="17"/>
        <v>8907186.8200000003</v>
      </c>
      <c r="L23" s="31">
        <f t="shared" si="17"/>
        <v>7995695.5700000003</v>
      </c>
      <c r="M23" s="31">
        <f t="shared" si="17"/>
        <v>8634956.8000000007</v>
      </c>
      <c r="N23" s="31">
        <f t="shared" si="17"/>
        <v>14673774.300000001</v>
      </c>
      <c r="O23" s="31">
        <f t="shared" si="14"/>
        <v>120020326.65000001</v>
      </c>
      <c r="Q23" s="31">
        <f t="shared" ref="Q23:S23" si="18">SUBTOTAL(9,Q24:Q25)</f>
        <v>11187182.258100681</v>
      </c>
      <c r="R23" s="31">
        <f t="shared" si="18"/>
        <v>10101214.793188199</v>
      </c>
      <c r="S23" s="31">
        <f t="shared" si="18"/>
        <v>10365315.361747688</v>
      </c>
      <c r="U23" s="31">
        <f>SUBTOTAL(9,U24:U25)</f>
        <v>10508884.93</v>
      </c>
      <c r="V23" s="31">
        <f t="shared" ref="V23:AF23" si="19">SUBTOTAL(9,V24:V25)</f>
        <v>19876793.5</v>
      </c>
      <c r="W23" s="31">
        <f t="shared" si="19"/>
        <v>29852901.420000002</v>
      </c>
      <c r="X23" s="31">
        <f t="shared" si="19"/>
        <v>41099077.079999998</v>
      </c>
      <c r="Y23" s="31">
        <f t="shared" si="19"/>
        <v>51701374.950000003</v>
      </c>
      <c r="Z23" s="31">
        <f t="shared" si="19"/>
        <v>60381435.629999995</v>
      </c>
      <c r="AA23" s="31">
        <f t="shared" si="19"/>
        <v>70197648.789999992</v>
      </c>
      <c r="AB23" s="31">
        <f t="shared" si="19"/>
        <v>79808713.159999996</v>
      </c>
      <c r="AC23" s="31">
        <f t="shared" si="19"/>
        <v>88715899.979999989</v>
      </c>
      <c r="AD23" s="31">
        <f t="shared" si="19"/>
        <v>96711595.549999997</v>
      </c>
      <c r="AE23" s="31">
        <f t="shared" si="19"/>
        <v>105346552.34999999</v>
      </c>
      <c r="AF23" s="31">
        <f t="shared" si="19"/>
        <v>120020326.65000001</v>
      </c>
      <c r="AG23" s="13" t="str">
        <f t="shared" si="16"/>
        <v>Ok!</v>
      </c>
    </row>
    <row r="24" spans="1:33" ht="15" customHeight="1">
      <c r="A24" s="36" t="s">
        <v>187</v>
      </c>
      <c r="B24" s="36"/>
      <c r="C24" s="261">
        <v>5610286.21</v>
      </c>
      <c r="D24" s="188">
        <v>4885263.47</v>
      </c>
      <c r="E24" s="188">
        <v>5320831.7699999996</v>
      </c>
      <c r="F24" s="188">
        <v>5646839.54</v>
      </c>
      <c r="G24" s="188">
        <v>6017084.5899999999</v>
      </c>
      <c r="H24" s="188">
        <v>4261008.97</v>
      </c>
      <c r="I24" s="188">
        <v>5064494.78</v>
      </c>
      <c r="J24" s="188">
        <f>5138826.16</f>
        <v>5138826.16</v>
      </c>
      <c r="K24" s="188">
        <f>4650829</f>
        <v>4650829</v>
      </c>
      <c r="L24" s="188">
        <f>3573147.21</f>
        <v>3573147.21</v>
      </c>
      <c r="M24" s="188">
        <f>4557573.47</f>
        <v>4557573.47</v>
      </c>
      <c r="N24" s="188">
        <v>8661200.3800000008</v>
      </c>
      <c r="O24" s="31">
        <f t="shared" si="14"/>
        <v>63387385.549999997</v>
      </c>
      <c r="Q24" s="188">
        <v>6586423.5978276292</v>
      </c>
      <c r="R24" s="188">
        <v>5321070.6174101047</v>
      </c>
      <c r="S24" s="188">
        <v>5441923.5705934651</v>
      </c>
      <c r="U24" s="31">
        <f>C24</f>
        <v>5610286.21</v>
      </c>
      <c r="V24" s="31">
        <f t="shared" ref="V24:AF25" si="20">U24+D24</f>
        <v>10495549.68</v>
      </c>
      <c r="W24" s="31">
        <f t="shared" si="20"/>
        <v>15816381.449999999</v>
      </c>
      <c r="X24" s="31">
        <f t="shared" si="20"/>
        <v>21463220.989999998</v>
      </c>
      <c r="Y24" s="31">
        <f t="shared" si="20"/>
        <v>27480305.579999998</v>
      </c>
      <c r="Z24" s="31">
        <f t="shared" si="20"/>
        <v>31741314.549999997</v>
      </c>
      <c r="AA24" s="31">
        <f t="shared" si="20"/>
        <v>36805809.329999998</v>
      </c>
      <c r="AB24" s="31">
        <f t="shared" si="20"/>
        <v>41944635.489999995</v>
      </c>
      <c r="AC24" s="31">
        <f t="shared" si="20"/>
        <v>46595464.489999995</v>
      </c>
      <c r="AD24" s="31">
        <f t="shared" si="20"/>
        <v>50168611.699999996</v>
      </c>
      <c r="AE24" s="31">
        <f t="shared" si="20"/>
        <v>54726185.169999994</v>
      </c>
      <c r="AF24" s="31">
        <f t="shared" si="20"/>
        <v>63387385.549999997</v>
      </c>
      <c r="AG24" s="13" t="str">
        <f t="shared" si="16"/>
        <v>Ok!</v>
      </c>
    </row>
    <row r="25" spans="1:33" s="24" customFormat="1" ht="15" customHeight="1">
      <c r="A25" s="36" t="s">
        <v>287</v>
      </c>
      <c r="B25" s="36"/>
      <c r="C25" s="261">
        <f>2953661.58+1944937.14</f>
        <v>4898598.72</v>
      </c>
      <c r="D25" s="188">
        <v>4482645.0999999996</v>
      </c>
      <c r="E25" s="188">
        <v>4655276.1500000004</v>
      </c>
      <c r="F25" s="188">
        <f>2994384.13+2604951.99</f>
        <v>5599336.1200000001</v>
      </c>
      <c r="G25" s="188">
        <f>2627635.6+1957577.68</f>
        <v>4585213.28</v>
      </c>
      <c r="H25" s="188">
        <v>4419051.71</v>
      </c>
      <c r="I25" s="188">
        <v>4751718.38</v>
      </c>
      <c r="J25" s="188">
        <v>4472238.21</v>
      </c>
      <c r="K25" s="188">
        <v>4256357.8199999994</v>
      </c>
      <c r="L25" s="188">
        <f>4432885.45-10337.09</f>
        <v>4422548.3600000003</v>
      </c>
      <c r="M25" s="188">
        <f>4094224.33-16841</f>
        <v>4077383.33</v>
      </c>
      <c r="N25" s="188">
        <v>6012573.9199999999</v>
      </c>
      <c r="O25" s="31">
        <f t="shared" si="14"/>
        <v>56632941.100000001</v>
      </c>
      <c r="Q25" s="188">
        <v>4600758.6602730518</v>
      </c>
      <c r="R25" s="188">
        <v>4780144.1757780947</v>
      </c>
      <c r="S25" s="188">
        <v>4923391.7911542226</v>
      </c>
      <c r="U25" s="31">
        <f>C25</f>
        <v>4898598.72</v>
      </c>
      <c r="V25" s="31">
        <f t="shared" si="20"/>
        <v>9381243.8200000003</v>
      </c>
      <c r="W25" s="31">
        <f t="shared" si="20"/>
        <v>14036519.970000001</v>
      </c>
      <c r="X25" s="31">
        <f t="shared" si="20"/>
        <v>19635856.09</v>
      </c>
      <c r="Y25" s="31">
        <f t="shared" si="20"/>
        <v>24221069.370000001</v>
      </c>
      <c r="Z25" s="31">
        <f t="shared" si="20"/>
        <v>28640121.080000002</v>
      </c>
      <c r="AA25" s="31">
        <f t="shared" si="20"/>
        <v>33391839.460000001</v>
      </c>
      <c r="AB25" s="31">
        <f t="shared" si="20"/>
        <v>37864077.670000002</v>
      </c>
      <c r="AC25" s="31">
        <f t="shared" si="20"/>
        <v>42120435.490000002</v>
      </c>
      <c r="AD25" s="31">
        <f t="shared" si="20"/>
        <v>46542983.850000001</v>
      </c>
      <c r="AE25" s="31">
        <f t="shared" si="20"/>
        <v>50620367.18</v>
      </c>
      <c r="AF25" s="31">
        <f t="shared" si="20"/>
        <v>56632941.100000001</v>
      </c>
      <c r="AG25" s="13" t="str">
        <f t="shared" si="16"/>
        <v>Ok!</v>
      </c>
    </row>
    <row r="26" spans="1:33" ht="15" customHeight="1">
      <c r="A26" s="29" t="s">
        <v>157</v>
      </c>
      <c r="B26" s="1"/>
      <c r="C26" s="31">
        <f t="shared" ref="C26:N26" si="21">SUBTOTAL(9,C27:C28)</f>
        <v>192588.29</v>
      </c>
      <c r="D26" s="31">
        <f t="shared" si="21"/>
        <v>188105.13</v>
      </c>
      <c r="E26" s="31">
        <f t="shared" si="21"/>
        <v>187715.02</v>
      </c>
      <c r="F26" s="31">
        <f t="shared" si="21"/>
        <v>188250.22</v>
      </c>
      <c r="G26" s="31">
        <f t="shared" si="21"/>
        <v>133269.41</v>
      </c>
      <c r="H26" s="31">
        <f t="shared" si="21"/>
        <v>133247.65</v>
      </c>
      <c r="I26" s="31">
        <f t="shared" si="21"/>
        <v>129471.44</v>
      </c>
      <c r="J26" s="31">
        <f t="shared" si="21"/>
        <v>197649.65</v>
      </c>
      <c r="K26" s="31">
        <f t="shared" si="21"/>
        <v>181259.85</v>
      </c>
      <c r="L26" s="31">
        <f t="shared" si="21"/>
        <v>219821.06</v>
      </c>
      <c r="M26" s="31">
        <f t="shared" si="21"/>
        <v>134340.69</v>
      </c>
      <c r="N26" s="31">
        <f t="shared" si="21"/>
        <v>172943.37</v>
      </c>
      <c r="O26" s="31">
        <f t="shared" si="14"/>
        <v>2058661.7800000003</v>
      </c>
      <c r="Q26" s="31">
        <f t="shared" ref="Q26:S26" si="22">SUBTOTAL(9,Q27:Q28)</f>
        <v>125751.5</v>
      </c>
      <c r="R26" s="31">
        <f t="shared" si="22"/>
        <v>107384.5</v>
      </c>
      <c r="S26" s="31">
        <f t="shared" si="22"/>
        <v>118829.5</v>
      </c>
      <c r="U26" s="31">
        <f t="shared" ref="U26:AF26" si="23">SUBTOTAL(9,U27:U28)</f>
        <v>192588.29</v>
      </c>
      <c r="V26" s="31">
        <f t="shared" si="23"/>
        <v>380693.42000000004</v>
      </c>
      <c r="W26" s="31">
        <f t="shared" si="23"/>
        <v>568408.44000000006</v>
      </c>
      <c r="X26" s="31">
        <f t="shared" si="23"/>
        <v>756658.66</v>
      </c>
      <c r="Y26" s="31">
        <f t="shared" si="23"/>
        <v>889928.07000000007</v>
      </c>
      <c r="Z26" s="31">
        <f t="shared" si="23"/>
        <v>1023175.7200000001</v>
      </c>
      <c r="AA26" s="31">
        <f t="shared" si="23"/>
        <v>1152647.1600000001</v>
      </c>
      <c r="AB26" s="31">
        <f t="shared" si="23"/>
        <v>1350296.81</v>
      </c>
      <c r="AC26" s="31">
        <f t="shared" si="23"/>
        <v>1531556.6600000001</v>
      </c>
      <c r="AD26" s="31">
        <f t="shared" si="23"/>
        <v>1751377.7200000002</v>
      </c>
      <c r="AE26" s="31">
        <f t="shared" si="23"/>
        <v>1885718.4100000001</v>
      </c>
      <c r="AF26" s="31">
        <f t="shared" si="23"/>
        <v>2058661.78</v>
      </c>
      <c r="AG26" s="13" t="str">
        <f t="shared" si="16"/>
        <v>Ok!</v>
      </c>
    </row>
    <row r="27" spans="1:33" ht="15" customHeight="1">
      <c r="A27" s="36" t="s">
        <v>188</v>
      </c>
      <c r="B27" s="35"/>
      <c r="C27" s="261">
        <v>13008</v>
      </c>
      <c r="D27" s="188">
        <v>13008</v>
      </c>
      <c r="E27" s="188">
        <v>13008</v>
      </c>
      <c r="F27" s="188">
        <v>13008</v>
      </c>
      <c r="G27" s="188">
        <v>13008</v>
      </c>
      <c r="H27" s="188">
        <v>13008</v>
      </c>
      <c r="I27" s="188">
        <f>13008</f>
        <v>13008</v>
      </c>
      <c r="J27" s="188">
        <f>10130</f>
        <v>10130</v>
      </c>
      <c r="K27" s="188">
        <v>10130</v>
      </c>
      <c r="L27" s="188">
        <f>11698</f>
        <v>11698</v>
      </c>
      <c r="M27" s="188">
        <v>11985.41</v>
      </c>
      <c r="N27" s="188">
        <v>15383</v>
      </c>
      <c r="O27" s="31">
        <f t="shared" si="14"/>
        <v>150382.41</v>
      </c>
      <c r="Q27" s="188"/>
      <c r="R27" s="188"/>
      <c r="S27" s="188"/>
      <c r="U27" s="31">
        <f>C27</f>
        <v>13008</v>
      </c>
      <c r="V27" s="31">
        <f t="shared" ref="V27:AF28" si="24">U27+D27</f>
        <v>26016</v>
      </c>
      <c r="W27" s="31">
        <f t="shared" si="24"/>
        <v>39024</v>
      </c>
      <c r="X27" s="31">
        <f t="shared" si="24"/>
        <v>52032</v>
      </c>
      <c r="Y27" s="31">
        <f t="shared" si="24"/>
        <v>65040</v>
      </c>
      <c r="Z27" s="31">
        <f t="shared" si="24"/>
        <v>78048</v>
      </c>
      <c r="AA27" s="31">
        <f t="shared" si="24"/>
        <v>91056</v>
      </c>
      <c r="AB27" s="31">
        <f t="shared" si="24"/>
        <v>101186</v>
      </c>
      <c r="AC27" s="31">
        <f t="shared" si="24"/>
        <v>111316</v>
      </c>
      <c r="AD27" s="31">
        <f t="shared" si="24"/>
        <v>123014</v>
      </c>
      <c r="AE27" s="31">
        <f t="shared" si="24"/>
        <v>134999.41</v>
      </c>
      <c r="AF27" s="31">
        <f t="shared" si="24"/>
        <v>150382.41</v>
      </c>
      <c r="AG27" s="13" t="str">
        <f t="shared" si="16"/>
        <v>Ok!</v>
      </c>
    </row>
    <row r="28" spans="1:33" ht="15" customHeight="1">
      <c r="A28" s="36" t="s">
        <v>288</v>
      </c>
      <c r="B28" s="36"/>
      <c r="C28" s="261">
        <f>172928.29+6652</f>
        <v>179580.29</v>
      </c>
      <c r="D28" s="188">
        <v>175097.13</v>
      </c>
      <c r="E28" s="188">
        <v>174707.02</v>
      </c>
      <c r="F28" s="188">
        <f>170823.97+4418.25</f>
        <v>175242.22</v>
      </c>
      <c r="G28" s="188">
        <f>112414.73+7846.68</f>
        <v>120261.41</v>
      </c>
      <c r="H28" s="188">
        <f>115566.4+4673.25</f>
        <v>120239.65</v>
      </c>
      <c r="I28" s="188">
        <v>116463.44</v>
      </c>
      <c r="J28" s="188">
        <v>187519.65</v>
      </c>
      <c r="K28" s="188">
        <v>171129.85</v>
      </c>
      <c r="L28" s="188">
        <f>203587.65+4535.41</f>
        <v>208123.06</v>
      </c>
      <c r="M28" s="188">
        <f>122355.28</f>
        <v>122355.28</v>
      </c>
      <c r="N28" s="188">
        <v>157560.37</v>
      </c>
      <c r="O28" s="31">
        <f t="shared" si="14"/>
        <v>1908279.37</v>
      </c>
      <c r="Q28" s="188">
        <v>125751.5</v>
      </c>
      <c r="R28" s="188">
        <v>107384.5</v>
      </c>
      <c r="S28" s="188">
        <v>118829.5</v>
      </c>
      <c r="U28" s="31">
        <f>C28</f>
        <v>179580.29</v>
      </c>
      <c r="V28" s="31">
        <f t="shared" si="24"/>
        <v>354677.42000000004</v>
      </c>
      <c r="W28" s="31">
        <f t="shared" si="24"/>
        <v>529384.44000000006</v>
      </c>
      <c r="X28" s="31">
        <f t="shared" si="24"/>
        <v>704626.66</v>
      </c>
      <c r="Y28" s="31">
        <f t="shared" si="24"/>
        <v>824888.07000000007</v>
      </c>
      <c r="Z28" s="31">
        <f t="shared" si="24"/>
        <v>945127.72000000009</v>
      </c>
      <c r="AA28" s="31">
        <f t="shared" si="24"/>
        <v>1061591.1600000001</v>
      </c>
      <c r="AB28" s="31">
        <f t="shared" si="24"/>
        <v>1249110.81</v>
      </c>
      <c r="AC28" s="31">
        <f t="shared" si="24"/>
        <v>1420240.6600000001</v>
      </c>
      <c r="AD28" s="31">
        <f t="shared" si="24"/>
        <v>1628363.7200000002</v>
      </c>
      <c r="AE28" s="31">
        <f t="shared" si="24"/>
        <v>1750719.0000000002</v>
      </c>
      <c r="AF28" s="31">
        <f t="shared" si="24"/>
        <v>1908279.37</v>
      </c>
      <c r="AG28" s="13" t="str">
        <f t="shared" si="16"/>
        <v>Ok!</v>
      </c>
    </row>
    <row r="29" spans="1:33" s="24" customFormat="1" ht="15.75" customHeight="1">
      <c r="A29" s="39" t="s">
        <v>21</v>
      </c>
      <c r="B29" s="36"/>
      <c r="C29" s="22">
        <f t="shared" ref="C29:N29" si="25">SUBTOTAL(9,C22:C28)</f>
        <v>14458907.099999998</v>
      </c>
      <c r="D29" s="22">
        <f t="shared" si="25"/>
        <v>12795687.57</v>
      </c>
      <c r="E29" s="22">
        <f t="shared" si="25"/>
        <v>13377171.699999999</v>
      </c>
      <c r="F29" s="22">
        <f t="shared" si="25"/>
        <v>14787553.560000001</v>
      </c>
      <c r="G29" s="22">
        <f t="shared" si="25"/>
        <v>14861249.41</v>
      </c>
      <c r="H29" s="22">
        <f t="shared" si="25"/>
        <v>11941956.6</v>
      </c>
      <c r="I29" s="22">
        <f t="shared" si="25"/>
        <v>13917314.369999999</v>
      </c>
      <c r="J29" s="22">
        <f t="shared" si="25"/>
        <v>13793821.700000001</v>
      </c>
      <c r="K29" s="22">
        <f t="shared" si="25"/>
        <v>12020114.459999999</v>
      </c>
      <c r="L29" s="22">
        <f t="shared" si="25"/>
        <v>12163402.470000001</v>
      </c>
      <c r="M29" s="22">
        <f t="shared" si="25"/>
        <v>12346652.85</v>
      </c>
      <c r="N29" s="22">
        <f t="shared" si="25"/>
        <v>20715618.240000002</v>
      </c>
      <c r="O29" s="22">
        <f t="shared" si="14"/>
        <v>167179450.03</v>
      </c>
      <c r="Q29" s="22">
        <f t="shared" ref="Q29:S29" si="26">SUBTOTAL(9,Q22:Q28)</f>
        <v>15224352.214481536</v>
      </c>
      <c r="R29" s="22">
        <f t="shared" si="26"/>
        <v>13888859.743188199</v>
      </c>
      <c r="S29" s="22">
        <f t="shared" si="26"/>
        <v>14173376.051747687</v>
      </c>
      <c r="U29" s="22">
        <f t="shared" ref="U29:AF29" si="27">SUBTOTAL(9,U22:U28)</f>
        <v>14458907.099999998</v>
      </c>
      <c r="V29" s="22">
        <f t="shared" si="27"/>
        <v>27254594.670000002</v>
      </c>
      <c r="W29" s="22">
        <f t="shared" si="27"/>
        <v>40631766.369999997</v>
      </c>
      <c r="X29" s="22">
        <f t="shared" si="27"/>
        <v>55419319.929999992</v>
      </c>
      <c r="Y29" s="22">
        <f t="shared" si="27"/>
        <v>70280569.339999989</v>
      </c>
      <c r="Z29" s="22">
        <f t="shared" si="27"/>
        <v>82222525.939999998</v>
      </c>
      <c r="AA29" s="22">
        <f t="shared" si="27"/>
        <v>96139840.310000002</v>
      </c>
      <c r="AB29" s="22">
        <f t="shared" si="27"/>
        <v>109933662.01000001</v>
      </c>
      <c r="AC29" s="22">
        <f t="shared" si="27"/>
        <v>121953776.47</v>
      </c>
      <c r="AD29" s="22">
        <f t="shared" si="27"/>
        <v>134117178.94</v>
      </c>
      <c r="AE29" s="22">
        <f t="shared" si="27"/>
        <v>146463831.78999999</v>
      </c>
      <c r="AF29" s="22">
        <f t="shared" si="27"/>
        <v>167179450.03</v>
      </c>
      <c r="AG29" s="13" t="str">
        <f t="shared" si="16"/>
        <v>Ok!</v>
      </c>
    </row>
    <row r="30" spans="1:33" ht="15" customHeight="1">
      <c r="A30" s="18"/>
      <c r="B30" s="18"/>
      <c r="C30" s="40"/>
      <c r="D30" s="40"/>
      <c r="E30" s="40"/>
      <c r="F30" s="40"/>
      <c r="G30" s="40"/>
      <c r="H30" s="40"/>
      <c r="I30" s="40"/>
      <c r="J30" s="40"/>
      <c r="K30" s="40"/>
      <c r="L30" s="40"/>
      <c r="M30" s="40"/>
      <c r="N30" s="40"/>
      <c r="O30" s="40"/>
      <c r="Q30" s="40"/>
      <c r="R30" s="40"/>
      <c r="S30" s="40"/>
      <c r="U30" s="40"/>
      <c r="V30" s="40"/>
      <c r="W30" s="40"/>
      <c r="X30" s="40"/>
      <c r="Y30" s="40"/>
      <c r="Z30" s="40"/>
      <c r="AA30" s="40"/>
      <c r="AB30" s="40"/>
      <c r="AC30" s="40"/>
      <c r="AD30" s="40"/>
      <c r="AE30" s="40"/>
      <c r="AF30" s="40"/>
    </row>
    <row r="31" spans="1:33" ht="15" customHeight="1">
      <c r="A31" s="18" t="s">
        <v>158</v>
      </c>
      <c r="B31" s="35"/>
      <c r="C31" s="26"/>
      <c r="D31" s="26"/>
      <c r="E31" s="26"/>
      <c r="F31" s="26"/>
      <c r="G31" s="26"/>
      <c r="H31" s="26"/>
      <c r="I31" s="26"/>
      <c r="J31" s="26"/>
      <c r="K31" s="26"/>
      <c r="L31" s="26"/>
      <c r="M31" s="26"/>
      <c r="N31" s="26"/>
      <c r="O31" s="26"/>
      <c r="Q31" s="26"/>
      <c r="R31" s="26"/>
      <c r="S31" s="26"/>
      <c r="U31" s="26"/>
      <c r="V31" s="26"/>
      <c r="W31" s="26"/>
      <c r="X31" s="26"/>
      <c r="Y31" s="26"/>
      <c r="Z31" s="26"/>
      <c r="AA31" s="26"/>
      <c r="AB31" s="26"/>
      <c r="AC31" s="26"/>
      <c r="AD31" s="26"/>
      <c r="AE31" s="26"/>
      <c r="AF31" s="26"/>
    </row>
    <row r="32" spans="1:33" ht="15" customHeight="1">
      <c r="A32" s="39" t="s">
        <v>150</v>
      </c>
      <c r="B32" s="36"/>
      <c r="C32" s="188">
        <f>2593161.4+1783702.59-292091</f>
        <v>4084772.99</v>
      </c>
      <c r="D32" s="188">
        <f>3962249.2-307470.96</f>
        <v>3654778.24</v>
      </c>
      <c r="E32" s="188">
        <f>4182073.63-284367.79</f>
        <v>3897705.84</v>
      </c>
      <c r="F32" s="188">
        <f>2241319.04+1705646.24-328719.26</f>
        <v>3618246.0200000005</v>
      </c>
      <c r="G32" s="188">
        <f>2064884.63+1737176.46-302415.68</f>
        <v>3499645.4099999997</v>
      </c>
      <c r="H32" s="188">
        <f>3570037.62-H33</f>
        <v>3398514.8000000003</v>
      </c>
      <c r="I32" s="188">
        <f>3991065.61-I33</f>
        <v>3708308.15</v>
      </c>
      <c r="J32" s="188">
        <f>4186124-J33</f>
        <v>3921362.39</v>
      </c>
      <c r="K32" s="188">
        <f>3887242.44-K33</f>
        <v>3523161.37</v>
      </c>
      <c r="L32" s="188">
        <f>2930487.13+1593615.98-212732.5-47160.48</f>
        <v>4264210.129999999</v>
      </c>
      <c r="M32" s="188">
        <f>3844944.41-138726.65-39615</f>
        <v>3666602.7600000002</v>
      </c>
      <c r="N32" s="188">
        <f>5034214.28-N33+28527.33</f>
        <v>4576031.4400000004</v>
      </c>
      <c r="O32" s="31">
        <f t="shared" ref="O32:O37" si="28">SUM(C32:N32)</f>
        <v>45813339.539999999</v>
      </c>
      <c r="Q32" s="188">
        <v>3897343.9163799169</v>
      </c>
      <c r="R32" s="188">
        <v>3769357.9974053474</v>
      </c>
      <c r="S32" s="188">
        <v>3816133.2717432412</v>
      </c>
      <c r="U32" s="31">
        <f>C32</f>
        <v>4084772.99</v>
      </c>
      <c r="V32" s="31">
        <f t="shared" ref="V32:AF36" si="29">U32+D32</f>
        <v>7739551.2300000004</v>
      </c>
      <c r="W32" s="31">
        <f t="shared" si="29"/>
        <v>11637257.07</v>
      </c>
      <c r="X32" s="31">
        <f t="shared" si="29"/>
        <v>15255503.09</v>
      </c>
      <c r="Y32" s="31">
        <f t="shared" si="29"/>
        <v>18755148.5</v>
      </c>
      <c r="Z32" s="31">
        <f t="shared" si="29"/>
        <v>22153663.300000001</v>
      </c>
      <c r="AA32" s="31">
        <f t="shared" si="29"/>
        <v>25861971.449999999</v>
      </c>
      <c r="AB32" s="31">
        <f t="shared" si="29"/>
        <v>29783333.84</v>
      </c>
      <c r="AC32" s="31">
        <f t="shared" si="29"/>
        <v>33306495.210000001</v>
      </c>
      <c r="AD32" s="31">
        <f t="shared" si="29"/>
        <v>37570705.340000004</v>
      </c>
      <c r="AE32" s="31">
        <f t="shared" si="29"/>
        <v>41237308.100000001</v>
      </c>
      <c r="AF32" s="31">
        <f t="shared" si="29"/>
        <v>45813339.539999999</v>
      </c>
      <c r="AG32" s="13" t="str">
        <f t="shared" ref="AG32:AG37" si="30">IF(O32=AF32, "Ok!", "Error!")</f>
        <v>Ok!</v>
      </c>
    </row>
    <row r="33" spans="1:33" ht="15" customHeight="1">
      <c r="A33" s="39" t="s">
        <v>202</v>
      </c>
      <c r="B33" s="36"/>
      <c r="C33" s="261">
        <f>205350.36+86741</f>
        <v>292091.36</v>
      </c>
      <c r="D33" s="261">
        <f>220729.96+86741</f>
        <v>307470.95999999996</v>
      </c>
      <c r="E33" s="261">
        <f>197626.79+86741</f>
        <v>284367.79000000004</v>
      </c>
      <c r="F33" s="261">
        <f>241978.26+86741</f>
        <v>328719.26</v>
      </c>
      <c r="G33" s="261">
        <f>215674.68+86741</f>
        <v>302415.68</v>
      </c>
      <c r="H33" s="261">
        <f>84781.82+86741</f>
        <v>171522.82</v>
      </c>
      <c r="I33" s="261">
        <f>196016.46+86741</f>
        <v>282757.45999999996</v>
      </c>
      <c r="J33" s="261">
        <f>264761.61</f>
        <v>264761.61</v>
      </c>
      <c r="K33" s="261">
        <f>277340+86741.07</f>
        <v>364081.07</v>
      </c>
      <c r="L33" s="261">
        <f>212732.5+86741.07+93774.02</f>
        <v>393247.59</v>
      </c>
      <c r="M33" s="261">
        <f>138726.65+86741.07+121591</f>
        <v>347058.72</v>
      </c>
      <c r="N33" s="261">
        <v>486710.17</v>
      </c>
      <c r="O33" s="31">
        <f t="shared" si="28"/>
        <v>3825204.4899999993</v>
      </c>
      <c r="Q33" s="188">
        <v>1011263.995</v>
      </c>
      <c r="R33" s="188">
        <v>703478</v>
      </c>
      <c r="S33" s="188">
        <v>706613</v>
      </c>
      <c r="U33" s="31">
        <f>C33</f>
        <v>292091.36</v>
      </c>
      <c r="V33" s="31">
        <f t="shared" si="29"/>
        <v>599562.31999999995</v>
      </c>
      <c r="W33" s="31">
        <f t="shared" si="29"/>
        <v>883930.11</v>
      </c>
      <c r="X33" s="31">
        <f t="shared" si="29"/>
        <v>1212649.3700000001</v>
      </c>
      <c r="Y33" s="31">
        <f t="shared" si="29"/>
        <v>1515065.05</v>
      </c>
      <c r="Z33" s="31">
        <f t="shared" si="29"/>
        <v>1686587.87</v>
      </c>
      <c r="AA33" s="31">
        <f t="shared" si="29"/>
        <v>1969345.33</v>
      </c>
      <c r="AB33" s="31">
        <f t="shared" si="29"/>
        <v>2234106.94</v>
      </c>
      <c r="AC33" s="31">
        <f t="shared" si="29"/>
        <v>2598188.0099999998</v>
      </c>
      <c r="AD33" s="31">
        <f t="shared" si="29"/>
        <v>2991435.5999999996</v>
      </c>
      <c r="AE33" s="31">
        <f t="shared" si="29"/>
        <v>3338494.3199999994</v>
      </c>
      <c r="AF33" s="31">
        <f t="shared" si="29"/>
        <v>3825204.4899999993</v>
      </c>
      <c r="AG33" s="13" t="str">
        <f t="shared" si="30"/>
        <v>Ok!</v>
      </c>
    </row>
    <row r="34" spans="1:33" ht="15" customHeight="1">
      <c r="A34" s="39" t="s">
        <v>22</v>
      </c>
      <c r="B34" s="36"/>
      <c r="C34" s="188">
        <f>1359579</f>
        <v>1359579</v>
      </c>
      <c r="D34" s="188">
        <f>1376718</f>
        <v>1376718</v>
      </c>
      <c r="E34" s="188">
        <f>1331536</f>
        <v>1331536</v>
      </c>
      <c r="F34" s="188">
        <f>1377015</f>
        <v>1377015</v>
      </c>
      <c r="G34" s="188">
        <f>1816678</f>
        <v>1816678</v>
      </c>
      <c r="H34" s="188">
        <v>1602661.15</v>
      </c>
      <c r="I34" s="188">
        <v>2055316.44</v>
      </c>
      <c r="J34" s="188">
        <v>1755702.6500000001</v>
      </c>
      <c r="K34" s="188">
        <v>2046913.6600000001</v>
      </c>
      <c r="L34" s="188">
        <f>1326291.9+922008.52-18224.19</f>
        <v>2230076.23</v>
      </c>
      <c r="M34" s="188">
        <f>2266420.98-33870</f>
        <v>2232550.98</v>
      </c>
      <c r="N34" s="261">
        <v>2770191.5999999996</v>
      </c>
      <c r="O34" s="31">
        <f t="shared" si="28"/>
        <v>21954938.710000001</v>
      </c>
      <c r="Q34" s="188">
        <v>2360874.862666667</v>
      </c>
      <c r="R34" s="188">
        <v>2335172.5833333335</v>
      </c>
      <c r="S34" s="188">
        <v>1743676.9633333334</v>
      </c>
      <c r="U34" s="31">
        <f>C34</f>
        <v>1359579</v>
      </c>
      <c r="V34" s="31">
        <f t="shared" si="29"/>
        <v>2736297</v>
      </c>
      <c r="W34" s="31">
        <f t="shared" si="29"/>
        <v>4067833</v>
      </c>
      <c r="X34" s="31">
        <f t="shared" si="29"/>
        <v>5444848</v>
      </c>
      <c r="Y34" s="31">
        <f t="shared" si="29"/>
        <v>7261526</v>
      </c>
      <c r="Z34" s="31">
        <f t="shared" si="29"/>
        <v>8864187.1500000004</v>
      </c>
      <c r="AA34" s="31">
        <f t="shared" si="29"/>
        <v>10919503.59</v>
      </c>
      <c r="AB34" s="31">
        <f t="shared" si="29"/>
        <v>12675206.24</v>
      </c>
      <c r="AC34" s="31">
        <f t="shared" si="29"/>
        <v>14722119.9</v>
      </c>
      <c r="AD34" s="31">
        <f t="shared" si="29"/>
        <v>16952196.129999999</v>
      </c>
      <c r="AE34" s="31">
        <f t="shared" si="29"/>
        <v>19184747.109999999</v>
      </c>
      <c r="AF34" s="31">
        <f t="shared" si="29"/>
        <v>21954938.710000001</v>
      </c>
      <c r="AG34" s="13" t="str">
        <f t="shared" si="30"/>
        <v>Ok!</v>
      </c>
    </row>
    <row r="35" spans="1:33" ht="15" customHeight="1">
      <c r="A35" s="39" t="s">
        <v>190</v>
      </c>
      <c r="B35" s="36"/>
      <c r="C35" s="188">
        <f>4537418.02-C36+507155.7</f>
        <v>1477597.7199999995</v>
      </c>
      <c r="D35" s="188">
        <v>1702080.4700000002</v>
      </c>
      <c r="E35" s="188">
        <v>1567981.19</v>
      </c>
      <c r="F35" s="188">
        <f>561376.09+1401682.85</f>
        <v>1963058.94</v>
      </c>
      <c r="G35" s="188">
        <f>572525.2+941842</f>
        <v>1514367.2</v>
      </c>
      <c r="H35" s="188">
        <v>2000708.5599999998</v>
      </c>
      <c r="I35" s="188">
        <v>2167633.2400000002</v>
      </c>
      <c r="J35" s="188">
        <v>1925913.1999999997</v>
      </c>
      <c r="K35" s="188">
        <v>1996041.1600000004</v>
      </c>
      <c r="L35" s="261">
        <f>1363823.17</f>
        <v>1363823.17</v>
      </c>
      <c r="M35" s="261">
        <f>1616190.35-2667</f>
        <v>1613523.35</v>
      </c>
      <c r="N35" s="261">
        <v>2133498.66</v>
      </c>
      <c r="O35" s="31">
        <f t="shared" si="28"/>
        <v>21426226.859999999</v>
      </c>
      <c r="Q35" s="188">
        <v>2064867.0066666666</v>
      </c>
      <c r="R35" s="188">
        <v>1638920.6766666668</v>
      </c>
      <c r="S35" s="188">
        <v>1844369.8166666667</v>
      </c>
      <c r="U35" s="31">
        <f>C35</f>
        <v>1477597.7199999995</v>
      </c>
      <c r="V35" s="31">
        <f t="shared" si="29"/>
        <v>3179678.1899999995</v>
      </c>
      <c r="W35" s="31">
        <f t="shared" si="29"/>
        <v>4747659.379999999</v>
      </c>
      <c r="X35" s="31">
        <f t="shared" si="29"/>
        <v>6710718.3199999984</v>
      </c>
      <c r="Y35" s="31">
        <f t="shared" si="29"/>
        <v>8225085.5199999986</v>
      </c>
      <c r="Z35" s="31">
        <f t="shared" si="29"/>
        <v>10225794.079999998</v>
      </c>
      <c r="AA35" s="31">
        <f t="shared" si="29"/>
        <v>12393427.319999998</v>
      </c>
      <c r="AB35" s="31">
        <f t="shared" si="29"/>
        <v>14319340.519999998</v>
      </c>
      <c r="AC35" s="31">
        <f t="shared" si="29"/>
        <v>16315381.679999998</v>
      </c>
      <c r="AD35" s="31">
        <f t="shared" si="29"/>
        <v>17679204.849999998</v>
      </c>
      <c r="AE35" s="31">
        <f t="shared" si="29"/>
        <v>19292728.199999999</v>
      </c>
      <c r="AF35" s="31">
        <f t="shared" si="29"/>
        <v>21426226.859999999</v>
      </c>
      <c r="AG35" s="13" t="str">
        <f t="shared" si="30"/>
        <v>Ok!</v>
      </c>
    </row>
    <row r="36" spans="1:33" ht="15.75" customHeight="1">
      <c r="A36" s="39" t="s">
        <v>20</v>
      </c>
      <c r="B36" s="36"/>
      <c r="C36" s="188">
        <v>3566976</v>
      </c>
      <c r="D36" s="188">
        <v>3731551.3</v>
      </c>
      <c r="E36" s="188">
        <v>4162258.96</v>
      </c>
      <c r="F36" s="188">
        <f>4647637.16</f>
        <v>4647637.16</v>
      </c>
      <c r="G36" s="188">
        <f>4710888.68</f>
        <v>4710888.68</v>
      </c>
      <c r="H36" s="188">
        <f>3435337.55</f>
        <v>3435337.55</v>
      </c>
      <c r="I36" s="188">
        <v>3973939.6499999994</v>
      </c>
      <c r="J36" s="188">
        <v>4051510.63</v>
      </c>
      <c r="K36" s="188">
        <v>3626896.4199999995</v>
      </c>
      <c r="L36" s="188">
        <f>3275155.77-273.11</f>
        <v>3274882.66</v>
      </c>
      <c r="M36" s="188">
        <f>3479930.07</f>
        <v>3479930.07</v>
      </c>
      <c r="N36" s="188">
        <v>3737239.89</v>
      </c>
      <c r="O36" s="31">
        <f t="shared" si="28"/>
        <v>46399048.970000006</v>
      </c>
      <c r="Q36" s="188">
        <v>3996488</v>
      </c>
      <c r="R36" s="188">
        <v>3532511</v>
      </c>
      <c r="S36" s="188">
        <v>4332001</v>
      </c>
      <c r="U36" s="31">
        <f>C36</f>
        <v>3566976</v>
      </c>
      <c r="V36" s="31">
        <f t="shared" si="29"/>
        <v>7298527.2999999998</v>
      </c>
      <c r="W36" s="31">
        <f t="shared" si="29"/>
        <v>11460786.26</v>
      </c>
      <c r="X36" s="31">
        <f t="shared" si="29"/>
        <v>16108423.42</v>
      </c>
      <c r="Y36" s="31">
        <f t="shared" si="29"/>
        <v>20819312.100000001</v>
      </c>
      <c r="Z36" s="31">
        <f t="shared" si="29"/>
        <v>24254649.650000002</v>
      </c>
      <c r="AA36" s="31">
        <f t="shared" si="29"/>
        <v>28228589.300000001</v>
      </c>
      <c r="AB36" s="31">
        <f t="shared" si="29"/>
        <v>32280099.93</v>
      </c>
      <c r="AC36" s="31">
        <f t="shared" si="29"/>
        <v>35906996.350000001</v>
      </c>
      <c r="AD36" s="31">
        <f t="shared" si="29"/>
        <v>39181879.010000005</v>
      </c>
      <c r="AE36" s="31">
        <f t="shared" si="29"/>
        <v>42661809.080000006</v>
      </c>
      <c r="AF36" s="31">
        <f t="shared" si="29"/>
        <v>46399048.970000006</v>
      </c>
      <c r="AG36" s="13" t="str">
        <f t="shared" si="30"/>
        <v>Ok!</v>
      </c>
    </row>
    <row r="37" spans="1:33" s="24" customFormat="1" ht="15.75" customHeight="1">
      <c r="A37" s="39" t="s">
        <v>23</v>
      </c>
      <c r="B37" s="36"/>
      <c r="C37" s="22">
        <f t="shared" ref="C37:N37" si="31">SUBTOTAL(9,C32:C36)</f>
        <v>10781017.07</v>
      </c>
      <c r="D37" s="22">
        <f t="shared" si="31"/>
        <v>10772598.969999999</v>
      </c>
      <c r="E37" s="22">
        <f t="shared" si="31"/>
        <v>11243849.780000001</v>
      </c>
      <c r="F37" s="22">
        <f t="shared" si="31"/>
        <v>11934676.380000001</v>
      </c>
      <c r="G37" s="22">
        <f t="shared" si="31"/>
        <v>11843994.969999999</v>
      </c>
      <c r="H37" s="22">
        <f t="shared" si="31"/>
        <v>10608744.879999999</v>
      </c>
      <c r="I37" s="22">
        <f t="shared" si="31"/>
        <v>12187954.939999999</v>
      </c>
      <c r="J37" s="22">
        <f t="shared" si="31"/>
        <v>11919250.48</v>
      </c>
      <c r="K37" s="22">
        <f t="shared" si="31"/>
        <v>11557093.68</v>
      </c>
      <c r="L37" s="22">
        <f t="shared" si="31"/>
        <v>11526239.779999999</v>
      </c>
      <c r="M37" s="22">
        <f t="shared" si="31"/>
        <v>11339665.880000001</v>
      </c>
      <c r="N37" s="22">
        <f t="shared" si="31"/>
        <v>13703671.760000002</v>
      </c>
      <c r="O37" s="22">
        <f t="shared" si="28"/>
        <v>139418758.56999999</v>
      </c>
      <c r="Q37" s="22">
        <f t="shared" ref="Q37:S37" si="32">SUBTOTAL(9,Q32:Q36)</f>
        <v>13330837.780713249</v>
      </c>
      <c r="R37" s="22">
        <f t="shared" si="32"/>
        <v>11979440.257405348</v>
      </c>
      <c r="S37" s="22">
        <f t="shared" si="32"/>
        <v>12442794.051743241</v>
      </c>
      <c r="U37" s="22">
        <f t="shared" ref="U37:AF37" si="33">SUBTOTAL(9,U32:U36)</f>
        <v>10781017.07</v>
      </c>
      <c r="V37" s="22">
        <f t="shared" si="33"/>
        <v>21553616.039999999</v>
      </c>
      <c r="W37" s="22">
        <f t="shared" si="33"/>
        <v>32797465.82</v>
      </c>
      <c r="X37" s="22">
        <f t="shared" si="33"/>
        <v>44732142.200000003</v>
      </c>
      <c r="Y37" s="22">
        <f t="shared" si="33"/>
        <v>56576137.170000002</v>
      </c>
      <c r="Z37" s="22">
        <f t="shared" si="33"/>
        <v>67184882.049999997</v>
      </c>
      <c r="AA37" s="22">
        <f t="shared" si="33"/>
        <v>79372836.99000001</v>
      </c>
      <c r="AB37" s="22">
        <f t="shared" si="33"/>
        <v>91292087.469999999</v>
      </c>
      <c r="AC37" s="22">
        <f t="shared" si="33"/>
        <v>102849181.15000001</v>
      </c>
      <c r="AD37" s="22">
        <f t="shared" si="33"/>
        <v>114375420.93000001</v>
      </c>
      <c r="AE37" s="22">
        <f t="shared" si="33"/>
        <v>125715086.81</v>
      </c>
      <c r="AF37" s="22">
        <f t="shared" si="33"/>
        <v>139418758.57000002</v>
      </c>
      <c r="AG37" s="13" t="str">
        <f t="shared" si="30"/>
        <v>Ok!</v>
      </c>
    </row>
    <row r="38" spans="1:33" ht="15" customHeight="1">
      <c r="A38" s="18"/>
      <c r="B38" s="18"/>
      <c r="C38" s="26"/>
      <c r="D38" s="26"/>
      <c r="E38" s="26"/>
      <c r="F38" s="26"/>
      <c r="G38" s="26"/>
      <c r="H38" s="26"/>
      <c r="I38" s="26"/>
      <c r="J38" s="26"/>
      <c r="K38" s="26"/>
      <c r="L38" s="26"/>
      <c r="M38" s="26"/>
      <c r="N38" s="26"/>
      <c r="O38" s="26"/>
      <c r="Q38" s="26"/>
      <c r="R38" s="26"/>
      <c r="S38" s="26"/>
      <c r="U38" s="26"/>
      <c r="V38" s="26"/>
      <c r="W38" s="26"/>
      <c r="X38" s="26"/>
      <c r="Y38" s="26"/>
      <c r="Z38" s="26"/>
      <c r="AA38" s="26"/>
      <c r="AB38" s="26"/>
      <c r="AC38" s="26"/>
      <c r="AD38" s="26"/>
      <c r="AE38" s="26"/>
      <c r="AF38" s="26"/>
    </row>
    <row r="39" spans="1:33" s="24" customFormat="1" ht="15" customHeight="1">
      <c r="A39" s="18" t="s">
        <v>15</v>
      </c>
      <c r="B39" s="18"/>
      <c r="C39" s="22">
        <f t="shared" ref="C39:N39" si="34">C29+C37</f>
        <v>25239924.169999998</v>
      </c>
      <c r="D39" s="22">
        <f t="shared" si="34"/>
        <v>23568286.539999999</v>
      </c>
      <c r="E39" s="22">
        <f t="shared" si="34"/>
        <v>24621021.48</v>
      </c>
      <c r="F39" s="22">
        <f t="shared" si="34"/>
        <v>26722229.940000001</v>
      </c>
      <c r="G39" s="22">
        <f t="shared" si="34"/>
        <v>26705244.379999999</v>
      </c>
      <c r="H39" s="22">
        <f t="shared" si="34"/>
        <v>22550701.479999997</v>
      </c>
      <c r="I39" s="22">
        <f t="shared" si="34"/>
        <v>26105269.309999999</v>
      </c>
      <c r="J39" s="22">
        <f t="shared" si="34"/>
        <v>25713072.18</v>
      </c>
      <c r="K39" s="22">
        <f t="shared" si="34"/>
        <v>23577208.140000001</v>
      </c>
      <c r="L39" s="22">
        <f t="shared" si="34"/>
        <v>23689642.25</v>
      </c>
      <c r="M39" s="22">
        <f t="shared" si="34"/>
        <v>23686318.73</v>
      </c>
      <c r="N39" s="22">
        <f t="shared" si="34"/>
        <v>34419290</v>
      </c>
      <c r="O39" s="22">
        <f t="shared" ref="O39" si="35">SUM(C39:N39)</f>
        <v>306598208.60000002</v>
      </c>
      <c r="Q39" s="22">
        <f t="shared" ref="Q39:S39" si="36">Q29+Q37</f>
        <v>28555189.995194785</v>
      </c>
      <c r="R39" s="22">
        <f t="shared" si="36"/>
        <v>25868300.000593547</v>
      </c>
      <c r="S39" s="22">
        <f t="shared" si="36"/>
        <v>26616170.103490926</v>
      </c>
      <c r="U39" s="22">
        <f t="shared" ref="U39:AF39" si="37">U29+U37</f>
        <v>25239924.169999998</v>
      </c>
      <c r="V39" s="22">
        <f t="shared" si="37"/>
        <v>48808210.710000001</v>
      </c>
      <c r="W39" s="22">
        <f t="shared" si="37"/>
        <v>73429232.189999998</v>
      </c>
      <c r="X39" s="22">
        <f t="shared" si="37"/>
        <v>100151462.13</v>
      </c>
      <c r="Y39" s="22">
        <f t="shared" si="37"/>
        <v>126856706.50999999</v>
      </c>
      <c r="Z39" s="22">
        <f t="shared" si="37"/>
        <v>149407407.99000001</v>
      </c>
      <c r="AA39" s="22">
        <f t="shared" si="37"/>
        <v>175512677.30000001</v>
      </c>
      <c r="AB39" s="22">
        <f t="shared" si="37"/>
        <v>201225749.48000002</v>
      </c>
      <c r="AC39" s="22">
        <f t="shared" si="37"/>
        <v>224802957.62</v>
      </c>
      <c r="AD39" s="22">
        <f t="shared" si="37"/>
        <v>248492599.87</v>
      </c>
      <c r="AE39" s="22">
        <f t="shared" si="37"/>
        <v>272178918.60000002</v>
      </c>
      <c r="AF39" s="22">
        <f t="shared" si="37"/>
        <v>306598208.60000002</v>
      </c>
      <c r="AG39" s="13" t="str">
        <f t="shared" ref="AG39:AG40" si="38">IF(O39=AF39, "Ok!", "Error!")</f>
        <v>Ok!</v>
      </c>
    </row>
    <row r="40" spans="1:33" s="44" customFormat="1" ht="15" customHeight="1">
      <c r="A40" s="41" t="s">
        <v>1</v>
      </c>
      <c r="B40" s="42"/>
      <c r="C40" s="32">
        <f t="shared" ref="C40:N40" si="39">IFERROR(C39/C$8,)</f>
        <v>0.57684432357425075</v>
      </c>
      <c r="D40" s="32">
        <f t="shared" si="39"/>
        <v>0.63025641333746751</v>
      </c>
      <c r="E40" s="32">
        <f t="shared" si="39"/>
        <v>0.52398785056069463</v>
      </c>
      <c r="F40" s="32">
        <f t="shared" si="39"/>
        <v>0.64750058708585312</v>
      </c>
      <c r="G40" s="32">
        <f t="shared" si="39"/>
        <v>0.59061370491966281</v>
      </c>
      <c r="H40" s="32">
        <f t="shared" si="39"/>
        <v>0.72999480685547646</v>
      </c>
      <c r="I40" s="32">
        <f t="shared" si="39"/>
        <v>0.68023080346134024</v>
      </c>
      <c r="J40" s="32">
        <f t="shared" si="39"/>
        <v>0.68407712692474076</v>
      </c>
      <c r="K40" s="32">
        <f t="shared" si="39"/>
        <v>0.72840211516393705</v>
      </c>
      <c r="L40" s="32">
        <f t="shared" si="39"/>
        <v>0.78702522715837064</v>
      </c>
      <c r="M40" s="32">
        <f t="shared" si="39"/>
        <v>0.62706095877076984</v>
      </c>
      <c r="N40" s="32">
        <f t="shared" si="39"/>
        <v>0.52516506938899199</v>
      </c>
      <c r="O40" s="32">
        <f t="shared" ref="O40" si="40">IFERROR(O39/O$8,)</f>
        <v>0.6292261048718637</v>
      </c>
      <c r="Q40" s="32">
        <f t="shared" ref="Q40:S40" si="41">IFERROR(Q39/Q$8,)</f>
        <v>0.58419657434250105</v>
      </c>
      <c r="R40" s="32">
        <f t="shared" si="41"/>
        <v>0.62222259636524679</v>
      </c>
      <c r="S40" s="32">
        <f t="shared" si="41"/>
        <v>0.60445529712273494</v>
      </c>
      <c r="U40" s="32">
        <f t="shared" ref="U40:AF40" si="42">IFERROR(U39/U$8,)</f>
        <v>0.57684432357425075</v>
      </c>
      <c r="V40" s="32">
        <f t="shared" si="42"/>
        <v>0.60145718677637605</v>
      </c>
      <c r="W40" s="32">
        <f t="shared" si="42"/>
        <v>0.57304937756284613</v>
      </c>
      <c r="X40" s="32">
        <f t="shared" si="42"/>
        <v>0.59118663430221141</v>
      </c>
      <c r="Y40" s="32">
        <f t="shared" si="42"/>
        <v>0.59106593170150801</v>
      </c>
      <c r="Z40" s="32">
        <f t="shared" si="42"/>
        <v>0.60854645419813869</v>
      </c>
      <c r="AA40" s="32">
        <f t="shared" si="42"/>
        <v>0.61823687518340043</v>
      </c>
      <c r="AB40" s="32">
        <f t="shared" si="42"/>
        <v>0.62593502003897894</v>
      </c>
      <c r="AC40" s="32">
        <f t="shared" si="42"/>
        <v>0.63530822384221175</v>
      </c>
      <c r="AD40" s="32">
        <f t="shared" si="42"/>
        <v>0.64720229949745778</v>
      </c>
      <c r="AE40" s="32">
        <f t="shared" si="42"/>
        <v>0.64539824571924176</v>
      </c>
      <c r="AF40" s="32">
        <f t="shared" si="42"/>
        <v>0.62922610487186381</v>
      </c>
      <c r="AG40" s="13" t="str">
        <f t="shared" si="38"/>
        <v>Ok!</v>
      </c>
    </row>
    <row r="41" spans="1:33" ht="15" customHeight="1">
      <c r="A41" s="18"/>
      <c r="B41" s="18"/>
      <c r="C41" s="26"/>
      <c r="D41" s="26"/>
      <c r="E41" s="26"/>
      <c r="F41" s="26"/>
      <c r="G41" s="26"/>
      <c r="H41" s="26"/>
      <c r="I41" s="26"/>
      <c r="J41" s="26"/>
      <c r="K41" s="26"/>
      <c r="L41" s="26"/>
      <c r="M41" s="26"/>
      <c r="N41" s="26"/>
      <c r="O41" s="26"/>
      <c r="Q41" s="26"/>
      <c r="R41" s="26"/>
      <c r="S41" s="26"/>
      <c r="U41" s="26"/>
      <c r="V41" s="26"/>
      <c r="W41" s="26"/>
      <c r="X41" s="26"/>
      <c r="Y41" s="26"/>
      <c r="Z41" s="26"/>
      <c r="AA41" s="26"/>
      <c r="AB41" s="26"/>
      <c r="AC41" s="26"/>
      <c r="AD41" s="26"/>
      <c r="AE41" s="26"/>
      <c r="AF41" s="26"/>
    </row>
    <row r="42" spans="1:33" s="24" customFormat="1" ht="15">
      <c r="A42" s="18" t="s">
        <v>2</v>
      </c>
      <c r="B42" s="18"/>
      <c r="C42" s="72">
        <f t="shared" ref="C42:N42" si="43">C8-C39</f>
        <v>18515250.559999999</v>
      </c>
      <c r="D42" s="72">
        <f t="shared" si="43"/>
        <v>13826472.229999989</v>
      </c>
      <c r="E42" s="72">
        <f t="shared" si="43"/>
        <v>22366750.189999994</v>
      </c>
      <c r="F42" s="72">
        <f t="shared" si="43"/>
        <v>14547585.830000002</v>
      </c>
      <c r="G42" s="72">
        <f t="shared" si="43"/>
        <v>18510848.909999993</v>
      </c>
      <c r="H42" s="72">
        <f t="shared" si="43"/>
        <v>8340890.1700000018</v>
      </c>
      <c r="I42" s="72">
        <f t="shared" si="43"/>
        <v>12271806.790000003</v>
      </c>
      <c r="J42" s="72">
        <f t="shared" si="43"/>
        <v>11874900.24000001</v>
      </c>
      <c r="K42" s="72">
        <f t="shared" si="43"/>
        <v>8791187.8999999948</v>
      </c>
      <c r="L42" s="72">
        <f t="shared" si="43"/>
        <v>6410590.1600000001</v>
      </c>
      <c r="M42" s="72">
        <f t="shared" si="43"/>
        <v>14087231.670000006</v>
      </c>
      <c r="N42" s="72">
        <f t="shared" si="43"/>
        <v>31120655.450000003</v>
      </c>
      <c r="O42" s="72">
        <f>SUM(C42:N42)</f>
        <v>180664170.10000002</v>
      </c>
      <c r="Q42" s="72">
        <f t="shared" ref="Q42:S42" si="44">Q8-Q39</f>
        <v>20324230.476130217</v>
      </c>
      <c r="R42" s="72">
        <f t="shared" si="44"/>
        <v>15705728.573271949</v>
      </c>
      <c r="S42" s="72">
        <f t="shared" si="44"/>
        <v>17417144.237844892</v>
      </c>
      <c r="U42" s="72">
        <f t="shared" ref="U42:AF42" si="45">U8-U39</f>
        <v>18515250.559999999</v>
      </c>
      <c r="V42" s="72">
        <f t="shared" si="45"/>
        <v>32341722.790000014</v>
      </c>
      <c r="W42" s="72">
        <f t="shared" si="45"/>
        <v>54708472.980000004</v>
      </c>
      <c r="X42" s="72">
        <f t="shared" si="45"/>
        <v>69256058.810000002</v>
      </c>
      <c r="Y42" s="72">
        <f t="shared" si="45"/>
        <v>87766907.720000029</v>
      </c>
      <c r="Z42" s="72">
        <f t="shared" si="45"/>
        <v>96107797.889999986</v>
      </c>
      <c r="AA42" s="72">
        <f t="shared" si="45"/>
        <v>108379604.68000007</v>
      </c>
      <c r="AB42" s="72">
        <f t="shared" si="45"/>
        <v>120254504.91999996</v>
      </c>
      <c r="AC42" s="72">
        <f t="shared" si="45"/>
        <v>129045692.81999993</v>
      </c>
      <c r="AD42" s="72">
        <f t="shared" si="45"/>
        <v>135456282.97999996</v>
      </c>
      <c r="AE42" s="72">
        <f t="shared" si="45"/>
        <v>149543514.64999998</v>
      </c>
      <c r="AF42" s="72">
        <f t="shared" si="45"/>
        <v>180664170.09999996</v>
      </c>
      <c r="AG42" s="13" t="str">
        <f t="shared" ref="AG42:AG43" si="46">IF(O42=AF42, "Ok!", "Error!")</f>
        <v>Ok!</v>
      </c>
    </row>
    <row r="43" spans="1:33" s="48" customFormat="1" ht="15">
      <c r="A43" s="45" t="s">
        <v>1</v>
      </c>
      <c r="B43" s="46"/>
      <c r="C43" s="32">
        <f t="shared" ref="C43:N43" si="47">IFERROR(C42/C$8,)</f>
        <v>0.42315567642574925</v>
      </c>
      <c r="D43" s="32">
        <f t="shared" si="47"/>
        <v>0.36974358666253254</v>
      </c>
      <c r="E43" s="32">
        <f t="shared" si="47"/>
        <v>0.47601214943930531</v>
      </c>
      <c r="F43" s="32">
        <f t="shared" si="47"/>
        <v>0.35249941291414688</v>
      </c>
      <c r="G43" s="32">
        <f t="shared" si="47"/>
        <v>0.40938629508033725</v>
      </c>
      <c r="H43" s="32">
        <f t="shared" si="47"/>
        <v>0.27000519314452359</v>
      </c>
      <c r="I43" s="32">
        <f t="shared" si="47"/>
        <v>0.31976919653865976</v>
      </c>
      <c r="J43" s="32">
        <f t="shared" si="47"/>
        <v>0.31592287307525929</v>
      </c>
      <c r="K43" s="32">
        <f t="shared" si="47"/>
        <v>0.27159788483606295</v>
      </c>
      <c r="L43" s="32">
        <f t="shared" si="47"/>
        <v>0.21297477284162936</v>
      </c>
      <c r="M43" s="32">
        <f t="shared" si="47"/>
        <v>0.37293904122923016</v>
      </c>
      <c r="N43" s="32">
        <f t="shared" si="47"/>
        <v>0.47483493061100801</v>
      </c>
      <c r="O43" s="32">
        <f t="shared" ref="O43" si="48">IFERROR(O42/O$8,)</f>
        <v>0.37077389512813619</v>
      </c>
      <c r="Q43" s="32">
        <f t="shared" ref="Q43:S43" si="49">IFERROR(Q42/Q$8,)</f>
        <v>0.41580342565749895</v>
      </c>
      <c r="R43" s="32">
        <f t="shared" si="49"/>
        <v>0.37777740363475321</v>
      </c>
      <c r="S43" s="32">
        <f t="shared" si="49"/>
        <v>0.39554470287726506</v>
      </c>
      <c r="U43" s="32">
        <f t="shared" ref="U43:AF43" si="50">IFERROR(U42/U$8,)</f>
        <v>0.42315567642574925</v>
      </c>
      <c r="V43" s="32">
        <f t="shared" si="50"/>
        <v>0.398542813223624</v>
      </c>
      <c r="W43" s="32">
        <f t="shared" si="50"/>
        <v>0.42695062243715382</v>
      </c>
      <c r="X43" s="32">
        <f t="shared" si="50"/>
        <v>0.40881336569778864</v>
      </c>
      <c r="Y43" s="32">
        <f t="shared" si="50"/>
        <v>0.40893406829849199</v>
      </c>
      <c r="Z43" s="32">
        <f t="shared" si="50"/>
        <v>0.39145354580186131</v>
      </c>
      <c r="AA43" s="32">
        <f t="shared" si="50"/>
        <v>0.38176312481659963</v>
      </c>
      <c r="AB43" s="32">
        <f t="shared" si="50"/>
        <v>0.37406497996102112</v>
      </c>
      <c r="AC43" s="32">
        <f t="shared" si="50"/>
        <v>0.36469177615778831</v>
      </c>
      <c r="AD43" s="32">
        <f t="shared" si="50"/>
        <v>0.35279770050254222</v>
      </c>
      <c r="AE43" s="32">
        <f t="shared" si="50"/>
        <v>0.35460175428075824</v>
      </c>
      <c r="AF43" s="32">
        <f t="shared" si="50"/>
        <v>0.37077389512813619</v>
      </c>
      <c r="AG43" s="13" t="str">
        <f t="shared" si="46"/>
        <v>Ok!</v>
      </c>
    </row>
    <row r="44" spans="1:33" ht="15">
      <c r="A44" s="18"/>
      <c r="B44" s="18"/>
      <c r="C44" s="40"/>
      <c r="D44" s="40"/>
      <c r="E44" s="40"/>
      <c r="F44" s="40"/>
      <c r="G44" s="40"/>
      <c r="H44" s="40"/>
      <c r="I44" s="40"/>
      <c r="J44" s="40"/>
      <c r="K44" s="40"/>
      <c r="L44" s="40"/>
      <c r="M44" s="40"/>
      <c r="N44" s="40"/>
      <c r="O44" s="40"/>
      <c r="Q44" s="40"/>
      <c r="R44" s="40"/>
      <c r="S44" s="40"/>
      <c r="U44" s="40"/>
      <c r="V44" s="40"/>
      <c r="W44" s="40"/>
      <c r="X44" s="40"/>
      <c r="Y44" s="40"/>
      <c r="Z44" s="40"/>
      <c r="AA44" s="40"/>
      <c r="AB44" s="40"/>
      <c r="AC44" s="40"/>
      <c r="AD44" s="40"/>
      <c r="AE44" s="40"/>
      <c r="AF44" s="40"/>
    </row>
    <row r="45" spans="1:33" ht="15">
      <c r="A45" s="39" t="s">
        <v>191</v>
      </c>
      <c r="B45" s="36"/>
      <c r="C45" s="188"/>
      <c r="D45" s="188"/>
      <c r="E45" s="188"/>
      <c r="F45" s="188"/>
      <c r="G45" s="188"/>
      <c r="H45" s="188"/>
      <c r="I45" s="188"/>
      <c r="J45" s="188"/>
      <c r="K45" s="188"/>
      <c r="L45" s="188"/>
      <c r="M45" s="188"/>
      <c r="N45" s="188"/>
      <c r="O45" s="31">
        <f t="shared" ref="O45" si="51">SUM(C45:N45)</f>
        <v>0</v>
      </c>
      <c r="Q45" s="188"/>
      <c r="R45" s="188"/>
      <c r="S45" s="188"/>
      <c r="U45" s="31">
        <f>C45</f>
        <v>0</v>
      </c>
      <c r="V45" s="31">
        <f t="shared" ref="V45:AF45" si="52">U45+D45</f>
        <v>0</v>
      </c>
      <c r="W45" s="31">
        <f t="shared" si="52"/>
        <v>0</v>
      </c>
      <c r="X45" s="31">
        <f t="shared" si="52"/>
        <v>0</v>
      </c>
      <c r="Y45" s="31">
        <f t="shared" si="52"/>
        <v>0</v>
      </c>
      <c r="Z45" s="31">
        <f t="shared" si="52"/>
        <v>0</v>
      </c>
      <c r="AA45" s="31">
        <f t="shared" si="52"/>
        <v>0</v>
      </c>
      <c r="AB45" s="31">
        <f t="shared" si="52"/>
        <v>0</v>
      </c>
      <c r="AC45" s="31">
        <f t="shared" si="52"/>
        <v>0</v>
      </c>
      <c r="AD45" s="31">
        <f t="shared" si="52"/>
        <v>0</v>
      </c>
      <c r="AE45" s="31">
        <f t="shared" si="52"/>
        <v>0</v>
      </c>
      <c r="AF45" s="31">
        <f t="shared" si="52"/>
        <v>0</v>
      </c>
      <c r="AG45" s="13" t="str">
        <f>IF(O45=AF45, "Ok!", "Error!")</f>
        <v>Ok!</v>
      </c>
    </row>
    <row r="46" spans="1:33" ht="15">
      <c r="A46" s="18"/>
      <c r="B46" s="18"/>
      <c r="C46" s="40"/>
      <c r="D46" s="40"/>
      <c r="E46" s="40"/>
      <c r="F46" s="40"/>
      <c r="G46" s="40"/>
      <c r="H46" s="40"/>
      <c r="I46" s="40"/>
      <c r="J46" s="40"/>
      <c r="K46" s="40"/>
      <c r="L46" s="40"/>
      <c r="M46" s="40"/>
      <c r="N46" s="40"/>
      <c r="O46" s="40"/>
      <c r="Q46" s="40"/>
      <c r="R46" s="40"/>
      <c r="S46" s="40"/>
      <c r="U46" s="40"/>
      <c r="V46" s="40"/>
      <c r="W46" s="40"/>
      <c r="X46" s="40"/>
      <c r="Y46" s="40"/>
      <c r="Z46" s="40"/>
      <c r="AA46" s="40"/>
      <c r="AB46" s="40"/>
      <c r="AC46" s="40"/>
      <c r="AD46" s="40"/>
      <c r="AE46" s="40"/>
      <c r="AF46" s="40"/>
    </row>
    <row r="47" spans="1:33" s="24" customFormat="1" ht="30">
      <c r="A47" s="49" t="s">
        <v>192</v>
      </c>
      <c r="B47" s="18"/>
      <c r="C47" s="22">
        <f t="shared" ref="C47:N47" si="53">C42-C45</f>
        <v>18515250.559999999</v>
      </c>
      <c r="D47" s="22">
        <f t="shared" si="53"/>
        <v>13826472.229999989</v>
      </c>
      <c r="E47" s="22">
        <f t="shared" si="53"/>
        <v>22366750.189999994</v>
      </c>
      <c r="F47" s="22">
        <f t="shared" si="53"/>
        <v>14547585.830000002</v>
      </c>
      <c r="G47" s="22">
        <f t="shared" si="53"/>
        <v>18510848.909999993</v>
      </c>
      <c r="H47" s="22">
        <f t="shared" si="53"/>
        <v>8340890.1700000018</v>
      </c>
      <c r="I47" s="22">
        <f t="shared" si="53"/>
        <v>12271806.790000003</v>
      </c>
      <c r="J47" s="22">
        <f t="shared" si="53"/>
        <v>11874900.24000001</v>
      </c>
      <c r="K47" s="22">
        <f t="shared" si="53"/>
        <v>8791187.8999999948</v>
      </c>
      <c r="L47" s="22">
        <f t="shared" si="53"/>
        <v>6410590.1600000001</v>
      </c>
      <c r="M47" s="22">
        <f t="shared" si="53"/>
        <v>14087231.670000006</v>
      </c>
      <c r="N47" s="22">
        <f t="shared" si="53"/>
        <v>31120655.450000003</v>
      </c>
      <c r="O47" s="22">
        <f>SUM(C47:N47)</f>
        <v>180664170.10000002</v>
      </c>
      <c r="Q47" s="22">
        <f t="shared" ref="Q47:S47" si="54">Q42-Q45</f>
        <v>20324230.476130217</v>
      </c>
      <c r="R47" s="22">
        <f t="shared" si="54"/>
        <v>15705728.573271949</v>
      </c>
      <c r="S47" s="22">
        <f t="shared" si="54"/>
        <v>17417144.237844892</v>
      </c>
      <c r="U47" s="22">
        <f t="shared" ref="U47:AF47" si="55">U42-U45</f>
        <v>18515250.559999999</v>
      </c>
      <c r="V47" s="22">
        <f t="shared" si="55"/>
        <v>32341722.790000014</v>
      </c>
      <c r="W47" s="22">
        <f t="shared" si="55"/>
        <v>54708472.980000004</v>
      </c>
      <c r="X47" s="22">
        <f t="shared" si="55"/>
        <v>69256058.810000002</v>
      </c>
      <c r="Y47" s="22">
        <f t="shared" si="55"/>
        <v>87766907.720000029</v>
      </c>
      <c r="Z47" s="22">
        <f t="shared" si="55"/>
        <v>96107797.889999986</v>
      </c>
      <c r="AA47" s="22">
        <f t="shared" si="55"/>
        <v>108379604.68000007</v>
      </c>
      <c r="AB47" s="22">
        <f t="shared" si="55"/>
        <v>120254504.91999996</v>
      </c>
      <c r="AC47" s="22">
        <f t="shared" si="55"/>
        <v>129045692.81999993</v>
      </c>
      <c r="AD47" s="22">
        <f t="shared" si="55"/>
        <v>135456282.97999996</v>
      </c>
      <c r="AE47" s="22">
        <f t="shared" si="55"/>
        <v>149543514.64999998</v>
      </c>
      <c r="AF47" s="22">
        <f t="shared" si="55"/>
        <v>180664170.09999996</v>
      </c>
      <c r="AG47" s="13" t="str">
        <f t="shared" ref="AG47:AG48" si="56">IF(O47=AF47, "Ok!", "Error!")</f>
        <v>Ok!</v>
      </c>
    </row>
    <row r="48" spans="1:33" s="24" customFormat="1" ht="15">
      <c r="A48" s="49"/>
      <c r="B48" s="18"/>
      <c r="C48" s="32">
        <f t="shared" ref="C48:N48" si="57">IFERROR(C47/C$8,)</f>
        <v>0.42315567642574925</v>
      </c>
      <c r="D48" s="32">
        <f t="shared" si="57"/>
        <v>0.36974358666253254</v>
      </c>
      <c r="E48" s="32">
        <f t="shared" si="57"/>
        <v>0.47601214943930531</v>
      </c>
      <c r="F48" s="32">
        <f t="shared" si="57"/>
        <v>0.35249941291414688</v>
      </c>
      <c r="G48" s="32">
        <f t="shared" si="57"/>
        <v>0.40938629508033725</v>
      </c>
      <c r="H48" s="32">
        <f t="shared" si="57"/>
        <v>0.27000519314452359</v>
      </c>
      <c r="I48" s="32">
        <f t="shared" si="57"/>
        <v>0.31976919653865976</v>
      </c>
      <c r="J48" s="32">
        <f t="shared" si="57"/>
        <v>0.31592287307525929</v>
      </c>
      <c r="K48" s="32">
        <f t="shared" si="57"/>
        <v>0.27159788483606295</v>
      </c>
      <c r="L48" s="32">
        <f t="shared" si="57"/>
        <v>0.21297477284162936</v>
      </c>
      <c r="M48" s="32">
        <f t="shared" si="57"/>
        <v>0.37293904122923016</v>
      </c>
      <c r="N48" s="32">
        <f t="shared" si="57"/>
        <v>0.47483493061100801</v>
      </c>
      <c r="O48" s="32">
        <f t="shared" ref="O48" si="58">IFERROR(O47/O$8,)</f>
        <v>0.37077389512813619</v>
      </c>
      <c r="Q48" s="32">
        <f t="shared" ref="Q48:S48" si="59">IFERROR(Q47/Q$8,)</f>
        <v>0.41580342565749895</v>
      </c>
      <c r="R48" s="32">
        <f t="shared" si="59"/>
        <v>0.37777740363475321</v>
      </c>
      <c r="S48" s="32">
        <f t="shared" si="59"/>
        <v>0.39554470287726506</v>
      </c>
      <c r="U48" s="32">
        <f t="shared" ref="U48:AF48" si="60">IFERROR(U47/U$8,)</f>
        <v>0.42315567642574925</v>
      </c>
      <c r="V48" s="32">
        <f t="shared" si="60"/>
        <v>0.398542813223624</v>
      </c>
      <c r="W48" s="32">
        <f t="shared" si="60"/>
        <v>0.42695062243715382</v>
      </c>
      <c r="X48" s="32">
        <f t="shared" si="60"/>
        <v>0.40881336569778864</v>
      </c>
      <c r="Y48" s="32">
        <f t="shared" si="60"/>
        <v>0.40893406829849199</v>
      </c>
      <c r="Z48" s="32">
        <f t="shared" si="60"/>
        <v>0.39145354580186131</v>
      </c>
      <c r="AA48" s="32">
        <f t="shared" si="60"/>
        <v>0.38176312481659963</v>
      </c>
      <c r="AB48" s="32">
        <f t="shared" si="60"/>
        <v>0.37406497996102112</v>
      </c>
      <c r="AC48" s="32">
        <f t="shared" si="60"/>
        <v>0.36469177615778831</v>
      </c>
      <c r="AD48" s="32">
        <f t="shared" si="60"/>
        <v>0.35279770050254222</v>
      </c>
      <c r="AE48" s="32">
        <f t="shared" si="60"/>
        <v>0.35460175428075824</v>
      </c>
      <c r="AF48" s="32">
        <f t="shared" si="60"/>
        <v>0.37077389512813619</v>
      </c>
      <c r="AG48" s="13" t="str">
        <f t="shared" si="56"/>
        <v>Ok!</v>
      </c>
    </row>
    <row r="49" spans="1:33" ht="15">
      <c r="A49" s="18"/>
      <c r="B49" s="18"/>
      <c r="C49" s="40"/>
      <c r="D49" s="40"/>
      <c r="E49" s="40"/>
      <c r="F49" s="40"/>
      <c r="G49" s="40"/>
      <c r="H49" s="40"/>
      <c r="I49" s="40"/>
      <c r="J49" s="40"/>
      <c r="K49" s="40"/>
      <c r="L49" s="40"/>
      <c r="M49" s="40"/>
      <c r="N49" s="40"/>
      <c r="O49" s="40"/>
      <c r="Q49" s="40"/>
      <c r="R49" s="40"/>
      <c r="S49" s="40"/>
      <c r="U49" s="40"/>
      <c r="V49" s="40"/>
      <c r="W49" s="40"/>
      <c r="X49" s="40"/>
      <c r="Y49" s="40"/>
      <c r="Z49" s="40"/>
      <c r="AA49" s="40"/>
      <c r="AB49" s="40"/>
      <c r="AC49" s="40"/>
      <c r="AD49" s="40"/>
      <c r="AE49" s="40"/>
      <c r="AF49" s="40"/>
    </row>
    <row r="50" spans="1:33" ht="15">
      <c r="A50" s="18" t="s">
        <v>195</v>
      </c>
      <c r="B50" s="18"/>
      <c r="C50" s="40"/>
      <c r="D50" s="40"/>
      <c r="E50" s="40"/>
      <c r="F50" s="40"/>
      <c r="G50" s="40"/>
      <c r="H50" s="40"/>
      <c r="I50" s="40"/>
      <c r="J50" s="40"/>
      <c r="K50" s="40"/>
      <c r="L50" s="40"/>
      <c r="M50" s="40"/>
      <c r="N50" s="40"/>
      <c r="O50" s="40"/>
      <c r="Q50" s="40"/>
      <c r="R50" s="40"/>
      <c r="S50" s="40"/>
      <c r="U50" s="40"/>
      <c r="V50" s="40"/>
      <c r="W50" s="40"/>
      <c r="X50" s="40"/>
      <c r="Y50" s="40"/>
      <c r="Z50" s="40"/>
      <c r="AA50" s="40"/>
      <c r="AB50" s="40"/>
      <c r="AC50" s="40"/>
      <c r="AD50" s="40"/>
      <c r="AE50" s="40"/>
      <c r="AF50" s="40"/>
    </row>
    <row r="51" spans="1:33" ht="15">
      <c r="A51" s="39" t="s">
        <v>193</v>
      </c>
      <c r="B51" s="36"/>
      <c r="C51" s="188"/>
      <c r="D51" s="188"/>
      <c r="E51" s="188"/>
      <c r="F51" s="188"/>
      <c r="G51" s="188"/>
      <c r="H51" s="188"/>
      <c r="I51" s="188"/>
      <c r="J51" s="188"/>
      <c r="K51" s="188"/>
      <c r="L51" s="188"/>
      <c r="M51" s="188"/>
      <c r="N51" s="188"/>
      <c r="O51" s="31">
        <f t="shared" ref="O51:O56" si="61">SUM(C51:N51)</f>
        <v>0</v>
      </c>
      <c r="Q51" s="188"/>
      <c r="R51" s="188"/>
      <c r="S51" s="188"/>
      <c r="U51" s="31">
        <f t="shared" ref="U51:U55" si="62">C51</f>
        <v>0</v>
      </c>
      <c r="V51" s="31">
        <f t="shared" ref="V51:AF55" si="63">U51+D51</f>
        <v>0</v>
      </c>
      <c r="W51" s="31">
        <f t="shared" si="63"/>
        <v>0</v>
      </c>
      <c r="X51" s="31">
        <f t="shared" si="63"/>
        <v>0</v>
      </c>
      <c r="Y51" s="31">
        <f t="shared" si="63"/>
        <v>0</v>
      </c>
      <c r="Z51" s="31">
        <f t="shared" si="63"/>
        <v>0</v>
      </c>
      <c r="AA51" s="31">
        <f t="shared" si="63"/>
        <v>0</v>
      </c>
      <c r="AB51" s="31">
        <f t="shared" si="63"/>
        <v>0</v>
      </c>
      <c r="AC51" s="31">
        <f t="shared" si="63"/>
        <v>0</v>
      </c>
      <c r="AD51" s="31">
        <f t="shared" si="63"/>
        <v>0</v>
      </c>
      <c r="AE51" s="31">
        <f t="shared" si="63"/>
        <v>0</v>
      </c>
      <c r="AF51" s="31">
        <f t="shared" si="63"/>
        <v>0</v>
      </c>
      <c r="AG51" s="13" t="str">
        <f t="shared" ref="AG51:AG56" si="64">IF(O51=AF51, "Ok!", "Error!")</f>
        <v>Ok!</v>
      </c>
    </row>
    <row r="52" spans="1:33" ht="15">
      <c r="A52" s="39" t="s">
        <v>205</v>
      </c>
      <c r="B52" s="36"/>
      <c r="C52" s="188">
        <v>1376389.53</v>
      </c>
      <c r="D52" s="188">
        <v>1031860.47</v>
      </c>
      <c r="E52" s="188">
        <v>713492.6399999999</v>
      </c>
      <c r="F52" s="188">
        <f>1012219.01</f>
        <v>1012219.01</v>
      </c>
      <c r="G52" s="188">
        <f>1360075.49</f>
        <v>1360075.49</v>
      </c>
      <c r="H52" s="188">
        <f>2815103.9</f>
        <v>2815103.9</v>
      </c>
      <c r="I52" s="188">
        <v>2334949.2200000002</v>
      </c>
      <c r="J52" s="188">
        <f>337582</f>
        <v>337582</v>
      </c>
      <c r="K52" s="261">
        <f>2256154.5</f>
        <v>2256154.5</v>
      </c>
      <c r="L52" s="261">
        <f>2869090.22</f>
        <v>2869090.22</v>
      </c>
      <c r="M52" s="261">
        <f>2278380.51</f>
        <v>2278380.5099999998</v>
      </c>
      <c r="N52" s="261">
        <f>1006664+252069.55</f>
        <v>1258733.55</v>
      </c>
      <c r="O52" s="31">
        <f t="shared" si="61"/>
        <v>19644031.040000003</v>
      </c>
      <c r="Q52" s="188">
        <v>856080.12250000006</v>
      </c>
      <c r="R52" s="188">
        <v>856080</v>
      </c>
      <c r="S52" s="188">
        <v>856000</v>
      </c>
      <c r="U52" s="31">
        <f t="shared" si="62"/>
        <v>1376389.53</v>
      </c>
      <c r="V52" s="31">
        <f t="shared" si="63"/>
        <v>2408250</v>
      </c>
      <c r="W52" s="31">
        <f t="shared" si="63"/>
        <v>3121742.6399999997</v>
      </c>
      <c r="X52" s="31">
        <f t="shared" si="63"/>
        <v>4133961.6499999994</v>
      </c>
      <c r="Y52" s="31">
        <f t="shared" si="63"/>
        <v>5494037.1399999997</v>
      </c>
      <c r="Z52" s="31">
        <f t="shared" si="63"/>
        <v>8309141.0399999991</v>
      </c>
      <c r="AA52" s="31">
        <f t="shared" si="63"/>
        <v>10644090.26</v>
      </c>
      <c r="AB52" s="31">
        <f t="shared" si="63"/>
        <v>10981672.26</v>
      </c>
      <c r="AC52" s="31">
        <f t="shared" si="63"/>
        <v>13237826.76</v>
      </c>
      <c r="AD52" s="31">
        <f t="shared" si="63"/>
        <v>16106916.98</v>
      </c>
      <c r="AE52" s="31">
        <f t="shared" si="63"/>
        <v>18385297.490000002</v>
      </c>
      <c r="AF52" s="31">
        <f t="shared" si="63"/>
        <v>19644031.040000003</v>
      </c>
      <c r="AG52" s="13" t="str">
        <f t="shared" si="64"/>
        <v>Ok!</v>
      </c>
    </row>
    <row r="53" spans="1:33" ht="15">
      <c r="A53" s="39" t="s">
        <v>194</v>
      </c>
      <c r="B53" s="36"/>
      <c r="C53" s="188"/>
      <c r="D53" s="188"/>
      <c r="E53" s="188"/>
      <c r="F53" s="188"/>
      <c r="G53" s="188"/>
      <c r="H53" s="188"/>
      <c r="I53" s="188"/>
      <c r="J53" s="188"/>
      <c r="K53" s="188"/>
      <c r="L53" s="188"/>
      <c r="M53" s="188"/>
      <c r="N53" s="188"/>
      <c r="O53" s="31">
        <f t="shared" si="61"/>
        <v>0</v>
      </c>
      <c r="Q53" s="188">
        <v>784531.2583333333</v>
      </c>
      <c r="R53" s="188">
        <v>784531</v>
      </c>
      <c r="S53" s="188">
        <v>785000</v>
      </c>
      <c r="U53" s="31">
        <f t="shared" si="62"/>
        <v>0</v>
      </c>
      <c r="V53" s="31">
        <f t="shared" si="63"/>
        <v>0</v>
      </c>
      <c r="W53" s="31">
        <f t="shared" si="63"/>
        <v>0</v>
      </c>
      <c r="X53" s="31">
        <f t="shared" si="63"/>
        <v>0</v>
      </c>
      <c r="Y53" s="31">
        <f t="shared" si="63"/>
        <v>0</v>
      </c>
      <c r="Z53" s="31">
        <f t="shared" si="63"/>
        <v>0</v>
      </c>
      <c r="AA53" s="31">
        <f t="shared" si="63"/>
        <v>0</v>
      </c>
      <c r="AB53" s="31">
        <f t="shared" si="63"/>
        <v>0</v>
      </c>
      <c r="AC53" s="31">
        <f t="shared" si="63"/>
        <v>0</v>
      </c>
      <c r="AD53" s="31">
        <f t="shared" si="63"/>
        <v>0</v>
      </c>
      <c r="AE53" s="31">
        <f t="shared" si="63"/>
        <v>0</v>
      </c>
      <c r="AF53" s="31">
        <f t="shared" si="63"/>
        <v>0</v>
      </c>
      <c r="AG53" s="13" t="str">
        <f t="shared" si="64"/>
        <v>Ok!</v>
      </c>
    </row>
    <row r="54" spans="1:33" ht="15">
      <c r="A54" s="39" t="s">
        <v>36</v>
      </c>
      <c r="B54" s="36"/>
      <c r="C54" s="188"/>
      <c r="D54" s="188"/>
      <c r="E54" s="188"/>
      <c r="F54" s="188"/>
      <c r="G54" s="188"/>
      <c r="H54" s="188"/>
      <c r="I54" s="188"/>
      <c r="J54" s="188"/>
      <c r="K54" s="188"/>
      <c r="L54" s="188"/>
      <c r="M54" s="188"/>
      <c r="N54" s="188"/>
      <c r="O54" s="31">
        <f t="shared" si="61"/>
        <v>0</v>
      </c>
      <c r="Q54" s="188"/>
      <c r="R54" s="188"/>
      <c r="S54" s="188"/>
      <c r="U54" s="31">
        <f t="shared" si="62"/>
        <v>0</v>
      </c>
      <c r="V54" s="31">
        <f t="shared" si="63"/>
        <v>0</v>
      </c>
      <c r="W54" s="31">
        <f t="shared" si="63"/>
        <v>0</v>
      </c>
      <c r="X54" s="31">
        <f t="shared" si="63"/>
        <v>0</v>
      </c>
      <c r="Y54" s="31">
        <f t="shared" si="63"/>
        <v>0</v>
      </c>
      <c r="Z54" s="31">
        <f t="shared" si="63"/>
        <v>0</v>
      </c>
      <c r="AA54" s="31">
        <f t="shared" si="63"/>
        <v>0</v>
      </c>
      <c r="AB54" s="31">
        <f t="shared" si="63"/>
        <v>0</v>
      </c>
      <c r="AC54" s="31">
        <f t="shared" si="63"/>
        <v>0</v>
      </c>
      <c r="AD54" s="31">
        <f t="shared" si="63"/>
        <v>0</v>
      </c>
      <c r="AE54" s="31">
        <f t="shared" si="63"/>
        <v>0</v>
      </c>
      <c r="AF54" s="31">
        <f t="shared" si="63"/>
        <v>0</v>
      </c>
      <c r="AG54" s="13" t="str">
        <f t="shared" si="64"/>
        <v>Ok!</v>
      </c>
    </row>
    <row r="55" spans="1:33" ht="15.75" customHeight="1">
      <c r="A55" s="39" t="s">
        <v>204</v>
      </c>
      <c r="B55" s="36"/>
      <c r="C55" s="188"/>
      <c r="D55" s="188"/>
      <c r="E55" s="188">
        <v>-5000000</v>
      </c>
      <c r="F55" s="188"/>
      <c r="G55" s="188"/>
      <c r="H55" s="188"/>
      <c r="I55" s="261">
        <f>-3000000+3000000</f>
        <v>0</v>
      </c>
      <c r="J55" s="261"/>
      <c r="K55" s="188">
        <f>-7000000+7000000</f>
        <v>0</v>
      </c>
      <c r="L55" s="188"/>
      <c r="M55" s="261">
        <f>9510315.85</f>
        <v>9510315.8499999996</v>
      </c>
      <c r="N55" s="188">
        <v>-5000000</v>
      </c>
      <c r="O55" s="31">
        <f t="shared" si="61"/>
        <v>-489684.15000000037</v>
      </c>
      <c r="Q55" s="188"/>
      <c r="R55" s="188"/>
      <c r="S55" s="188"/>
      <c r="U55" s="31">
        <f t="shared" si="62"/>
        <v>0</v>
      </c>
      <c r="V55" s="31">
        <f t="shared" si="63"/>
        <v>0</v>
      </c>
      <c r="W55" s="31">
        <f t="shared" si="63"/>
        <v>-5000000</v>
      </c>
      <c r="X55" s="31">
        <f t="shared" si="63"/>
        <v>-5000000</v>
      </c>
      <c r="Y55" s="31">
        <f t="shared" si="63"/>
        <v>-5000000</v>
      </c>
      <c r="Z55" s="31">
        <f t="shared" si="63"/>
        <v>-5000000</v>
      </c>
      <c r="AA55" s="31">
        <f t="shared" si="63"/>
        <v>-5000000</v>
      </c>
      <c r="AB55" s="31">
        <f t="shared" si="63"/>
        <v>-5000000</v>
      </c>
      <c r="AC55" s="31">
        <f t="shared" si="63"/>
        <v>-5000000</v>
      </c>
      <c r="AD55" s="31">
        <f t="shared" si="63"/>
        <v>-5000000</v>
      </c>
      <c r="AE55" s="31">
        <f t="shared" si="63"/>
        <v>4510315.8499999996</v>
      </c>
      <c r="AF55" s="31">
        <f t="shared" si="63"/>
        <v>-489684.15000000037</v>
      </c>
      <c r="AG55" s="13" t="str">
        <f t="shared" si="64"/>
        <v>Ok!</v>
      </c>
    </row>
    <row r="56" spans="1:33" s="24" customFormat="1" ht="15">
      <c r="A56" s="39" t="s">
        <v>16</v>
      </c>
      <c r="B56" s="36"/>
      <c r="C56" s="22">
        <f t="shared" ref="C56:N56" si="65">SUBTOTAL(9,C51:C55)</f>
        <v>1376389.53</v>
      </c>
      <c r="D56" s="22">
        <f t="shared" si="65"/>
        <v>1031860.47</v>
      </c>
      <c r="E56" s="22">
        <f t="shared" si="65"/>
        <v>-4286507.3600000003</v>
      </c>
      <c r="F56" s="22">
        <f t="shared" si="65"/>
        <v>1012219.01</v>
      </c>
      <c r="G56" s="22">
        <f t="shared" si="65"/>
        <v>1360075.49</v>
      </c>
      <c r="H56" s="22">
        <f t="shared" si="65"/>
        <v>2815103.9</v>
      </c>
      <c r="I56" s="22">
        <f t="shared" si="65"/>
        <v>2334949.2200000002</v>
      </c>
      <c r="J56" s="22">
        <f t="shared" si="65"/>
        <v>337582</v>
      </c>
      <c r="K56" s="22">
        <f t="shared" si="65"/>
        <v>2256154.5</v>
      </c>
      <c r="L56" s="22">
        <f t="shared" si="65"/>
        <v>2869090.22</v>
      </c>
      <c r="M56" s="22">
        <f t="shared" si="65"/>
        <v>11788696.359999999</v>
      </c>
      <c r="N56" s="22">
        <f t="shared" si="65"/>
        <v>-3741266.45</v>
      </c>
      <c r="O56" s="22">
        <f t="shared" si="61"/>
        <v>19154346.890000001</v>
      </c>
      <c r="Q56" s="22">
        <f t="shared" ref="Q56:S56" si="66">SUBTOTAL(9,Q51:Q55)</f>
        <v>1640611.3808333334</v>
      </c>
      <c r="R56" s="22">
        <f t="shared" si="66"/>
        <v>1640611</v>
      </c>
      <c r="S56" s="22">
        <f t="shared" si="66"/>
        <v>1641000</v>
      </c>
      <c r="U56" s="22">
        <f t="shared" ref="U56:AF56" si="67">SUBTOTAL(9,U51:U55)</f>
        <v>1376389.53</v>
      </c>
      <c r="V56" s="22">
        <f t="shared" si="67"/>
        <v>2408250</v>
      </c>
      <c r="W56" s="22">
        <f t="shared" si="67"/>
        <v>-1878257.3600000003</v>
      </c>
      <c r="X56" s="22">
        <f t="shared" si="67"/>
        <v>-866038.35000000056</v>
      </c>
      <c r="Y56" s="22">
        <f t="shared" si="67"/>
        <v>494037.13999999966</v>
      </c>
      <c r="Z56" s="22">
        <f t="shared" si="67"/>
        <v>3309141.0399999991</v>
      </c>
      <c r="AA56" s="22">
        <f t="shared" si="67"/>
        <v>5644090.2599999998</v>
      </c>
      <c r="AB56" s="22">
        <f t="shared" si="67"/>
        <v>5981672.2599999998</v>
      </c>
      <c r="AC56" s="22">
        <f t="shared" si="67"/>
        <v>8237826.7599999998</v>
      </c>
      <c r="AD56" s="22">
        <f t="shared" si="67"/>
        <v>11106916.98</v>
      </c>
      <c r="AE56" s="22">
        <f t="shared" si="67"/>
        <v>22895613.340000004</v>
      </c>
      <c r="AF56" s="22">
        <f t="shared" si="67"/>
        <v>19154346.890000001</v>
      </c>
      <c r="AG56" s="13" t="str">
        <f t="shared" si="64"/>
        <v>Ok!</v>
      </c>
    </row>
    <row r="57" spans="1:33" ht="15">
      <c r="A57" s="18"/>
      <c r="B57" s="18"/>
      <c r="C57" s="40"/>
      <c r="D57" s="40"/>
      <c r="E57" s="40"/>
      <c r="F57" s="40"/>
      <c r="G57" s="40"/>
      <c r="H57" s="40"/>
      <c r="I57" s="40"/>
      <c r="J57" s="40"/>
      <c r="K57" s="40"/>
      <c r="L57" s="40"/>
      <c r="M57" s="40"/>
      <c r="N57" s="40"/>
      <c r="O57" s="40"/>
      <c r="Q57" s="40"/>
      <c r="R57" s="40"/>
      <c r="S57" s="40"/>
      <c r="U57" s="40"/>
      <c r="V57" s="40"/>
      <c r="W57" s="40"/>
      <c r="X57" s="40"/>
      <c r="Y57" s="40"/>
      <c r="Z57" s="40"/>
      <c r="AA57" s="40"/>
      <c r="AB57" s="40"/>
      <c r="AC57" s="40"/>
      <c r="AD57" s="40"/>
      <c r="AE57" s="40"/>
      <c r="AF57" s="40"/>
    </row>
    <row r="58" spans="1:33" s="24" customFormat="1" ht="15">
      <c r="A58" s="18" t="s">
        <v>3</v>
      </c>
      <c r="B58" s="18"/>
      <c r="C58" s="22">
        <f>C47-C56</f>
        <v>17138861.029999997</v>
      </c>
      <c r="D58" s="22">
        <f t="shared" ref="D58:N58" si="68">D47-D56</f>
        <v>12794611.759999989</v>
      </c>
      <c r="E58" s="22">
        <f t="shared" si="68"/>
        <v>26653257.549999993</v>
      </c>
      <c r="F58" s="22">
        <f t="shared" si="68"/>
        <v>13535366.820000002</v>
      </c>
      <c r="G58" s="22">
        <f t="shared" si="68"/>
        <v>17150773.419999994</v>
      </c>
      <c r="H58" s="22">
        <f t="shared" si="68"/>
        <v>5525786.2700000014</v>
      </c>
      <c r="I58" s="22">
        <f t="shared" si="68"/>
        <v>9936857.5700000022</v>
      </c>
      <c r="J58" s="22">
        <f t="shared" si="68"/>
        <v>11537318.24000001</v>
      </c>
      <c r="K58" s="22">
        <f t="shared" si="68"/>
        <v>6535033.3999999948</v>
      </c>
      <c r="L58" s="22">
        <f t="shared" si="68"/>
        <v>3541499.94</v>
      </c>
      <c r="M58" s="22">
        <f t="shared" si="68"/>
        <v>2298535.3100000061</v>
      </c>
      <c r="N58" s="22">
        <f t="shared" si="68"/>
        <v>34861921.900000006</v>
      </c>
      <c r="O58" s="22">
        <f>SUM(C58:N58)</f>
        <v>161509823.20999998</v>
      </c>
      <c r="Q58" s="22">
        <f t="shared" ref="Q58:S58" si="69">Q47-Q56</f>
        <v>18683619.095296882</v>
      </c>
      <c r="R58" s="22">
        <f t="shared" si="69"/>
        <v>14065117.573271949</v>
      </c>
      <c r="S58" s="22">
        <f t="shared" si="69"/>
        <v>15776144.237844892</v>
      </c>
      <c r="U58" s="22">
        <f t="shared" ref="U58:AF58" si="70">U47-U56</f>
        <v>17138861.029999997</v>
      </c>
      <c r="V58" s="22">
        <f t="shared" si="70"/>
        <v>29933472.790000014</v>
      </c>
      <c r="W58" s="22">
        <f t="shared" si="70"/>
        <v>56586730.340000004</v>
      </c>
      <c r="X58" s="22">
        <f t="shared" si="70"/>
        <v>70122097.159999996</v>
      </c>
      <c r="Y58" s="22">
        <f t="shared" si="70"/>
        <v>87272870.580000028</v>
      </c>
      <c r="Z58" s="22">
        <f t="shared" si="70"/>
        <v>92798656.849999994</v>
      </c>
      <c r="AA58" s="22">
        <f t="shared" si="70"/>
        <v>102735514.42000006</v>
      </c>
      <c r="AB58" s="22">
        <f t="shared" si="70"/>
        <v>114272832.65999995</v>
      </c>
      <c r="AC58" s="22">
        <f t="shared" si="70"/>
        <v>120807866.05999993</v>
      </c>
      <c r="AD58" s="22">
        <f t="shared" si="70"/>
        <v>124349365.99999996</v>
      </c>
      <c r="AE58" s="22">
        <f t="shared" si="70"/>
        <v>126647901.30999997</v>
      </c>
      <c r="AF58" s="22">
        <f t="shared" si="70"/>
        <v>161509823.20999998</v>
      </c>
      <c r="AG58" s="13" t="str">
        <f t="shared" ref="AG58:AG59" si="71">IF(O58=AF58, "Ok!", "Error!")</f>
        <v>Ok!</v>
      </c>
    </row>
    <row r="59" spans="1:33" s="48" customFormat="1" ht="15">
      <c r="A59" s="45" t="s">
        <v>1</v>
      </c>
      <c r="B59" s="46"/>
      <c r="C59" s="32">
        <f t="shared" ref="C59:N59" si="72">IFERROR(C58/C$8,)</f>
        <v>0.39169906498508456</v>
      </c>
      <c r="D59" s="32">
        <f t="shared" si="72"/>
        <v>0.34214986754412463</v>
      </c>
      <c r="E59" s="32">
        <f t="shared" si="72"/>
        <v>0.56723816862796972</v>
      </c>
      <c r="F59" s="32">
        <f t="shared" si="72"/>
        <v>0.32797255251716384</v>
      </c>
      <c r="G59" s="32">
        <f t="shared" si="72"/>
        <v>0.37930683904956169</v>
      </c>
      <c r="H59" s="32">
        <f t="shared" si="72"/>
        <v>0.17887670964341526</v>
      </c>
      <c r="I59" s="32">
        <f t="shared" si="72"/>
        <v>0.25892690584627426</v>
      </c>
      <c r="J59" s="32">
        <f t="shared" si="72"/>
        <v>0.30694175549254077</v>
      </c>
      <c r="K59" s="32">
        <f t="shared" si="72"/>
        <v>0.20189549682734281</v>
      </c>
      <c r="L59" s="32">
        <f t="shared" si="72"/>
        <v>0.11765689685583394</v>
      </c>
      <c r="M59" s="32">
        <f t="shared" si="72"/>
        <v>6.0850390965632016E-2</v>
      </c>
      <c r="N59" s="32">
        <f t="shared" si="72"/>
        <v>0.53191868959665123</v>
      </c>
      <c r="O59" s="32">
        <f t="shared" ref="O59" si="73">IFERROR(O58/O$8,)</f>
        <v>0.33146376627906887</v>
      </c>
      <c r="Q59" s="32">
        <f t="shared" ref="Q59:S59" si="74">IFERROR(Q58/Q$8,)</f>
        <v>0.38223896509283661</v>
      </c>
      <c r="R59" s="32">
        <f t="shared" si="74"/>
        <v>0.33831500231646167</v>
      </c>
      <c r="S59" s="32">
        <f t="shared" si="74"/>
        <v>0.35827746500188379</v>
      </c>
      <c r="U59" s="32">
        <f t="shared" ref="U59:AF59" si="75">IFERROR(U58/U$8,)</f>
        <v>0.39169906498508456</v>
      </c>
      <c r="V59" s="32">
        <f t="shared" si="75"/>
        <v>0.36886626395078942</v>
      </c>
      <c r="W59" s="32">
        <f t="shared" si="75"/>
        <v>0.44160873854363569</v>
      </c>
      <c r="X59" s="32">
        <f t="shared" si="75"/>
        <v>0.41392552568451507</v>
      </c>
      <c r="Y59" s="32">
        <f t="shared" si="75"/>
        <v>0.40663219139751611</v>
      </c>
      <c r="Z59" s="32">
        <f t="shared" si="75"/>
        <v>0.37797519105744115</v>
      </c>
      <c r="AA59" s="32">
        <f t="shared" si="75"/>
        <v>0.3618820268852454</v>
      </c>
      <c r="AB59" s="32">
        <f t="shared" si="75"/>
        <v>0.35545832472129574</v>
      </c>
      <c r="AC59" s="32">
        <f t="shared" si="75"/>
        <v>0.34141112566002174</v>
      </c>
      <c r="AD59" s="32">
        <f t="shared" si="75"/>
        <v>0.3238695866933422</v>
      </c>
      <c r="AE59" s="32">
        <f t="shared" si="75"/>
        <v>0.30031103712930113</v>
      </c>
      <c r="AF59" s="32">
        <f t="shared" si="75"/>
        <v>0.33146376627906893</v>
      </c>
      <c r="AG59" s="13" t="str">
        <f t="shared" si="71"/>
        <v>Ok!</v>
      </c>
    </row>
    <row r="60" spans="1:33" ht="15">
      <c r="A60" s="18"/>
      <c r="B60" s="18"/>
      <c r="C60" s="40"/>
      <c r="D60" s="40"/>
      <c r="E60" s="40"/>
      <c r="F60" s="40"/>
      <c r="G60" s="40"/>
      <c r="H60" s="40"/>
      <c r="I60" s="40"/>
      <c r="J60" s="40"/>
      <c r="K60" s="40"/>
      <c r="L60" s="40"/>
      <c r="M60" s="40"/>
      <c r="N60" s="40"/>
      <c r="O60" s="40"/>
      <c r="Q60" s="40"/>
      <c r="R60" s="40"/>
      <c r="S60" s="40"/>
      <c r="U60" s="40"/>
      <c r="V60" s="40"/>
      <c r="W60" s="40"/>
      <c r="X60" s="40"/>
      <c r="Y60" s="40"/>
      <c r="Z60" s="40"/>
      <c r="AA60" s="40"/>
      <c r="AB60" s="40"/>
      <c r="AC60" s="40"/>
      <c r="AD60" s="40"/>
      <c r="AE60" s="40"/>
      <c r="AF60" s="40"/>
    </row>
    <row r="61" spans="1:33" ht="15">
      <c r="A61" s="39" t="s">
        <v>14</v>
      </c>
      <c r="B61" s="36"/>
      <c r="C61" s="188">
        <v>5074399.9999999991</v>
      </c>
      <c r="D61" s="188">
        <v>5074399.9999999991</v>
      </c>
      <c r="E61" s="188">
        <v>5074399.9999999991</v>
      </c>
      <c r="F61" s="188">
        <f>1703885.71+2255480</f>
        <v>3959365.71</v>
      </c>
      <c r="G61" s="188">
        <f>1781259.49+2255480</f>
        <v>4036739.49</v>
      </c>
      <c r="H61" s="188">
        <f>1717815.47+2255480</f>
        <v>3973295.4699999997</v>
      </c>
      <c r="I61" s="188">
        <f>1798876.63+1920169.33</f>
        <v>3719045.96</v>
      </c>
      <c r="J61" s="188">
        <f>1978725.35+2391000</f>
        <v>4369725.3499999996</v>
      </c>
      <c r="K61" s="188">
        <f>5039919-1200000</f>
        <v>3839919</v>
      </c>
      <c r="L61" s="188">
        <v>2419000</v>
      </c>
      <c r="M61" s="188">
        <v>3802000</v>
      </c>
      <c r="N61" s="188">
        <f>9405628.87-6698962.96</f>
        <v>2706665.9099999992</v>
      </c>
      <c r="O61" s="31">
        <f>SUM(C61:N61)</f>
        <v>48048956.889999993</v>
      </c>
      <c r="Q61" s="188">
        <v>4562326.6541666668</v>
      </c>
      <c r="R61" s="188">
        <v>4562326.6541666668</v>
      </c>
      <c r="S61" s="188">
        <v>4562326.6541666668</v>
      </c>
      <c r="U61" s="31">
        <f>C61</f>
        <v>5074399.9999999991</v>
      </c>
      <c r="V61" s="31">
        <f t="shared" ref="V61:AF61" si="76">U61+D61</f>
        <v>10148799.999999998</v>
      </c>
      <c r="W61" s="31">
        <f t="shared" si="76"/>
        <v>15223199.999999996</v>
      </c>
      <c r="X61" s="31">
        <f t="shared" si="76"/>
        <v>19182565.709999997</v>
      </c>
      <c r="Y61" s="31">
        <f t="shared" si="76"/>
        <v>23219305.199999996</v>
      </c>
      <c r="Z61" s="31">
        <f t="shared" si="76"/>
        <v>27192600.669999994</v>
      </c>
      <c r="AA61" s="31">
        <f t="shared" si="76"/>
        <v>30911646.629999995</v>
      </c>
      <c r="AB61" s="31">
        <f t="shared" si="76"/>
        <v>35281371.979999997</v>
      </c>
      <c r="AC61" s="31">
        <f t="shared" si="76"/>
        <v>39121290.979999997</v>
      </c>
      <c r="AD61" s="31">
        <f t="shared" si="76"/>
        <v>41540290.979999997</v>
      </c>
      <c r="AE61" s="31">
        <f t="shared" si="76"/>
        <v>45342290.979999997</v>
      </c>
      <c r="AF61" s="31">
        <f t="shared" si="76"/>
        <v>48048956.889999993</v>
      </c>
      <c r="AG61" s="13" t="str">
        <f>IF(O61=AF61, "Ok!", "Error!")</f>
        <v>Ok!</v>
      </c>
    </row>
    <row r="62" spans="1:33" ht="15">
      <c r="A62" s="18"/>
      <c r="B62" s="18"/>
      <c r="C62" s="40"/>
      <c r="D62" s="40"/>
      <c r="E62" s="40"/>
      <c r="F62" s="40"/>
      <c r="G62" s="40"/>
      <c r="H62" s="40"/>
      <c r="I62" s="40"/>
      <c r="J62" s="40"/>
      <c r="K62" s="40"/>
      <c r="L62" s="40"/>
      <c r="M62" s="40"/>
      <c r="N62" s="40"/>
      <c r="O62" s="40"/>
      <c r="Q62" s="40"/>
      <c r="R62" s="40"/>
      <c r="S62" s="40"/>
      <c r="U62" s="40"/>
      <c r="V62" s="40"/>
      <c r="W62" s="40"/>
      <c r="X62" s="40"/>
      <c r="Y62" s="40"/>
      <c r="Z62" s="40"/>
      <c r="AA62" s="40"/>
      <c r="AB62" s="40"/>
      <c r="AC62" s="40"/>
      <c r="AD62" s="40"/>
      <c r="AE62" s="40"/>
      <c r="AF62" s="40"/>
    </row>
    <row r="63" spans="1:33" s="24" customFormat="1" ht="15">
      <c r="A63" s="18" t="s">
        <v>196</v>
      </c>
      <c r="B63" s="18"/>
      <c r="C63" s="22">
        <f t="shared" ref="C63:N63" si="77">C58-C61</f>
        <v>12064461.029999997</v>
      </c>
      <c r="D63" s="22">
        <f t="shared" si="77"/>
        <v>7720211.7599999895</v>
      </c>
      <c r="E63" s="22">
        <f t="shared" si="77"/>
        <v>21578857.549999993</v>
      </c>
      <c r="F63" s="22">
        <f t="shared" si="77"/>
        <v>9576001.1100000031</v>
      </c>
      <c r="G63" s="22">
        <f t="shared" si="77"/>
        <v>13114033.929999994</v>
      </c>
      <c r="H63" s="22">
        <f t="shared" si="77"/>
        <v>1552490.8000000017</v>
      </c>
      <c r="I63" s="22">
        <f t="shared" si="77"/>
        <v>6217811.6100000022</v>
      </c>
      <c r="J63" s="22">
        <f t="shared" si="77"/>
        <v>7167592.8900000099</v>
      </c>
      <c r="K63" s="22">
        <f t="shared" si="77"/>
        <v>2695114.3999999948</v>
      </c>
      <c r="L63" s="22">
        <f t="shared" si="77"/>
        <v>1122499.94</v>
      </c>
      <c r="M63" s="22">
        <f t="shared" si="77"/>
        <v>-1503464.6899999939</v>
      </c>
      <c r="N63" s="22">
        <f t="shared" si="77"/>
        <v>32155255.990000006</v>
      </c>
      <c r="O63" s="22">
        <f>SUM(C63:N63)</f>
        <v>113460866.32000001</v>
      </c>
      <c r="Q63" s="22">
        <f t="shared" ref="Q63:S63" si="78">Q58-Q61</f>
        <v>14121292.441130215</v>
      </c>
      <c r="R63" s="22">
        <f t="shared" si="78"/>
        <v>9502790.9191052821</v>
      </c>
      <c r="S63" s="22">
        <f t="shared" si="78"/>
        <v>11213817.583678225</v>
      </c>
      <c r="U63" s="22">
        <f t="shared" ref="U63:AF63" si="79">U58-U61</f>
        <v>12064461.029999997</v>
      </c>
      <c r="V63" s="22">
        <f t="shared" si="79"/>
        <v>19784672.790000014</v>
      </c>
      <c r="W63" s="22">
        <f t="shared" si="79"/>
        <v>41363530.340000004</v>
      </c>
      <c r="X63" s="22">
        <f t="shared" si="79"/>
        <v>50939531.450000003</v>
      </c>
      <c r="Y63" s="22">
        <f t="shared" si="79"/>
        <v>64053565.380000032</v>
      </c>
      <c r="Z63" s="22">
        <f t="shared" si="79"/>
        <v>65606056.18</v>
      </c>
      <c r="AA63" s="22">
        <f t="shared" si="79"/>
        <v>71823867.790000066</v>
      </c>
      <c r="AB63" s="22">
        <f t="shared" si="79"/>
        <v>78991460.679999948</v>
      </c>
      <c r="AC63" s="22">
        <f t="shared" si="79"/>
        <v>81686575.079999924</v>
      </c>
      <c r="AD63" s="22">
        <f t="shared" si="79"/>
        <v>82809075.019999951</v>
      </c>
      <c r="AE63" s="22">
        <f t="shared" si="79"/>
        <v>81305610.329999983</v>
      </c>
      <c r="AF63" s="22">
        <f t="shared" si="79"/>
        <v>113460866.31999999</v>
      </c>
      <c r="AG63" s="13" t="str">
        <f>IF(O63=AF63, "Ok!", "Error!")</f>
        <v>Ok!</v>
      </c>
    </row>
    <row r="64" spans="1:33" ht="15">
      <c r="A64" s="18"/>
      <c r="B64" s="18"/>
      <c r="C64" s="26"/>
      <c r="D64" s="26"/>
      <c r="E64" s="26"/>
      <c r="F64" s="26"/>
      <c r="G64" s="26"/>
      <c r="H64" s="26"/>
      <c r="I64" s="26"/>
      <c r="J64" s="26"/>
      <c r="K64" s="26"/>
      <c r="L64" s="26"/>
      <c r="M64" s="26"/>
      <c r="N64" s="26"/>
      <c r="O64" s="26"/>
      <c r="Q64" s="26"/>
      <c r="R64" s="26"/>
      <c r="S64" s="26"/>
      <c r="U64" s="26"/>
      <c r="V64" s="26"/>
      <c r="W64" s="26"/>
      <c r="X64" s="26"/>
      <c r="Y64" s="26"/>
      <c r="Z64" s="26"/>
      <c r="AA64" s="26"/>
      <c r="AB64" s="26"/>
      <c r="AC64" s="26"/>
      <c r="AD64" s="26"/>
      <c r="AE64" s="26"/>
      <c r="AF64" s="26"/>
    </row>
    <row r="65" spans="1:33" ht="15">
      <c r="A65" s="39" t="s">
        <v>197</v>
      </c>
      <c r="B65" s="18"/>
      <c r="C65" s="188">
        <f t="shared" ref="C65:N65" si="80">+C63*0.22</f>
        <v>2654181.4265999994</v>
      </c>
      <c r="D65" s="188">
        <f t="shared" si="80"/>
        <v>1698446.5871999976</v>
      </c>
      <c r="E65" s="188">
        <f t="shared" si="80"/>
        <v>4747348.6609999985</v>
      </c>
      <c r="F65" s="188">
        <f t="shared" si="80"/>
        <v>2106720.2442000005</v>
      </c>
      <c r="G65" s="188">
        <f t="shared" si="80"/>
        <v>2885087.4645999987</v>
      </c>
      <c r="H65" s="188">
        <f t="shared" si="80"/>
        <v>341547.97600000037</v>
      </c>
      <c r="I65" s="188">
        <f t="shared" si="80"/>
        <v>1367918.5542000006</v>
      </c>
      <c r="J65" s="188">
        <f t="shared" si="80"/>
        <v>1576870.4358000022</v>
      </c>
      <c r="K65" s="188">
        <f t="shared" si="80"/>
        <v>592925.1679999989</v>
      </c>
      <c r="L65" s="261">
        <f t="shared" si="80"/>
        <v>246949.98679999998</v>
      </c>
      <c r="M65" s="261">
        <f t="shared" si="80"/>
        <v>-330762.23179999867</v>
      </c>
      <c r="N65" s="261">
        <f>+N63*0.22</f>
        <v>7074156.3178000012</v>
      </c>
      <c r="O65" s="31">
        <f>SUM(C65:N65)</f>
        <v>24961390.590399999</v>
      </c>
      <c r="Q65" s="188">
        <f>+Q63*0.22</f>
        <v>3106684.3370486475</v>
      </c>
      <c r="R65" s="261">
        <f>+R63*0.22</f>
        <v>2090614.0022031621</v>
      </c>
      <c r="S65" s="261">
        <f>+S63*0.22</f>
        <v>2467039.8684092094</v>
      </c>
      <c r="U65" s="31">
        <f>C65</f>
        <v>2654181.4265999994</v>
      </c>
      <c r="V65" s="31">
        <f t="shared" ref="V65:AF65" si="81">U65+D65</f>
        <v>4352628.013799997</v>
      </c>
      <c r="W65" s="31">
        <f t="shared" si="81"/>
        <v>9099976.6747999955</v>
      </c>
      <c r="X65" s="31">
        <f t="shared" si="81"/>
        <v>11206696.918999996</v>
      </c>
      <c r="Y65" s="31">
        <f t="shared" si="81"/>
        <v>14091784.383599995</v>
      </c>
      <c r="Z65" s="31">
        <f t="shared" si="81"/>
        <v>14433332.359599994</v>
      </c>
      <c r="AA65" s="31">
        <f t="shared" si="81"/>
        <v>15801250.913799996</v>
      </c>
      <c r="AB65" s="31">
        <f t="shared" si="81"/>
        <v>17378121.349599998</v>
      </c>
      <c r="AC65" s="31">
        <f t="shared" si="81"/>
        <v>17971046.517599996</v>
      </c>
      <c r="AD65" s="31">
        <f t="shared" si="81"/>
        <v>18217996.504399996</v>
      </c>
      <c r="AE65" s="31">
        <f t="shared" si="81"/>
        <v>17887234.272599999</v>
      </c>
      <c r="AF65" s="31">
        <f t="shared" si="81"/>
        <v>24961390.590399999</v>
      </c>
      <c r="AG65" s="13" t="str">
        <f>IF(O65=AF65, "Ok!", "Error!")</f>
        <v>Ok!</v>
      </c>
    </row>
    <row r="66" spans="1:33" ht="15">
      <c r="A66" s="18"/>
      <c r="B66" s="18"/>
      <c r="C66" s="40"/>
      <c r="D66" s="40"/>
      <c r="E66" s="40"/>
      <c r="F66" s="40"/>
      <c r="G66" s="40"/>
      <c r="H66" s="40"/>
      <c r="I66" s="40"/>
      <c r="J66" s="40"/>
      <c r="K66" s="40"/>
      <c r="L66" s="40"/>
      <c r="M66" s="40"/>
      <c r="N66" s="40"/>
      <c r="O66" s="40"/>
      <c r="Q66" s="40"/>
      <c r="R66" s="40"/>
      <c r="S66" s="40"/>
      <c r="U66" s="40"/>
      <c r="V66" s="40"/>
      <c r="W66" s="40"/>
      <c r="X66" s="40"/>
      <c r="Y66" s="40"/>
      <c r="Z66" s="40"/>
      <c r="AA66" s="40"/>
      <c r="AB66" s="40"/>
      <c r="AC66" s="40"/>
      <c r="AD66" s="40"/>
      <c r="AE66" s="40"/>
      <c r="AF66" s="40"/>
    </row>
    <row r="67" spans="1:33" s="24" customFormat="1" ht="24" customHeight="1" thickBot="1">
      <c r="A67" s="18" t="s">
        <v>25</v>
      </c>
      <c r="B67" s="18"/>
      <c r="C67" s="74">
        <f t="shared" ref="C67:N67" si="82">C63-C65</f>
        <v>9410279.6033999976</v>
      </c>
      <c r="D67" s="74">
        <f t="shared" si="82"/>
        <v>6021765.1727999914</v>
      </c>
      <c r="E67" s="74">
        <f t="shared" si="82"/>
        <v>16831508.888999995</v>
      </c>
      <c r="F67" s="74">
        <f t="shared" si="82"/>
        <v>7469280.8658000026</v>
      </c>
      <c r="G67" s="74">
        <f t="shared" si="82"/>
        <v>10228946.465399995</v>
      </c>
      <c r="H67" s="74">
        <f t="shared" si="82"/>
        <v>1210942.8240000014</v>
      </c>
      <c r="I67" s="74">
        <f t="shared" si="82"/>
        <v>4849893.0558000021</v>
      </c>
      <c r="J67" s="74">
        <f t="shared" si="82"/>
        <v>5590722.454200008</v>
      </c>
      <c r="K67" s="74">
        <f t="shared" si="82"/>
        <v>2102189.2319999961</v>
      </c>
      <c r="L67" s="74">
        <f t="shared" si="82"/>
        <v>875549.95319999999</v>
      </c>
      <c r="M67" s="74">
        <f t="shared" si="82"/>
        <v>-1172702.4581999951</v>
      </c>
      <c r="N67" s="74">
        <f t="shared" si="82"/>
        <v>25081099.672200006</v>
      </c>
      <c r="O67" s="74">
        <f>SUM(C67:N67)</f>
        <v>88499475.729599997</v>
      </c>
      <c r="Q67" s="74">
        <f t="shared" ref="Q67:S67" si="83">Q63-Q65</f>
        <v>11014608.104081567</v>
      </c>
      <c r="R67" s="74">
        <f t="shared" si="83"/>
        <v>7412176.9169021202</v>
      </c>
      <c r="S67" s="74">
        <f t="shared" si="83"/>
        <v>8746777.7152690161</v>
      </c>
      <c r="U67" s="74">
        <f t="shared" ref="U67:AF67" si="84">U63-U65</f>
        <v>9410279.6033999976</v>
      </c>
      <c r="V67" s="74">
        <f t="shared" si="84"/>
        <v>15432044.776200017</v>
      </c>
      <c r="W67" s="74">
        <f t="shared" si="84"/>
        <v>32263553.66520001</v>
      </c>
      <c r="X67" s="74">
        <f t="shared" si="84"/>
        <v>39732834.531000003</v>
      </c>
      <c r="Y67" s="74">
        <f t="shared" si="84"/>
        <v>49961780.996400036</v>
      </c>
      <c r="Z67" s="74">
        <f t="shared" si="84"/>
        <v>51172723.820400007</v>
      </c>
      <c r="AA67" s="74">
        <f t="shared" si="84"/>
        <v>56022616.876200072</v>
      </c>
      <c r="AB67" s="74">
        <f t="shared" si="84"/>
        <v>61613339.330399945</v>
      </c>
      <c r="AC67" s="74">
        <f t="shared" si="84"/>
        <v>63715528.562399924</v>
      </c>
      <c r="AD67" s="74">
        <f t="shared" si="84"/>
        <v>64591078.515599951</v>
      </c>
      <c r="AE67" s="74">
        <f t="shared" si="84"/>
        <v>63418376.057399988</v>
      </c>
      <c r="AF67" s="74">
        <f t="shared" si="84"/>
        <v>88499475.729599997</v>
      </c>
      <c r="AG67" s="13" t="str">
        <f>IF(O67=AF67, "Ok!", "Error!")</f>
        <v>Ok!</v>
      </c>
    </row>
    <row r="68" spans="1:33" s="44" customFormat="1" ht="15">
      <c r="A68" s="50"/>
      <c r="B68" s="50"/>
      <c r="C68" s="51">
        <f t="shared" ref="C68:N68" si="85">IFERROR(C67/C$8,)</f>
        <v>0.21506666723348719</v>
      </c>
      <c r="D68" s="51">
        <f t="shared" si="85"/>
        <v>0.16103233102364503</v>
      </c>
      <c r="E68" s="51">
        <f t="shared" si="85"/>
        <v>0.35821040859756942</v>
      </c>
      <c r="F68" s="51">
        <f t="shared" si="85"/>
        <v>0.18098653280709817</v>
      </c>
      <c r="G68" s="51">
        <f t="shared" si="85"/>
        <v>0.22622357928614398</v>
      </c>
      <c r="H68" s="51">
        <f t="shared" si="85"/>
        <v>3.9199754992229462E-2</v>
      </c>
      <c r="I68" s="51">
        <f t="shared" si="85"/>
        <v>0.12637474108664579</v>
      </c>
      <c r="J68" s="51">
        <f t="shared" si="85"/>
        <v>0.14873700533060055</v>
      </c>
      <c r="K68" s="51">
        <f t="shared" si="85"/>
        <v>6.4945733776927569E-2</v>
      </c>
      <c r="L68" s="51">
        <f t="shared" si="85"/>
        <v>2.9087813717648302E-2</v>
      </c>
      <c r="M68" s="51">
        <f t="shared" si="85"/>
        <v>-3.1045597932462154E-2</v>
      </c>
      <c r="N68" s="51">
        <f t="shared" si="85"/>
        <v>0.38268417069913818</v>
      </c>
      <c r="O68" s="51">
        <f t="shared" ref="O68" si="86">IFERROR(O67/O$8,)</f>
        <v>0.18162591572473472</v>
      </c>
      <c r="Q68" s="51">
        <f t="shared" ref="Q68:S68" si="87">IFERROR(Q67/Q$8,)</f>
        <v>0.22534244469087478</v>
      </c>
      <c r="R68" s="51">
        <f t="shared" si="87"/>
        <v>0.17828863767033645</v>
      </c>
      <c r="S68" s="51">
        <f t="shared" si="87"/>
        <v>0.19864000350884486</v>
      </c>
      <c r="U68" s="51">
        <f t="shared" ref="U68:AF68" si="88">IFERROR(U67/U$8,)</f>
        <v>0.21506666723348719</v>
      </c>
      <c r="V68" s="51">
        <f t="shared" si="88"/>
        <v>0.1901670662022171</v>
      </c>
      <c r="W68" s="51">
        <f t="shared" si="88"/>
        <v>0.25178813388608784</v>
      </c>
      <c r="X68" s="51">
        <f t="shared" si="88"/>
        <v>0.23453996794553414</v>
      </c>
      <c r="Y68" s="51">
        <f t="shared" si="88"/>
        <v>0.23278790255977524</v>
      </c>
      <c r="Z68" s="51">
        <f t="shared" si="88"/>
        <v>0.20842995706510986</v>
      </c>
      <c r="AA68" s="51">
        <f t="shared" si="88"/>
        <v>0.19733758341534205</v>
      </c>
      <c r="AB68" s="51">
        <f t="shared" si="88"/>
        <v>0.19165512807432925</v>
      </c>
      <c r="AC68" s="51">
        <f t="shared" si="88"/>
        <v>0.18006435373759833</v>
      </c>
      <c r="AD68" s="51">
        <f t="shared" si="88"/>
        <v>0.16822832778194124</v>
      </c>
      <c r="AE68" s="51">
        <f t="shared" si="88"/>
        <v>0.15037942271333982</v>
      </c>
      <c r="AF68" s="51">
        <f t="shared" si="88"/>
        <v>0.18162591572473477</v>
      </c>
    </row>
    <row r="69" spans="1:33" s="44" customFormat="1" ht="15">
      <c r="A69" s="50"/>
      <c r="B69" s="50"/>
      <c r="C69" s="26"/>
      <c r="D69" s="26"/>
      <c r="E69" s="26"/>
      <c r="F69" s="26"/>
      <c r="G69" s="26"/>
      <c r="H69" s="26"/>
      <c r="I69" s="26"/>
      <c r="J69" s="26"/>
      <c r="K69" s="26"/>
      <c r="L69" s="26"/>
      <c r="M69" s="26"/>
      <c r="N69" s="26"/>
      <c r="O69" s="26"/>
      <c r="Q69" s="26"/>
      <c r="R69" s="26"/>
      <c r="S69" s="26"/>
      <c r="U69" s="26"/>
      <c r="V69" s="26"/>
      <c r="W69" s="26"/>
      <c r="X69" s="26"/>
      <c r="Y69" s="26"/>
      <c r="Z69" s="26"/>
      <c r="AA69" s="26"/>
      <c r="AB69" s="26"/>
      <c r="AC69" s="26"/>
      <c r="AD69" s="26"/>
      <c r="AE69" s="26"/>
      <c r="AF69" s="26"/>
    </row>
    <row r="70" spans="1:33" ht="15">
      <c r="A70" s="1" t="s">
        <v>4</v>
      </c>
      <c r="B70" s="1"/>
      <c r="D70" s="54"/>
      <c r="E70" s="33"/>
      <c r="F70" s="33"/>
      <c r="G70" s="33"/>
      <c r="H70" s="33"/>
      <c r="I70" s="33"/>
      <c r="J70" s="33"/>
      <c r="K70" s="33"/>
      <c r="L70" s="33"/>
      <c r="M70" s="33"/>
      <c r="N70" s="33"/>
      <c r="O70" s="33"/>
      <c r="Q70" s="33"/>
      <c r="R70" s="33"/>
      <c r="S70" s="33"/>
      <c r="U70" s="21"/>
      <c r="V70" s="54"/>
      <c r="W70" s="33"/>
      <c r="X70" s="33"/>
      <c r="Y70" s="33"/>
      <c r="Z70" s="33"/>
      <c r="AA70" s="33"/>
      <c r="AB70" s="33"/>
      <c r="AC70" s="33"/>
      <c r="AD70" s="33"/>
      <c r="AE70" s="33"/>
      <c r="AF70" s="33"/>
    </row>
    <row r="71" spans="1:33" s="53" customFormat="1" ht="15">
      <c r="A71" s="56" t="s">
        <v>206</v>
      </c>
      <c r="B71" s="57"/>
      <c r="C71" s="189">
        <v>8091</v>
      </c>
      <c r="D71" s="189">
        <v>7308</v>
      </c>
      <c r="E71" s="189">
        <v>8091</v>
      </c>
      <c r="F71" s="189">
        <v>7830</v>
      </c>
      <c r="G71" s="189">
        <v>8091</v>
      </c>
      <c r="H71" s="189">
        <v>7830</v>
      </c>
      <c r="I71" s="189">
        <v>8091</v>
      </c>
      <c r="J71" s="189">
        <v>8091</v>
      </c>
      <c r="K71" s="189">
        <v>7830</v>
      </c>
      <c r="L71" s="189">
        <v>8091</v>
      </c>
      <c r="M71" s="189">
        <v>7830</v>
      </c>
      <c r="N71" s="189">
        <v>8091</v>
      </c>
      <c r="O71" s="58">
        <f>SUM(C71:N71)</f>
        <v>95265</v>
      </c>
      <c r="Q71" s="189">
        <v>8091</v>
      </c>
      <c r="R71" s="189">
        <v>7569</v>
      </c>
      <c r="S71" s="189">
        <v>8091</v>
      </c>
      <c r="U71" s="58">
        <f>C71</f>
        <v>8091</v>
      </c>
      <c r="V71" s="58">
        <f t="shared" ref="V71:AF72" si="89">U71+D71</f>
        <v>15399</v>
      </c>
      <c r="W71" s="58">
        <f t="shared" si="89"/>
        <v>23490</v>
      </c>
      <c r="X71" s="58">
        <f t="shared" si="89"/>
        <v>31320</v>
      </c>
      <c r="Y71" s="58">
        <f t="shared" si="89"/>
        <v>39411</v>
      </c>
      <c r="Z71" s="58">
        <f t="shared" si="89"/>
        <v>47241</v>
      </c>
      <c r="AA71" s="58">
        <f t="shared" si="89"/>
        <v>55332</v>
      </c>
      <c r="AB71" s="58">
        <f t="shared" si="89"/>
        <v>63423</v>
      </c>
      <c r="AC71" s="58">
        <f t="shared" si="89"/>
        <v>71253</v>
      </c>
      <c r="AD71" s="58">
        <f t="shared" si="89"/>
        <v>79344</v>
      </c>
      <c r="AE71" s="58">
        <f t="shared" si="89"/>
        <v>87174</v>
      </c>
      <c r="AF71" s="58">
        <f t="shared" si="89"/>
        <v>95265</v>
      </c>
      <c r="AG71" s="13" t="str">
        <f t="shared" ref="AG71:AG88" si="90">IF(O71=AF71, "Ok!", "Error!")</f>
        <v>Ok!</v>
      </c>
    </row>
    <row r="72" spans="1:33" s="53" customFormat="1" ht="15.75" customHeight="1">
      <c r="A72" s="56" t="s">
        <v>13</v>
      </c>
      <c r="B72" s="57"/>
      <c r="C72" s="189">
        <v>5087</v>
      </c>
      <c r="D72" s="189">
        <v>4259</v>
      </c>
      <c r="E72" s="189">
        <v>4028</v>
      </c>
      <c r="F72" s="189">
        <v>4180</v>
      </c>
      <c r="G72" s="189">
        <v>4852</v>
      </c>
      <c r="H72" s="189">
        <v>3276</v>
      </c>
      <c r="I72" s="189">
        <v>4218</v>
      </c>
      <c r="J72" s="189">
        <v>4282</v>
      </c>
      <c r="K72" s="189">
        <v>3549</v>
      </c>
      <c r="L72" s="189">
        <f>3764</f>
        <v>3764</v>
      </c>
      <c r="M72" s="189">
        <v>4371</v>
      </c>
      <c r="N72" s="189">
        <v>6114</v>
      </c>
      <c r="O72" s="58">
        <f>SUM(C72:N72)</f>
        <v>51980</v>
      </c>
      <c r="Q72" s="189">
        <v>5268</v>
      </c>
      <c r="R72" s="189">
        <v>4770</v>
      </c>
      <c r="S72" s="278">
        <v>4854</v>
      </c>
      <c r="U72" s="58">
        <f>C72</f>
        <v>5087</v>
      </c>
      <c r="V72" s="58">
        <f t="shared" si="89"/>
        <v>9346</v>
      </c>
      <c r="W72" s="58">
        <f t="shared" si="89"/>
        <v>13374</v>
      </c>
      <c r="X72" s="58">
        <f t="shared" si="89"/>
        <v>17554</v>
      </c>
      <c r="Y72" s="58">
        <f t="shared" si="89"/>
        <v>22406</v>
      </c>
      <c r="Z72" s="58">
        <f t="shared" si="89"/>
        <v>25682</v>
      </c>
      <c r="AA72" s="58">
        <f t="shared" si="89"/>
        <v>29900</v>
      </c>
      <c r="AB72" s="58">
        <f t="shared" si="89"/>
        <v>34182</v>
      </c>
      <c r="AC72" s="58">
        <f t="shared" si="89"/>
        <v>37731</v>
      </c>
      <c r="AD72" s="58">
        <f t="shared" si="89"/>
        <v>41495</v>
      </c>
      <c r="AE72" s="58">
        <f t="shared" si="89"/>
        <v>45866</v>
      </c>
      <c r="AF72" s="58">
        <f t="shared" si="89"/>
        <v>51980</v>
      </c>
      <c r="AG72" s="13" t="str">
        <f t="shared" si="90"/>
        <v>Ok!</v>
      </c>
    </row>
    <row r="73" spans="1:33" s="62" customFormat="1" ht="15">
      <c r="A73" s="59" t="s">
        <v>198</v>
      </c>
      <c r="B73" s="60"/>
      <c r="C73" s="61">
        <f>IFERROR(C72/C71,)</f>
        <v>0.62872327277221607</v>
      </c>
      <c r="D73" s="61">
        <f t="shared" ref="D73:E73" si="91">IFERROR(D72/D71,)</f>
        <v>0.58278598795840175</v>
      </c>
      <c r="E73" s="61">
        <f t="shared" si="91"/>
        <v>0.49783710295389938</v>
      </c>
      <c r="F73" s="61">
        <f t="shared" ref="F73:N73" si="92">IFERROR(F72/F71,)</f>
        <v>0.5338441890166028</v>
      </c>
      <c r="G73" s="61">
        <f t="shared" si="92"/>
        <v>0.59967865529600795</v>
      </c>
      <c r="H73" s="61">
        <f t="shared" si="92"/>
        <v>0.41839080459770117</v>
      </c>
      <c r="I73" s="61">
        <f t="shared" si="92"/>
        <v>0.52131998516870592</v>
      </c>
      <c r="J73" s="61">
        <f t="shared" si="92"/>
        <v>0.5292300086515882</v>
      </c>
      <c r="K73" s="61">
        <f t="shared" si="92"/>
        <v>0.45325670498084292</v>
      </c>
      <c r="L73" s="61">
        <f t="shared" si="92"/>
        <v>0.46520825608701027</v>
      </c>
      <c r="M73" s="61">
        <f t="shared" si="92"/>
        <v>0.55823754789272029</v>
      </c>
      <c r="N73" s="61">
        <f t="shared" si="92"/>
        <v>0.75565443084909156</v>
      </c>
      <c r="O73" s="61">
        <f t="shared" ref="O73" si="93">IFERROR(O72/O71,)</f>
        <v>0.54563585787015167</v>
      </c>
      <c r="Q73" s="61">
        <f t="shared" ref="Q73:S73" si="94">IFERROR(Q72/Q71,)</f>
        <v>0.65109380793474225</v>
      </c>
      <c r="R73" s="61">
        <f t="shared" si="94"/>
        <v>0.63020214030915578</v>
      </c>
      <c r="S73" s="61">
        <f t="shared" si="94"/>
        <v>0.59992584352984801</v>
      </c>
      <c r="U73" s="61">
        <f>IFERROR(U72/U71,)</f>
        <v>0.62872327277221607</v>
      </c>
      <c r="V73" s="61">
        <f t="shared" ref="V73:AF73" si="95">IFERROR(V72/V71,)</f>
        <v>0.6069225274368466</v>
      </c>
      <c r="W73" s="61">
        <f t="shared" si="95"/>
        <v>0.56934865900383147</v>
      </c>
      <c r="X73" s="61">
        <f t="shared" si="95"/>
        <v>0.5604725415070243</v>
      </c>
      <c r="Y73" s="61">
        <f t="shared" si="95"/>
        <v>0.56852147877496129</v>
      </c>
      <c r="Z73" s="61">
        <f t="shared" si="95"/>
        <v>0.54363794161850931</v>
      </c>
      <c r="AA73" s="61">
        <f t="shared" si="95"/>
        <v>0.54037446685462298</v>
      </c>
      <c r="AB73" s="61">
        <f t="shared" si="95"/>
        <v>0.53895274584929753</v>
      </c>
      <c r="AC73" s="61">
        <f t="shared" si="95"/>
        <v>0.52953559850111576</v>
      </c>
      <c r="AD73" s="61">
        <f t="shared" si="95"/>
        <v>0.52297590239967739</v>
      </c>
      <c r="AE73" s="61">
        <f t="shared" si="95"/>
        <v>0.52614311606671715</v>
      </c>
      <c r="AF73" s="61">
        <f t="shared" si="95"/>
        <v>0.54563585787015167</v>
      </c>
      <c r="AG73" s="13" t="str">
        <f t="shared" si="90"/>
        <v>Ok!</v>
      </c>
    </row>
    <row r="74" spans="1:33" ht="15">
      <c r="A74" s="63" t="s">
        <v>199</v>
      </c>
      <c r="B74" s="64"/>
      <c r="C74" s="58">
        <f>IFERROR(SUM(C11:C12)/C72,)</f>
        <v>4145.7825457047384</v>
      </c>
      <c r="D74" s="58">
        <f t="shared" ref="D74:O74" si="96">IFERROR(SUM(D11:D12)/D72,)</f>
        <v>4064.5611505048128</v>
      </c>
      <c r="E74" s="58">
        <f t="shared" si="96"/>
        <v>4764.6531032770608</v>
      </c>
      <c r="F74" s="58">
        <f t="shared" si="96"/>
        <v>4648.450196172249</v>
      </c>
      <c r="G74" s="58">
        <f t="shared" si="96"/>
        <v>4328.1532213520195</v>
      </c>
      <c r="H74" s="58">
        <f t="shared" si="96"/>
        <v>4143.1644688644692</v>
      </c>
      <c r="I74" s="58">
        <f t="shared" si="96"/>
        <v>3954.122183499288</v>
      </c>
      <c r="J74" s="58">
        <f t="shared" si="96"/>
        <v>4050.1309948622143</v>
      </c>
      <c r="K74" s="58">
        <f t="shared" si="96"/>
        <v>4034.9570639616791</v>
      </c>
      <c r="L74" s="58">
        <f t="shared" si="96"/>
        <v>4121.7631880977688</v>
      </c>
      <c r="M74" s="58">
        <f t="shared" si="96"/>
        <v>4379.5667741935486</v>
      </c>
      <c r="N74" s="58">
        <f t="shared" si="96"/>
        <v>5168.7910729473342</v>
      </c>
      <c r="O74" s="58">
        <f t="shared" si="96"/>
        <v>4351.6143716814149</v>
      </c>
      <c r="Q74" s="58">
        <f t="shared" ref="Q74:S74" si="97">IFERROR(Q10/Q72,)</f>
        <v>4518.3547835990885</v>
      </c>
      <c r="R74" s="58">
        <f t="shared" si="97"/>
        <v>4386.9796645702309</v>
      </c>
      <c r="S74" s="58">
        <f t="shared" si="97"/>
        <v>4635.7859497321797</v>
      </c>
      <c r="U74" s="58">
        <f t="shared" ref="U74:AF74" si="98">IFERROR(SUM(U11:U12)/U72,)</f>
        <v>4145.7825457047384</v>
      </c>
      <c r="V74" s="58">
        <f t="shared" si="98"/>
        <v>4108.769714316285</v>
      </c>
      <c r="W74" s="58">
        <f t="shared" si="98"/>
        <v>4306.3095895020188</v>
      </c>
      <c r="X74" s="58">
        <f t="shared" si="98"/>
        <v>4387.7809200182301</v>
      </c>
      <c r="Y74" s="58">
        <f t="shared" si="98"/>
        <v>4374.8685932339549</v>
      </c>
      <c r="Z74" s="58">
        <f t="shared" si="98"/>
        <v>4345.3123783194451</v>
      </c>
      <c r="AA74" s="58">
        <f t="shared" si="98"/>
        <v>4290.1270859531778</v>
      </c>
      <c r="AB74" s="58">
        <f t="shared" si="98"/>
        <v>4260.0626291615472</v>
      </c>
      <c r="AC74" s="58">
        <f t="shared" si="98"/>
        <v>4238.8890676101882</v>
      </c>
      <c r="AD74" s="58">
        <f t="shared" si="98"/>
        <v>4228.2646113989631</v>
      </c>
      <c r="AE74" s="58">
        <f t="shared" si="98"/>
        <v>4242.6836092094363</v>
      </c>
      <c r="AF74" s="58">
        <f t="shared" si="98"/>
        <v>4351.6143716814149</v>
      </c>
      <c r="AG74" s="13" t="str">
        <f t="shared" si="90"/>
        <v>Ok!</v>
      </c>
    </row>
    <row r="75" spans="1:33" ht="15">
      <c r="A75" s="63" t="s">
        <v>200</v>
      </c>
      <c r="B75" s="64"/>
      <c r="C75" s="58">
        <f>IFERROR(SUM(C11:C12)/C71,)</f>
        <v>2606.5499703374121</v>
      </c>
      <c r="D75" s="58">
        <f t="shared" ref="D75:O75" si="99">IFERROR(SUM(D11:D12)/D71,)</f>
        <v>2368.7692857142852</v>
      </c>
      <c r="E75" s="58">
        <f t="shared" si="99"/>
        <v>2372.0210975157584</v>
      </c>
      <c r="F75" s="58">
        <f t="shared" si="99"/>
        <v>2481.5481251596425</v>
      </c>
      <c r="G75" s="58">
        <f t="shared" si="99"/>
        <v>2595.5011036954643</v>
      </c>
      <c r="H75" s="58">
        <f t="shared" si="99"/>
        <v>1733.4619157088123</v>
      </c>
      <c r="I75" s="58">
        <f t="shared" si="99"/>
        <v>2061.3629180571002</v>
      </c>
      <c r="J75" s="58">
        <f t="shared" si="99"/>
        <v>2143.450861450995</v>
      </c>
      <c r="K75" s="58">
        <f t="shared" si="99"/>
        <v>1828.8713435504469</v>
      </c>
      <c r="L75" s="58">
        <f t="shared" si="99"/>
        <v>1917.4782647385985</v>
      </c>
      <c r="M75" s="58">
        <f t="shared" si="99"/>
        <v>2444.8386168582379</v>
      </c>
      <c r="N75" s="58">
        <f t="shared" si="99"/>
        <v>3905.8198764058834</v>
      </c>
      <c r="O75" s="58">
        <f t="shared" si="99"/>
        <v>2374.3968408124701</v>
      </c>
      <c r="Q75" s="58">
        <f t="shared" ref="Q75:S75" si="100">IFERROR(SUM(Q11:Q12)/Q71,)</f>
        <v>2922.8525522185146</v>
      </c>
      <c r="R75" s="58">
        <f t="shared" si="100"/>
        <v>2744.3519619500594</v>
      </c>
      <c r="S75" s="58">
        <f t="shared" si="100"/>
        <v>2757.31059201582</v>
      </c>
      <c r="U75" s="58">
        <f t="shared" ref="U75:AF75" si="101">IFERROR(SUM(U11:U12)/U71,)</f>
        <v>2606.5499703374121</v>
      </c>
      <c r="V75" s="58">
        <f t="shared" si="101"/>
        <v>2493.7048996688095</v>
      </c>
      <c r="W75" s="58">
        <f t="shared" si="101"/>
        <v>2451.7915900383141</v>
      </c>
      <c r="X75" s="58">
        <f t="shared" si="101"/>
        <v>2459.2307238186468</v>
      </c>
      <c r="Y75" s="58">
        <f t="shared" si="101"/>
        <v>2487.2067620715029</v>
      </c>
      <c r="Z75" s="58">
        <f t="shared" si="101"/>
        <v>2362.2766770390126</v>
      </c>
      <c r="AA75" s="58">
        <f t="shared" si="101"/>
        <v>2318.2751368105255</v>
      </c>
      <c r="AB75" s="58">
        <f t="shared" si="101"/>
        <v>2295.9724514765935</v>
      </c>
      <c r="AC75" s="58">
        <f t="shared" si="101"/>
        <v>2244.6426593967972</v>
      </c>
      <c r="AD75" s="58">
        <f t="shared" si="101"/>
        <v>2211.2805007309939</v>
      </c>
      <c r="AE75" s="58">
        <f t="shared" si="101"/>
        <v>2232.2587746346385</v>
      </c>
      <c r="AF75" s="58">
        <f t="shared" si="101"/>
        <v>2374.3968408124701</v>
      </c>
      <c r="AG75" s="13" t="str">
        <f t="shared" si="90"/>
        <v>Ok!</v>
      </c>
    </row>
    <row r="76" spans="1:33" ht="15.75" customHeight="1">
      <c r="A76" s="63" t="s">
        <v>26</v>
      </c>
      <c r="B76" s="64"/>
      <c r="C76" s="31">
        <f>C10-C22</f>
        <v>17512388.950000003</v>
      </c>
      <c r="D76" s="31">
        <f t="shared" ref="D76:E76" si="102">D10-D22</f>
        <v>14194953.109999996</v>
      </c>
      <c r="E76" s="31">
        <f t="shared" si="102"/>
        <v>16067527.049999999</v>
      </c>
      <c r="F76" s="31">
        <f t="shared" ref="F76:N76" si="103">F10-F22</f>
        <v>16202729.420000002</v>
      </c>
      <c r="G76" s="31">
        <f t="shared" si="103"/>
        <v>17147750.609999999</v>
      </c>
      <c r="H76" s="31">
        <f t="shared" si="103"/>
        <v>10597352.82</v>
      </c>
      <c r="I76" s="31">
        <f t="shared" si="103"/>
        <v>12838344.659999996</v>
      </c>
      <c r="J76" s="31">
        <f t="shared" si="103"/>
        <v>13756958.160000004</v>
      </c>
      <c r="K76" s="31">
        <f t="shared" si="103"/>
        <v>11575116.27</v>
      </c>
      <c r="L76" s="31">
        <f t="shared" si="103"/>
        <v>11929512.850000001</v>
      </c>
      <c r="M76" s="31">
        <f t="shared" si="103"/>
        <v>15782106.010000002</v>
      </c>
      <c r="N76" s="31">
        <f t="shared" si="103"/>
        <v>26019833.02</v>
      </c>
      <c r="O76" s="31">
        <f>O10-O22</f>
        <v>183624572.93000001</v>
      </c>
      <c r="Q76" s="31">
        <f t="shared" ref="Q76:S76" si="104">Q10-Q22</f>
        <v>19891274.543619145</v>
      </c>
      <c r="R76" s="31">
        <f t="shared" si="104"/>
        <v>17245632.550000001</v>
      </c>
      <c r="S76" s="31">
        <f t="shared" si="104"/>
        <v>18812873.809999999</v>
      </c>
      <c r="U76" s="31">
        <f>U10-U22</f>
        <v>17512388.950000003</v>
      </c>
      <c r="V76" s="31">
        <f t="shared" ref="V76:AF76" si="105">V10-V22</f>
        <v>31707342.060000002</v>
      </c>
      <c r="W76" s="31">
        <f t="shared" si="105"/>
        <v>47774869.110000007</v>
      </c>
      <c r="X76" s="31">
        <f t="shared" si="105"/>
        <v>63977598.530000016</v>
      </c>
      <c r="Y76" s="31">
        <f t="shared" si="105"/>
        <v>81125349.140000015</v>
      </c>
      <c r="Z76" s="31">
        <f t="shared" si="105"/>
        <v>91722701.959999993</v>
      </c>
      <c r="AA76" s="31">
        <f t="shared" si="105"/>
        <v>104561046.62</v>
      </c>
      <c r="AB76" s="31">
        <f t="shared" si="105"/>
        <v>118318004.78</v>
      </c>
      <c r="AC76" s="31">
        <f t="shared" si="105"/>
        <v>129893121.05</v>
      </c>
      <c r="AD76" s="31">
        <f t="shared" si="105"/>
        <v>141822633.89999998</v>
      </c>
      <c r="AE76" s="31">
        <f t="shared" si="105"/>
        <v>157604739.91</v>
      </c>
      <c r="AF76" s="31">
        <f t="shared" si="105"/>
        <v>183624572.92999998</v>
      </c>
      <c r="AG76" s="13" t="str">
        <f t="shared" si="90"/>
        <v>Ok!</v>
      </c>
    </row>
    <row r="77" spans="1:33" ht="15">
      <c r="A77" s="63" t="s">
        <v>27</v>
      </c>
      <c r="B77" s="64"/>
      <c r="C77" s="61">
        <f>IFERROR(C76/C10,)</f>
        <v>0.82334437338611355</v>
      </c>
      <c r="D77" s="61">
        <f t="shared" ref="D77:E77" si="106">IFERROR(D76/D10,)</f>
        <v>0.81418163556258649</v>
      </c>
      <c r="E77" s="61">
        <f t="shared" si="106"/>
        <v>0.83334010385910995</v>
      </c>
      <c r="F77" s="61">
        <f t="shared" ref="F77:N77" si="107">IFERROR(F76/F10,)</f>
        <v>0.82853588759349239</v>
      </c>
      <c r="G77" s="61">
        <f t="shared" si="107"/>
        <v>0.80606410914386362</v>
      </c>
      <c r="H77" s="61">
        <f t="shared" si="107"/>
        <v>0.77206411033441058</v>
      </c>
      <c r="I77" s="61">
        <f t="shared" si="107"/>
        <v>0.76373374114644621</v>
      </c>
      <c r="J77" s="61">
        <f t="shared" si="107"/>
        <v>0.77538649016759598</v>
      </c>
      <c r="K77" s="61">
        <f t="shared" si="107"/>
        <v>0.79791056530002558</v>
      </c>
      <c r="L77" s="61">
        <f t="shared" si="107"/>
        <v>0.75135184817860112</v>
      </c>
      <c r="M77" s="61">
        <f t="shared" si="107"/>
        <v>0.81521410685818063</v>
      </c>
      <c r="N77" s="61">
        <f t="shared" si="107"/>
        <v>0.81595692555691735</v>
      </c>
      <c r="O77" s="61">
        <f>IFERROR(O76/O10,)</f>
        <v>0.80281799194969827</v>
      </c>
      <c r="Q77" s="61">
        <f t="shared" ref="Q77:S77" si="108">IFERROR(Q76/Q10,)</f>
        <v>0.83567328048213474</v>
      </c>
      <c r="R77" s="61">
        <f t="shared" si="108"/>
        <v>0.82412886991250511</v>
      </c>
      <c r="S77" s="61">
        <f t="shared" si="108"/>
        <v>0.83604950781271348</v>
      </c>
      <c r="U77" s="61">
        <f>IFERROR(U76/U10,)</f>
        <v>0.82334437338611355</v>
      </c>
      <c r="V77" s="61">
        <f t="shared" ref="V77:AF77" si="109">IFERROR(V76/V10,)</f>
        <v>0.81921696899584473</v>
      </c>
      <c r="W77" s="61">
        <f t="shared" si="109"/>
        <v>0.82391309523873302</v>
      </c>
      <c r="X77" s="61">
        <f t="shared" si="109"/>
        <v>0.8250789617308536</v>
      </c>
      <c r="Y77" s="61">
        <f t="shared" si="109"/>
        <v>0.82098532451243933</v>
      </c>
      <c r="Z77" s="61">
        <f t="shared" si="109"/>
        <v>0.81501865523589934</v>
      </c>
      <c r="AA77" s="61">
        <f t="shared" si="109"/>
        <v>0.80835383764243551</v>
      </c>
      <c r="AB77" s="61">
        <f t="shared" si="109"/>
        <v>0.80437737231701467</v>
      </c>
      <c r="AC77" s="61">
        <f t="shared" si="109"/>
        <v>0.80379684696097198</v>
      </c>
      <c r="AD77" s="61">
        <f t="shared" si="109"/>
        <v>0.79910502262500926</v>
      </c>
      <c r="AE77" s="61">
        <f t="shared" si="109"/>
        <v>0.80068940107770747</v>
      </c>
      <c r="AF77" s="61">
        <f t="shared" si="109"/>
        <v>0.80281799194969827</v>
      </c>
      <c r="AG77" s="13" t="str">
        <f t="shared" si="90"/>
        <v>Ok!</v>
      </c>
    </row>
    <row r="78" spans="1:33" ht="15">
      <c r="A78" s="63" t="s">
        <v>28</v>
      </c>
      <c r="B78" s="64"/>
      <c r="C78" s="189">
        <v>38993</v>
      </c>
      <c r="D78" s="189">
        <v>33312</v>
      </c>
      <c r="E78" s="189">
        <v>39574</v>
      </c>
      <c r="F78" s="189">
        <v>38188</v>
      </c>
      <c r="G78" s="189">
        <v>38878</v>
      </c>
      <c r="H78" s="189">
        <v>26361</v>
      </c>
      <c r="I78" s="189">
        <f>36296</f>
        <v>36296</v>
      </c>
      <c r="J78" s="189">
        <v>35977</v>
      </c>
      <c r="K78" s="189">
        <v>32486</v>
      </c>
      <c r="L78" s="189">
        <v>23918</v>
      </c>
      <c r="M78" s="189">
        <v>31381</v>
      </c>
      <c r="N78" s="189">
        <v>44625</v>
      </c>
      <c r="O78" s="58">
        <f>SUM(C78:N78)</f>
        <v>419989</v>
      </c>
      <c r="Q78" s="189">
        <v>41696.760236623013</v>
      </c>
      <c r="R78" s="189">
        <v>34933.840157748673</v>
      </c>
      <c r="S78" s="189">
        <v>35544.600394371679</v>
      </c>
      <c r="U78" s="58">
        <f>C78</f>
        <v>38993</v>
      </c>
      <c r="V78" s="58">
        <f t="shared" ref="V78:AF78" si="110">U78+D78</f>
        <v>72305</v>
      </c>
      <c r="W78" s="58">
        <f t="shared" si="110"/>
        <v>111879</v>
      </c>
      <c r="X78" s="58">
        <f t="shared" si="110"/>
        <v>150067</v>
      </c>
      <c r="Y78" s="58">
        <f t="shared" si="110"/>
        <v>188945</v>
      </c>
      <c r="Z78" s="58">
        <f t="shared" si="110"/>
        <v>215306</v>
      </c>
      <c r="AA78" s="58">
        <f t="shared" si="110"/>
        <v>251602</v>
      </c>
      <c r="AB78" s="58">
        <f t="shared" si="110"/>
        <v>287579</v>
      </c>
      <c r="AC78" s="58">
        <f t="shared" si="110"/>
        <v>320065</v>
      </c>
      <c r="AD78" s="58">
        <f t="shared" si="110"/>
        <v>343983</v>
      </c>
      <c r="AE78" s="58">
        <f t="shared" si="110"/>
        <v>375364</v>
      </c>
      <c r="AF78" s="58">
        <f t="shared" si="110"/>
        <v>419989</v>
      </c>
      <c r="AG78" s="13" t="str">
        <f t="shared" si="90"/>
        <v>Ok!</v>
      </c>
    </row>
    <row r="79" spans="1:33" ht="15.75" customHeight="1">
      <c r="A79" s="63" t="s">
        <v>29</v>
      </c>
      <c r="B79" s="64"/>
      <c r="C79" s="58">
        <f>IFERROR((C15+C16)/C78,)</f>
        <v>511.47265098863892</v>
      </c>
      <c r="D79" s="58">
        <f t="shared" ref="D79:E79" si="111">IFERROR((D15+D16)/D78,)</f>
        <v>520.51864463256481</v>
      </c>
      <c r="E79" s="58">
        <f t="shared" si="111"/>
        <v>485.82692449588114</v>
      </c>
      <c r="F79" s="58">
        <f t="shared" ref="F79:N79" si="112">IFERROR((F15+F16)/F78,)</f>
        <v>501.34085943228246</v>
      </c>
      <c r="G79" s="58">
        <f t="shared" si="112"/>
        <v>539.43454215751831</v>
      </c>
      <c r="H79" s="58">
        <f t="shared" si="112"/>
        <v>529.50440271613365</v>
      </c>
      <c r="I79" s="58">
        <f t="shared" si="112"/>
        <v>496.67947680185154</v>
      </c>
      <c r="J79" s="58">
        <f t="shared" si="112"/>
        <v>479.80335436528895</v>
      </c>
      <c r="K79" s="58">
        <f t="shared" si="112"/>
        <v>465.19024102690389</v>
      </c>
      <c r="L79" s="58">
        <f t="shared" si="112"/>
        <v>520.57643615686925</v>
      </c>
      <c r="M79" s="58">
        <f t="shared" si="112"/>
        <v>531.11181925368851</v>
      </c>
      <c r="N79" s="58">
        <f t="shared" si="112"/>
        <v>658.15283383753501</v>
      </c>
      <c r="O79" s="58">
        <f>IFERROR((O15+O16)/O78,)</f>
        <v>522.57240656302895</v>
      </c>
      <c r="Q79" s="58">
        <f t="shared" ref="Q79:S79" si="113">IFERROR((Q15+Q16)/Q78,)</f>
        <v>535.18337531362431</v>
      </c>
      <c r="R79" s="58">
        <f t="shared" si="113"/>
        <v>521.18220214293035</v>
      </c>
      <c r="S79" s="58">
        <f t="shared" si="113"/>
        <v>524.09253899689384</v>
      </c>
      <c r="U79" s="58">
        <f>IFERROR((U15+U16)/U78,)</f>
        <v>511.47265098863892</v>
      </c>
      <c r="V79" s="58">
        <f t="shared" ref="V79:AF79" si="114">IFERROR((V15+V16)/V78,)</f>
        <v>515.64027619113483</v>
      </c>
      <c r="W79" s="58">
        <f t="shared" si="114"/>
        <v>505.09465476094704</v>
      </c>
      <c r="X79" s="58">
        <f t="shared" si="114"/>
        <v>504.13941519454647</v>
      </c>
      <c r="Y79" s="58">
        <f t="shared" si="114"/>
        <v>511.40186694540739</v>
      </c>
      <c r="Z79" s="58">
        <f t="shared" si="114"/>
        <v>513.61825174402941</v>
      </c>
      <c r="AA79" s="58">
        <f t="shared" si="114"/>
        <v>511.17467110754291</v>
      </c>
      <c r="AB79" s="58">
        <f t="shared" si="114"/>
        <v>507.25002479318727</v>
      </c>
      <c r="AC79" s="58">
        <f t="shared" si="114"/>
        <v>502.98103525846318</v>
      </c>
      <c r="AD79" s="58">
        <f t="shared" si="114"/>
        <v>504.20448757642095</v>
      </c>
      <c r="AE79" s="58">
        <f t="shared" si="114"/>
        <v>506.45398133545041</v>
      </c>
      <c r="AF79" s="58">
        <f t="shared" si="114"/>
        <v>522.57240656302895</v>
      </c>
      <c r="AG79" s="13" t="str">
        <f t="shared" si="90"/>
        <v>Ok!</v>
      </c>
    </row>
    <row r="80" spans="1:33" ht="15">
      <c r="A80" s="63" t="s">
        <v>33</v>
      </c>
      <c r="B80" s="64"/>
      <c r="C80" s="31">
        <f t="shared" ref="C80" si="115">C14-C23</f>
        <v>10803067.43</v>
      </c>
      <c r="D80" s="31">
        <f t="shared" ref="D80:E80" si="116">D14-D23</f>
        <v>9235374.5</v>
      </c>
      <c r="E80" s="31">
        <f t="shared" si="116"/>
        <v>16657471.65</v>
      </c>
      <c r="F80" s="31">
        <f t="shared" ref="F80:M80" si="117">F14-F23</f>
        <v>9078376.4600000009</v>
      </c>
      <c r="G80" s="31">
        <f t="shared" si="117"/>
        <v>11943401.309999999</v>
      </c>
      <c r="H80" s="31">
        <f t="shared" si="117"/>
        <v>6312966.3200000003</v>
      </c>
      <c r="I80" s="31">
        <f t="shared" si="117"/>
        <v>10238286.510000002</v>
      </c>
      <c r="J80" s="31">
        <f t="shared" si="117"/>
        <v>8613048.8599999994</v>
      </c>
      <c r="K80" s="31">
        <f t="shared" si="117"/>
        <v>7718119.3699999992</v>
      </c>
      <c r="L80" s="31">
        <f t="shared" si="117"/>
        <v>5272046.7999999989</v>
      </c>
      <c r="M80" s="31">
        <f t="shared" si="117"/>
        <v>8948480.1999999993</v>
      </c>
      <c r="N80" s="31">
        <f>N14-N23</f>
        <v>17772134.789999999</v>
      </c>
      <c r="O80" s="31">
        <f>O14-O23</f>
        <v>122592774.20000002</v>
      </c>
      <c r="Q80" s="31">
        <f t="shared" ref="Q80:S80" si="118">Q14-Q23</f>
        <v>12168230.62497814</v>
      </c>
      <c r="R80" s="31">
        <f t="shared" si="118"/>
        <v>8992680.9495363869</v>
      </c>
      <c r="S80" s="31">
        <f t="shared" si="118"/>
        <v>9506344.5065685604</v>
      </c>
      <c r="U80" s="31">
        <f>U14-U23</f>
        <v>10803067.43</v>
      </c>
      <c r="V80" s="31">
        <f t="shared" ref="V80:AE80" si="119">V14-V23</f>
        <v>20038441.93</v>
      </c>
      <c r="W80" s="31">
        <f t="shared" si="119"/>
        <v>36695913.579999991</v>
      </c>
      <c r="X80" s="31">
        <f t="shared" si="119"/>
        <v>45774290.040000007</v>
      </c>
      <c r="Y80" s="31">
        <f t="shared" si="119"/>
        <v>57717691.349999994</v>
      </c>
      <c r="Z80" s="31">
        <f t="shared" si="119"/>
        <v>64030657.670000002</v>
      </c>
      <c r="AA80" s="31">
        <f t="shared" si="119"/>
        <v>74268944.180000007</v>
      </c>
      <c r="AB80" s="31">
        <f t="shared" si="119"/>
        <v>82881993.039999992</v>
      </c>
      <c r="AC80" s="31">
        <f t="shared" si="119"/>
        <v>90600112.410000026</v>
      </c>
      <c r="AD80" s="31">
        <f t="shared" si="119"/>
        <v>95872159.209999993</v>
      </c>
      <c r="AE80" s="31">
        <f t="shared" si="119"/>
        <v>104820639.41</v>
      </c>
      <c r="AF80" s="31">
        <f>AF14-AF23</f>
        <v>122592774.19999996</v>
      </c>
      <c r="AG80" s="13" t="str">
        <f t="shared" si="90"/>
        <v>Ok!</v>
      </c>
    </row>
    <row r="81" spans="1:33" ht="15.75" customHeight="1">
      <c r="A81" s="63" t="s">
        <v>34</v>
      </c>
      <c r="B81" s="64"/>
      <c r="C81" s="61">
        <f>IFERROR(C80/C14,)</f>
        <v>0.50690181957595182</v>
      </c>
      <c r="D81" s="61">
        <f t="shared" ref="D81:E81" si="120">IFERROR(D80/D14,)</f>
        <v>0.49643788492866275</v>
      </c>
      <c r="E81" s="61">
        <f t="shared" si="120"/>
        <v>0.62543120072237446</v>
      </c>
      <c r="F81" s="61">
        <f t="shared" ref="F81:M81" si="121">IFERROR(F80/F14,)</f>
        <v>0.4466704312301471</v>
      </c>
      <c r="G81" s="61">
        <f t="shared" si="121"/>
        <v>0.52974189066599608</v>
      </c>
      <c r="H81" s="61">
        <f t="shared" si="121"/>
        <v>0.42106015816552589</v>
      </c>
      <c r="I81" s="61">
        <f t="shared" si="121"/>
        <v>0.51052315831721773</v>
      </c>
      <c r="J81" s="61">
        <f t="shared" si="121"/>
        <v>0.47261826961333026</v>
      </c>
      <c r="K81" s="61">
        <f t="shared" si="121"/>
        <v>0.46423923155426705</v>
      </c>
      <c r="L81" s="61">
        <f t="shared" si="121"/>
        <v>0.39735824324722696</v>
      </c>
      <c r="M81" s="61">
        <f t="shared" si="121"/>
        <v>0.50891530478370062</v>
      </c>
      <c r="N81" s="61">
        <f>IFERROR(N80/N14,)</f>
        <v>0.54774655075013645</v>
      </c>
      <c r="O81" s="61">
        <f>IFERROR(O80/O14,)</f>
        <v>0.50530154295251861</v>
      </c>
      <c r="Q81" s="61">
        <f t="shared" ref="Q81:S81" si="122">IFERROR(Q80/Q14,)</f>
        <v>0.52100259095800949</v>
      </c>
      <c r="R81" s="61">
        <f t="shared" si="122"/>
        <v>0.47097151208458332</v>
      </c>
      <c r="S81" s="61">
        <f t="shared" si="122"/>
        <v>0.47838703810171673</v>
      </c>
      <c r="U81" s="61">
        <f>IFERROR(U80/U14,)</f>
        <v>0.50690181957595182</v>
      </c>
      <c r="V81" s="61">
        <f t="shared" ref="V81:AE81" si="123">IFERROR(V80/V14,)</f>
        <v>0.50202489636173497</v>
      </c>
      <c r="W81" s="61">
        <f t="shared" si="123"/>
        <v>0.55141347866224211</v>
      </c>
      <c r="X81" s="61">
        <f t="shared" si="123"/>
        <v>0.52690820624888435</v>
      </c>
      <c r="Y81" s="61">
        <f t="shared" si="123"/>
        <v>0.52749208434800909</v>
      </c>
      <c r="Z81" s="61">
        <f t="shared" si="123"/>
        <v>0.5146658654444487</v>
      </c>
      <c r="AA81" s="61">
        <f t="shared" si="123"/>
        <v>0.51409078495692584</v>
      </c>
      <c r="AB81" s="61">
        <f t="shared" si="123"/>
        <v>0.50944516116434435</v>
      </c>
      <c r="AC81" s="61">
        <f t="shared" si="123"/>
        <v>0.50525388782877345</v>
      </c>
      <c r="AD81" s="61">
        <f t="shared" si="123"/>
        <v>0.49782059410710389</v>
      </c>
      <c r="AE81" s="61">
        <f t="shared" si="123"/>
        <v>0.498748822459881</v>
      </c>
      <c r="AF81" s="61">
        <f>IFERROR(AF80/AF14,)</f>
        <v>0.5053015429525185</v>
      </c>
      <c r="AG81" s="13" t="str">
        <f t="shared" si="90"/>
        <v>Ok!</v>
      </c>
    </row>
    <row r="82" spans="1:33" ht="15.75" customHeight="1">
      <c r="A82" s="63" t="s">
        <v>203</v>
      </c>
      <c r="B82" s="64"/>
      <c r="C82" s="32">
        <f>IFERROR(C24/(C15+C16),)</f>
        <v>0.28130402823845913</v>
      </c>
      <c r="D82" s="32">
        <f t="shared" ref="D82:O82" si="124">IFERROR(D24/(D15+D16),)</f>
        <v>0.28174161048680046</v>
      </c>
      <c r="E82" s="32">
        <f t="shared" si="124"/>
        <v>0.2767502353053421</v>
      </c>
      <c r="F82" s="32">
        <f t="shared" si="124"/>
        <v>0.29494798393051813</v>
      </c>
      <c r="G82" s="32">
        <f t="shared" si="124"/>
        <v>0.28690852246532694</v>
      </c>
      <c r="H82" s="32">
        <f t="shared" si="124"/>
        <v>0.30526779646682689</v>
      </c>
      <c r="I82" s="32">
        <f t="shared" si="124"/>
        <v>0.28093195834324308</v>
      </c>
      <c r="J82" s="32">
        <f t="shared" si="124"/>
        <v>0.29769785145971028</v>
      </c>
      <c r="K82" s="32">
        <f t="shared" si="124"/>
        <v>0.30775387966664219</v>
      </c>
      <c r="L82" s="32">
        <f t="shared" si="124"/>
        <v>0.28697333286687032</v>
      </c>
      <c r="M82" s="32">
        <f t="shared" si="124"/>
        <v>0.27345189244258949</v>
      </c>
      <c r="N82" s="32">
        <f>IFERROR(N24/(N15+N16),)</f>
        <v>0.29489886534391097</v>
      </c>
      <c r="O82" s="32">
        <f t="shared" si="124"/>
        <v>0.28881413845004805</v>
      </c>
      <c r="Q82" s="32">
        <f t="shared" ref="Q82:S82" si="125">IFERROR(Q24/(Q15+Q16),)</f>
        <v>0.29515132130142829</v>
      </c>
      <c r="R82" s="32">
        <f t="shared" si="125"/>
        <v>0.29225578553314813</v>
      </c>
      <c r="S82" s="32">
        <f t="shared" si="125"/>
        <v>0.2921264121553438</v>
      </c>
      <c r="U82" s="32">
        <f>IFERROR(U24/(U15+U16),)</f>
        <v>0.28130402823845913</v>
      </c>
      <c r="V82" s="32">
        <f t="shared" ref="V82:AE82" si="126">IFERROR(V24/(V15+V16),)</f>
        <v>0.2815075362592952</v>
      </c>
      <c r="W82" s="32">
        <f t="shared" si="126"/>
        <v>0.27988896879146352</v>
      </c>
      <c r="X82" s="32">
        <f t="shared" si="126"/>
        <v>0.28369980893195024</v>
      </c>
      <c r="Y82" s="32">
        <f t="shared" si="126"/>
        <v>0.28439623641471012</v>
      </c>
      <c r="Z82" s="32">
        <f t="shared" si="126"/>
        <v>0.28703068536626231</v>
      </c>
      <c r="AA82" s="32">
        <f t="shared" si="126"/>
        <v>0.28617583370327121</v>
      </c>
      <c r="AB82" s="32">
        <f t="shared" si="126"/>
        <v>0.28753927837814175</v>
      </c>
      <c r="AC82" s="32">
        <f t="shared" si="126"/>
        <v>0.28943686766231758</v>
      </c>
      <c r="AD82" s="32">
        <f t="shared" si="126"/>
        <v>0.28926000979581884</v>
      </c>
      <c r="AE82" s="32">
        <f t="shared" si="126"/>
        <v>0.28787408301021722</v>
      </c>
      <c r="AF82" s="32">
        <f>IFERROR(AF24/(AF15+AF16),)</f>
        <v>0.28881413845004805</v>
      </c>
      <c r="AG82" s="13" t="str">
        <f t="shared" si="90"/>
        <v>Ok!</v>
      </c>
    </row>
    <row r="83" spans="1:33" ht="15">
      <c r="A83" s="63" t="s">
        <v>30</v>
      </c>
      <c r="B83" s="64"/>
      <c r="C83" s="188">
        <f>4803837+3988602.91</f>
        <v>8792439.9100000001</v>
      </c>
      <c r="D83" s="188">
        <v>7409176.5299999993</v>
      </c>
      <c r="E83" s="188">
        <v>8436031.8300000001</v>
      </c>
      <c r="F83" s="188">
        <f>8052100.67</f>
        <v>8052100.6699999999</v>
      </c>
      <c r="G83" s="188">
        <f>7674570.93</f>
        <v>7674570.9299999997</v>
      </c>
      <c r="H83" s="188">
        <v>7257666</v>
      </c>
      <c r="I83" s="188">
        <v>8573323.7599999998</v>
      </c>
      <c r="J83" s="188">
        <v>8050333</v>
      </c>
      <c r="K83" s="188">
        <f>3639766+4092346</f>
        <v>7732112</v>
      </c>
      <c r="L83" s="188">
        <v>9373848</v>
      </c>
      <c r="M83" s="188">
        <f>7771289</f>
        <v>7771289</v>
      </c>
      <c r="N83" s="261">
        <v>10391996.359999999</v>
      </c>
      <c r="O83" s="31">
        <f>SUM(C83:N83)</f>
        <v>99514887.989999995</v>
      </c>
      <c r="P83" s="184"/>
      <c r="Q83" s="191">
        <v>8499313.2733333334</v>
      </c>
      <c r="R83" s="191">
        <v>8400988.666666666</v>
      </c>
      <c r="S83" s="191">
        <v>8427203.3333333321</v>
      </c>
      <c r="T83" s="184"/>
      <c r="U83" s="31">
        <f>C83</f>
        <v>8792439.9100000001</v>
      </c>
      <c r="V83" s="31">
        <f t="shared" ref="V83:AF83" si="127">U83+D83</f>
        <v>16201616.439999999</v>
      </c>
      <c r="W83" s="31">
        <f t="shared" si="127"/>
        <v>24637648.27</v>
      </c>
      <c r="X83" s="31">
        <f t="shared" si="127"/>
        <v>32689748.939999998</v>
      </c>
      <c r="Y83" s="31">
        <f t="shared" si="127"/>
        <v>40364319.869999997</v>
      </c>
      <c r="Z83" s="31">
        <f t="shared" si="127"/>
        <v>47621985.869999997</v>
      </c>
      <c r="AA83" s="31">
        <f t="shared" si="127"/>
        <v>56195309.629999995</v>
      </c>
      <c r="AB83" s="31">
        <f t="shared" si="127"/>
        <v>64245642.629999995</v>
      </c>
      <c r="AC83" s="31">
        <f t="shared" si="127"/>
        <v>71977754.629999995</v>
      </c>
      <c r="AD83" s="31">
        <f t="shared" si="127"/>
        <v>81351602.629999995</v>
      </c>
      <c r="AE83" s="31">
        <f t="shared" si="127"/>
        <v>89122891.629999995</v>
      </c>
      <c r="AF83" s="31">
        <f t="shared" si="127"/>
        <v>99514887.989999995</v>
      </c>
      <c r="AG83" s="13" t="str">
        <f t="shared" si="90"/>
        <v>Ok!</v>
      </c>
    </row>
    <row r="84" spans="1:33" s="62" customFormat="1" ht="15">
      <c r="A84" s="59" t="s">
        <v>32</v>
      </c>
      <c r="B84" s="60"/>
      <c r="C84" s="61">
        <f>IFERROR(C83/C8,)</f>
        <v>0.20094628725071945</v>
      </c>
      <c r="D84" s="61">
        <f t="shared" ref="D84:E84" si="128">IFERROR(D83/D8,)</f>
        <v>0.19813409081125091</v>
      </c>
      <c r="E84" s="61">
        <f t="shared" si="128"/>
        <v>0.17953675031127522</v>
      </c>
      <c r="F84" s="61">
        <f t="shared" ref="F84:N84" si="129">IFERROR(F83/F8,)</f>
        <v>0.1951087137116144</v>
      </c>
      <c r="G84" s="61">
        <f t="shared" si="129"/>
        <v>0.16973096018663139</v>
      </c>
      <c r="H84" s="61">
        <f t="shared" si="129"/>
        <v>0.23493985296157444</v>
      </c>
      <c r="I84" s="61">
        <f t="shared" si="129"/>
        <v>0.22339700235787371</v>
      </c>
      <c r="J84" s="61">
        <f t="shared" si="129"/>
        <v>0.21417311128270744</v>
      </c>
      <c r="K84" s="61">
        <f t="shared" si="129"/>
        <v>0.23887844150339929</v>
      </c>
      <c r="L84" s="61">
        <f t="shared" si="129"/>
        <v>0.31142111703050468</v>
      </c>
      <c r="M84" s="61">
        <f t="shared" si="129"/>
        <v>0.20573361300980589</v>
      </c>
      <c r="N84" s="61">
        <f t="shared" si="129"/>
        <v>0.15855973465720971</v>
      </c>
      <c r="O84" s="61">
        <f t="shared" ref="O84" si="130">IFERROR(O83/O8,)</f>
        <v>0.20423265234533891</v>
      </c>
      <c r="Q84" s="61">
        <f t="shared" ref="Q84:S84" si="131">IFERROR(Q83/Q8,)</f>
        <v>0.17388326603257165</v>
      </c>
      <c r="R84" s="61">
        <f t="shared" si="131"/>
        <v>0.20207299977533916</v>
      </c>
      <c r="S84" s="61">
        <f t="shared" si="131"/>
        <v>0.19138244439216293</v>
      </c>
      <c r="U84" s="61">
        <f>IFERROR(U83/U8,)</f>
        <v>0.20094628725071945</v>
      </c>
      <c r="V84" s="61">
        <f t="shared" ref="V84:AF84" si="132">IFERROR(V83/V8,)</f>
        <v>0.1996503970024818</v>
      </c>
      <c r="W84" s="61">
        <f t="shared" si="132"/>
        <v>0.19227477374683188</v>
      </c>
      <c r="X84" s="61">
        <f t="shared" si="132"/>
        <v>0.19296515738269912</v>
      </c>
      <c r="Y84" s="61">
        <f t="shared" si="132"/>
        <v>0.18807026437800936</v>
      </c>
      <c r="Z84" s="61">
        <f t="shared" si="132"/>
        <v>0.19396756180257163</v>
      </c>
      <c r="AA84" s="61">
        <f t="shared" si="132"/>
        <v>0.19794588721492223</v>
      </c>
      <c r="AB84" s="61">
        <f t="shared" si="132"/>
        <v>0.19984319954550839</v>
      </c>
      <c r="AC84" s="61">
        <f t="shared" si="132"/>
        <v>0.20341395831380979</v>
      </c>
      <c r="AD84" s="61">
        <f t="shared" si="132"/>
        <v>0.21188133697938694</v>
      </c>
      <c r="AE84" s="61">
        <f t="shared" si="132"/>
        <v>0.21133068720858708</v>
      </c>
      <c r="AF84" s="61">
        <f t="shared" si="132"/>
        <v>0.20423265234533897</v>
      </c>
      <c r="AG84" s="13" t="str">
        <f t="shared" si="90"/>
        <v>Ok!</v>
      </c>
    </row>
    <row r="85" spans="1:33" ht="15.75" customHeight="1">
      <c r="A85" s="63" t="s">
        <v>31</v>
      </c>
      <c r="B85" s="64"/>
      <c r="C85" s="58">
        <f>C86+C87</f>
        <v>284</v>
      </c>
      <c r="D85" s="58">
        <f t="shared" ref="D85:E85" si="133">D86+D87</f>
        <v>269</v>
      </c>
      <c r="E85" s="58">
        <f t="shared" si="133"/>
        <v>269</v>
      </c>
      <c r="F85" s="58">
        <f t="shared" ref="F85:N85" si="134">F86+F87</f>
        <v>301</v>
      </c>
      <c r="G85" s="58">
        <f t="shared" si="134"/>
        <v>295</v>
      </c>
      <c r="H85" s="58">
        <f t="shared" si="134"/>
        <v>262</v>
      </c>
      <c r="I85" s="58">
        <f t="shared" si="134"/>
        <v>289</v>
      </c>
      <c r="J85" s="58">
        <f t="shared" si="134"/>
        <v>284</v>
      </c>
      <c r="K85" s="58">
        <f t="shared" si="134"/>
        <v>283</v>
      </c>
      <c r="L85" s="58">
        <f t="shared" si="134"/>
        <v>272</v>
      </c>
      <c r="M85" s="58">
        <f t="shared" si="134"/>
        <v>281</v>
      </c>
      <c r="N85" s="58">
        <f t="shared" si="134"/>
        <v>330</v>
      </c>
      <c r="O85" s="58">
        <f>O86+O87</f>
        <v>284.91666666666669</v>
      </c>
      <c r="Q85" s="58">
        <f t="shared" ref="Q85:S85" si="135">Q86+Q87</f>
        <v>292</v>
      </c>
      <c r="R85" s="58">
        <f t="shared" si="135"/>
        <v>289.5</v>
      </c>
      <c r="S85" s="58">
        <f t="shared" si="135"/>
        <v>297</v>
      </c>
      <c r="U85" s="58">
        <f>U86+U87</f>
        <v>284</v>
      </c>
      <c r="V85" s="58">
        <f t="shared" ref="V85:AF85" si="136">V86+V87</f>
        <v>276.5</v>
      </c>
      <c r="W85" s="58">
        <f t="shared" si="136"/>
        <v>274</v>
      </c>
      <c r="X85" s="58">
        <f t="shared" si="136"/>
        <v>280.75</v>
      </c>
      <c r="Y85" s="58">
        <f t="shared" si="136"/>
        <v>283.60000000000002</v>
      </c>
      <c r="Z85" s="58">
        <f t="shared" si="136"/>
        <v>280</v>
      </c>
      <c r="AA85" s="58">
        <f t="shared" si="136"/>
        <v>281.28571428571428</v>
      </c>
      <c r="AB85" s="58">
        <f t="shared" si="136"/>
        <v>281.625</v>
      </c>
      <c r="AC85" s="58">
        <f t="shared" si="136"/>
        <v>281.77777777777777</v>
      </c>
      <c r="AD85" s="58">
        <f t="shared" si="136"/>
        <v>280.79999999999995</v>
      </c>
      <c r="AE85" s="58">
        <f t="shared" si="136"/>
        <v>280.81818181818181</v>
      </c>
      <c r="AF85" s="58">
        <f t="shared" si="136"/>
        <v>284.91666666666669</v>
      </c>
      <c r="AG85" s="13" t="str">
        <f t="shared" si="90"/>
        <v>Ok!</v>
      </c>
    </row>
    <row r="86" spans="1:33" ht="15.75" customHeight="1">
      <c r="A86" s="65" t="s">
        <v>159</v>
      </c>
      <c r="B86" s="64"/>
      <c r="C86" s="189">
        <v>162</v>
      </c>
      <c r="D86" s="189">
        <v>162</v>
      </c>
      <c r="E86" s="189">
        <v>163</v>
      </c>
      <c r="F86" s="189">
        <v>163</v>
      </c>
      <c r="G86" s="189">
        <v>162</v>
      </c>
      <c r="H86" s="189">
        <v>161</v>
      </c>
      <c r="I86" s="189">
        <v>175</v>
      </c>
      <c r="J86" s="189">
        <v>181</v>
      </c>
      <c r="K86" s="189">
        <v>181</v>
      </c>
      <c r="L86" s="189">
        <v>182</v>
      </c>
      <c r="M86" s="189">
        <v>180</v>
      </c>
      <c r="N86" s="189">
        <v>187</v>
      </c>
      <c r="O86" s="58">
        <f>IFERROR(AVERAGE(C86:N86),0)</f>
        <v>171.58333333333334</v>
      </c>
      <c r="Q86" s="189">
        <v>191</v>
      </c>
      <c r="R86" s="189">
        <v>189</v>
      </c>
      <c r="S86" s="189">
        <v>191</v>
      </c>
      <c r="U86" s="58">
        <f>C86</f>
        <v>162</v>
      </c>
      <c r="V86" s="58">
        <f>(C86+D86)/2</f>
        <v>162</v>
      </c>
      <c r="W86" s="186">
        <f>(C86+D86+E86)/3</f>
        <v>162.33333333333334</v>
      </c>
      <c r="X86" s="186">
        <f>(C86+D86+E86+F86)/4</f>
        <v>162.5</v>
      </c>
      <c r="Y86" s="58">
        <f>(C86+D86+E86+F86+G86)/5</f>
        <v>162.4</v>
      </c>
      <c r="Z86" s="58">
        <f>(C86+D86+E86+F86+G86+H86)/6</f>
        <v>162.16666666666666</v>
      </c>
      <c r="AA86" s="58">
        <f>(C86+D86+E86+F86+G86+H86+I86)/7</f>
        <v>164</v>
      </c>
      <c r="AB86" s="58">
        <f>(C86+D86+E86+F86+G86+H86+I86+J86)/8</f>
        <v>166.125</v>
      </c>
      <c r="AC86" s="58">
        <f>(C86+D86+E86+F86+G86+H86+I86+J86+K86)/9</f>
        <v>167.77777777777777</v>
      </c>
      <c r="AD86" s="58">
        <f>(C86+D86+E86+F86+G86+H86+I86+J86+K86+L86)/10</f>
        <v>169.2</v>
      </c>
      <c r="AE86" s="58">
        <f>(C86+D86+E86+F86+G86+H86+I86+J86+K86+L86+M86)/11</f>
        <v>170.18181818181819</v>
      </c>
      <c r="AF86" s="58">
        <f>(C86+D86+E86+F86+G86+H86+I86+J86+K86+L86+M86+N86)/12</f>
        <v>171.58333333333334</v>
      </c>
      <c r="AG86" s="13" t="str">
        <f t="shared" si="90"/>
        <v>Ok!</v>
      </c>
    </row>
    <row r="87" spans="1:33" ht="15.75" customHeight="1">
      <c r="A87" s="65" t="s">
        <v>201</v>
      </c>
      <c r="B87" s="64"/>
      <c r="C87" s="189">
        <v>122</v>
      </c>
      <c r="D87" s="189">
        <v>107</v>
      </c>
      <c r="E87" s="189">
        <v>106</v>
      </c>
      <c r="F87" s="189">
        <v>138</v>
      </c>
      <c r="G87" s="189">
        <v>133</v>
      </c>
      <c r="H87" s="189">
        <v>101</v>
      </c>
      <c r="I87" s="189">
        <v>114</v>
      </c>
      <c r="J87" s="189">
        <v>103</v>
      </c>
      <c r="K87" s="189">
        <v>102</v>
      </c>
      <c r="L87" s="189">
        <v>90</v>
      </c>
      <c r="M87" s="189">
        <v>101</v>
      </c>
      <c r="N87" s="189">
        <v>143</v>
      </c>
      <c r="O87" s="58">
        <f>IFERROR(AVERAGE(C87:N87),0)</f>
        <v>113.33333333333333</v>
      </c>
      <c r="Q87" s="189">
        <v>101</v>
      </c>
      <c r="R87" s="189">
        <v>100.5</v>
      </c>
      <c r="S87" s="189">
        <v>106</v>
      </c>
      <c r="U87" s="58">
        <f>C87</f>
        <v>122</v>
      </c>
      <c r="V87" s="58">
        <f>(C87+D87)/2</f>
        <v>114.5</v>
      </c>
      <c r="W87" s="186">
        <f>(C87+D87+E87)/3</f>
        <v>111.66666666666667</v>
      </c>
      <c r="X87" s="186">
        <f>(C87+D87+E87+F87)/4</f>
        <v>118.25</v>
      </c>
      <c r="Y87" s="58">
        <f>(C87+D87+E87+F87+G87)/5</f>
        <v>121.2</v>
      </c>
      <c r="Z87" s="58">
        <f>(C87+D87+E87+F87+G87+H87)/6</f>
        <v>117.83333333333333</v>
      </c>
      <c r="AA87" s="58">
        <f>(C87+D87+E87+F87+G87+H87+I87)/7</f>
        <v>117.28571428571429</v>
      </c>
      <c r="AB87" s="58">
        <f>(C87+D87+E87+F87+G87+H87+I87+J87)/8</f>
        <v>115.5</v>
      </c>
      <c r="AC87" s="58">
        <f>(C87+D87+E87+F87+G87+H87+I87+J87+K87)/9</f>
        <v>114</v>
      </c>
      <c r="AD87" s="58">
        <f>(C87+D87+E87+F87+G87+H87+I87+J87+K87+L87)/10</f>
        <v>111.6</v>
      </c>
      <c r="AE87" s="58">
        <f>(C87+D87+E87+F87+G87+H87+I87+J87+K87+L87+M87)/11</f>
        <v>110.63636363636364</v>
      </c>
      <c r="AF87" s="58">
        <f>(C87+D87+E87+F87+G87+H87+I87+J87+K87+L87+M87+N87)/12</f>
        <v>113.33333333333333</v>
      </c>
      <c r="AG87" s="13" t="str">
        <f t="shared" si="90"/>
        <v>Ok!</v>
      </c>
    </row>
    <row r="88" spans="1:33" s="62" customFormat="1" ht="15">
      <c r="A88" s="59" t="s">
        <v>37</v>
      </c>
      <c r="B88" s="60"/>
      <c r="C88" s="32">
        <f>IFERROR(C67/Equity!E9,)</f>
        <v>1.066824315670749E-2</v>
      </c>
      <c r="D88" s="32">
        <f>IFERROR(D67/Equity!E10,)</f>
        <v>6.7675538970001208E-3</v>
      </c>
      <c r="E88" s="32">
        <f>IFERROR(E67/Equity!E11,)</f>
        <v>1.8676235279687429E-2</v>
      </c>
      <c r="F88" s="32">
        <f>IFERROR(F67/Equity!E12,)</f>
        <v>8.1776591510377399E-3</v>
      </c>
      <c r="G88" s="32">
        <f>IFERROR(G67/Equity!E13,)</f>
        <v>1.1091589125861995E-2</v>
      </c>
      <c r="H88" s="32">
        <f>IFERROR(H67/Equity!E14,)</f>
        <v>1.3049719838072096E-3</v>
      </c>
      <c r="I88" s="32">
        <f>IFERROR(I67/Equity!E15,)</f>
        <v>5.209472324574152E-3</v>
      </c>
      <c r="J88" s="32">
        <f>IFERROR(J67/Equity!E16,)</f>
        <v>5.9717424157679057E-3</v>
      </c>
      <c r="K88" s="32">
        <f>IFERROR(K67/Equity!E17,)</f>
        <v>2.2362700856573573E-3</v>
      </c>
      <c r="L88" s="32">
        <f>IFERROR(L67/Equity!E18,)</f>
        <v>9.2992103350559544E-4</v>
      </c>
      <c r="M88" s="32">
        <f>IFERROR(M67/Equity!E19,)</f>
        <v>-1.2457230935255504E-3</v>
      </c>
      <c r="N88" s="32">
        <f>IFERROR(N67/Equity!E20,)</f>
        <v>2.6308741019184793E-2</v>
      </c>
      <c r="O88" s="32">
        <f>IFERROR(O67/Equity!E20,)</f>
        <v>9.283124814038296E-2</v>
      </c>
      <c r="Q88" s="32"/>
      <c r="R88" s="32"/>
      <c r="S88" s="32"/>
      <c r="U88" s="32">
        <f>IFERROR(U67/Equity!E9,)</f>
        <v>1.066824315670749E-2</v>
      </c>
      <c r="V88" s="32">
        <f>IFERROR(V67/Equity!E10,)</f>
        <v>1.7343285858370947E-2</v>
      </c>
      <c r="W88" s="32">
        <f>IFERROR(W67/Equity!E11,)</f>
        <v>3.5799625760462458E-2</v>
      </c>
      <c r="X88" s="32">
        <f>IFERROR(X67/Equity!E12,)</f>
        <v>4.35010523418441E-2</v>
      </c>
      <c r="Y88" s="32">
        <f>IFERROR(Y67/Equity!E13,)</f>
        <v>5.4175231895369907E-2</v>
      </c>
      <c r="Z88" s="32">
        <f>IFERROR(Z67/Equity!E14,)</f>
        <v>5.51462625627036E-2</v>
      </c>
      <c r="AA88" s="32">
        <f>IFERROR(AA67/Equity!E15,)</f>
        <v>6.0176228384616205E-2</v>
      </c>
      <c r="AB88" s="32">
        <f>IFERROR(AB67/Equity!E16,)</f>
        <v>6.5812423147573282E-2</v>
      </c>
      <c r="AC88" s="32">
        <f>IFERROR(AC67/Equity!E17,)</f>
        <v>6.7779402704095937E-2</v>
      </c>
      <c r="AD88" s="32">
        <f>IFERROR(AD67/Equity!E18,)</f>
        <v>6.8602142309460365E-2</v>
      </c>
      <c r="AE88" s="32">
        <f>IFERROR(AE67/Equity!E19,)</f>
        <v>6.7367246530592589E-2</v>
      </c>
      <c r="AF88" s="32">
        <f>IFERROR(AF67/Equity!E20,)</f>
        <v>9.283124814038296E-2</v>
      </c>
      <c r="AG88" s="13" t="str">
        <f t="shared" si="90"/>
        <v>Ok!</v>
      </c>
    </row>
    <row r="89" spans="1:33">
      <c r="D89" s="54"/>
      <c r="E89" s="54"/>
      <c r="F89" s="54"/>
      <c r="G89" s="54"/>
      <c r="H89" s="54"/>
      <c r="I89" s="54"/>
      <c r="J89" s="54"/>
      <c r="K89" s="54"/>
      <c r="L89" s="54"/>
      <c r="M89" s="54"/>
      <c r="N89" s="54"/>
      <c r="O89" s="54"/>
      <c r="Q89" s="54"/>
      <c r="R89" s="54"/>
      <c r="S89" s="54"/>
    </row>
    <row r="286" spans="30:32" ht="15">
      <c r="AD286" s="24" t="s">
        <v>55</v>
      </c>
      <c r="AE286" s="24" t="s">
        <v>56</v>
      </c>
      <c r="AF286" s="24" t="s">
        <v>6</v>
      </c>
    </row>
    <row r="287" spans="30:32" ht="15">
      <c r="AD287" s="24" t="s">
        <v>9</v>
      </c>
      <c r="AE287" s="70" t="s">
        <v>165</v>
      </c>
      <c r="AF287" s="24" t="s">
        <v>5</v>
      </c>
    </row>
    <row r="288" spans="30:32" ht="15">
      <c r="AD288" s="24" t="s">
        <v>39</v>
      </c>
      <c r="AE288" s="71" t="s">
        <v>166</v>
      </c>
    </row>
    <row r="289" spans="30:31" ht="15">
      <c r="AD289" s="24" t="s">
        <v>40</v>
      </c>
      <c r="AE289" s="71" t="s">
        <v>167</v>
      </c>
    </row>
    <row r="290" spans="30:31" ht="15">
      <c r="AD290" s="24" t="s">
        <v>42</v>
      </c>
      <c r="AE290" s="71" t="s">
        <v>168</v>
      </c>
    </row>
    <row r="291" spans="30:31" ht="15">
      <c r="AD291" s="24" t="s">
        <v>163</v>
      </c>
      <c r="AE291" s="71" t="s">
        <v>169</v>
      </c>
    </row>
    <row r="292" spans="30:31" ht="15">
      <c r="AD292" s="24" t="s">
        <v>164</v>
      </c>
      <c r="AE292" s="71" t="s">
        <v>170</v>
      </c>
    </row>
    <row r="293" spans="30:31" ht="15">
      <c r="AE293" s="71" t="s">
        <v>171</v>
      </c>
    </row>
    <row r="294" spans="30:31" ht="15">
      <c r="AE294" s="71" t="s">
        <v>172</v>
      </c>
    </row>
    <row r="295" spans="30:31" ht="15">
      <c r="AE295" s="71" t="s">
        <v>173</v>
      </c>
    </row>
    <row r="296" spans="30:31" ht="15">
      <c r="AE296" s="71" t="s">
        <v>174</v>
      </c>
    </row>
    <row r="297" spans="30:31" ht="15">
      <c r="AE297" s="71" t="s">
        <v>175</v>
      </c>
    </row>
    <row r="298" spans="30:31" ht="15">
      <c r="AE298" s="71" t="s">
        <v>176</v>
      </c>
    </row>
  </sheetData>
  <sheetProtection password="CE24" sheet="1" objects="1" scenarios="1"/>
  <protectedRanges>
    <protectedRange sqref="C5:N5" name="Actual Forecast Heading"/>
    <protectedRange sqref="C65:N65" name="Income Taxes"/>
    <protectedRange sqref="C51:N55" name="NonOperating Items"/>
    <protectedRange sqref="C45:N45" name="Management Fee"/>
    <protectedRange sqref="C32:N36" name="Undistributed Expenses"/>
    <protectedRange sqref="C11:N13 C15:N19" name="Revenue"/>
    <protectedRange sqref="C22:N22 C24:N25 C27:N28" name="Departmental Expenses"/>
    <protectedRange sqref="C61:N61" name="Depreciation"/>
    <protectedRange sqref="C71:N72 C78:N78 C83:N83 C86:N87" name="Statistics"/>
    <protectedRange sqref="Q11:S13 Q15:S19 Q22:S22 Q24:S25 Q27:S28 Q32:S36 Q45:S45 Q51:S55 Q61:S61 Q65:S65 Q71:S72 Q78:S78 Q83:S83 Q86:S87" name="First 3 Months 2016"/>
  </protectedRanges>
  <mergeCells count="1">
    <mergeCell ref="Q4:S4"/>
  </mergeCells>
  <dataValidations disablePrompts="1" count="2">
    <dataValidation type="list" allowBlank="1" showInputMessage="1" showErrorMessage="1" promptTitle="Property Name" prompt="Select property name" sqref="A1">
      <formula1>$AD$286:$AD$292</formula1>
    </dataValidation>
    <dataValidation type="list" allowBlank="1" showInputMessage="1" showErrorMessage="1" sqref="C5:O5">
      <formula1>$AF$286:$AF$287</formula1>
    </dataValidation>
  </dataValidations>
  <printOptions horizontalCentered="1"/>
  <pageMargins left="0" right="0" top="0" bottom="0" header="0" footer="0"/>
  <pageSetup paperSize="8" fitToHeight="0" orientation="landscape" r:id="rId1"/>
  <headerFooter scaleWithDoc="0"/>
  <rowBreaks count="1" manualBreakCount="1">
    <brk id="49" max="1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00B050"/>
    <pageSetUpPr fitToPage="1"/>
  </sheetPr>
  <dimension ref="A1:AG298"/>
  <sheetViews>
    <sheetView view="pageBreakPreview" zoomScale="80" zoomScaleNormal="90" zoomScaleSheetLayoutView="80" workbookViewId="0">
      <pane xSplit="2" ySplit="6" topLeftCell="I7" activePane="bottomRight" state="frozen"/>
      <selection activeCell="A16" sqref="A16"/>
      <selection pane="topRight" activeCell="A16" sqref="A16"/>
      <selection pane="bottomLeft" activeCell="A16" sqref="A16"/>
      <selection pane="bottomRight" activeCell="S18" sqref="S18:S19"/>
    </sheetView>
  </sheetViews>
  <sheetFormatPr defaultRowHeight="14.25" outlineLevelCol="1"/>
  <cols>
    <col min="1" max="1" width="47.42578125" style="7" customWidth="1"/>
    <col min="2" max="2" width="2.28515625" style="7" customWidth="1"/>
    <col min="3" max="3" width="12.28515625" style="21" customWidth="1"/>
    <col min="4" max="15" width="12.28515625" style="13" customWidth="1"/>
    <col min="16" max="16" width="4.85546875" style="13" customWidth="1"/>
    <col min="17" max="19" width="12.28515625" style="13" customWidth="1" outlineLevel="1"/>
    <col min="20" max="20" width="4.85546875" style="13" customWidth="1"/>
    <col min="21" max="32" width="11.28515625" style="13" customWidth="1"/>
    <col min="33" max="16384" width="9.140625" style="13"/>
  </cols>
  <sheetData>
    <row r="1" spans="1:33" s="3" customFormat="1" ht="15">
      <c r="A1" s="1" t="str">
        <f>'Top Flash'!A1</f>
        <v>TAAL VISTA HOTEL</v>
      </c>
      <c r="B1" s="2"/>
      <c r="C1" s="2"/>
    </row>
    <row r="2" spans="1:33" s="3" customFormat="1" ht="15">
      <c r="A2" s="4" t="s">
        <v>153</v>
      </c>
      <c r="B2" s="2"/>
      <c r="C2" s="2"/>
    </row>
    <row r="3" spans="1:33" s="7" customFormat="1" ht="15">
      <c r="A3" s="4" t="str">
        <f>'Top Flash'!A3</f>
        <v>December 2015</v>
      </c>
      <c r="B3" s="6"/>
      <c r="C3" s="6"/>
      <c r="D3" s="6"/>
      <c r="E3" s="6"/>
      <c r="F3" s="6"/>
      <c r="G3" s="6"/>
      <c r="H3" s="6"/>
      <c r="I3" s="6"/>
      <c r="J3" s="6"/>
      <c r="K3" s="6"/>
      <c r="L3" s="6"/>
      <c r="M3" s="6"/>
      <c r="N3" s="6"/>
      <c r="O3" s="6"/>
      <c r="Q3" s="6"/>
      <c r="R3" s="6"/>
      <c r="S3" s="6"/>
    </row>
    <row r="4" spans="1:33" ht="15.75" customHeight="1">
      <c r="A4" s="8" t="s">
        <v>38</v>
      </c>
      <c r="B4" s="8"/>
      <c r="C4" s="79"/>
      <c r="D4" s="80"/>
      <c r="E4" s="11"/>
      <c r="F4" s="16" t="s">
        <v>292</v>
      </c>
      <c r="G4" s="16"/>
      <c r="H4" s="16"/>
      <c r="I4" s="16"/>
      <c r="J4" s="16"/>
      <c r="K4" s="11"/>
      <c r="L4" s="11"/>
      <c r="M4" s="16"/>
      <c r="N4" s="11"/>
      <c r="O4" s="12"/>
      <c r="Q4" s="306" t="s">
        <v>232</v>
      </c>
      <c r="R4" s="307"/>
      <c r="S4" s="308"/>
      <c r="U4" s="79"/>
      <c r="V4" s="80"/>
      <c r="W4" s="11"/>
      <c r="X4" s="16" t="s">
        <v>227</v>
      </c>
      <c r="Y4" s="16"/>
      <c r="Z4" s="16"/>
      <c r="AA4" s="16"/>
      <c r="AB4" s="16"/>
      <c r="AC4" s="11"/>
      <c r="AD4" s="11"/>
      <c r="AE4" s="16"/>
      <c r="AF4" s="12"/>
    </row>
    <row r="5" spans="1:33" ht="15.75" customHeight="1">
      <c r="A5" s="8"/>
      <c r="B5" s="8"/>
      <c r="C5" s="78"/>
      <c r="D5" s="78"/>
      <c r="E5" s="78"/>
      <c r="F5" s="78"/>
      <c r="G5" s="78"/>
      <c r="H5" s="78"/>
      <c r="I5" s="78"/>
      <c r="J5" s="78"/>
      <c r="K5" s="78"/>
      <c r="L5" s="78"/>
      <c r="M5" s="78"/>
      <c r="N5" s="78"/>
      <c r="O5" s="78"/>
      <c r="Q5" s="94"/>
      <c r="R5" s="94"/>
      <c r="S5" s="94"/>
      <c r="U5" s="94"/>
      <c r="V5" s="94"/>
      <c r="W5" s="94"/>
      <c r="X5" s="94"/>
      <c r="Y5" s="94"/>
      <c r="Z5" s="94"/>
      <c r="AA5" s="94"/>
      <c r="AB5" s="94"/>
      <c r="AC5" s="94"/>
      <c r="AD5" s="94"/>
      <c r="AE5" s="94"/>
      <c r="AF5" s="94"/>
    </row>
    <row r="6" spans="1:33" ht="30" customHeight="1">
      <c r="A6" s="18"/>
      <c r="B6" s="18"/>
      <c r="C6" s="81">
        <v>42005</v>
      </c>
      <c r="D6" s="81">
        <v>42036</v>
      </c>
      <c r="E6" s="81">
        <v>42064</v>
      </c>
      <c r="F6" s="81">
        <v>42095</v>
      </c>
      <c r="G6" s="81">
        <v>42125</v>
      </c>
      <c r="H6" s="81">
        <v>42156</v>
      </c>
      <c r="I6" s="81">
        <v>42186</v>
      </c>
      <c r="J6" s="81">
        <v>42217</v>
      </c>
      <c r="K6" s="81">
        <v>42248</v>
      </c>
      <c r="L6" s="81">
        <v>42278</v>
      </c>
      <c r="M6" s="81">
        <v>42309</v>
      </c>
      <c r="N6" s="81">
        <v>42339</v>
      </c>
      <c r="O6" s="81" t="s">
        <v>214</v>
      </c>
      <c r="Q6" s="81">
        <v>42370</v>
      </c>
      <c r="R6" s="81">
        <v>42401</v>
      </c>
      <c r="S6" s="81">
        <v>42430</v>
      </c>
      <c r="U6" s="81">
        <v>42005</v>
      </c>
      <c r="V6" s="81">
        <v>42036</v>
      </c>
      <c r="W6" s="81">
        <v>42064</v>
      </c>
      <c r="X6" s="81">
        <v>42095</v>
      </c>
      <c r="Y6" s="81">
        <v>42125</v>
      </c>
      <c r="Z6" s="81">
        <v>42156</v>
      </c>
      <c r="AA6" s="81">
        <v>42186</v>
      </c>
      <c r="AB6" s="81">
        <v>42217</v>
      </c>
      <c r="AC6" s="81">
        <v>42248</v>
      </c>
      <c r="AD6" s="81">
        <v>42278</v>
      </c>
      <c r="AE6" s="81">
        <v>42309</v>
      </c>
      <c r="AF6" s="81">
        <v>42339</v>
      </c>
    </row>
    <row r="7" spans="1:33" ht="15" customHeight="1">
      <c r="C7" s="20"/>
      <c r="U7" s="20"/>
    </row>
    <row r="8" spans="1:33" s="24" customFormat="1" ht="15" customHeight="1">
      <c r="A8" s="18" t="s">
        <v>177</v>
      </c>
      <c r="B8" s="18"/>
      <c r="C8" s="72">
        <f t="shared" ref="C8:N8" si="0">SUBTOTAL(9,C10:C19)</f>
        <v>50794269.68214681</v>
      </c>
      <c r="D8" s="72">
        <f t="shared" si="0"/>
        <v>40454263.305455662</v>
      </c>
      <c r="E8" s="72">
        <f t="shared" si="0"/>
        <v>41773215.364204399</v>
      </c>
      <c r="F8" s="72">
        <f t="shared" si="0"/>
        <v>42162856.491593711</v>
      </c>
      <c r="G8" s="72">
        <f t="shared" si="0"/>
        <v>48211411.894824907</v>
      </c>
      <c r="H8" s="72">
        <f t="shared" si="0"/>
        <v>31871437.490341343</v>
      </c>
      <c r="I8" s="72">
        <f t="shared" si="0"/>
        <v>31250056.141035482</v>
      </c>
      <c r="J8" s="72">
        <f t="shared" si="0"/>
        <v>30393545.238233581</v>
      </c>
      <c r="K8" s="72">
        <f t="shared" si="0"/>
        <v>32147465.137798563</v>
      </c>
      <c r="L8" s="72">
        <f t="shared" si="0"/>
        <v>47657566.527728975</v>
      </c>
      <c r="M8" s="72">
        <f t="shared" si="0"/>
        <v>58677050.475394368</v>
      </c>
      <c r="N8" s="72">
        <f t="shared" si="0"/>
        <v>61200377.817163497</v>
      </c>
      <c r="O8" s="72">
        <f>SUM(C8:N8)</f>
        <v>516593515.56592131</v>
      </c>
      <c r="Q8" s="72">
        <f t="shared" ref="Q8:S8" si="1">SUBTOTAL(9,Q10:Q19)</f>
        <v>50957300</v>
      </c>
      <c r="R8" s="72">
        <f t="shared" si="1"/>
        <v>44559000</v>
      </c>
      <c r="S8" s="72">
        <f t="shared" si="1"/>
        <v>48671800</v>
      </c>
      <c r="U8" s="72">
        <f t="shared" ref="U8:AF8" si="2">SUBTOTAL(9,U10:U19)</f>
        <v>50794269.68214681</v>
      </c>
      <c r="V8" s="72">
        <f t="shared" si="2"/>
        <v>91248532.987602472</v>
      </c>
      <c r="W8" s="72">
        <f t="shared" si="2"/>
        <v>133021748.35180689</v>
      </c>
      <c r="X8" s="72">
        <f t="shared" si="2"/>
        <v>175184604.8434006</v>
      </c>
      <c r="Y8" s="72">
        <f t="shared" si="2"/>
        <v>223396016.73822546</v>
      </c>
      <c r="Z8" s="72">
        <f t="shared" si="2"/>
        <v>255267454.22856683</v>
      </c>
      <c r="AA8" s="72">
        <f t="shared" si="2"/>
        <v>286517510.36960226</v>
      </c>
      <c r="AB8" s="72">
        <f t="shared" si="2"/>
        <v>316911055.60783589</v>
      </c>
      <c r="AC8" s="72">
        <f t="shared" si="2"/>
        <v>349058520.7456345</v>
      </c>
      <c r="AD8" s="72">
        <f t="shared" si="2"/>
        <v>396716087.27336341</v>
      </c>
      <c r="AE8" s="72">
        <f t="shared" si="2"/>
        <v>455393137.74875784</v>
      </c>
      <c r="AF8" s="72">
        <f t="shared" si="2"/>
        <v>516593515.56592125</v>
      </c>
      <c r="AG8" s="13" t="str">
        <f>IF(O8=AF8, "Ok!", "Error!")</f>
        <v>Ok!</v>
      </c>
    </row>
    <row r="9" spans="1:33" ht="15" customHeight="1">
      <c r="A9" s="1"/>
      <c r="B9" s="1"/>
      <c r="C9" s="20"/>
      <c r="D9" s="20"/>
      <c r="E9" s="20"/>
      <c r="F9" s="20"/>
      <c r="G9" s="20"/>
      <c r="H9" s="20"/>
      <c r="I9" s="20"/>
      <c r="J9" s="20"/>
      <c r="K9" s="20"/>
      <c r="L9" s="20"/>
      <c r="M9" s="20"/>
      <c r="N9" s="20"/>
      <c r="O9" s="20"/>
      <c r="Q9" s="20"/>
      <c r="R9" s="20"/>
      <c r="S9" s="20"/>
      <c r="U9" s="20"/>
      <c r="V9" s="20"/>
      <c r="W9" s="20"/>
      <c r="X9" s="20"/>
      <c r="Y9" s="20"/>
      <c r="Z9" s="20"/>
      <c r="AA9" s="20"/>
      <c r="AB9" s="20"/>
      <c r="AC9" s="20"/>
      <c r="AD9" s="20"/>
      <c r="AE9" s="20"/>
      <c r="AF9" s="20"/>
    </row>
    <row r="10" spans="1:33" ht="15" customHeight="1">
      <c r="A10" s="29" t="s">
        <v>156</v>
      </c>
      <c r="B10" s="30"/>
      <c r="C10" s="31">
        <f>SUBTOTAL(9,C11:C13)</f>
        <v>24964516</v>
      </c>
      <c r="D10" s="31">
        <f t="shared" ref="D10:N10" si="3">SUBTOTAL(9,D11:D13)</f>
        <v>19127634</v>
      </c>
      <c r="E10" s="31">
        <f t="shared" si="3"/>
        <v>19837383</v>
      </c>
      <c r="F10" s="31">
        <f t="shared" si="3"/>
        <v>20817575</v>
      </c>
      <c r="G10" s="31">
        <f t="shared" si="3"/>
        <v>22948544.864500001</v>
      </c>
      <c r="H10" s="31">
        <f t="shared" si="3"/>
        <v>14683229</v>
      </c>
      <c r="I10" s="31">
        <f t="shared" si="3"/>
        <v>14174700</v>
      </c>
      <c r="J10" s="31">
        <f t="shared" si="3"/>
        <v>15419505</v>
      </c>
      <c r="K10" s="31">
        <f t="shared" si="3"/>
        <v>16245384</v>
      </c>
      <c r="L10" s="31">
        <f t="shared" si="3"/>
        <v>22172598.5</v>
      </c>
      <c r="M10" s="31">
        <f t="shared" si="3"/>
        <v>27433747.5</v>
      </c>
      <c r="N10" s="31">
        <f t="shared" si="3"/>
        <v>29553201</v>
      </c>
      <c r="O10" s="31">
        <f>SUM(C10:N10)</f>
        <v>247378017.86449999</v>
      </c>
      <c r="Q10" s="31">
        <f t="shared" ref="Q10:S10" si="4">SUBTOTAL(9,Q11:Q13)</f>
        <v>23796700</v>
      </c>
      <c r="R10" s="31">
        <f t="shared" si="4"/>
        <v>20753000</v>
      </c>
      <c r="S10" s="31">
        <f t="shared" si="4"/>
        <v>23352000</v>
      </c>
      <c r="U10" s="31">
        <f t="shared" ref="U10:AF10" si="5">SUBTOTAL(9,U11:U13)</f>
        <v>24964516</v>
      </c>
      <c r="V10" s="31">
        <f t="shared" si="5"/>
        <v>44092150</v>
      </c>
      <c r="W10" s="31">
        <f t="shared" si="5"/>
        <v>63929533</v>
      </c>
      <c r="X10" s="31">
        <f t="shared" si="5"/>
        <v>84747108</v>
      </c>
      <c r="Y10" s="31">
        <f t="shared" si="5"/>
        <v>107695652.8645</v>
      </c>
      <c r="Z10" s="31">
        <f t="shared" si="5"/>
        <v>122378881.8645</v>
      </c>
      <c r="AA10" s="31">
        <f t="shared" si="5"/>
        <v>136553581.86449999</v>
      </c>
      <c r="AB10" s="31">
        <f t="shared" si="5"/>
        <v>151973086.86449999</v>
      </c>
      <c r="AC10" s="31">
        <f t="shared" si="5"/>
        <v>168218470.86449999</v>
      </c>
      <c r="AD10" s="31">
        <f t="shared" si="5"/>
        <v>190391069.36449999</v>
      </c>
      <c r="AE10" s="31">
        <f t="shared" si="5"/>
        <v>217824816.86449999</v>
      </c>
      <c r="AF10" s="31">
        <f t="shared" si="5"/>
        <v>247378017.86449999</v>
      </c>
      <c r="AG10" s="13" t="str">
        <f t="shared" ref="AG10:AG19" si="6">IF(O10=AF10, "Ok!", "Error!")</f>
        <v>Ok!</v>
      </c>
    </row>
    <row r="11" spans="1:33" ht="15" customHeight="1">
      <c r="A11" s="82" t="s">
        <v>179</v>
      </c>
      <c r="B11" s="30"/>
      <c r="C11" s="188">
        <v>13647170</v>
      </c>
      <c r="D11" s="188">
        <v>11641331</v>
      </c>
      <c r="E11" s="188">
        <v>11048949</v>
      </c>
      <c r="F11" s="188">
        <v>13833490</v>
      </c>
      <c r="G11" s="188">
        <v>11993510.864499999</v>
      </c>
      <c r="H11" s="188">
        <v>10286253</v>
      </c>
      <c r="I11" s="188">
        <v>8736590</v>
      </c>
      <c r="J11" s="188">
        <v>10854240</v>
      </c>
      <c r="K11" s="188">
        <v>8767120</v>
      </c>
      <c r="L11" s="188">
        <v>11702252.5</v>
      </c>
      <c r="M11" s="188">
        <v>14392160</v>
      </c>
      <c r="N11" s="188">
        <v>22354332</v>
      </c>
      <c r="O11" s="31">
        <f t="shared" ref="O11:O19" si="7">SUM(C11:N11)</f>
        <v>149257398.36449999</v>
      </c>
      <c r="Q11" s="261">
        <f>16328700</f>
        <v>16328700</v>
      </c>
      <c r="R11" s="188">
        <f>12227000</f>
        <v>12227000</v>
      </c>
      <c r="S11" s="188">
        <v>15379000</v>
      </c>
      <c r="U11" s="31">
        <f>C11</f>
        <v>13647170</v>
      </c>
      <c r="V11" s="31">
        <f t="shared" ref="V11:AF13" si="8">U11+D11</f>
        <v>25288501</v>
      </c>
      <c r="W11" s="31">
        <f t="shared" si="8"/>
        <v>36337450</v>
      </c>
      <c r="X11" s="31">
        <f t="shared" si="8"/>
        <v>50170940</v>
      </c>
      <c r="Y11" s="31">
        <f t="shared" si="8"/>
        <v>62164450.864500001</v>
      </c>
      <c r="Z11" s="31">
        <f t="shared" si="8"/>
        <v>72450703.864500001</v>
      </c>
      <c r="AA11" s="31">
        <f t="shared" si="8"/>
        <v>81187293.864500001</v>
      </c>
      <c r="AB11" s="31">
        <f t="shared" si="8"/>
        <v>92041533.864500001</v>
      </c>
      <c r="AC11" s="31">
        <f t="shared" si="8"/>
        <v>100808653.8645</v>
      </c>
      <c r="AD11" s="31">
        <f t="shared" si="8"/>
        <v>112510906.3645</v>
      </c>
      <c r="AE11" s="31">
        <f t="shared" si="8"/>
        <v>126903066.3645</v>
      </c>
      <c r="AF11" s="31">
        <f t="shared" si="8"/>
        <v>149257398.36449999</v>
      </c>
      <c r="AG11" s="13" t="str">
        <f t="shared" si="6"/>
        <v>Ok!</v>
      </c>
    </row>
    <row r="12" spans="1:33" ht="15" customHeight="1">
      <c r="A12" s="82" t="s">
        <v>180</v>
      </c>
      <c r="B12" s="30"/>
      <c r="C12" s="188">
        <v>11176610</v>
      </c>
      <c r="D12" s="188">
        <v>7360960</v>
      </c>
      <c r="E12" s="188">
        <v>8675475</v>
      </c>
      <c r="F12" s="188">
        <v>6712690</v>
      </c>
      <c r="G12" s="188">
        <v>10614690</v>
      </c>
      <c r="H12" s="188">
        <v>3989150</v>
      </c>
      <c r="I12" s="188">
        <v>5320750</v>
      </c>
      <c r="J12" s="188">
        <v>4425900</v>
      </c>
      <c r="K12" s="188">
        <v>7346234</v>
      </c>
      <c r="L12" s="188">
        <v>10176946</v>
      </c>
      <c r="M12" s="188">
        <v>12788530</v>
      </c>
      <c r="N12" s="188">
        <v>6895200</v>
      </c>
      <c r="O12" s="31">
        <f t="shared" si="7"/>
        <v>95483135</v>
      </c>
      <c r="Q12" s="261">
        <f>7314000</f>
        <v>7314000</v>
      </c>
      <c r="R12" s="188">
        <f>8372000</f>
        <v>8372000</v>
      </c>
      <c r="S12" s="188">
        <v>7780000</v>
      </c>
      <c r="U12" s="31">
        <f>C12</f>
        <v>11176610</v>
      </c>
      <c r="V12" s="31">
        <f t="shared" si="8"/>
        <v>18537570</v>
      </c>
      <c r="W12" s="31">
        <f t="shared" si="8"/>
        <v>27213045</v>
      </c>
      <c r="X12" s="31">
        <f t="shared" si="8"/>
        <v>33925735</v>
      </c>
      <c r="Y12" s="31">
        <f t="shared" si="8"/>
        <v>44540425</v>
      </c>
      <c r="Z12" s="31">
        <f t="shared" si="8"/>
        <v>48529575</v>
      </c>
      <c r="AA12" s="31">
        <f t="shared" si="8"/>
        <v>53850325</v>
      </c>
      <c r="AB12" s="31">
        <f t="shared" si="8"/>
        <v>58276225</v>
      </c>
      <c r="AC12" s="31">
        <f t="shared" si="8"/>
        <v>65622459</v>
      </c>
      <c r="AD12" s="31">
        <f t="shared" si="8"/>
        <v>75799405</v>
      </c>
      <c r="AE12" s="31">
        <f t="shared" si="8"/>
        <v>88587935</v>
      </c>
      <c r="AF12" s="31">
        <f t="shared" si="8"/>
        <v>95483135</v>
      </c>
      <c r="AG12" s="13" t="str">
        <f t="shared" si="6"/>
        <v>Ok!</v>
      </c>
    </row>
    <row r="13" spans="1:33" ht="15" customHeight="1">
      <c r="A13" s="82" t="s">
        <v>181</v>
      </c>
      <c r="B13" s="30"/>
      <c r="C13" s="188">
        <v>140736</v>
      </c>
      <c r="D13" s="188">
        <v>125343</v>
      </c>
      <c r="E13" s="188">
        <v>112959</v>
      </c>
      <c r="F13" s="188">
        <v>271395</v>
      </c>
      <c r="G13" s="188">
        <v>340344</v>
      </c>
      <c r="H13" s="188">
        <v>407826</v>
      </c>
      <c r="I13" s="188">
        <v>117360</v>
      </c>
      <c r="J13" s="188">
        <v>139365</v>
      </c>
      <c r="K13" s="188">
        <v>132030</v>
      </c>
      <c r="L13" s="188">
        <v>293400</v>
      </c>
      <c r="M13" s="188">
        <v>253057.5</v>
      </c>
      <c r="N13" s="188">
        <v>303669</v>
      </c>
      <c r="O13" s="31">
        <f t="shared" si="7"/>
        <v>2637484.5</v>
      </c>
      <c r="Q13" s="261">
        <f>154000</f>
        <v>154000</v>
      </c>
      <c r="R13" s="188">
        <f>154000</f>
        <v>154000</v>
      </c>
      <c r="S13" s="188">
        <v>193000</v>
      </c>
      <c r="U13" s="31">
        <f>C13</f>
        <v>140736</v>
      </c>
      <c r="V13" s="31">
        <f t="shared" si="8"/>
        <v>266079</v>
      </c>
      <c r="W13" s="31">
        <f t="shared" si="8"/>
        <v>379038</v>
      </c>
      <c r="X13" s="31">
        <f t="shared" si="8"/>
        <v>650433</v>
      </c>
      <c r="Y13" s="31">
        <f t="shared" si="8"/>
        <v>990777</v>
      </c>
      <c r="Z13" s="31">
        <f t="shared" si="8"/>
        <v>1398603</v>
      </c>
      <c r="AA13" s="31">
        <f t="shared" si="8"/>
        <v>1515963</v>
      </c>
      <c r="AB13" s="31">
        <f t="shared" si="8"/>
        <v>1655328</v>
      </c>
      <c r="AC13" s="31">
        <f t="shared" si="8"/>
        <v>1787358</v>
      </c>
      <c r="AD13" s="31">
        <f t="shared" si="8"/>
        <v>2080758</v>
      </c>
      <c r="AE13" s="31">
        <f t="shared" si="8"/>
        <v>2333815.5</v>
      </c>
      <c r="AF13" s="31">
        <f t="shared" si="8"/>
        <v>2637484.5</v>
      </c>
      <c r="AG13" s="13" t="str">
        <f t="shared" si="6"/>
        <v>Ok!</v>
      </c>
    </row>
    <row r="14" spans="1:33" ht="15" customHeight="1">
      <c r="A14" s="29" t="s">
        <v>182</v>
      </c>
      <c r="B14" s="30"/>
      <c r="C14" s="31">
        <f t="shared" ref="C14:N14" si="9">SUBTOTAL(9,C15:C17)</f>
        <v>24528187.274</v>
      </c>
      <c r="D14" s="31">
        <f t="shared" si="9"/>
        <v>20094779.658910669</v>
      </c>
      <c r="E14" s="31">
        <f t="shared" si="9"/>
        <v>20688904.262537275</v>
      </c>
      <c r="F14" s="31">
        <f t="shared" si="9"/>
        <v>20087687.0471</v>
      </c>
      <c r="G14" s="31">
        <f t="shared" si="9"/>
        <v>23952664.8785</v>
      </c>
      <c r="H14" s="31">
        <f t="shared" si="9"/>
        <v>16012898.76</v>
      </c>
      <c r="I14" s="31">
        <f t="shared" si="9"/>
        <v>15904957.511504</v>
      </c>
      <c r="J14" s="31">
        <f t="shared" si="9"/>
        <v>13801166.622000001</v>
      </c>
      <c r="K14" s="31">
        <f t="shared" si="9"/>
        <v>14721370.84537372</v>
      </c>
      <c r="L14" s="31">
        <f t="shared" si="9"/>
        <v>24217549.98632</v>
      </c>
      <c r="M14" s="31">
        <f t="shared" si="9"/>
        <v>29921312.664688002</v>
      </c>
      <c r="N14" s="31">
        <f t="shared" si="9"/>
        <v>30284827.226499997</v>
      </c>
      <c r="O14" s="31">
        <f t="shared" si="7"/>
        <v>254216306.73743364</v>
      </c>
      <c r="Q14" s="31">
        <f t="shared" ref="Q14:S14" si="10">SUBTOTAL(9,Q15:Q17)</f>
        <v>25409000</v>
      </c>
      <c r="R14" s="31">
        <f t="shared" si="10"/>
        <v>22208000</v>
      </c>
      <c r="S14" s="31">
        <f t="shared" si="10"/>
        <v>23591800</v>
      </c>
      <c r="U14" s="31">
        <f t="shared" ref="U14:AF14" si="11">SUBTOTAL(9,U15:U17)</f>
        <v>24528187.274</v>
      </c>
      <c r="V14" s="31">
        <f t="shared" si="11"/>
        <v>44622966.932910673</v>
      </c>
      <c r="W14" s="31">
        <f t="shared" si="11"/>
        <v>65311871.195447944</v>
      </c>
      <c r="X14" s="31">
        <f t="shared" si="11"/>
        <v>85399558.242547944</v>
      </c>
      <c r="Y14" s="31">
        <f t="shared" si="11"/>
        <v>109352223.12104794</v>
      </c>
      <c r="Z14" s="31">
        <f t="shared" si="11"/>
        <v>125365121.88104795</v>
      </c>
      <c r="AA14" s="31">
        <f t="shared" si="11"/>
        <v>141270079.39255196</v>
      </c>
      <c r="AB14" s="31">
        <f t="shared" si="11"/>
        <v>155071246.01455194</v>
      </c>
      <c r="AC14" s="31">
        <f t="shared" si="11"/>
        <v>169792616.85992569</v>
      </c>
      <c r="AD14" s="31">
        <f t="shared" si="11"/>
        <v>194010166.84624565</v>
      </c>
      <c r="AE14" s="31">
        <f t="shared" si="11"/>
        <v>223931479.51093367</v>
      </c>
      <c r="AF14" s="31">
        <f t="shared" si="11"/>
        <v>254216306.73743364</v>
      </c>
      <c r="AG14" s="13" t="str">
        <f t="shared" si="6"/>
        <v>Ok!</v>
      </c>
    </row>
    <row r="15" spans="1:33" ht="15" customHeight="1">
      <c r="A15" s="82" t="s">
        <v>183</v>
      </c>
      <c r="B15" s="30"/>
      <c r="C15" s="188">
        <v>10147648</v>
      </c>
      <c r="D15" s="188">
        <v>10144093.999899138</v>
      </c>
      <c r="E15" s="188">
        <v>9643680.0003357045</v>
      </c>
      <c r="F15" s="188">
        <v>10947659</v>
      </c>
      <c r="G15" s="188">
        <v>9700726</v>
      </c>
      <c r="H15" s="188">
        <f>16012898.76-H16-H17</f>
        <v>8996275.9978999998</v>
      </c>
      <c r="I15" s="188">
        <v>7372781.6071039997</v>
      </c>
      <c r="J15" s="188">
        <v>8079346.4800000004</v>
      </c>
      <c r="K15" s="188">
        <v>6613669.1733737197</v>
      </c>
      <c r="L15" s="188">
        <v>12954293.936319999</v>
      </c>
      <c r="M15" s="188">
        <v>13979961.890688002</v>
      </c>
      <c r="N15" s="188">
        <v>18299672.239999998</v>
      </c>
      <c r="O15" s="31">
        <f t="shared" si="7"/>
        <v>126879808.32562055</v>
      </c>
      <c r="Q15" s="261">
        <f>12786000</f>
        <v>12786000</v>
      </c>
      <c r="R15" s="188">
        <f>10994000</f>
        <v>10994000</v>
      </c>
      <c r="S15" s="188">
        <v>11732400</v>
      </c>
      <c r="U15" s="31">
        <f>C15</f>
        <v>10147648</v>
      </c>
      <c r="V15" s="31">
        <f t="shared" ref="V15:AF19" si="12">U15+D15</f>
        <v>20291741.999899138</v>
      </c>
      <c r="W15" s="31">
        <f t="shared" si="12"/>
        <v>29935422.000234842</v>
      </c>
      <c r="X15" s="31">
        <f t="shared" si="12"/>
        <v>40883081.000234842</v>
      </c>
      <c r="Y15" s="31">
        <f t="shared" si="12"/>
        <v>50583807.000234842</v>
      </c>
      <c r="Z15" s="31">
        <f t="shared" si="12"/>
        <v>59580082.998134844</v>
      </c>
      <c r="AA15" s="31">
        <f t="shared" si="12"/>
        <v>66952864.60523884</v>
      </c>
      <c r="AB15" s="31">
        <f t="shared" si="12"/>
        <v>75032211.085238844</v>
      </c>
      <c r="AC15" s="31">
        <f t="shared" si="12"/>
        <v>81645880.258612558</v>
      </c>
      <c r="AD15" s="31">
        <f t="shared" si="12"/>
        <v>94600174.19493255</v>
      </c>
      <c r="AE15" s="31">
        <f t="shared" si="12"/>
        <v>108580136.08562055</v>
      </c>
      <c r="AF15" s="31">
        <f t="shared" si="12"/>
        <v>126879808.32562055</v>
      </c>
      <c r="AG15" s="13" t="str">
        <f t="shared" si="6"/>
        <v>Ok!</v>
      </c>
    </row>
    <row r="16" spans="1:33" ht="15.75" customHeight="1">
      <c r="A16" s="82" t="s">
        <v>184</v>
      </c>
      <c r="B16" s="30"/>
      <c r="C16" s="188">
        <v>13263426</v>
      </c>
      <c r="D16" s="188">
        <v>8755052.9999124501</v>
      </c>
      <c r="E16" s="188">
        <v>9574773.8318669703</v>
      </c>
      <c r="F16" s="188">
        <v>7774002</v>
      </c>
      <c r="G16" s="188">
        <v>12618880</v>
      </c>
      <c r="H16" s="188">
        <v>5970547</v>
      </c>
      <c r="I16" s="188">
        <v>6774898</v>
      </c>
      <c r="J16" s="188">
        <v>5134204</v>
      </c>
      <c r="K16" s="188">
        <v>7674064</v>
      </c>
      <c r="L16" s="188">
        <v>10110100</v>
      </c>
      <c r="M16" s="188">
        <v>14201788</v>
      </c>
      <c r="N16" s="188">
        <v>9842993</v>
      </c>
      <c r="O16" s="31">
        <f t="shared" si="7"/>
        <v>111694728.83177942</v>
      </c>
      <c r="Q16" s="261">
        <f>11184000</f>
        <v>11184000</v>
      </c>
      <c r="R16" s="188">
        <f>9862000</f>
        <v>9862000</v>
      </c>
      <c r="S16" s="188">
        <v>10316400</v>
      </c>
      <c r="U16" s="31">
        <f>C16</f>
        <v>13263426</v>
      </c>
      <c r="V16" s="31">
        <f t="shared" si="12"/>
        <v>22018478.999912448</v>
      </c>
      <c r="W16" s="31">
        <f t="shared" si="12"/>
        <v>31593252.83177942</v>
      </c>
      <c r="X16" s="31">
        <f t="shared" si="12"/>
        <v>39367254.83177942</v>
      </c>
      <c r="Y16" s="31">
        <f t="shared" si="12"/>
        <v>51986134.83177942</v>
      </c>
      <c r="Z16" s="31">
        <f t="shared" si="12"/>
        <v>57956681.83177942</v>
      </c>
      <c r="AA16" s="31">
        <f t="shared" si="12"/>
        <v>64731579.83177942</v>
      </c>
      <c r="AB16" s="31">
        <f t="shared" si="12"/>
        <v>69865783.83177942</v>
      </c>
      <c r="AC16" s="31">
        <f t="shared" si="12"/>
        <v>77539847.83177942</v>
      </c>
      <c r="AD16" s="31">
        <f t="shared" si="12"/>
        <v>87649947.83177942</v>
      </c>
      <c r="AE16" s="31">
        <f t="shared" si="12"/>
        <v>101851735.83177942</v>
      </c>
      <c r="AF16" s="31">
        <f t="shared" si="12"/>
        <v>111694728.83177942</v>
      </c>
      <c r="AG16" s="13" t="str">
        <f t="shared" si="6"/>
        <v>Ok!</v>
      </c>
    </row>
    <row r="17" spans="1:33" ht="15.75" customHeight="1">
      <c r="A17" s="82" t="s">
        <v>250</v>
      </c>
      <c r="B17" s="30"/>
      <c r="C17" s="188">
        <v>1117113.274</v>
      </c>
      <c r="D17" s="188">
        <v>1195632.6590990808</v>
      </c>
      <c r="E17" s="188">
        <v>1470450.4303346032</v>
      </c>
      <c r="F17" s="188">
        <v>1366026.0470999999</v>
      </c>
      <c r="G17" s="188">
        <v>1633058.8784999999</v>
      </c>
      <c r="H17" s="188">
        <v>1046075.7621000001</v>
      </c>
      <c r="I17" s="188">
        <v>1757277.9043999999</v>
      </c>
      <c r="J17" s="188">
        <v>587616.14199999999</v>
      </c>
      <c r="K17" s="188">
        <v>433637.67200000002</v>
      </c>
      <c r="L17" s="188">
        <v>1153156.05</v>
      </c>
      <c r="M17" s="188">
        <v>1739562.774</v>
      </c>
      <c r="N17" s="188">
        <v>2142161.9865000001</v>
      </c>
      <c r="O17" s="31">
        <f t="shared" si="7"/>
        <v>15641769.580033686</v>
      </c>
      <c r="Q17" s="261">
        <f>1439000</f>
        <v>1439000</v>
      </c>
      <c r="R17" s="188">
        <f>1352000</f>
        <v>1352000</v>
      </c>
      <c r="S17" s="188">
        <v>1543000</v>
      </c>
      <c r="U17" s="31">
        <f>C17</f>
        <v>1117113.274</v>
      </c>
      <c r="V17" s="31">
        <f t="shared" si="12"/>
        <v>2312745.9330990808</v>
      </c>
      <c r="W17" s="31">
        <f t="shared" si="12"/>
        <v>3783196.3634336842</v>
      </c>
      <c r="X17" s="31">
        <f t="shared" si="12"/>
        <v>5149222.4105336843</v>
      </c>
      <c r="Y17" s="31">
        <f t="shared" si="12"/>
        <v>6782281.2890336839</v>
      </c>
      <c r="Z17" s="31">
        <f t="shared" si="12"/>
        <v>7828357.0511336839</v>
      </c>
      <c r="AA17" s="31">
        <f t="shared" si="12"/>
        <v>9585634.9555336833</v>
      </c>
      <c r="AB17" s="31">
        <f t="shared" si="12"/>
        <v>10173251.097533684</v>
      </c>
      <c r="AC17" s="31">
        <f t="shared" si="12"/>
        <v>10606888.769533684</v>
      </c>
      <c r="AD17" s="31">
        <f t="shared" si="12"/>
        <v>11760044.819533685</v>
      </c>
      <c r="AE17" s="31">
        <f t="shared" si="12"/>
        <v>13499607.593533685</v>
      </c>
      <c r="AF17" s="31">
        <f t="shared" si="12"/>
        <v>15641769.580033686</v>
      </c>
      <c r="AG17" s="13" t="str">
        <f t="shared" si="6"/>
        <v>Ok!</v>
      </c>
    </row>
    <row r="18" spans="1:33" ht="15" customHeight="1">
      <c r="A18" s="29" t="s">
        <v>251</v>
      </c>
      <c r="B18" s="30"/>
      <c r="C18" s="188">
        <v>217816.83135794406</v>
      </c>
      <c r="D18" s="188">
        <v>170885.72975611489</v>
      </c>
      <c r="E18" s="188">
        <v>180576.31487824803</v>
      </c>
      <c r="F18" s="188">
        <v>185371.70770483481</v>
      </c>
      <c r="G18" s="188">
        <v>203412.60503603079</v>
      </c>
      <c r="H18" s="188">
        <v>134223.13355246425</v>
      </c>
      <c r="I18" s="188">
        <v>133250.96274260688</v>
      </c>
      <c r="J18" s="188">
        <v>143462.66944470804</v>
      </c>
      <c r="K18" s="188">
        <v>151387.51563596644</v>
      </c>
      <c r="L18" s="188">
        <v>201218.99462010048</v>
      </c>
      <c r="M18" s="188">
        <v>245227.26391750126</v>
      </c>
      <c r="N18" s="188">
        <v>253544.23387462451</v>
      </c>
      <c r="O18" s="31">
        <f t="shared" si="7"/>
        <v>2220377.9625211442</v>
      </c>
      <c r="Q18" s="261">
        <f>248000</f>
        <v>248000</v>
      </c>
      <c r="R18" s="188">
        <f>203000</f>
        <v>203000</v>
      </c>
      <c r="S18" s="188">
        <v>233000</v>
      </c>
      <c r="U18" s="31">
        <f>C18</f>
        <v>217816.83135794406</v>
      </c>
      <c r="V18" s="31">
        <f t="shared" si="12"/>
        <v>388702.56111405895</v>
      </c>
      <c r="W18" s="31">
        <f t="shared" si="12"/>
        <v>569278.87599230697</v>
      </c>
      <c r="X18" s="31">
        <f t="shared" si="12"/>
        <v>754650.58369714185</v>
      </c>
      <c r="Y18" s="31">
        <f t="shared" si="12"/>
        <v>958063.1887331726</v>
      </c>
      <c r="Z18" s="31">
        <f t="shared" si="12"/>
        <v>1092286.3222856368</v>
      </c>
      <c r="AA18" s="31">
        <f t="shared" si="12"/>
        <v>1225537.2850282437</v>
      </c>
      <c r="AB18" s="31">
        <f t="shared" si="12"/>
        <v>1368999.9544729516</v>
      </c>
      <c r="AC18" s="31">
        <f t="shared" si="12"/>
        <v>1520387.4701089179</v>
      </c>
      <c r="AD18" s="31">
        <f t="shared" si="12"/>
        <v>1721606.4647290185</v>
      </c>
      <c r="AE18" s="31">
        <f t="shared" si="12"/>
        <v>1966833.7286465198</v>
      </c>
      <c r="AF18" s="31">
        <f t="shared" si="12"/>
        <v>2220377.9625211442</v>
      </c>
      <c r="AG18" s="13" t="str">
        <f t="shared" si="6"/>
        <v>Ok!</v>
      </c>
    </row>
    <row r="19" spans="1:33" ht="15.75" customHeight="1">
      <c r="A19" s="29" t="s">
        <v>178</v>
      </c>
      <c r="B19" s="30"/>
      <c r="C19" s="188">
        <v>1083749.576788875</v>
      </c>
      <c r="D19" s="188">
        <v>1060963.9167888751</v>
      </c>
      <c r="E19" s="188">
        <v>1066351.7867888752</v>
      </c>
      <c r="F19" s="188">
        <v>1072222.736788875</v>
      </c>
      <c r="G19" s="188">
        <v>1106789.546788875</v>
      </c>
      <c r="H19" s="188">
        <v>1041086.5967888751</v>
      </c>
      <c r="I19" s="188">
        <v>1037147.6667888751</v>
      </c>
      <c r="J19" s="188">
        <v>1029410.9467888752</v>
      </c>
      <c r="K19" s="188">
        <v>1029322.7767888751</v>
      </c>
      <c r="L19" s="188">
        <v>1066199.046788875</v>
      </c>
      <c r="M19" s="188">
        <v>1076763.046788875</v>
      </c>
      <c r="N19" s="188">
        <v>1108805.3567888751</v>
      </c>
      <c r="O19" s="31">
        <f t="shared" si="7"/>
        <v>12778813.001466502</v>
      </c>
      <c r="Q19" s="261">
        <f>1503600</f>
        <v>1503600</v>
      </c>
      <c r="R19" s="188">
        <f>1395000</f>
        <v>1395000</v>
      </c>
      <c r="S19" s="188">
        <v>1495000</v>
      </c>
      <c r="U19" s="31">
        <f>C19</f>
        <v>1083749.576788875</v>
      </c>
      <c r="V19" s="31">
        <f t="shared" si="12"/>
        <v>2144713.4935777504</v>
      </c>
      <c r="W19" s="31">
        <f t="shared" si="12"/>
        <v>3211065.2803666256</v>
      </c>
      <c r="X19" s="31">
        <f t="shared" si="12"/>
        <v>4283288.0171555001</v>
      </c>
      <c r="Y19" s="31">
        <f t="shared" si="12"/>
        <v>5390077.5639443751</v>
      </c>
      <c r="Z19" s="31">
        <f t="shared" si="12"/>
        <v>6431164.16073325</v>
      </c>
      <c r="AA19" s="31">
        <f t="shared" si="12"/>
        <v>7468311.8275221251</v>
      </c>
      <c r="AB19" s="31">
        <f t="shared" si="12"/>
        <v>8497722.7743110005</v>
      </c>
      <c r="AC19" s="31">
        <f t="shared" si="12"/>
        <v>9527045.5510998759</v>
      </c>
      <c r="AD19" s="31">
        <f t="shared" si="12"/>
        <v>10593244.597888751</v>
      </c>
      <c r="AE19" s="31">
        <f t="shared" si="12"/>
        <v>11670007.644677626</v>
      </c>
      <c r="AF19" s="31">
        <f t="shared" si="12"/>
        <v>12778813.001466502</v>
      </c>
      <c r="AG19" s="13" t="str">
        <f t="shared" si="6"/>
        <v>Ok!</v>
      </c>
    </row>
    <row r="20" spans="1:33" ht="15" customHeight="1">
      <c r="C20" s="33"/>
      <c r="D20" s="33"/>
      <c r="E20" s="33"/>
      <c r="F20" s="33"/>
      <c r="G20" s="33"/>
      <c r="H20" s="33"/>
      <c r="I20" s="33"/>
      <c r="J20" s="33"/>
      <c r="K20" s="33"/>
      <c r="L20" s="33"/>
      <c r="M20" s="33"/>
      <c r="N20" s="33"/>
      <c r="O20" s="33"/>
      <c r="Q20" s="33"/>
      <c r="R20" s="33"/>
      <c r="S20" s="33"/>
      <c r="U20" s="33"/>
      <c r="V20" s="33"/>
      <c r="W20" s="33"/>
      <c r="X20" s="33"/>
      <c r="Y20" s="33"/>
      <c r="Z20" s="33"/>
      <c r="AA20" s="33"/>
      <c r="AB20" s="33"/>
      <c r="AC20" s="33"/>
      <c r="AD20" s="33"/>
      <c r="AE20" s="33"/>
      <c r="AF20" s="33"/>
    </row>
    <row r="21" spans="1:33" ht="15" customHeight="1">
      <c r="A21" s="18" t="s">
        <v>189</v>
      </c>
      <c r="B21" s="18"/>
      <c r="C21" s="20"/>
      <c r="D21" s="20"/>
      <c r="E21" s="20"/>
      <c r="F21" s="20"/>
      <c r="G21" s="20"/>
      <c r="H21" s="20"/>
      <c r="I21" s="20"/>
      <c r="J21" s="20"/>
      <c r="K21" s="20"/>
      <c r="L21" s="20"/>
      <c r="M21" s="20"/>
      <c r="N21" s="20"/>
      <c r="O21" s="20"/>
      <c r="Q21" s="20"/>
      <c r="R21" s="20"/>
      <c r="S21" s="20"/>
      <c r="U21" s="20"/>
      <c r="V21" s="20"/>
      <c r="W21" s="20"/>
      <c r="X21" s="20"/>
      <c r="Y21" s="20"/>
      <c r="Z21" s="20"/>
      <c r="AA21" s="20"/>
      <c r="AB21" s="20"/>
      <c r="AC21" s="20"/>
      <c r="AD21" s="20"/>
      <c r="AE21" s="20"/>
      <c r="AF21" s="20"/>
    </row>
    <row r="22" spans="1:33" ht="15" customHeight="1">
      <c r="A22" s="29" t="s">
        <v>19</v>
      </c>
      <c r="B22" s="35"/>
      <c r="C22" s="188">
        <v>3894734.3288873085</v>
      </c>
      <c r="D22" s="188">
        <v>3507087.2049971162</v>
      </c>
      <c r="E22" s="188">
        <v>3609148.6598143349</v>
      </c>
      <c r="F22" s="188">
        <v>3599764.0289703533</v>
      </c>
      <c r="G22" s="188">
        <v>3846516.9186359574</v>
      </c>
      <c r="H22" s="188">
        <v>3165543.4814876178</v>
      </c>
      <c r="I22" s="188">
        <v>3170793.49</v>
      </c>
      <c r="J22" s="188">
        <v>3281658.99</v>
      </c>
      <c r="K22" s="188">
        <v>3359778.97</v>
      </c>
      <c r="L22" s="188">
        <v>3804802.772949785</v>
      </c>
      <c r="M22" s="188">
        <v>4295384.09</v>
      </c>
      <c r="N22" s="188">
        <v>4497472.58</v>
      </c>
      <c r="O22" s="31">
        <f t="shared" ref="O22:O29" si="13">SUM(C22:N22)</f>
        <v>44032685.515742466</v>
      </c>
      <c r="Q22" s="261">
        <f>3940000</f>
        <v>3940000</v>
      </c>
      <c r="R22" s="188">
        <f>3720000</f>
        <v>3720000</v>
      </c>
      <c r="S22" s="188">
        <v>3745000</v>
      </c>
      <c r="U22" s="31">
        <f>C22</f>
        <v>3894734.3288873085</v>
      </c>
      <c r="V22" s="31">
        <f t="shared" ref="V22:AF22" si="14">U22+D22</f>
        <v>7401821.5338844247</v>
      </c>
      <c r="W22" s="31">
        <f t="shared" si="14"/>
        <v>11010970.19369876</v>
      </c>
      <c r="X22" s="31">
        <f t="shared" si="14"/>
        <v>14610734.222669113</v>
      </c>
      <c r="Y22" s="31">
        <f t="shared" si="14"/>
        <v>18457251.14130507</v>
      </c>
      <c r="Z22" s="31">
        <f t="shared" si="14"/>
        <v>21622794.622792687</v>
      </c>
      <c r="AA22" s="31">
        <f t="shared" si="14"/>
        <v>24793588.112792686</v>
      </c>
      <c r="AB22" s="31">
        <f t="shared" si="14"/>
        <v>28075247.102792688</v>
      </c>
      <c r="AC22" s="31">
        <f t="shared" si="14"/>
        <v>31435026.072792687</v>
      </c>
      <c r="AD22" s="31">
        <f t="shared" si="14"/>
        <v>35239828.845742472</v>
      </c>
      <c r="AE22" s="31">
        <f t="shared" si="14"/>
        <v>39535212.935742468</v>
      </c>
      <c r="AF22" s="31">
        <f t="shared" si="14"/>
        <v>44032685.515742466</v>
      </c>
      <c r="AG22" s="13" t="str">
        <f t="shared" ref="AG22:AG29" si="15">IF(O22=AF22, "Ok!", "Error!")</f>
        <v>Ok!</v>
      </c>
    </row>
    <row r="23" spans="1:33" ht="15" customHeight="1">
      <c r="A23" s="29" t="s">
        <v>186</v>
      </c>
      <c r="B23" s="36"/>
      <c r="C23" s="31">
        <f t="shared" ref="C23:N23" si="16">SUBTOTAL(9,C24:C25)</f>
        <v>11359498.02626</v>
      </c>
      <c r="D23" s="31">
        <f t="shared" si="16"/>
        <v>10418750.35090876</v>
      </c>
      <c r="E23" s="31">
        <f t="shared" si="16"/>
        <v>10359438.629808147</v>
      </c>
      <c r="F23" s="31">
        <f t="shared" si="16"/>
        <v>10242647.847647727</v>
      </c>
      <c r="G23" s="31">
        <f t="shared" si="16"/>
        <v>11230380.651629336</v>
      </c>
      <c r="H23" s="31">
        <f t="shared" si="16"/>
        <v>8042703.3327700002</v>
      </c>
      <c r="I23" s="31">
        <f t="shared" si="16"/>
        <v>7827037.4347180491</v>
      </c>
      <c r="J23" s="31">
        <f t="shared" si="16"/>
        <v>7635301.8499999996</v>
      </c>
      <c r="K23" s="31">
        <f t="shared" si="16"/>
        <v>8064152.6900000004</v>
      </c>
      <c r="L23" s="31">
        <f t="shared" si="16"/>
        <v>11203957.76</v>
      </c>
      <c r="M23" s="31">
        <f t="shared" si="16"/>
        <v>13172946.189999999</v>
      </c>
      <c r="N23" s="31">
        <f t="shared" si="16"/>
        <v>13912128.23</v>
      </c>
      <c r="O23" s="31">
        <f t="shared" si="13"/>
        <v>123468942.993742</v>
      </c>
      <c r="Q23" s="31">
        <f t="shared" ref="Q23:S23" si="17">SUBTOTAL(9,Q24:Q25)</f>
        <v>11704123</v>
      </c>
      <c r="R23" s="31">
        <f t="shared" si="17"/>
        <v>10955000</v>
      </c>
      <c r="S23" s="31">
        <f t="shared" si="17"/>
        <v>11474000</v>
      </c>
      <c r="U23" s="31">
        <f t="shared" ref="U23:AF23" si="18">SUBTOTAL(9,U24:U25)</f>
        <v>11359498.02626</v>
      </c>
      <c r="V23" s="31">
        <f t="shared" si="18"/>
        <v>21778248.37716876</v>
      </c>
      <c r="W23" s="31">
        <f t="shared" si="18"/>
        <v>32137687.006976906</v>
      </c>
      <c r="X23" s="31">
        <f t="shared" si="18"/>
        <v>42380334.854624629</v>
      </c>
      <c r="Y23" s="31">
        <f t="shared" si="18"/>
        <v>53610715.506253973</v>
      </c>
      <c r="Z23" s="31">
        <f t="shared" si="18"/>
        <v>61653418.839023963</v>
      </c>
      <c r="AA23" s="31">
        <f t="shared" si="18"/>
        <v>69480456.27374202</v>
      </c>
      <c r="AB23" s="31">
        <f t="shared" si="18"/>
        <v>77115758.123742014</v>
      </c>
      <c r="AC23" s="31">
        <f t="shared" si="18"/>
        <v>85179910.813742012</v>
      </c>
      <c r="AD23" s="31">
        <f t="shared" si="18"/>
        <v>96383868.573742032</v>
      </c>
      <c r="AE23" s="31">
        <f t="shared" si="18"/>
        <v>109556814.76374203</v>
      </c>
      <c r="AF23" s="31">
        <f t="shared" si="18"/>
        <v>123468942.99374202</v>
      </c>
      <c r="AG23" s="13" t="str">
        <f t="shared" si="15"/>
        <v>Ok!</v>
      </c>
    </row>
    <row r="24" spans="1:33" ht="15" customHeight="1">
      <c r="A24" s="36" t="s">
        <v>187</v>
      </c>
      <c r="B24" s="36"/>
      <c r="C24" s="188">
        <v>6346579.6262600003</v>
      </c>
      <c r="D24" s="188">
        <v>5237707.680908761</v>
      </c>
      <c r="E24" s="188">
        <v>5343019.4398081452</v>
      </c>
      <c r="F24" s="188">
        <v>5260961.7376477253</v>
      </c>
      <c r="G24" s="188">
        <v>6135482.1916293371</v>
      </c>
      <c r="H24" s="188">
        <v>4102274.1627700003</v>
      </c>
      <c r="I24" s="188">
        <v>3859209.3047180492</v>
      </c>
      <c r="J24" s="188">
        <v>3608817.05</v>
      </c>
      <c r="K24" s="188">
        <v>3856682.24</v>
      </c>
      <c r="L24" s="188">
        <v>6314469.4500000002</v>
      </c>
      <c r="M24" s="188">
        <v>7722964.4699999997</v>
      </c>
      <c r="N24" s="188">
        <v>7751291.25</v>
      </c>
      <c r="O24" s="31">
        <f t="shared" si="13"/>
        <v>65539458.603742018</v>
      </c>
      <c r="Q24" s="261">
        <f>7084000</f>
        <v>7084000</v>
      </c>
      <c r="R24" s="188">
        <f>6123000</f>
        <v>6123000</v>
      </c>
      <c r="S24" s="188">
        <v>6474000</v>
      </c>
      <c r="U24" s="31">
        <f>C24</f>
        <v>6346579.6262600003</v>
      </c>
      <c r="V24" s="31">
        <f t="shared" ref="V24:AF25" si="19">U24+D24</f>
        <v>11584287.307168761</v>
      </c>
      <c r="W24" s="31">
        <f t="shared" si="19"/>
        <v>16927306.746976905</v>
      </c>
      <c r="X24" s="31">
        <f t="shared" si="19"/>
        <v>22188268.484624632</v>
      </c>
      <c r="Y24" s="31">
        <f t="shared" si="19"/>
        <v>28323750.676253967</v>
      </c>
      <c r="Z24" s="31">
        <f t="shared" si="19"/>
        <v>32426024.839023966</v>
      </c>
      <c r="AA24" s="31">
        <f t="shared" si="19"/>
        <v>36285234.143742017</v>
      </c>
      <c r="AB24" s="31">
        <f t="shared" si="19"/>
        <v>39894051.193742014</v>
      </c>
      <c r="AC24" s="31">
        <f t="shared" si="19"/>
        <v>43750733.433742017</v>
      </c>
      <c r="AD24" s="31">
        <f t="shared" si="19"/>
        <v>50065202.88374202</v>
      </c>
      <c r="AE24" s="31">
        <f t="shared" si="19"/>
        <v>57788167.353742018</v>
      </c>
      <c r="AF24" s="31">
        <f t="shared" si="19"/>
        <v>65539458.603742018</v>
      </c>
      <c r="AG24" s="13" t="str">
        <f t="shared" si="15"/>
        <v>Ok!</v>
      </c>
    </row>
    <row r="25" spans="1:33" s="24" customFormat="1" ht="15" customHeight="1">
      <c r="A25" s="36" t="s">
        <v>287</v>
      </c>
      <c r="B25" s="36"/>
      <c r="C25" s="188">
        <v>5012918.4000000004</v>
      </c>
      <c r="D25" s="188">
        <v>5181042.67</v>
      </c>
      <c r="E25" s="188">
        <v>5016419.1900000004</v>
      </c>
      <c r="F25" s="188">
        <v>4981686.1100000003</v>
      </c>
      <c r="G25" s="188">
        <v>5094898.46</v>
      </c>
      <c r="H25" s="188">
        <v>3940429.17</v>
      </c>
      <c r="I25" s="188">
        <v>3967828.13</v>
      </c>
      <c r="J25" s="188">
        <v>4026484.8</v>
      </c>
      <c r="K25" s="188">
        <v>4207470.45</v>
      </c>
      <c r="L25" s="188">
        <v>4889488.3099999996</v>
      </c>
      <c r="M25" s="188">
        <v>5449981.7199999997</v>
      </c>
      <c r="N25" s="188">
        <v>6160836.9800000004</v>
      </c>
      <c r="O25" s="31">
        <f t="shared" si="13"/>
        <v>57929484.390000001</v>
      </c>
      <c r="Q25" s="261">
        <v>4620123</v>
      </c>
      <c r="R25" s="188">
        <f>4832000</f>
        <v>4832000</v>
      </c>
      <c r="S25" s="188">
        <v>5000000</v>
      </c>
      <c r="U25" s="31">
        <f>C25</f>
        <v>5012918.4000000004</v>
      </c>
      <c r="V25" s="31">
        <f t="shared" si="19"/>
        <v>10193961.07</v>
      </c>
      <c r="W25" s="31">
        <f t="shared" si="19"/>
        <v>15210380.260000002</v>
      </c>
      <c r="X25" s="31">
        <f t="shared" si="19"/>
        <v>20192066.370000001</v>
      </c>
      <c r="Y25" s="31">
        <f t="shared" si="19"/>
        <v>25286964.830000002</v>
      </c>
      <c r="Z25" s="31">
        <f t="shared" si="19"/>
        <v>29227394</v>
      </c>
      <c r="AA25" s="31">
        <f t="shared" si="19"/>
        <v>33195222.129999999</v>
      </c>
      <c r="AB25" s="31">
        <f t="shared" si="19"/>
        <v>37221706.93</v>
      </c>
      <c r="AC25" s="31">
        <f t="shared" si="19"/>
        <v>41429177.380000003</v>
      </c>
      <c r="AD25" s="31">
        <f t="shared" si="19"/>
        <v>46318665.690000005</v>
      </c>
      <c r="AE25" s="31">
        <f t="shared" si="19"/>
        <v>51768647.410000004</v>
      </c>
      <c r="AF25" s="31">
        <f t="shared" si="19"/>
        <v>57929484.390000001</v>
      </c>
      <c r="AG25" s="13" t="str">
        <f t="shared" si="15"/>
        <v>Ok!</v>
      </c>
    </row>
    <row r="26" spans="1:33" ht="15" customHeight="1">
      <c r="A26" s="29" t="s">
        <v>157</v>
      </c>
      <c r="B26" s="1"/>
      <c r="C26" s="31">
        <f t="shared" ref="C26:N26" si="20">SUBTOTAL(9,C27:C28)</f>
        <v>176022.61567788883</v>
      </c>
      <c r="D26" s="31">
        <f t="shared" si="20"/>
        <v>159893.11687614274</v>
      </c>
      <c r="E26" s="31">
        <f t="shared" si="20"/>
        <v>172033.23085122928</v>
      </c>
      <c r="F26" s="31">
        <f t="shared" si="20"/>
        <v>178962.92742606398</v>
      </c>
      <c r="G26" s="31">
        <f t="shared" si="20"/>
        <v>176933.72891774261</v>
      </c>
      <c r="H26" s="31">
        <f t="shared" si="20"/>
        <v>138022.03542182365</v>
      </c>
      <c r="I26" s="31">
        <f t="shared" si="20"/>
        <v>139464.02936965981</v>
      </c>
      <c r="J26" s="31">
        <f t="shared" si="20"/>
        <v>142310.05992922201</v>
      </c>
      <c r="K26" s="31">
        <f t="shared" si="20"/>
        <v>136597.37223473089</v>
      </c>
      <c r="L26" s="31">
        <f t="shared" si="20"/>
        <v>171952.37994973964</v>
      </c>
      <c r="M26" s="31">
        <f t="shared" si="20"/>
        <v>173771.22929078553</v>
      </c>
      <c r="N26" s="31">
        <f t="shared" si="20"/>
        <v>184647.02825577406</v>
      </c>
      <c r="O26" s="31">
        <f t="shared" si="13"/>
        <v>1950609.7542008031</v>
      </c>
      <c r="Q26" s="31">
        <f t="shared" ref="Q26:S26" si="21">SUBTOTAL(9,Q27:Q28)</f>
        <v>126000</v>
      </c>
      <c r="R26" s="31">
        <f t="shared" si="21"/>
        <v>107000</v>
      </c>
      <c r="S26" s="31">
        <f t="shared" si="21"/>
        <v>119000</v>
      </c>
      <c r="U26" s="31">
        <f t="shared" ref="U26:AF26" si="22">SUBTOTAL(9,U27:U28)</f>
        <v>176022.61567788883</v>
      </c>
      <c r="V26" s="31">
        <f t="shared" si="22"/>
        <v>335915.73255403154</v>
      </c>
      <c r="W26" s="31">
        <f t="shared" si="22"/>
        <v>507948.96340526082</v>
      </c>
      <c r="X26" s="31">
        <f t="shared" si="22"/>
        <v>686911.89083132485</v>
      </c>
      <c r="Y26" s="31">
        <f t="shared" si="22"/>
        <v>863845.61974906747</v>
      </c>
      <c r="Z26" s="31">
        <f t="shared" si="22"/>
        <v>1001867.655170891</v>
      </c>
      <c r="AA26" s="31">
        <f t="shared" si="22"/>
        <v>1141331.6845405509</v>
      </c>
      <c r="AB26" s="31">
        <f t="shared" si="22"/>
        <v>1283641.7444697728</v>
      </c>
      <c r="AC26" s="31">
        <f t="shared" si="22"/>
        <v>1420239.1167045035</v>
      </c>
      <c r="AD26" s="31">
        <f t="shared" si="22"/>
        <v>1592191.4966542432</v>
      </c>
      <c r="AE26" s="31">
        <f t="shared" si="22"/>
        <v>1765962.7259450287</v>
      </c>
      <c r="AF26" s="31">
        <f t="shared" si="22"/>
        <v>1950609.7542008029</v>
      </c>
      <c r="AG26" s="13" t="str">
        <f t="shared" si="15"/>
        <v>Ok!</v>
      </c>
    </row>
    <row r="27" spans="1:33" ht="15" customHeight="1">
      <c r="A27" s="36" t="s">
        <v>188</v>
      </c>
      <c r="B27" s="35"/>
      <c r="C27" s="188">
        <v>13008</v>
      </c>
      <c r="D27" s="188">
        <v>9951</v>
      </c>
      <c r="E27" s="188">
        <v>13609.803510088228</v>
      </c>
      <c r="F27" s="188">
        <v>13688.544806975977</v>
      </c>
      <c r="G27" s="188">
        <v>13688</v>
      </c>
      <c r="H27" s="188">
        <v>8482.5163272730751</v>
      </c>
      <c r="I27" s="188">
        <v>9673.6631454744675</v>
      </c>
      <c r="J27" s="188">
        <v>9424.44</v>
      </c>
      <c r="K27" s="188">
        <v>8871.8550822100096</v>
      </c>
      <c r="L27" s="188">
        <v>11696.759827652482</v>
      </c>
      <c r="M27" s="188">
        <v>11985.416107682764</v>
      </c>
      <c r="N27" s="188">
        <v>15382.367295693301</v>
      </c>
      <c r="O27" s="31">
        <f t="shared" si="13"/>
        <v>139462.3661030503</v>
      </c>
      <c r="Q27" s="188"/>
      <c r="R27" s="188"/>
      <c r="S27" s="188"/>
      <c r="U27" s="31">
        <f>C27</f>
        <v>13008</v>
      </c>
      <c r="V27" s="31">
        <f t="shared" ref="V27:AF28" si="23">U27+D27</f>
        <v>22959</v>
      </c>
      <c r="W27" s="31">
        <f t="shared" si="23"/>
        <v>36568.803510088226</v>
      </c>
      <c r="X27" s="31">
        <f t="shared" si="23"/>
        <v>50257.348317064199</v>
      </c>
      <c r="Y27" s="31">
        <f t="shared" si="23"/>
        <v>63945.348317064199</v>
      </c>
      <c r="Z27" s="31">
        <f t="shared" si="23"/>
        <v>72427.864644337271</v>
      </c>
      <c r="AA27" s="31">
        <f t="shared" si="23"/>
        <v>82101.527789811735</v>
      </c>
      <c r="AB27" s="31">
        <f t="shared" si="23"/>
        <v>91525.967789811737</v>
      </c>
      <c r="AC27" s="31">
        <f t="shared" si="23"/>
        <v>100397.82287202174</v>
      </c>
      <c r="AD27" s="31">
        <f t="shared" si="23"/>
        <v>112094.58269967423</v>
      </c>
      <c r="AE27" s="31">
        <f t="shared" si="23"/>
        <v>124079.99880735698</v>
      </c>
      <c r="AF27" s="31">
        <f t="shared" si="23"/>
        <v>139462.3661030503</v>
      </c>
      <c r="AG27" s="13" t="str">
        <f t="shared" si="15"/>
        <v>Ok!</v>
      </c>
    </row>
    <row r="28" spans="1:33" ht="15" customHeight="1">
      <c r="A28" s="36" t="s">
        <v>288</v>
      </c>
      <c r="B28" s="36"/>
      <c r="C28" s="188">
        <v>163014.61567788883</v>
      </c>
      <c r="D28" s="188">
        <v>149942.11687614274</v>
      </c>
      <c r="E28" s="188">
        <v>158423.42734114104</v>
      </c>
      <c r="F28" s="188">
        <v>165274.38261908799</v>
      </c>
      <c r="G28" s="188">
        <v>163245.72891774261</v>
      </c>
      <c r="H28" s="188">
        <v>129539.51909455057</v>
      </c>
      <c r="I28" s="188">
        <v>129790.36622418533</v>
      </c>
      <c r="J28" s="188">
        <v>132885.61992922201</v>
      </c>
      <c r="K28" s="188">
        <v>127725.51715252087</v>
      </c>
      <c r="L28" s="188">
        <v>160255.62012208716</v>
      </c>
      <c r="M28" s="188">
        <v>161785.81318310276</v>
      </c>
      <c r="N28" s="188">
        <v>169264.66096008077</v>
      </c>
      <c r="O28" s="31">
        <f t="shared" si="13"/>
        <v>1811147.3880977526</v>
      </c>
      <c r="Q28" s="261">
        <v>126000</v>
      </c>
      <c r="R28" s="188">
        <f>107000</f>
        <v>107000</v>
      </c>
      <c r="S28" s="188">
        <v>119000</v>
      </c>
      <c r="U28" s="31">
        <f>C28</f>
        <v>163014.61567788883</v>
      </c>
      <c r="V28" s="31">
        <f t="shared" si="23"/>
        <v>312956.73255403154</v>
      </c>
      <c r="W28" s="31">
        <f t="shared" si="23"/>
        <v>471380.15989517258</v>
      </c>
      <c r="X28" s="31">
        <f t="shared" si="23"/>
        <v>636654.54251426063</v>
      </c>
      <c r="Y28" s="31">
        <f t="shared" si="23"/>
        <v>799900.27143200324</v>
      </c>
      <c r="Z28" s="31">
        <f t="shared" si="23"/>
        <v>929439.79052655376</v>
      </c>
      <c r="AA28" s="31">
        <f t="shared" si="23"/>
        <v>1059230.1567507391</v>
      </c>
      <c r="AB28" s="31">
        <f t="shared" si="23"/>
        <v>1192115.776679961</v>
      </c>
      <c r="AC28" s="31">
        <f t="shared" si="23"/>
        <v>1319841.2938324818</v>
      </c>
      <c r="AD28" s="31">
        <f t="shared" si="23"/>
        <v>1480096.913954569</v>
      </c>
      <c r="AE28" s="31">
        <f t="shared" si="23"/>
        <v>1641882.7271376718</v>
      </c>
      <c r="AF28" s="31">
        <f t="shared" si="23"/>
        <v>1811147.3880977526</v>
      </c>
      <c r="AG28" s="13" t="str">
        <f t="shared" si="15"/>
        <v>Ok!</v>
      </c>
    </row>
    <row r="29" spans="1:33" s="24" customFormat="1" ht="15.75" customHeight="1">
      <c r="A29" s="39" t="s">
        <v>21</v>
      </c>
      <c r="B29" s="36"/>
      <c r="C29" s="22">
        <f t="shared" ref="C29:N29" si="24">SUBTOTAL(9,C22:C28)</f>
        <v>15430254.970825199</v>
      </c>
      <c r="D29" s="22">
        <f t="shared" si="24"/>
        <v>14085730.672782019</v>
      </c>
      <c r="E29" s="22">
        <f t="shared" si="24"/>
        <v>14140620.520473711</v>
      </c>
      <c r="F29" s="22">
        <f t="shared" si="24"/>
        <v>14021374.804044144</v>
      </c>
      <c r="G29" s="22">
        <f t="shared" si="24"/>
        <v>15253831.299183035</v>
      </c>
      <c r="H29" s="22">
        <f t="shared" si="24"/>
        <v>11346268.849679442</v>
      </c>
      <c r="I29" s="22">
        <f t="shared" si="24"/>
        <v>11137294.954087708</v>
      </c>
      <c r="J29" s="22">
        <f t="shared" si="24"/>
        <v>11059270.899929222</v>
      </c>
      <c r="K29" s="22">
        <f t="shared" si="24"/>
        <v>11560529.032234732</v>
      </c>
      <c r="L29" s="22">
        <f t="shared" si="24"/>
        <v>15180712.912899522</v>
      </c>
      <c r="M29" s="22">
        <f t="shared" si="24"/>
        <v>17642101.509290785</v>
      </c>
      <c r="N29" s="22">
        <f t="shared" si="24"/>
        <v>18594247.838255778</v>
      </c>
      <c r="O29" s="22">
        <f t="shared" si="13"/>
        <v>169452238.26368529</v>
      </c>
      <c r="Q29" s="22">
        <f t="shared" ref="Q29:S29" si="25">SUBTOTAL(9,Q22:Q28)</f>
        <v>15770123</v>
      </c>
      <c r="R29" s="22">
        <f t="shared" si="25"/>
        <v>14782000</v>
      </c>
      <c r="S29" s="22">
        <f t="shared" si="25"/>
        <v>15338000</v>
      </c>
      <c r="U29" s="22">
        <f t="shared" ref="U29:AF29" si="26">SUBTOTAL(9,U22:U28)</f>
        <v>15430254.970825199</v>
      </c>
      <c r="V29" s="22">
        <f t="shared" si="26"/>
        <v>29515985.643607222</v>
      </c>
      <c r="W29" s="22">
        <f t="shared" si="26"/>
        <v>43656606.164080925</v>
      </c>
      <c r="X29" s="22">
        <f t="shared" si="26"/>
        <v>57677980.968125075</v>
      </c>
      <c r="Y29" s="22">
        <f t="shared" si="26"/>
        <v>72931812.267308086</v>
      </c>
      <c r="Z29" s="22">
        <f t="shared" si="26"/>
        <v>84278081.116987541</v>
      </c>
      <c r="AA29" s="22">
        <f t="shared" si="26"/>
        <v>95415376.071075261</v>
      </c>
      <c r="AB29" s="22">
        <f t="shared" si="26"/>
        <v>106474646.97100447</v>
      </c>
      <c r="AC29" s="22">
        <f t="shared" si="26"/>
        <v>118035176.0032392</v>
      </c>
      <c r="AD29" s="22">
        <f t="shared" si="26"/>
        <v>133215888.91613874</v>
      </c>
      <c r="AE29" s="22">
        <f t="shared" si="26"/>
        <v>150857990.42542955</v>
      </c>
      <c r="AF29" s="22">
        <f t="shared" si="26"/>
        <v>169452238.26368529</v>
      </c>
      <c r="AG29" s="13" t="str">
        <f t="shared" si="15"/>
        <v>Ok!</v>
      </c>
    </row>
    <row r="30" spans="1:33" ht="15" customHeight="1">
      <c r="A30" s="18"/>
      <c r="B30" s="18"/>
      <c r="C30" s="40"/>
      <c r="D30" s="40"/>
      <c r="E30" s="40"/>
      <c r="F30" s="40"/>
      <c r="G30" s="40"/>
      <c r="H30" s="40"/>
      <c r="I30" s="40"/>
      <c r="J30" s="40"/>
      <c r="K30" s="40"/>
      <c r="L30" s="40"/>
      <c r="M30" s="40"/>
      <c r="N30" s="40"/>
      <c r="O30" s="40"/>
      <c r="Q30" s="40"/>
      <c r="R30" s="40"/>
      <c r="S30" s="40"/>
      <c r="U30" s="40"/>
      <c r="V30" s="40"/>
      <c r="W30" s="40"/>
      <c r="X30" s="40"/>
      <c r="Y30" s="40"/>
      <c r="Z30" s="40"/>
      <c r="AA30" s="40"/>
      <c r="AB30" s="40"/>
      <c r="AC30" s="40"/>
      <c r="AD30" s="40"/>
      <c r="AE30" s="40"/>
      <c r="AF30" s="40"/>
    </row>
    <row r="31" spans="1:33" ht="15" customHeight="1">
      <c r="A31" s="18" t="s">
        <v>158</v>
      </c>
      <c r="B31" s="35"/>
      <c r="C31" s="26"/>
      <c r="D31" s="26"/>
      <c r="E31" s="26"/>
      <c r="F31" s="26"/>
      <c r="G31" s="26"/>
      <c r="H31" s="26"/>
      <c r="I31" s="26"/>
      <c r="J31" s="26"/>
      <c r="K31" s="26"/>
      <c r="L31" s="26"/>
      <c r="M31" s="26"/>
      <c r="N31" s="26"/>
      <c r="O31" s="26"/>
      <c r="Q31" s="26"/>
      <c r="R31" s="26"/>
      <c r="S31" s="26"/>
      <c r="U31" s="26"/>
      <c r="V31" s="26"/>
      <c r="W31" s="26"/>
      <c r="X31" s="26"/>
      <c r="Y31" s="26"/>
      <c r="Z31" s="26"/>
      <c r="AA31" s="26"/>
      <c r="AB31" s="26"/>
      <c r="AC31" s="26"/>
      <c r="AD31" s="26"/>
      <c r="AE31" s="26"/>
      <c r="AF31" s="26"/>
    </row>
    <row r="32" spans="1:33" ht="15" customHeight="1">
      <c r="A32" s="39" t="s">
        <v>150</v>
      </c>
      <c r="B32" s="36"/>
      <c r="C32" s="188">
        <f>3451164.45-C33</f>
        <v>3260022.45</v>
      </c>
      <c r="D32" s="188">
        <f>3422491.77-D33</f>
        <v>3231349.77</v>
      </c>
      <c r="E32" s="188">
        <f>3604298.08-E33</f>
        <v>3270156.08</v>
      </c>
      <c r="F32" s="188">
        <f>3465416.96-F33</f>
        <v>3274274.96</v>
      </c>
      <c r="G32" s="188">
        <f>4169537.12-G33</f>
        <v>3978395.12</v>
      </c>
      <c r="H32" s="188">
        <f>3467186.04-H33</f>
        <v>3276044.04</v>
      </c>
      <c r="I32" s="188">
        <f>3415443.61-I33</f>
        <v>3224301.61</v>
      </c>
      <c r="J32" s="188">
        <f>3463172.01-J33</f>
        <v>3272030.01</v>
      </c>
      <c r="K32" s="188">
        <f>3296031.208-K33</f>
        <v>3104889.2080000001</v>
      </c>
      <c r="L32" s="188">
        <f>3553405.12-L33</f>
        <v>3362263.12</v>
      </c>
      <c r="M32" s="188">
        <f>3651994.47-M33</f>
        <v>3460852.47</v>
      </c>
      <c r="N32" s="188">
        <f>4224896.08-N33</f>
        <v>4033754.08</v>
      </c>
      <c r="O32" s="31">
        <f t="shared" ref="O32:O37" si="27">SUM(C32:N32)</f>
        <v>40748332.917999998</v>
      </c>
      <c r="Q32" s="261">
        <f>3918200</f>
        <v>3918200</v>
      </c>
      <c r="R32" s="188">
        <f>3799000</f>
        <v>3799000</v>
      </c>
      <c r="S32" s="188">
        <v>3863000</v>
      </c>
      <c r="U32" s="31">
        <f>C32</f>
        <v>3260022.45</v>
      </c>
      <c r="V32" s="31">
        <f t="shared" ref="V32:AF36" si="28">U32+D32</f>
        <v>6491372.2200000007</v>
      </c>
      <c r="W32" s="31">
        <f t="shared" si="28"/>
        <v>9761528.3000000007</v>
      </c>
      <c r="X32" s="31">
        <f t="shared" si="28"/>
        <v>13035803.260000002</v>
      </c>
      <c r="Y32" s="31">
        <f t="shared" si="28"/>
        <v>17014198.380000003</v>
      </c>
      <c r="Z32" s="31">
        <f t="shared" si="28"/>
        <v>20290242.420000002</v>
      </c>
      <c r="AA32" s="31">
        <f t="shared" si="28"/>
        <v>23514544.030000001</v>
      </c>
      <c r="AB32" s="31">
        <f t="shared" si="28"/>
        <v>26786574.039999999</v>
      </c>
      <c r="AC32" s="31">
        <f t="shared" si="28"/>
        <v>29891463.248</v>
      </c>
      <c r="AD32" s="31">
        <f t="shared" si="28"/>
        <v>33253726.368000001</v>
      </c>
      <c r="AE32" s="31">
        <f t="shared" si="28"/>
        <v>36714578.838</v>
      </c>
      <c r="AF32" s="31">
        <f t="shared" si="28"/>
        <v>40748332.917999998</v>
      </c>
      <c r="AG32" s="13" t="str">
        <f t="shared" ref="AG32:AG37" si="29">IF(O32=AF32, "Ok!", "Error!")</f>
        <v>Ok!</v>
      </c>
    </row>
    <row r="33" spans="1:33" ht="15" customHeight="1">
      <c r="A33" s="39" t="s">
        <v>202</v>
      </c>
      <c r="B33" s="36"/>
      <c r="C33" s="261">
        <v>191142</v>
      </c>
      <c r="D33" s="261">
        <v>191142</v>
      </c>
      <c r="E33" s="261">
        <v>334142</v>
      </c>
      <c r="F33" s="261">
        <v>191142</v>
      </c>
      <c r="G33" s="261">
        <v>191142</v>
      </c>
      <c r="H33" s="261">
        <v>191142</v>
      </c>
      <c r="I33" s="261">
        <v>191142</v>
      </c>
      <c r="J33" s="261">
        <v>191142</v>
      </c>
      <c r="K33" s="261">
        <v>191142</v>
      </c>
      <c r="L33" s="261">
        <v>191142</v>
      </c>
      <c r="M33" s="261">
        <v>191142</v>
      </c>
      <c r="N33" s="261">
        <v>191142</v>
      </c>
      <c r="O33" s="31">
        <f t="shared" si="27"/>
        <v>2436704</v>
      </c>
      <c r="Q33" s="261">
        <f>1011123</f>
        <v>1011123</v>
      </c>
      <c r="R33" s="188">
        <f>703000</f>
        <v>703000</v>
      </c>
      <c r="S33" s="188">
        <v>707000</v>
      </c>
      <c r="U33" s="31">
        <f>C33</f>
        <v>191142</v>
      </c>
      <c r="V33" s="31">
        <f t="shared" si="28"/>
        <v>382284</v>
      </c>
      <c r="W33" s="31">
        <f t="shared" si="28"/>
        <v>716426</v>
      </c>
      <c r="X33" s="31">
        <f t="shared" si="28"/>
        <v>907568</v>
      </c>
      <c r="Y33" s="31">
        <f t="shared" si="28"/>
        <v>1098710</v>
      </c>
      <c r="Z33" s="31">
        <f t="shared" si="28"/>
        <v>1289852</v>
      </c>
      <c r="AA33" s="31">
        <f t="shared" si="28"/>
        <v>1480994</v>
      </c>
      <c r="AB33" s="31">
        <f t="shared" si="28"/>
        <v>1672136</v>
      </c>
      <c r="AC33" s="31">
        <f t="shared" si="28"/>
        <v>1863278</v>
      </c>
      <c r="AD33" s="31">
        <f t="shared" si="28"/>
        <v>2054420</v>
      </c>
      <c r="AE33" s="31">
        <f t="shared" si="28"/>
        <v>2245562</v>
      </c>
      <c r="AF33" s="31">
        <f t="shared" si="28"/>
        <v>2436704</v>
      </c>
      <c r="AG33" s="13" t="str">
        <f t="shared" si="29"/>
        <v>Ok!</v>
      </c>
    </row>
    <row r="34" spans="1:33" ht="15" customHeight="1">
      <c r="A34" s="39" t="s">
        <v>22</v>
      </c>
      <c r="B34" s="36"/>
      <c r="C34" s="188">
        <v>2135241.3066666666</v>
      </c>
      <c r="D34" s="188">
        <v>2125521.2066666665</v>
      </c>
      <c r="E34" s="188">
        <v>1680523.9966666666</v>
      </c>
      <c r="F34" s="188">
        <v>1729845.9766666666</v>
      </c>
      <c r="G34" s="188">
        <v>2496719.1333333338</v>
      </c>
      <c r="H34" s="188">
        <v>1852210.3333333335</v>
      </c>
      <c r="I34" s="188">
        <v>1618477.1666666665</v>
      </c>
      <c r="J34" s="188">
        <v>1700376.9166666665</v>
      </c>
      <c r="K34" s="188">
        <v>1461825.916</v>
      </c>
      <c r="L34" s="188">
        <v>1512961.08</v>
      </c>
      <c r="M34" s="188">
        <v>1720865.33</v>
      </c>
      <c r="N34" s="188">
        <v>1685865.33</v>
      </c>
      <c r="O34" s="31">
        <f t="shared" si="27"/>
        <v>21720433.692666665</v>
      </c>
      <c r="Q34" s="261">
        <f>2361123</f>
        <v>2361123</v>
      </c>
      <c r="R34" s="188">
        <f>2335000</f>
        <v>2335000</v>
      </c>
      <c r="S34" s="188">
        <v>1744000</v>
      </c>
      <c r="U34" s="31">
        <f>C34</f>
        <v>2135241.3066666666</v>
      </c>
      <c r="V34" s="31">
        <f t="shared" si="28"/>
        <v>4260762.5133333337</v>
      </c>
      <c r="W34" s="31">
        <f t="shared" si="28"/>
        <v>5941286.5099999998</v>
      </c>
      <c r="X34" s="31">
        <f t="shared" si="28"/>
        <v>7671132.4866666663</v>
      </c>
      <c r="Y34" s="31">
        <f t="shared" si="28"/>
        <v>10167851.620000001</v>
      </c>
      <c r="Z34" s="31">
        <f t="shared" si="28"/>
        <v>12020061.953333335</v>
      </c>
      <c r="AA34" s="31">
        <f t="shared" si="28"/>
        <v>13638539.120000001</v>
      </c>
      <c r="AB34" s="31">
        <f t="shared" si="28"/>
        <v>15338916.036666667</v>
      </c>
      <c r="AC34" s="31">
        <f t="shared" si="28"/>
        <v>16800741.952666666</v>
      </c>
      <c r="AD34" s="31">
        <f t="shared" si="28"/>
        <v>18313703.032666668</v>
      </c>
      <c r="AE34" s="31">
        <f t="shared" si="28"/>
        <v>20034568.362666667</v>
      </c>
      <c r="AF34" s="31">
        <f t="shared" si="28"/>
        <v>21720433.692666665</v>
      </c>
      <c r="AG34" s="13" t="str">
        <f t="shared" si="29"/>
        <v>Ok!</v>
      </c>
    </row>
    <row r="35" spans="1:33" ht="15" customHeight="1">
      <c r="A35" s="39" t="s">
        <v>190</v>
      </c>
      <c r="B35" s="36"/>
      <c r="C35" s="188">
        <v>1978264.3533333335</v>
      </c>
      <c r="D35" s="188">
        <v>1383088.33</v>
      </c>
      <c r="E35" s="188">
        <v>1484775.33</v>
      </c>
      <c r="F35" s="188">
        <v>1350969.333333333</v>
      </c>
      <c r="G35" s="188">
        <v>1410365.166666667</v>
      </c>
      <c r="H35" s="188">
        <v>1353723.166666667</v>
      </c>
      <c r="I35" s="188">
        <v>1351713.166666667</v>
      </c>
      <c r="J35" s="188">
        <v>1318225.166666667</v>
      </c>
      <c r="K35" s="188">
        <v>1295860.1666666665</v>
      </c>
      <c r="L35" s="188">
        <v>1649186.166666667</v>
      </c>
      <c r="M35" s="188">
        <v>2258387.166666667</v>
      </c>
      <c r="N35" s="188">
        <v>1580922.166666667</v>
      </c>
      <c r="O35" s="31">
        <f t="shared" si="27"/>
        <v>18415479.680000003</v>
      </c>
      <c r="Q35" s="261">
        <f>2065234</f>
        <v>2065234</v>
      </c>
      <c r="R35" s="188">
        <f>1639000</f>
        <v>1639000</v>
      </c>
      <c r="S35" s="188">
        <v>1844000</v>
      </c>
      <c r="U35" s="31">
        <f>C35</f>
        <v>1978264.3533333335</v>
      </c>
      <c r="V35" s="31">
        <f t="shared" si="28"/>
        <v>3361352.6833333336</v>
      </c>
      <c r="W35" s="31">
        <f t="shared" si="28"/>
        <v>4846128.0133333337</v>
      </c>
      <c r="X35" s="31">
        <f t="shared" si="28"/>
        <v>6197097.3466666667</v>
      </c>
      <c r="Y35" s="31">
        <f t="shared" si="28"/>
        <v>7607462.5133333337</v>
      </c>
      <c r="Z35" s="31">
        <f t="shared" si="28"/>
        <v>8961185.6799999997</v>
      </c>
      <c r="AA35" s="31">
        <f t="shared" si="28"/>
        <v>10312898.846666668</v>
      </c>
      <c r="AB35" s="31">
        <f t="shared" si="28"/>
        <v>11631124.013333336</v>
      </c>
      <c r="AC35" s="31">
        <f t="shared" si="28"/>
        <v>12926984.180000002</v>
      </c>
      <c r="AD35" s="31">
        <f t="shared" si="28"/>
        <v>14576170.346666668</v>
      </c>
      <c r="AE35" s="31">
        <f t="shared" si="28"/>
        <v>16834557.513333336</v>
      </c>
      <c r="AF35" s="31">
        <f t="shared" si="28"/>
        <v>18415479.680000003</v>
      </c>
      <c r="AG35" s="13" t="str">
        <f t="shared" si="29"/>
        <v>Ok!</v>
      </c>
    </row>
    <row r="36" spans="1:33" ht="15.75" customHeight="1">
      <c r="A36" s="39" t="s">
        <v>20</v>
      </c>
      <c r="B36" s="36"/>
      <c r="C36" s="188">
        <v>4396868.3499999996</v>
      </c>
      <c r="D36" s="188">
        <v>3842693.99</v>
      </c>
      <c r="E36" s="188">
        <v>5112436.58</v>
      </c>
      <c r="F36" s="188">
        <v>5078655.54</v>
      </c>
      <c r="G36" s="188">
        <v>5044176.24</v>
      </c>
      <c r="H36" s="188">
        <v>4222353.25</v>
      </c>
      <c r="I36" s="188">
        <v>4046193.95</v>
      </c>
      <c r="J36" s="188">
        <v>3952954.0199999996</v>
      </c>
      <c r="K36" s="188">
        <v>3938489.68</v>
      </c>
      <c r="L36" s="188">
        <v>4600921.62</v>
      </c>
      <c r="M36" s="188">
        <v>4694533.74</v>
      </c>
      <c r="N36" s="188">
        <v>5062837.45</v>
      </c>
      <c r="O36" s="31">
        <f t="shared" si="27"/>
        <v>53993114.410000004</v>
      </c>
      <c r="Q36" s="261">
        <f>3996000</f>
        <v>3996000</v>
      </c>
      <c r="R36" s="188">
        <f>3533000</f>
        <v>3533000</v>
      </c>
      <c r="S36" s="188">
        <v>4993000</v>
      </c>
      <c r="U36" s="31">
        <f>C36</f>
        <v>4396868.3499999996</v>
      </c>
      <c r="V36" s="31">
        <f t="shared" si="28"/>
        <v>8239562.3399999999</v>
      </c>
      <c r="W36" s="31">
        <f t="shared" si="28"/>
        <v>13351998.92</v>
      </c>
      <c r="X36" s="31">
        <f t="shared" si="28"/>
        <v>18430654.460000001</v>
      </c>
      <c r="Y36" s="31">
        <f t="shared" si="28"/>
        <v>23474830.700000003</v>
      </c>
      <c r="Z36" s="31">
        <f t="shared" si="28"/>
        <v>27697183.950000003</v>
      </c>
      <c r="AA36" s="31">
        <f t="shared" si="28"/>
        <v>31743377.900000002</v>
      </c>
      <c r="AB36" s="31">
        <f t="shared" si="28"/>
        <v>35696331.920000002</v>
      </c>
      <c r="AC36" s="31">
        <f t="shared" si="28"/>
        <v>39634821.600000001</v>
      </c>
      <c r="AD36" s="31">
        <f t="shared" si="28"/>
        <v>44235743.219999999</v>
      </c>
      <c r="AE36" s="31">
        <f t="shared" si="28"/>
        <v>48930276.960000001</v>
      </c>
      <c r="AF36" s="31">
        <f t="shared" si="28"/>
        <v>53993114.410000004</v>
      </c>
      <c r="AG36" s="13" t="str">
        <f t="shared" si="29"/>
        <v>Ok!</v>
      </c>
    </row>
    <row r="37" spans="1:33" s="24" customFormat="1" ht="15.75" customHeight="1">
      <c r="A37" s="39" t="s">
        <v>23</v>
      </c>
      <c r="B37" s="36"/>
      <c r="C37" s="22">
        <f t="shared" ref="C37:N37" si="30">SUBTOTAL(9,C32:C36)</f>
        <v>11961538.460000001</v>
      </c>
      <c r="D37" s="22">
        <f t="shared" si="30"/>
        <v>10773795.296666667</v>
      </c>
      <c r="E37" s="22">
        <f t="shared" si="30"/>
        <v>11882033.986666666</v>
      </c>
      <c r="F37" s="22">
        <f t="shared" si="30"/>
        <v>11624887.809999999</v>
      </c>
      <c r="G37" s="22">
        <f t="shared" si="30"/>
        <v>13120797.66</v>
      </c>
      <c r="H37" s="22">
        <f t="shared" si="30"/>
        <v>10895472.789999999</v>
      </c>
      <c r="I37" s="22">
        <f t="shared" si="30"/>
        <v>10431827.893333334</v>
      </c>
      <c r="J37" s="22">
        <f t="shared" si="30"/>
        <v>10434728.113333333</v>
      </c>
      <c r="K37" s="22">
        <f t="shared" si="30"/>
        <v>9992206.9706666656</v>
      </c>
      <c r="L37" s="22">
        <f t="shared" si="30"/>
        <v>11316473.986666668</v>
      </c>
      <c r="M37" s="22">
        <f t="shared" si="30"/>
        <v>12325780.706666667</v>
      </c>
      <c r="N37" s="22">
        <f t="shared" si="30"/>
        <v>12554521.026666667</v>
      </c>
      <c r="O37" s="22">
        <f t="shared" si="27"/>
        <v>137314064.70066664</v>
      </c>
      <c r="Q37" s="22">
        <f t="shared" ref="Q37:S37" si="31">SUBTOTAL(9,Q32:Q36)</f>
        <v>13351680</v>
      </c>
      <c r="R37" s="22">
        <f t="shared" si="31"/>
        <v>12009000</v>
      </c>
      <c r="S37" s="22">
        <f t="shared" si="31"/>
        <v>13151000</v>
      </c>
      <c r="U37" s="22">
        <f t="shared" ref="U37:AF37" si="32">SUBTOTAL(9,U32:U36)</f>
        <v>11961538.460000001</v>
      </c>
      <c r="V37" s="22">
        <f t="shared" si="32"/>
        <v>22735333.756666668</v>
      </c>
      <c r="W37" s="22">
        <f t="shared" si="32"/>
        <v>34617367.743333332</v>
      </c>
      <c r="X37" s="22">
        <f t="shared" si="32"/>
        <v>46242255.553333342</v>
      </c>
      <c r="Y37" s="22">
        <f t="shared" si="32"/>
        <v>59363053.213333338</v>
      </c>
      <c r="Z37" s="22">
        <f t="shared" si="32"/>
        <v>70258526.00333333</v>
      </c>
      <c r="AA37" s="22">
        <f t="shared" si="32"/>
        <v>80690353.896666676</v>
      </c>
      <c r="AB37" s="22">
        <f t="shared" si="32"/>
        <v>91125082.010000005</v>
      </c>
      <c r="AC37" s="22">
        <f t="shared" si="32"/>
        <v>101117288.98066667</v>
      </c>
      <c r="AD37" s="22">
        <f t="shared" si="32"/>
        <v>112433762.96733333</v>
      </c>
      <c r="AE37" s="22">
        <f t="shared" si="32"/>
        <v>124759543.67399999</v>
      </c>
      <c r="AF37" s="22">
        <f t="shared" si="32"/>
        <v>137314064.70066667</v>
      </c>
      <c r="AG37" s="13" t="str">
        <f t="shared" si="29"/>
        <v>Ok!</v>
      </c>
    </row>
    <row r="38" spans="1:33" ht="15" customHeight="1">
      <c r="A38" s="18"/>
      <c r="B38" s="18"/>
      <c r="C38" s="26"/>
      <c r="D38" s="26"/>
      <c r="E38" s="26"/>
      <c r="F38" s="26"/>
      <c r="G38" s="26"/>
      <c r="H38" s="26"/>
      <c r="I38" s="26"/>
      <c r="J38" s="26"/>
      <c r="K38" s="26"/>
      <c r="L38" s="26"/>
      <c r="M38" s="26"/>
      <c r="N38" s="26"/>
      <c r="O38" s="26"/>
      <c r="Q38" s="26"/>
      <c r="R38" s="26"/>
      <c r="S38" s="26"/>
      <c r="U38" s="26"/>
      <c r="V38" s="26"/>
      <c r="W38" s="26"/>
      <c r="X38" s="26"/>
      <c r="Y38" s="26"/>
      <c r="Z38" s="26"/>
      <c r="AA38" s="26"/>
      <c r="AB38" s="26"/>
      <c r="AC38" s="26"/>
      <c r="AD38" s="26"/>
      <c r="AE38" s="26"/>
      <c r="AF38" s="26"/>
    </row>
    <row r="39" spans="1:33" s="24" customFormat="1" ht="15" customHeight="1">
      <c r="A39" s="18" t="s">
        <v>15</v>
      </c>
      <c r="B39" s="18"/>
      <c r="C39" s="22">
        <f t="shared" ref="C39:N39" si="33">C29+C37</f>
        <v>27391793.4308252</v>
      </c>
      <c r="D39" s="22">
        <f t="shared" si="33"/>
        <v>24859525.969448686</v>
      </c>
      <c r="E39" s="22">
        <f t="shared" si="33"/>
        <v>26022654.507140376</v>
      </c>
      <c r="F39" s="22">
        <f t="shared" si="33"/>
        <v>25646262.614044145</v>
      </c>
      <c r="G39" s="22">
        <f t="shared" si="33"/>
        <v>28374628.959183037</v>
      </c>
      <c r="H39" s="22">
        <f t="shared" si="33"/>
        <v>22241741.639679439</v>
      </c>
      <c r="I39" s="22">
        <f t="shared" si="33"/>
        <v>21569122.847421043</v>
      </c>
      <c r="J39" s="22">
        <f t="shared" si="33"/>
        <v>21493999.013262555</v>
      </c>
      <c r="K39" s="22">
        <f t="shared" si="33"/>
        <v>21552736.002901398</v>
      </c>
      <c r="L39" s="22">
        <f t="shared" si="33"/>
        <v>26497186.899566188</v>
      </c>
      <c r="M39" s="22">
        <f t="shared" si="33"/>
        <v>29967882.215957452</v>
      </c>
      <c r="N39" s="22">
        <f t="shared" si="33"/>
        <v>31148768.864922445</v>
      </c>
      <c r="O39" s="22">
        <f t="shared" ref="O39" si="34">SUM(C39:N39)</f>
        <v>306766302.96435201</v>
      </c>
      <c r="Q39" s="22">
        <f t="shared" ref="Q39:S39" si="35">Q29+Q37</f>
        <v>29121803</v>
      </c>
      <c r="R39" s="22">
        <f t="shared" si="35"/>
        <v>26791000</v>
      </c>
      <c r="S39" s="22">
        <f t="shared" si="35"/>
        <v>28489000</v>
      </c>
      <c r="U39" s="22">
        <f t="shared" ref="U39:AF39" si="36">U29+U37</f>
        <v>27391793.4308252</v>
      </c>
      <c r="V39" s="22">
        <f t="shared" si="36"/>
        <v>52251319.400273889</v>
      </c>
      <c r="W39" s="22">
        <f t="shared" si="36"/>
        <v>78273973.907414258</v>
      </c>
      <c r="X39" s="22">
        <f t="shared" si="36"/>
        <v>103920236.52145842</v>
      </c>
      <c r="Y39" s="22">
        <f t="shared" si="36"/>
        <v>132294865.48064142</v>
      </c>
      <c r="Z39" s="22">
        <f t="shared" si="36"/>
        <v>154536607.12032086</v>
      </c>
      <c r="AA39" s="22">
        <f t="shared" si="36"/>
        <v>176105729.96774194</v>
      </c>
      <c r="AB39" s="22">
        <f t="shared" si="36"/>
        <v>197599728.98100448</v>
      </c>
      <c r="AC39" s="22">
        <f t="shared" si="36"/>
        <v>219152464.98390585</v>
      </c>
      <c r="AD39" s="22">
        <f t="shared" si="36"/>
        <v>245649651.88347208</v>
      </c>
      <c r="AE39" s="22">
        <f t="shared" si="36"/>
        <v>275617534.09942955</v>
      </c>
      <c r="AF39" s="22">
        <f t="shared" si="36"/>
        <v>306766302.96435195</v>
      </c>
      <c r="AG39" s="13" t="str">
        <f t="shared" ref="AG39:AG40" si="37">IF(O39=AF39, "Ok!", "Error!")</f>
        <v>Ok!</v>
      </c>
    </row>
    <row r="40" spans="1:33" s="44" customFormat="1" ht="15" customHeight="1">
      <c r="A40" s="41" t="s">
        <v>1</v>
      </c>
      <c r="B40" s="42"/>
      <c r="C40" s="32">
        <f t="shared" ref="C40:O40" si="38">IFERROR(C39/C$8,)</f>
        <v>0.53926936251340329</v>
      </c>
      <c r="D40" s="32">
        <f t="shared" si="38"/>
        <v>0.61450942220213733</v>
      </c>
      <c r="E40" s="32">
        <f t="shared" si="38"/>
        <v>0.62295071806800084</v>
      </c>
      <c r="F40" s="32">
        <f t="shared" si="38"/>
        <v>0.60826672450803732</v>
      </c>
      <c r="G40" s="32">
        <f t="shared" si="38"/>
        <v>0.5885459032206608</v>
      </c>
      <c r="H40" s="32">
        <f t="shared" si="38"/>
        <v>0.69785812599195785</v>
      </c>
      <c r="I40" s="32">
        <f t="shared" si="38"/>
        <v>0.69021069114490052</v>
      </c>
      <c r="J40" s="32">
        <f t="shared" si="38"/>
        <v>0.70718959715907592</v>
      </c>
      <c r="K40" s="32">
        <f t="shared" si="38"/>
        <v>0.67043345130064325</v>
      </c>
      <c r="L40" s="32">
        <f t="shared" si="38"/>
        <v>0.55599118524335733</v>
      </c>
      <c r="M40" s="32">
        <f t="shared" si="38"/>
        <v>0.5107257773381807</v>
      </c>
      <c r="N40" s="32">
        <f t="shared" si="38"/>
        <v>0.50896366943974725</v>
      </c>
      <c r="O40" s="32">
        <f t="shared" si="38"/>
        <v>0.59382530697911218</v>
      </c>
      <c r="Q40" s="32">
        <f t="shared" ref="Q40:S40" si="39">IFERROR(Q39/Q$8,)</f>
        <v>0.57149423144475864</v>
      </c>
      <c r="R40" s="32">
        <f t="shared" si="39"/>
        <v>0.60124778383715971</v>
      </c>
      <c r="S40" s="32">
        <f t="shared" si="39"/>
        <v>0.58532867081143491</v>
      </c>
      <c r="U40" s="32">
        <f t="shared" ref="U40:AF40" si="40">IFERROR(U39/U$8,)</f>
        <v>0.53926936251340329</v>
      </c>
      <c r="V40" s="32">
        <f t="shared" si="40"/>
        <v>0.57262640493489403</v>
      </c>
      <c r="W40" s="32">
        <f t="shared" si="40"/>
        <v>0.58842989869897488</v>
      </c>
      <c r="X40" s="32">
        <f t="shared" si="40"/>
        <v>0.59320416091558859</v>
      </c>
      <c r="Y40" s="32">
        <f t="shared" si="40"/>
        <v>0.59219885570146047</v>
      </c>
      <c r="Z40" s="32">
        <f t="shared" si="40"/>
        <v>0.60539095196189241</v>
      </c>
      <c r="AA40" s="32">
        <f t="shared" si="40"/>
        <v>0.61464211991989182</v>
      </c>
      <c r="AB40" s="32">
        <f t="shared" si="40"/>
        <v>0.62351794134164207</v>
      </c>
      <c r="AC40" s="32">
        <f t="shared" si="40"/>
        <v>0.62783874897472103</v>
      </c>
      <c r="AD40" s="32">
        <f t="shared" si="40"/>
        <v>0.61920768974060625</v>
      </c>
      <c r="AE40" s="32">
        <f t="shared" si="40"/>
        <v>0.60522987997128941</v>
      </c>
      <c r="AF40" s="32">
        <f t="shared" si="40"/>
        <v>0.59382530697911218</v>
      </c>
      <c r="AG40" s="13" t="str">
        <f t="shared" si="37"/>
        <v>Ok!</v>
      </c>
    </row>
    <row r="41" spans="1:33" ht="15" customHeight="1">
      <c r="A41" s="18"/>
      <c r="B41" s="18"/>
      <c r="C41" s="26"/>
      <c r="D41" s="26"/>
      <c r="E41" s="26"/>
      <c r="F41" s="26"/>
      <c r="G41" s="26"/>
      <c r="H41" s="26"/>
      <c r="I41" s="26"/>
      <c r="J41" s="26"/>
      <c r="K41" s="26"/>
      <c r="L41" s="26"/>
      <c r="M41" s="26"/>
      <c r="N41" s="26"/>
      <c r="O41" s="26"/>
      <c r="Q41" s="26"/>
      <c r="R41" s="26"/>
      <c r="S41" s="26"/>
      <c r="U41" s="26"/>
      <c r="V41" s="26"/>
      <c r="W41" s="26"/>
      <c r="X41" s="26"/>
      <c r="Y41" s="26"/>
      <c r="Z41" s="26"/>
      <c r="AA41" s="26"/>
      <c r="AB41" s="26"/>
      <c r="AC41" s="26"/>
      <c r="AD41" s="26"/>
      <c r="AE41" s="26"/>
      <c r="AF41" s="26"/>
    </row>
    <row r="42" spans="1:33" s="24" customFormat="1" ht="15">
      <c r="A42" s="18" t="s">
        <v>2</v>
      </c>
      <c r="B42" s="18"/>
      <c r="C42" s="72">
        <f t="shared" ref="C42:N42" si="41">C8-C39</f>
        <v>23402476.25132161</v>
      </c>
      <c r="D42" s="72">
        <f t="shared" si="41"/>
        <v>15594737.336006977</v>
      </c>
      <c r="E42" s="72">
        <f t="shared" si="41"/>
        <v>15750560.857064024</v>
      </c>
      <c r="F42" s="72">
        <f t="shared" si="41"/>
        <v>16516593.877549566</v>
      </c>
      <c r="G42" s="72">
        <f t="shared" si="41"/>
        <v>19836782.93564187</v>
      </c>
      <c r="H42" s="72">
        <f t="shared" si="41"/>
        <v>9629695.8506619036</v>
      </c>
      <c r="I42" s="72">
        <f t="shared" si="41"/>
        <v>9680933.2936144397</v>
      </c>
      <c r="J42" s="72">
        <f t="shared" si="41"/>
        <v>8899546.2249710262</v>
      </c>
      <c r="K42" s="72">
        <f t="shared" si="41"/>
        <v>10594729.134897165</v>
      </c>
      <c r="L42" s="72">
        <f t="shared" si="41"/>
        <v>21160379.628162786</v>
      </c>
      <c r="M42" s="72">
        <f t="shared" si="41"/>
        <v>28709168.259436917</v>
      </c>
      <c r="N42" s="72">
        <f t="shared" si="41"/>
        <v>30051608.952241052</v>
      </c>
      <c r="O42" s="72">
        <f>SUM(C42:N42)</f>
        <v>209827212.60156935</v>
      </c>
      <c r="Q42" s="72">
        <f t="shared" ref="Q42:S42" si="42">Q8-Q39</f>
        <v>21835497</v>
      </c>
      <c r="R42" s="72">
        <f t="shared" si="42"/>
        <v>17768000</v>
      </c>
      <c r="S42" s="72">
        <f t="shared" si="42"/>
        <v>20182800</v>
      </c>
      <c r="U42" s="72">
        <f t="shared" ref="U42:AF42" si="43">U8-U39</f>
        <v>23402476.25132161</v>
      </c>
      <c r="V42" s="72">
        <f t="shared" si="43"/>
        <v>38997213.587328583</v>
      </c>
      <c r="W42" s="72">
        <f t="shared" si="43"/>
        <v>54747774.444392636</v>
      </c>
      <c r="X42" s="72">
        <f t="shared" si="43"/>
        <v>71264368.32194218</v>
      </c>
      <c r="Y42" s="72">
        <f t="shared" si="43"/>
        <v>91101151.257584035</v>
      </c>
      <c r="Z42" s="72">
        <f t="shared" si="43"/>
        <v>100730847.10824597</v>
      </c>
      <c r="AA42" s="72">
        <f t="shared" si="43"/>
        <v>110411780.40186033</v>
      </c>
      <c r="AB42" s="72">
        <f t="shared" si="43"/>
        <v>119311326.62683141</v>
      </c>
      <c r="AC42" s="72">
        <f t="shared" si="43"/>
        <v>129906055.76172864</v>
      </c>
      <c r="AD42" s="72">
        <f t="shared" si="43"/>
        <v>151066435.38989133</v>
      </c>
      <c r="AE42" s="72">
        <f t="shared" si="43"/>
        <v>179775603.64932829</v>
      </c>
      <c r="AF42" s="72">
        <f t="shared" si="43"/>
        <v>209827212.60156929</v>
      </c>
      <c r="AG42" s="13" t="str">
        <f t="shared" ref="AG42:AG43" si="44">IF(O42=AF42, "Ok!", "Error!")</f>
        <v>Ok!</v>
      </c>
    </row>
    <row r="43" spans="1:33" s="48" customFormat="1" ht="15">
      <c r="A43" s="45" t="s">
        <v>1</v>
      </c>
      <c r="B43" s="46"/>
      <c r="C43" s="32">
        <f t="shared" ref="C43:O43" si="45">IFERROR(C42/C$8,)</f>
        <v>0.46073063748659665</v>
      </c>
      <c r="D43" s="32">
        <f t="shared" si="45"/>
        <v>0.38549057779786267</v>
      </c>
      <c r="E43" s="32">
        <f t="shared" si="45"/>
        <v>0.37704928193199916</v>
      </c>
      <c r="F43" s="32">
        <f t="shared" si="45"/>
        <v>0.39173327549196268</v>
      </c>
      <c r="G43" s="32">
        <f t="shared" si="45"/>
        <v>0.41145409677933914</v>
      </c>
      <c r="H43" s="32">
        <f t="shared" si="45"/>
        <v>0.3021418740080421</v>
      </c>
      <c r="I43" s="32">
        <f t="shared" si="45"/>
        <v>0.30978930885509948</v>
      </c>
      <c r="J43" s="32">
        <f t="shared" si="45"/>
        <v>0.29281040284092413</v>
      </c>
      <c r="K43" s="32">
        <f t="shared" si="45"/>
        <v>0.32956654869935681</v>
      </c>
      <c r="L43" s="32">
        <f t="shared" si="45"/>
        <v>0.44400881475664261</v>
      </c>
      <c r="M43" s="32">
        <f t="shared" si="45"/>
        <v>0.48927422266181936</v>
      </c>
      <c r="N43" s="32">
        <f t="shared" si="45"/>
        <v>0.4910363305602527</v>
      </c>
      <c r="O43" s="32">
        <f t="shared" si="45"/>
        <v>0.40617469302088788</v>
      </c>
      <c r="Q43" s="32">
        <f t="shared" ref="Q43:S43" si="46">IFERROR(Q42/Q$8,)</f>
        <v>0.42850576855524136</v>
      </c>
      <c r="R43" s="32">
        <f t="shared" si="46"/>
        <v>0.39875221616284029</v>
      </c>
      <c r="S43" s="32">
        <f t="shared" si="46"/>
        <v>0.41467132918856503</v>
      </c>
      <c r="U43" s="32">
        <f t="shared" ref="U43:AF43" si="47">IFERROR(U42/U$8,)</f>
        <v>0.46073063748659665</v>
      </c>
      <c r="V43" s="32">
        <f t="shared" si="47"/>
        <v>0.42737359506510597</v>
      </c>
      <c r="W43" s="32">
        <f t="shared" si="47"/>
        <v>0.41157010130102512</v>
      </c>
      <c r="X43" s="32">
        <f t="shared" si="47"/>
        <v>0.40679583908441136</v>
      </c>
      <c r="Y43" s="32">
        <f t="shared" si="47"/>
        <v>0.40780114429853953</v>
      </c>
      <c r="Z43" s="32">
        <f t="shared" si="47"/>
        <v>0.39460904803810765</v>
      </c>
      <c r="AA43" s="32">
        <f t="shared" si="47"/>
        <v>0.38535788008010813</v>
      </c>
      <c r="AB43" s="32">
        <f t="shared" si="47"/>
        <v>0.37648205865835793</v>
      </c>
      <c r="AC43" s="32">
        <f t="shared" si="47"/>
        <v>0.37216125102527903</v>
      </c>
      <c r="AD43" s="32">
        <f t="shared" si="47"/>
        <v>0.38079231025939375</v>
      </c>
      <c r="AE43" s="32">
        <f t="shared" si="47"/>
        <v>0.39477012002871065</v>
      </c>
      <c r="AF43" s="32">
        <f t="shared" si="47"/>
        <v>0.40617469302088782</v>
      </c>
      <c r="AG43" s="13" t="str">
        <f t="shared" si="44"/>
        <v>Ok!</v>
      </c>
    </row>
    <row r="44" spans="1:33" ht="15">
      <c r="A44" s="18"/>
      <c r="B44" s="18"/>
      <c r="C44" s="40"/>
      <c r="D44" s="40"/>
      <c r="E44" s="40"/>
      <c r="F44" s="40"/>
      <c r="G44" s="40"/>
      <c r="H44" s="40"/>
      <c r="I44" s="40"/>
      <c r="J44" s="40"/>
      <c r="K44" s="40"/>
      <c r="L44" s="40"/>
      <c r="M44" s="40"/>
      <c r="N44" s="40"/>
      <c r="O44" s="40"/>
      <c r="Q44" s="40"/>
      <c r="R44" s="40"/>
      <c r="S44" s="40"/>
      <c r="U44" s="40"/>
      <c r="V44" s="40"/>
      <c r="W44" s="40"/>
      <c r="X44" s="40"/>
      <c r="Y44" s="40"/>
      <c r="Z44" s="40"/>
      <c r="AA44" s="40"/>
      <c r="AB44" s="40"/>
      <c r="AC44" s="40"/>
      <c r="AD44" s="40"/>
      <c r="AE44" s="40"/>
      <c r="AF44" s="40"/>
    </row>
    <row r="45" spans="1:33" ht="15">
      <c r="A45" s="39" t="s">
        <v>191</v>
      </c>
      <c r="B45" s="36"/>
      <c r="C45" s="188"/>
      <c r="D45" s="188"/>
      <c r="E45" s="188"/>
      <c r="F45" s="188"/>
      <c r="G45" s="188"/>
      <c r="H45" s="188"/>
      <c r="I45" s="188"/>
      <c r="J45" s="188"/>
      <c r="K45" s="188"/>
      <c r="L45" s="188"/>
      <c r="M45" s="188"/>
      <c r="N45" s="188"/>
      <c r="O45" s="31">
        <f t="shared" ref="O45" si="48">SUM(C45:N45)</f>
        <v>0</v>
      </c>
      <c r="Q45" s="188"/>
      <c r="R45" s="188"/>
      <c r="S45" s="188"/>
      <c r="U45" s="31">
        <f>C45</f>
        <v>0</v>
      </c>
      <c r="V45" s="31">
        <f t="shared" ref="V45:AF45" si="49">U45+D45</f>
        <v>0</v>
      </c>
      <c r="W45" s="31">
        <f t="shared" si="49"/>
        <v>0</v>
      </c>
      <c r="X45" s="31">
        <f t="shared" si="49"/>
        <v>0</v>
      </c>
      <c r="Y45" s="31">
        <f t="shared" si="49"/>
        <v>0</v>
      </c>
      <c r="Z45" s="31">
        <f t="shared" si="49"/>
        <v>0</v>
      </c>
      <c r="AA45" s="31">
        <f t="shared" si="49"/>
        <v>0</v>
      </c>
      <c r="AB45" s="31">
        <f t="shared" si="49"/>
        <v>0</v>
      </c>
      <c r="AC45" s="31">
        <f t="shared" si="49"/>
        <v>0</v>
      </c>
      <c r="AD45" s="31">
        <f t="shared" si="49"/>
        <v>0</v>
      </c>
      <c r="AE45" s="31">
        <f t="shared" si="49"/>
        <v>0</v>
      </c>
      <c r="AF45" s="31">
        <f t="shared" si="49"/>
        <v>0</v>
      </c>
      <c r="AG45" s="13" t="str">
        <f>IF(O45=AF45, "Ok!", "Error!")</f>
        <v>Ok!</v>
      </c>
    </row>
    <row r="46" spans="1:33" ht="15">
      <c r="A46" s="18"/>
      <c r="B46" s="18"/>
      <c r="C46" s="40"/>
      <c r="D46" s="40"/>
      <c r="E46" s="40"/>
      <c r="F46" s="40"/>
      <c r="G46" s="40"/>
      <c r="H46" s="40"/>
      <c r="I46" s="40"/>
      <c r="J46" s="40"/>
      <c r="K46" s="40"/>
      <c r="L46" s="40"/>
      <c r="M46" s="40"/>
      <c r="N46" s="40"/>
      <c r="O46" s="40"/>
      <c r="Q46" s="40"/>
      <c r="R46" s="40"/>
      <c r="S46" s="40"/>
      <c r="U46" s="40"/>
      <c r="V46" s="40"/>
      <c r="W46" s="40"/>
      <c r="X46" s="40"/>
      <c r="Y46" s="40"/>
      <c r="Z46" s="40"/>
      <c r="AA46" s="40"/>
      <c r="AB46" s="40"/>
      <c r="AC46" s="40"/>
      <c r="AD46" s="40"/>
      <c r="AE46" s="40"/>
      <c r="AF46" s="40"/>
    </row>
    <row r="47" spans="1:33" s="24" customFormat="1" ht="30">
      <c r="A47" s="49" t="s">
        <v>192</v>
      </c>
      <c r="B47" s="18"/>
      <c r="C47" s="22">
        <f t="shared" ref="C47:N47" si="50">C42-C45</f>
        <v>23402476.25132161</v>
      </c>
      <c r="D47" s="22">
        <f t="shared" si="50"/>
        <v>15594737.336006977</v>
      </c>
      <c r="E47" s="22">
        <f t="shared" si="50"/>
        <v>15750560.857064024</v>
      </c>
      <c r="F47" s="22">
        <f t="shared" si="50"/>
        <v>16516593.877549566</v>
      </c>
      <c r="G47" s="22">
        <f t="shared" si="50"/>
        <v>19836782.93564187</v>
      </c>
      <c r="H47" s="22">
        <f t="shared" si="50"/>
        <v>9629695.8506619036</v>
      </c>
      <c r="I47" s="22">
        <f t="shared" si="50"/>
        <v>9680933.2936144397</v>
      </c>
      <c r="J47" s="22">
        <f t="shared" si="50"/>
        <v>8899546.2249710262</v>
      </c>
      <c r="K47" s="22">
        <f t="shared" si="50"/>
        <v>10594729.134897165</v>
      </c>
      <c r="L47" s="22">
        <f t="shared" si="50"/>
        <v>21160379.628162786</v>
      </c>
      <c r="M47" s="22">
        <f t="shared" si="50"/>
        <v>28709168.259436917</v>
      </c>
      <c r="N47" s="22">
        <f t="shared" si="50"/>
        <v>30051608.952241052</v>
      </c>
      <c r="O47" s="22">
        <f>SUM(C47:N47)</f>
        <v>209827212.60156935</v>
      </c>
      <c r="Q47" s="22">
        <f t="shared" ref="Q47:S47" si="51">Q42-Q45</f>
        <v>21835497</v>
      </c>
      <c r="R47" s="22">
        <f t="shared" si="51"/>
        <v>17768000</v>
      </c>
      <c r="S47" s="22">
        <f t="shared" si="51"/>
        <v>20182800</v>
      </c>
      <c r="U47" s="22">
        <f t="shared" ref="U47:AF47" si="52">U42-U45</f>
        <v>23402476.25132161</v>
      </c>
      <c r="V47" s="22">
        <f t="shared" si="52"/>
        <v>38997213.587328583</v>
      </c>
      <c r="W47" s="22">
        <f t="shared" si="52"/>
        <v>54747774.444392636</v>
      </c>
      <c r="X47" s="22">
        <f t="shared" si="52"/>
        <v>71264368.32194218</v>
      </c>
      <c r="Y47" s="22">
        <f t="shared" si="52"/>
        <v>91101151.257584035</v>
      </c>
      <c r="Z47" s="22">
        <f t="shared" si="52"/>
        <v>100730847.10824597</v>
      </c>
      <c r="AA47" s="22">
        <f t="shared" si="52"/>
        <v>110411780.40186033</v>
      </c>
      <c r="AB47" s="22">
        <f t="shared" si="52"/>
        <v>119311326.62683141</v>
      </c>
      <c r="AC47" s="22">
        <f t="shared" si="52"/>
        <v>129906055.76172864</v>
      </c>
      <c r="AD47" s="22">
        <f t="shared" si="52"/>
        <v>151066435.38989133</v>
      </c>
      <c r="AE47" s="22">
        <f t="shared" si="52"/>
        <v>179775603.64932829</v>
      </c>
      <c r="AF47" s="22">
        <f t="shared" si="52"/>
        <v>209827212.60156929</v>
      </c>
      <c r="AG47" s="13" t="str">
        <f t="shared" ref="AG47:AG48" si="53">IF(O47=AF47, "Ok!", "Error!")</f>
        <v>Ok!</v>
      </c>
    </row>
    <row r="48" spans="1:33" s="24" customFormat="1" ht="15">
      <c r="A48" s="49"/>
      <c r="B48" s="18"/>
      <c r="C48" s="32">
        <f t="shared" ref="C48:O48" si="54">IFERROR(C47/C$8,)</f>
        <v>0.46073063748659665</v>
      </c>
      <c r="D48" s="32">
        <f t="shared" si="54"/>
        <v>0.38549057779786267</v>
      </c>
      <c r="E48" s="32">
        <f t="shared" si="54"/>
        <v>0.37704928193199916</v>
      </c>
      <c r="F48" s="32">
        <f t="shared" si="54"/>
        <v>0.39173327549196268</v>
      </c>
      <c r="G48" s="32">
        <f t="shared" si="54"/>
        <v>0.41145409677933914</v>
      </c>
      <c r="H48" s="32">
        <f t="shared" si="54"/>
        <v>0.3021418740080421</v>
      </c>
      <c r="I48" s="32">
        <f t="shared" si="54"/>
        <v>0.30978930885509948</v>
      </c>
      <c r="J48" s="32">
        <f t="shared" si="54"/>
        <v>0.29281040284092413</v>
      </c>
      <c r="K48" s="32">
        <f t="shared" si="54"/>
        <v>0.32956654869935681</v>
      </c>
      <c r="L48" s="32">
        <f t="shared" si="54"/>
        <v>0.44400881475664261</v>
      </c>
      <c r="M48" s="32">
        <f t="shared" si="54"/>
        <v>0.48927422266181936</v>
      </c>
      <c r="N48" s="32">
        <f t="shared" si="54"/>
        <v>0.4910363305602527</v>
      </c>
      <c r="O48" s="32">
        <f t="shared" si="54"/>
        <v>0.40617469302088788</v>
      </c>
      <c r="Q48" s="32">
        <f t="shared" ref="Q48:S48" si="55">IFERROR(Q47/Q$8,)</f>
        <v>0.42850576855524136</v>
      </c>
      <c r="R48" s="32">
        <f t="shared" si="55"/>
        <v>0.39875221616284029</v>
      </c>
      <c r="S48" s="32">
        <f t="shared" si="55"/>
        <v>0.41467132918856503</v>
      </c>
      <c r="U48" s="32">
        <f t="shared" ref="U48:AF48" si="56">IFERROR(U47/U$8,)</f>
        <v>0.46073063748659665</v>
      </c>
      <c r="V48" s="32">
        <f t="shared" si="56"/>
        <v>0.42737359506510597</v>
      </c>
      <c r="W48" s="32">
        <f t="shared" si="56"/>
        <v>0.41157010130102512</v>
      </c>
      <c r="X48" s="32">
        <f t="shared" si="56"/>
        <v>0.40679583908441136</v>
      </c>
      <c r="Y48" s="32">
        <f t="shared" si="56"/>
        <v>0.40780114429853953</v>
      </c>
      <c r="Z48" s="32">
        <f t="shared" si="56"/>
        <v>0.39460904803810765</v>
      </c>
      <c r="AA48" s="32">
        <f t="shared" si="56"/>
        <v>0.38535788008010813</v>
      </c>
      <c r="AB48" s="32">
        <f t="shared" si="56"/>
        <v>0.37648205865835793</v>
      </c>
      <c r="AC48" s="32">
        <f t="shared" si="56"/>
        <v>0.37216125102527903</v>
      </c>
      <c r="AD48" s="32">
        <f t="shared" si="56"/>
        <v>0.38079231025939375</v>
      </c>
      <c r="AE48" s="32">
        <f t="shared" si="56"/>
        <v>0.39477012002871065</v>
      </c>
      <c r="AF48" s="32">
        <f t="shared" si="56"/>
        <v>0.40617469302088782</v>
      </c>
      <c r="AG48" s="13" t="str">
        <f t="shared" si="53"/>
        <v>Ok!</v>
      </c>
    </row>
    <row r="49" spans="1:33" ht="15">
      <c r="A49" s="18"/>
      <c r="B49" s="18"/>
      <c r="C49" s="40"/>
      <c r="D49" s="40"/>
      <c r="E49" s="40"/>
      <c r="F49" s="40"/>
      <c r="G49" s="40"/>
      <c r="H49" s="40"/>
      <c r="I49" s="40"/>
      <c r="J49" s="40"/>
      <c r="K49" s="40"/>
      <c r="L49" s="40"/>
      <c r="M49" s="40"/>
      <c r="N49" s="40"/>
      <c r="O49" s="40"/>
      <c r="Q49" s="40"/>
      <c r="R49" s="40"/>
      <c r="S49" s="40"/>
      <c r="U49" s="40"/>
      <c r="V49" s="40"/>
      <c r="W49" s="40"/>
      <c r="X49" s="40"/>
      <c r="Y49" s="40"/>
      <c r="Z49" s="40"/>
      <c r="AA49" s="40"/>
      <c r="AB49" s="40"/>
      <c r="AC49" s="40"/>
      <c r="AD49" s="40"/>
      <c r="AE49" s="40"/>
      <c r="AF49" s="40"/>
    </row>
    <row r="50" spans="1:33" ht="15">
      <c r="A50" s="18" t="s">
        <v>195</v>
      </c>
      <c r="B50" s="18"/>
      <c r="C50" s="40"/>
      <c r="D50" s="40"/>
      <c r="E50" s="40"/>
      <c r="F50" s="40"/>
      <c r="G50" s="40"/>
      <c r="H50" s="40"/>
      <c r="I50" s="40"/>
      <c r="J50" s="40"/>
      <c r="K50" s="40"/>
      <c r="L50" s="40"/>
      <c r="M50" s="40"/>
      <c r="N50" s="40"/>
      <c r="O50" s="40"/>
      <c r="Q50" s="40"/>
      <c r="R50" s="40"/>
      <c r="S50" s="40"/>
      <c r="U50" s="40"/>
      <c r="V50" s="40"/>
      <c r="W50" s="40"/>
      <c r="X50" s="40"/>
      <c r="Y50" s="40"/>
      <c r="Z50" s="40"/>
      <c r="AA50" s="40"/>
      <c r="AB50" s="40"/>
      <c r="AC50" s="40"/>
      <c r="AD50" s="40"/>
      <c r="AE50" s="40"/>
      <c r="AF50" s="40"/>
    </row>
    <row r="51" spans="1:33" ht="15">
      <c r="A51" s="39" t="s">
        <v>193</v>
      </c>
      <c r="B51" s="36"/>
      <c r="C51" s="188"/>
      <c r="D51" s="188"/>
      <c r="E51" s="188"/>
      <c r="F51" s="188"/>
      <c r="G51" s="188"/>
      <c r="H51" s="188"/>
      <c r="I51" s="188"/>
      <c r="J51" s="188"/>
      <c r="K51" s="188"/>
      <c r="L51" s="188"/>
      <c r="M51" s="188"/>
      <c r="N51" s="188"/>
      <c r="O51" s="31">
        <f t="shared" ref="O51:O56" si="57">SUM(C51:N51)</f>
        <v>0</v>
      </c>
      <c r="Q51" s="188"/>
      <c r="R51" s="188"/>
      <c r="S51" s="188"/>
      <c r="U51" s="31">
        <f t="shared" ref="U51:U55" si="58">C51</f>
        <v>0</v>
      </c>
      <c r="V51" s="31">
        <f t="shared" ref="V51:AF55" si="59">U51+D51</f>
        <v>0</v>
      </c>
      <c r="W51" s="31">
        <f t="shared" si="59"/>
        <v>0</v>
      </c>
      <c r="X51" s="31">
        <f t="shared" si="59"/>
        <v>0</v>
      </c>
      <c r="Y51" s="31">
        <f t="shared" si="59"/>
        <v>0</v>
      </c>
      <c r="Z51" s="31">
        <f t="shared" si="59"/>
        <v>0</v>
      </c>
      <c r="AA51" s="31">
        <f t="shared" si="59"/>
        <v>0</v>
      </c>
      <c r="AB51" s="31">
        <f t="shared" si="59"/>
        <v>0</v>
      </c>
      <c r="AC51" s="31">
        <f t="shared" si="59"/>
        <v>0</v>
      </c>
      <c r="AD51" s="31">
        <f t="shared" si="59"/>
        <v>0</v>
      </c>
      <c r="AE51" s="31">
        <f t="shared" si="59"/>
        <v>0</v>
      </c>
      <c r="AF51" s="31">
        <f t="shared" si="59"/>
        <v>0</v>
      </c>
      <c r="AG51" s="13" t="str">
        <f t="shared" ref="AG51:AG56" si="60">IF(O51=AF51, "Ok!", "Error!")</f>
        <v>Ok!</v>
      </c>
    </row>
    <row r="52" spans="1:33" ht="15">
      <c r="A52" s="39" t="s">
        <v>205</v>
      </c>
      <c r="B52" s="36"/>
      <c r="C52" s="188">
        <v>872857.96</v>
      </c>
      <c r="D52" s="188">
        <v>866601.83</v>
      </c>
      <c r="E52" s="188">
        <v>830821.12</v>
      </c>
      <c r="F52" s="188">
        <v>830821.12</v>
      </c>
      <c r="G52" s="188">
        <v>855757.03</v>
      </c>
      <c r="H52" s="188">
        <v>1024369</v>
      </c>
      <c r="I52" s="188">
        <v>1024369</v>
      </c>
      <c r="J52" s="188">
        <v>1024369</v>
      </c>
      <c r="K52" s="188">
        <v>1017338</v>
      </c>
      <c r="L52" s="188">
        <v>974369</v>
      </c>
      <c r="M52" s="188">
        <v>974369</v>
      </c>
      <c r="N52" s="188">
        <v>974368</v>
      </c>
      <c r="O52" s="31">
        <f t="shared" si="57"/>
        <v>11270410.060000001</v>
      </c>
      <c r="Q52" s="261">
        <f>856000</f>
        <v>856000</v>
      </c>
      <c r="R52" s="188">
        <f>856000</f>
        <v>856000</v>
      </c>
      <c r="S52" s="188">
        <v>856000</v>
      </c>
      <c r="U52" s="31">
        <f t="shared" si="58"/>
        <v>872857.96</v>
      </c>
      <c r="V52" s="31">
        <f t="shared" si="59"/>
        <v>1739459.79</v>
      </c>
      <c r="W52" s="31">
        <f t="shared" si="59"/>
        <v>2570280.91</v>
      </c>
      <c r="X52" s="31">
        <f t="shared" si="59"/>
        <v>3401102.0300000003</v>
      </c>
      <c r="Y52" s="31">
        <f t="shared" si="59"/>
        <v>4256859.0600000005</v>
      </c>
      <c r="Z52" s="31">
        <f t="shared" si="59"/>
        <v>5281228.0600000005</v>
      </c>
      <c r="AA52" s="31">
        <f t="shared" si="59"/>
        <v>6305597.0600000005</v>
      </c>
      <c r="AB52" s="31">
        <f t="shared" si="59"/>
        <v>7329966.0600000005</v>
      </c>
      <c r="AC52" s="31">
        <f t="shared" si="59"/>
        <v>8347304.0600000005</v>
      </c>
      <c r="AD52" s="31">
        <f t="shared" si="59"/>
        <v>9321673.0600000005</v>
      </c>
      <c r="AE52" s="31">
        <f t="shared" si="59"/>
        <v>10296042.060000001</v>
      </c>
      <c r="AF52" s="31">
        <f t="shared" si="59"/>
        <v>11270410.060000001</v>
      </c>
      <c r="AG52" s="13" t="str">
        <f t="shared" si="60"/>
        <v>Ok!</v>
      </c>
    </row>
    <row r="53" spans="1:33" ht="15">
      <c r="A53" s="39" t="s">
        <v>194</v>
      </c>
      <c r="B53" s="36"/>
      <c r="C53" s="188"/>
      <c r="D53" s="188"/>
      <c r="E53" s="188"/>
      <c r="F53" s="188"/>
      <c r="G53" s="188"/>
      <c r="H53" s="188"/>
      <c r="I53" s="188"/>
      <c r="J53" s="188"/>
      <c r="K53" s="188"/>
      <c r="L53" s="188"/>
      <c r="M53" s="188"/>
      <c r="N53" s="188"/>
      <c r="O53" s="31">
        <f t="shared" si="57"/>
        <v>0</v>
      </c>
      <c r="Q53" s="261">
        <f>785000</f>
        <v>785000</v>
      </c>
      <c r="R53" s="188">
        <f>785000</f>
        <v>785000</v>
      </c>
      <c r="S53" s="188">
        <v>785000</v>
      </c>
      <c r="U53" s="31">
        <f t="shared" si="58"/>
        <v>0</v>
      </c>
      <c r="V53" s="31">
        <f t="shared" si="59"/>
        <v>0</v>
      </c>
      <c r="W53" s="31">
        <f t="shared" si="59"/>
        <v>0</v>
      </c>
      <c r="X53" s="31">
        <f t="shared" si="59"/>
        <v>0</v>
      </c>
      <c r="Y53" s="31">
        <f t="shared" si="59"/>
        <v>0</v>
      </c>
      <c r="Z53" s="31">
        <f t="shared" si="59"/>
        <v>0</v>
      </c>
      <c r="AA53" s="31">
        <f t="shared" si="59"/>
        <v>0</v>
      </c>
      <c r="AB53" s="31">
        <f t="shared" si="59"/>
        <v>0</v>
      </c>
      <c r="AC53" s="31">
        <f t="shared" si="59"/>
        <v>0</v>
      </c>
      <c r="AD53" s="31">
        <f t="shared" si="59"/>
        <v>0</v>
      </c>
      <c r="AE53" s="31">
        <f t="shared" si="59"/>
        <v>0</v>
      </c>
      <c r="AF53" s="31">
        <f t="shared" si="59"/>
        <v>0</v>
      </c>
      <c r="AG53" s="13" t="str">
        <f t="shared" si="60"/>
        <v>Ok!</v>
      </c>
    </row>
    <row r="54" spans="1:33" ht="15">
      <c r="A54" s="39" t="s">
        <v>36</v>
      </c>
      <c r="B54" s="36"/>
      <c r="C54" s="188"/>
      <c r="D54" s="188"/>
      <c r="E54" s="188"/>
      <c r="F54" s="188"/>
      <c r="G54" s="188"/>
      <c r="H54" s="188"/>
      <c r="I54" s="188"/>
      <c r="J54" s="188"/>
      <c r="K54" s="188"/>
      <c r="L54" s="188"/>
      <c r="M54" s="188"/>
      <c r="N54" s="188"/>
      <c r="O54" s="31">
        <f t="shared" si="57"/>
        <v>0</v>
      </c>
      <c r="Q54" s="188"/>
      <c r="R54" s="188"/>
      <c r="S54" s="188"/>
      <c r="U54" s="31">
        <f t="shared" si="58"/>
        <v>0</v>
      </c>
      <c r="V54" s="31">
        <f t="shared" si="59"/>
        <v>0</v>
      </c>
      <c r="W54" s="31">
        <f t="shared" si="59"/>
        <v>0</v>
      </c>
      <c r="X54" s="31">
        <f t="shared" si="59"/>
        <v>0</v>
      </c>
      <c r="Y54" s="31">
        <f t="shared" si="59"/>
        <v>0</v>
      </c>
      <c r="Z54" s="31">
        <f t="shared" si="59"/>
        <v>0</v>
      </c>
      <c r="AA54" s="31">
        <f t="shared" si="59"/>
        <v>0</v>
      </c>
      <c r="AB54" s="31">
        <f t="shared" si="59"/>
        <v>0</v>
      </c>
      <c r="AC54" s="31">
        <f t="shared" si="59"/>
        <v>0</v>
      </c>
      <c r="AD54" s="31">
        <f t="shared" si="59"/>
        <v>0</v>
      </c>
      <c r="AE54" s="31">
        <f t="shared" si="59"/>
        <v>0</v>
      </c>
      <c r="AF54" s="31">
        <f t="shared" si="59"/>
        <v>0</v>
      </c>
      <c r="AG54" s="13" t="str">
        <f t="shared" si="60"/>
        <v>Ok!</v>
      </c>
    </row>
    <row r="55" spans="1:33" ht="15.75" customHeight="1">
      <c r="A55" s="39" t="s">
        <v>204</v>
      </c>
      <c r="B55" s="36"/>
      <c r="C55" s="188"/>
      <c r="D55" s="188"/>
      <c r="E55" s="188"/>
      <c r="F55" s="188"/>
      <c r="G55" s="188"/>
      <c r="H55" s="188"/>
      <c r="I55" s="188"/>
      <c r="J55" s="188"/>
      <c r="K55" s="188"/>
      <c r="L55" s="188"/>
      <c r="M55" s="188"/>
      <c r="N55" s="188"/>
      <c r="O55" s="31">
        <f t="shared" si="57"/>
        <v>0</v>
      </c>
      <c r="Q55" s="188"/>
      <c r="R55" s="188"/>
      <c r="S55" s="188"/>
      <c r="U55" s="31">
        <f t="shared" si="58"/>
        <v>0</v>
      </c>
      <c r="V55" s="31">
        <f t="shared" si="59"/>
        <v>0</v>
      </c>
      <c r="W55" s="31">
        <f t="shared" si="59"/>
        <v>0</v>
      </c>
      <c r="X55" s="31">
        <f t="shared" si="59"/>
        <v>0</v>
      </c>
      <c r="Y55" s="31">
        <f t="shared" si="59"/>
        <v>0</v>
      </c>
      <c r="Z55" s="31">
        <f t="shared" si="59"/>
        <v>0</v>
      </c>
      <c r="AA55" s="31">
        <f t="shared" si="59"/>
        <v>0</v>
      </c>
      <c r="AB55" s="31">
        <f t="shared" si="59"/>
        <v>0</v>
      </c>
      <c r="AC55" s="31">
        <f t="shared" si="59"/>
        <v>0</v>
      </c>
      <c r="AD55" s="31">
        <f t="shared" si="59"/>
        <v>0</v>
      </c>
      <c r="AE55" s="31">
        <f t="shared" si="59"/>
        <v>0</v>
      </c>
      <c r="AF55" s="31">
        <f t="shared" si="59"/>
        <v>0</v>
      </c>
      <c r="AG55" s="13" t="str">
        <f t="shared" si="60"/>
        <v>Ok!</v>
      </c>
    </row>
    <row r="56" spans="1:33" s="24" customFormat="1" ht="15">
      <c r="A56" s="39" t="s">
        <v>16</v>
      </c>
      <c r="B56" s="36"/>
      <c r="C56" s="22">
        <f t="shared" ref="C56:N56" si="61">SUBTOTAL(9,C51:C55)</f>
        <v>872857.96</v>
      </c>
      <c r="D56" s="22">
        <f t="shared" si="61"/>
        <v>866601.83</v>
      </c>
      <c r="E56" s="22">
        <f t="shared" si="61"/>
        <v>830821.12</v>
      </c>
      <c r="F56" s="22">
        <f t="shared" si="61"/>
        <v>830821.12</v>
      </c>
      <c r="G56" s="22">
        <f t="shared" si="61"/>
        <v>855757.03</v>
      </c>
      <c r="H56" s="22">
        <f t="shared" si="61"/>
        <v>1024369</v>
      </c>
      <c r="I56" s="22">
        <f t="shared" si="61"/>
        <v>1024369</v>
      </c>
      <c r="J56" s="22">
        <f t="shared" si="61"/>
        <v>1024369</v>
      </c>
      <c r="K56" s="22">
        <f t="shared" si="61"/>
        <v>1017338</v>
      </c>
      <c r="L56" s="22">
        <f t="shared" si="61"/>
        <v>974369</v>
      </c>
      <c r="M56" s="22">
        <f t="shared" si="61"/>
        <v>974369</v>
      </c>
      <c r="N56" s="22">
        <f t="shared" si="61"/>
        <v>974368</v>
      </c>
      <c r="O56" s="22">
        <f t="shared" si="57"/>
        <v>11270410.060000001</v>
      </c>
      <c r="Q56" s="22">
        <f t="shared" ref="Q56:S56" si="62">SUBTOTAL(9,Q51:Q55)</f>
        <v>1641000</v>
      </c>
      <c r="R56" s="22">
        <f t="shared" si="62"/>
        <v>1641000</v>
      </c>
      <c r="S56" s="22">
        <f t="shared" si="62"/>
        <v>1641000</v>
      </c>
      <c r="U56" s="22">
        <f t="shared" ref="U56:AF56" si="63">SUBTOTAL(9,U51:U55)</f>
        <v>872857.96</v>
      </c>
      <c r="V56" s="22">
        <f t="shared" si="63"/>
        <v>1739459.79</v>
      </c>
      <c r="W56" s="22">
        <f t="shared" si="63"/>
        <v>2570280.91</v>
      </c>
      <c r="X56" s="22">
        <f t="shared" si="63"/>
        <v>3401102.0300000003</v>
      </c>
      <c r="Y56" s="22">
        <f t="shared" si="63"/>
        <v>4256859.0600000005</v>
      </c>
      <c r="Z56" s="22">
        <f t="shared" si="63"/>
        <v>5281228.0600000005</v>
      </c>
      <c r="AA56" s="22">
        <f t="shared" si="63"/>
        <v>6305597.0600000005</v>
      </c>
      <c r="AB56" s="22">
        <f t="shared" si="63"/>
        <v>7329966.0600000005</v>
      </c>
      <c r="AC56" s="22">
        <f t="shared" si="63"/>
        <v>8347304.0600000005</v>
      </c>
      <c r="AD56" s="22">
        <f t="shared" si="63"/>
        <v>9321673.0600000005</v>
      </c>
      <c r="AE56" s="22">
        <f t="shared" si="63"/>
        <v>10296042.060000001</v>
      </c>
      <c r="AF56" s="22">
        <f t="shared" si="63"/>
        <v>11270410.060000001</v>
      </c>
      <c r="AG56" s="13" t="str">
        <f t="shared" si="60"/>
        <v>Ok!</v>
      </c>
    </row>
    <row r="57" spans="1:33" ht="15">
      <c r="A57" s="18"/>
      <c r="B57" s="18"/>
      <c r="C57" s="40"/>
      <c r="D57" s="40"/>
      <c r="E57" s="40"/>
      <c r="F57" s="40"/>
      <c r="G57" s="40"/>
      <c r="H57" s="40"/>
      <c r="I57" s="40"/>
      <c r="J57" s="40"/>
      <c r="K57" s="40"/>
      <c r="L57" s="40"/>
      <c r="M57" s="40"/>
      <c r="N57" s="40"/>
      <c r="O57" s="40"/>
      <c r="Q57" s="40"/>
      <c r="R57" s="40"/>
      <c r="S57" s="40"/>
      <c r="U57" s="40"/>
      <c r="V57" s="40"/>
      <c r="W57" s="40"/>
      <c r="X57" s="40"/>
      <c r="Y57" s="40"/>
      <c r="Z57" s="40"/>
      <c r="AA57" s="40"/>
      <c r="AB57" s="40"/>
      <c r="AC57" s="40"/>
      <c r="AD57" s="40"/>
      <c r="AE57" s="40"/>
      <c r="AF57" s="40"/>
    </row>
    <row r="58" spans="1:33" s="24" customFormat="1" ht="15">
      <c r="A58" s="18" t="s">
        <v>3</v>
      </c>
      <c r="B58" s="18"/>
      <c r="C58" s="22">
        <f t="shared" ref="C58:N58" si="64">C47-C56</f>
        <v>22529618.291321609</v>
      </c>
      <c r="D58" s="22">
        <f t="shared" si="64"/>
        <v>14728135.506006977</v>
      </c>
      <c r="E58" s="22">
        <f t="shared" si="64"/>
        <v>14919739.737064024</v>
      </c>
      <c r="F58" s="22">
        <f t="shared" si="64"/>
        <v>15685772.757549567</v>
      </c>
      <c r="G58" s="22">
        <f t="shared" si="64"/>
        <v>18981025.905641869</v>
      </c>
      <c r="H58" s="22">
        <f t="shared" si="64"/>
        <v>8605326.8506619036</v>
      </c>
      <c r="I58" s="22">
        <f t="shared" si="64"/>
        <v>8656564.2936144397</v>
      </c>
      <c r="J58" s="22">
        <f t="shared" si="64"/>
        <v>7875177.2249710262</v>
      </c>
      <c r="K58" s="22">
        <f t="shared" si="64"/>
        <v>9577391.134897165</v>
      </c>
      <c r="L58" s="22">
        <f t="shared" si="64"/>
        <v>20186010.628162786</v>
      </c>
      <c r="M58" s="22">
        <f t="shared" si="64"/>
        <v>27734799.259436917</v>
      </c>
      <c r="N58" s="22">
        <f t="shared" si="64"/>
        <v>29077240.952241052</v>
      </c>
      <c r="O58" s="22">
        <f>SUM(C58:N58)</f>
        <v>198556802.54156935</v>
      </c>
      <c r="Q58" s="22">
        <f t="shared" ref="Q58:S58" si="65">Q47-Q56</f>
        <v>20194497</v>
      </c>
      <c r="R58" s="22">
        <f t="shared" si="65"/>
        <v>16127000</v>
      </c>
      <c r="S58" s="22">
        <f t="shared" si="65"/>
        <v>18541800</v>
      </c>
      <c r="U58" s="22">
        <f t="shared" ref="U58:AF58" si="66">U47-U56</f>
        <v>22529618.291321609</v>
      </c>
      <c r="V58" s="22">
        <f t="shared" si="66"/>
        <v>37257753.797328584</v>
      </c>
      <c r="W58" s="22">
        <f t="shared" si="66"/>
        <v>52177493.53439264</v>
      </c>
      <c r="X58" s="22">
        <f t="shared" si="66"/>
        <v>67863266.291942179</v>
      </c>
      <c r="Y58" s="22">
        <f t="shared" si="66"/>
        <v>86844292.197584033</v>
      </c>
      <c r="Z58" s="22">
        <f t="shared" si="66"/>
        <v>95449619.048245966</v>
      </c>
      <c r="AA58" s="22">
        <f t="shared" si="66"/>
        <v>104106183.34186032</v>
      </c>
      <c r="AB58" s="22">
        <f t="shared" si="66"/>
        <v>111981360.56683141</v>
      </c>
      <c r="AC58" s="22">
        <f t="shared" si="66"/>
        <v>121558751.70172864</v>
      </c>
      <c r="AD58" s="22">
        <f t="shared" si="66"/>
        <v>141744762.32989132</v>
      </c>
      <c r="AE58" s="22">
        <f t="shared" si="66"/>
        <v>169479561.58932829</v>
      </c>
      <c r="AF58" s="22">
        <f t="shared" si="66"/>
        <v>198556802.54156929</v>
      </c>
      <c r="AG58" s="13" t="str">
        <f t="shared" ref="AG58:AG59" si="67">IF(O58=AF58, "Ok!", "Error!")</f>
        <v>Ok!</v>
      </c>
    </row>
    <row r="59" spans="1:33" s="48" customFormat="1" ht="15">
      <c r="A59" s="45" t="s">
        <v>1</v>
      </c>
      <c r="B59" s="46"/>
      <c r="C59" s="32">
        <f t="shared" ref="C59:O59" si="68">IFERROR(C58/C$8,)</f>
        <v>0.44354645577747775</v>
      </c>
      <c r="D59" s="32">
        <f t="shared" si="68"/>
        <v>0.36406881012268344</v>
      </c>
      <c r="E59" s="32">
        <f t="shared" si="68"/>
        <v>0.35716043419173321</v>
      </c>
      <c r="F59" s="32">
        <f t="shared" si="68"/>
        <v>0.3720282272781244</v>
      </c>
      <c r="G59" s="32">
        <f t="shared" si="68"/>
        <v>0.39370400408620521</v>
      </c>
      <c r="H59" s="32">
        <f t="shared" si="68"/>
        <v>0.27000121514035108</v>
      </c>
      <c r="I59" s="32">
        <f t="shared" si="68"/>
        <v>0.27700955974434932</v>
      </c>
      <c r="J59" s="32">
        <f t="shared" si="68"/>
        <v>0.25910689796938996</v>
      </c>
      <c r="K59" s="32">
        <f t="shared" si="68"/>
        <v>0.29792056990634064</v>
      </c>
      <c r="L59" s="32">
        <f t="shared" si="68"/>
        <v>0.42356360382810987</v>
      </c>
      <c r="M59" s="32">
        <f t="shared" si="68"/>
        <v>0.47266859930301414</v>
      </c>
      <c r="N59" s="32">
        <f t="shared" si="68"/>
        <v>0.47511538309631823</v>
      </c>
      <c r="O59" s="32">
        <f t="shared" si="68"/>
        <v>0.38435790724948032</v>
      </c>
      <c r="Q59" s="32">
        <f t="shared" ref="Q59:S59" si="69">IFERROR(Q58/Q$8,)</f>
        <v>0.39630233548480787</v>
      </c>
      <c r="R59" s="32">
        <f t="shared" si="69"/>
        <v>0.36192463924235285</v>
      </c>
      <c r="S59" s="32">
        <f t="shared" si="69"/>
        <v>0.380955707411684</v>
      </c>
      <c r="U59" s="32">
        <f t="shared" ref="U59:AF59" si="70">IFERROR(U58/U$8,)</f>
        <v>0.44354645577747775</v>
      </c>
      <c r="V59" s="32">
        <f t="shared" si="70"/>
        <v>0.40831071555299009</v>
      </c>
      <c r="W59" s="32">
        <f t="shared" si="70"/>
        <v>0.3922478405290325</v>
      </c>
      <c r="X59" s="32">
        <f t="shared" si="70"/>
        <v>0.38738145028557663</v>
      </c>
      <c r="Y59" s="32">
        <f t="shared" si="70"/>
        <v>0.38874592960781312</v>
      </c>
      <c r="Z59" s="32">
        <f t="shared" si="70"/>
        <v>0.3739200492154407</v>
      </c>
      <c r="AA59" s="32">
        <f t="shared" si="70"/>
        <v>0.36335016037088025</v>
      </c>
      <c r="AB59" s="32">
        <f t="shared" si="70"/>
        <v>0.353352647644466</v>
      </c>
      <c r="AC59" s="32">
        <f t="shared" si="70"/>
        <v>0.34824748423864088</v>
      </c>
      <c r="AD59" s="32">
        <f t="shared" si="70"/>
        <v>0.35729522163849103</v>
      </c>
      <c r="AE59" s="32">
        <f t="shared" si="70"/>
        <v>0.37216099132971747</v>
      </c>
      <c r="AF59" s="32">
        <f t="shared" si="70"/>
        <v>0.38435790724948027</v>
      </c>
      <c r="AG59" s="13" t="str">
        <f t="shared" si="67"/>
        <v>Ok!</v>
      </c>
    </row>
    <row r="60" spans="1:33" ht="15">
      <c r="A60" s="18"/>
      <c r="B60" s="18"/>
      <c r="C60" s="40"/>
      <c r="D60" s="40"/>
      <c r="E60" s="40"/>
      <c r="F60" s="40"/>
      <c r="G60" s="40"/>
      <c r="H60" s="40"/>
      <c r="I60" s="40"/>
      <c r="J60" s="40"/>
      <c r="K60" s="40"/>
      <c r="L60" s="40"/>
      <c r="M60" s="40"/>
      <c r="N60" s="40"/>
      <c r="O60" s="40"/>
      <c r="Q60" s="40"/>
      <c r="R60" s="40"/>
      <c r="S60" s="40"/>
      <c r="U60" s="40"/>
      <c r="V60" s="40"/>
      <c r="W60" s="40"/>
      <c r="X60" s="40"/>
      <c r="Y60" s="40"/>
      <c r="Z60" s="40"/>
      <c r="AA60" s="40"/>
      <c r="AB60" s="40"/>
      <c r="AC60" s="40"/>
      <c r="AD60" s="40"/>
      <c r="AE60" s="40"/>
      <c r="AF60" s="40"/>
    </row>
    <row r="61" spans="1:33" ht="15">
      <c r="A61" s="39" t="s">
        <v>14</v>
      </c>
      <c r="B61" s="36"/>
      <c r="C61" s="188">
        <v>5039919</v>
      </c>
      <c r="D61" s="188">
        <v>5039919</v>
      </c>
      <c r="E61" s="188">
        <v>5039919</v>
      </c>
      <c r="F61" s="188">
        <v>5039919</v>
      </c>
      <c r="G61" s="188">
        <v>5039919</v>
      </c>
      <c r="H61" s="188">
        <v>5039919</v>
      </c>
      <c r="I61" s="188">
        <v>5039919</v>
      </c>
      <c r="J61" s="188">
        <v>5039919</v>
      </c>
      <c r="K61" s="188">
        <v>5039919</v>
      </c>
      <c r="L61" s="188">
        <v>5039919</v>
      </c>
      <c r="M61" s="188">
        <v>5039919</v>
      </c>
      <c r="N61" s="188">
        <v>5039919</v>
      </c>
      <c r="O61" s="31">
        <f>SUM(C61:N61)</f>
        <v>60479028</v>
      </c>
      <c r="Q61" s="188">
        <f>4176000</f>
        <v>4176000</v>
      </c>
      <c r="R61" s="188">
        <f>4176000</f>
        <v>4176000</v>
      </c>
      <c r="S61" s="188">
        <v>4283500</v>
      </c>
      <c r="U61" s="31">
        <f>C61</f>
        <v>5039919</v>
      </c>
      <c r="V61" s="31">
        <f t="shared" ref="V61:AF61" si="71">U61+D61</f>
        <v>10079838</v>
      </c>
      <c r="W61" s="31">
        <f t="shared" si="71"/>
        <v>15119757</v>
      </c>
      <c r="X61" s="31">
        <f t="shared" si="71"/>
        <v>20159676</v>
      </c>
      <c r="Y61" s="31">
        <f t="shared" si="71"/>
        <v>25199595</v>
      </c>
      <c r="Z61" s="31">
        <f t="shared" si="71"/>
        <v>30239514</v>
      </c>
      <c r="AA61" s="31">
        <f t="shared" si="71"/>
        <v>35279433</v>
      </c>
      <c r="AB61" s="31">
        <f t="shared" si="71"/>
        <v>40319352</v>
      </c>
      <c r="AC61" s="31">
        <f t="shared" si="71"/>
        <v>45359271</v>
      </c>
      <c r="AD61" s="31">
        <f t="shared" si="71"/>
        <v>50399190</v>
      </c>
      <c r="AE61" s="31">
        <f t="shared" si="71"/>
        <v>55439109</v>
      </c>
      <c r="AF61" s="31">
        <f t="shared" si="71"/>
        <v>60479028</v>
      </c>
      <c r="AG61" s="13" t="str">
        <f>IF(O61=AF61, "Ok!", "Error!")</f>
        <v>Ok!</v>
      </c>
    </row>
    <row r="62" spans="1:33" ht="15">
      <c r="A62" s="18"/>
      <c r="B62" s="18"/>
      <c r="C62" s="40"/>
      <c r="D62" s="40"/>
      <c r="E62" s="40"/>
      <c r="F62" s="40"/>
      <c r="G62" s="40"/>
      <c r="H62" s="40"/>
      <c r="I62" s="40"/>
      <c r="J62" s="40"/>
      <c r="K62" s="40"/>
      <c r="L62" s="40"/>
      <c r="M62" s="40"/>
      <c r="N62" s="40"/>
      <c r="O62" s="40"/>
      <c r="Q62" s="40"/>
      <c r="R62" s="40"/>
      <c r="S62" s="40"/>
      <c r="U62" s="40"/>
      <c r="V62" s="40"/>
      <c r="W62" s="40"/>
      <c r="X62" s="40"/>
      <c r="Y62" s="40"/>
      <c r="Z62" s="40"/>
      <c r="AA62" s="40"/>
      <c r="AB62" s="40"/>
      <c r="AC62" s="40"/>
      <c r="AD62" s="40"/>
      <c r="AE62" s="40"/>
      <c r="AF62" s="40"/>
    </row>
    <row r="63" spans="1:33" s="24" customFormat="1" ht="15">
      <c r="A63" s="18" t="s">
        <v>196</v>
      </c>
      <c r="B63" s="18"/>
      <c r="C63" s="22">
        <f t="shared" ref="C63:N63" si="72">C58-C61</f>
        <v>17489699.291321609</v>
      </c>
      <c r="D63" s="22">
        <f t="shared" si="72"/>
        <v>9688216.5060069766</v>
      </c>
      <c r="E63" s="22">
        <f t="shared" si="72"/>
        <v>9879820.7370640244</v>
      </c>
      <c r="F63" s="22">
        <f t="shared" si="72"/>
        <v>10645853.757549567</v>
      </c>
      <c r="G63" s="22">
        <f t="shared" si="72"/>
        <v>13941106.905641869</v>
      </c>
      <c r="H63" s="22">
        <f t="shared" si="72"/>
        <v>3565407.8506619036</v>
      </c>
      <c r="I63" s="22">
        <f t="shared" si="72"/>
        <v>3616645.2936144397</v>
      </c>
      <c r="J63" s="22">
        <f t="shared" si="72"/>
        <v>2835258.2249710262</v>
      </c>
      <c r="K63" s="22">
        <f t="shared" si="72"/>
        <v>4537472.134897165</v>
      </c>
      <c r="L63" s="22">
        <f t="shared" si="72"/>
        <v>15146091.628162786</v>
      </c>
      <c r="M63" s="22">
        <f t="shared" si="72"/>
        <v>22694880.259436917</v>
      </c>
      <c r="N63" s="22">
        <f t="shared" si="72"/>
        <v>24037321.952241052</v>
      </c>
      <c r="O63" s="22">
        <f>SUM(C63:N63)</f>
        <v>138077774.54156935</v>
      </c>
      <c r="Q63" s="22">
        <f t="shared" ref="Q63:S63" si="73">Q58-Q61</f>
        <v>16018497</v>
      </c>
      <c r="R63" s="22">
        <f t="shared" si="73"/>
        <v>11951000</v>
      </c>
      <c r="S63" s="22">
        <f t="shared" si="73"/>
        <v>14258300</v>
      </c>
      <c r="U63" s="22">
        <f t="shared" ref="U63:AF63" si="74">U58-U61</f>
        <v>17489699.291321609</v>
      </c>
      <c r="V63" s="22">
        <f t="shared" si="74"/>
        <v>27177915.797328584</v>
      </c>
      <c r="W63" s="22">
        <f t="shared" si="74"/>
        <v>37057736.53439264</v>
      </c>
      <c r="X63" s="22">
        <f t="shared" si="74"/>
        <v>47703590.291942179</v>
      </c>
      <c r="Y63" s="22">
        <f t="shared" si="74"/>
        <v>61644697.197584033</v>
      </c>
      <c r="Z63" s="22">
        <f t="shared" si="74"/>
        <v>65210105.048245966</v>
      </c>
      <c r="AA63" s="22">
        <f t="shared" si="74"/>
        <v>68826750.341860324</v>
      </c>
      <c r="AB63" s="22">
        <f t="shared" si="74"/>
        <v>71662008.56683141</v>
      </c>
      <c r="AC63" s="22">
        <f t="shared" si="74"/>
        <v>76199480.701728642</v>
      </c>
      <c r="AD63" s="22">
        <f t="shared" si="74"/>
        <v>91345572.329891324</v>
      </c>
      <c r="AE63" s="22">
        <f t="shared" si="74"/>
        <v>114040452.58932829</v>
      </c>
      <c r="AF63" s="22">
        <f t="shared" si="74"/>
        <v>138077774.54156929</v>
      </c>
      <c r="AG63" s="13" t="str">
        <f>IF(O63=AF63, "Ok!", "Error!")</f>
        <v>Ok!</v>
      </c>
    </row>
    <row r="64" spans="1:33" ht="15">
      <c r="A64" s="18"/>
      <c r="B64" s="18"/>
      <c r="C64" s="26"/>
      <c r="D64" s="26"/>
      <c r="E64" s="26"/>
      <c r="F64" s="26"/>
      <c r="G64" s="26"/>
      <c r="H64" s="26"/>
      <c r="I64" s="26"/>
      <c r="J64" s="26"/>
      <c r="K64" s="26"/>
      <c r="L64" s="26"/>
      <c r="M64" s="26"/>
      <c r="N64" s="26"/>
      <c r="O64" s="26"/>
      <c r="Q64" s="26"/>
      <c r="R64" s="26"/>
      <c r="S64" s="26"/>
      <c r="U64" s="26"/>
      <c r="V64" s="26"/>
      <c r="W64" s="26"/>
      <c r="X64" s="26"/>
      <c r="Y64" s="26"/>
      <c r="Z64" s="26"/>
      <c r="AA64" s="26"/>
      <c r="AB64" s="26"/>
      <c r="AC64" s="26"/>
      <c r="AD64" s="26"/>
      <c r="AE64" s="26"/>
      <c r="AF64" s="26"/>
    </row>
    <row r="65" spans="1:33" ht="15">
      <c r="A65" s="39" t="s">
        <v>197</v>
      </c>
      <c r="B65" s="18"/>
      <c r="C65" s="188">
        <f>+C63*0.3</f>
        <v>5246909.7873964822</v>
      </c>
      <c r="D65" s="188">
        <f t="shared" ref="D65:N65" si="75">+D63*0.3</f>
        <v>2906464.9518020931</v>
      </c>
      <c r="E65" s="188">
        <f t="shared" si="75"/>
        <v>2963946.2211192073</v>
      </c>
      <c r="F65" s="188">
        <f t="shared" si="75"/>
        <v>3193756.1272648699</v>
      </c>
      <c r="G65" s="188">
        <f t="shared" si="75"/>
        <v>4182332.0716925603</v>
      </c>
      <c r="H65" s="188">
        <f t="shared" si="75"/>
        <v>1069622.355198571</v>
      </c>
      <c r="I65" s="188">
        <f t="shared" si="75"/>
        <v>1084993.5880843319</v>
      </c>
      <c r="J65" s="188">
        <f t="shared" si="75"/>
        <v>850577.46749130788</v>
      </c>
      <c r="K65" s="188">
        <f t="shared" si="75"/>
        <v>1361241.6404691495</v>
      </c>
      <c r="L65" s="188">
        <f t="shared" si="75"/>
        <v>4543827.4884488359</v>
      </c>
      <c r="M65" s="188">
        <f t="shared" si="75"/>
        <v>6808464.0778310746</v>
      </c>
      <c r="N65" s="188">
        <f t="shared" si="75"/>
        <v>7211196.5856723152</v>
      </c>
      <c r="O65" s="31">
        <f>SUM(C65:N65)</f>
        <v>41423332.362470806</v>
      </c>
      <c r="Q65" s="188">
        <f>3523500</f>
        <v>3523500</v>
      </c>
      <c r="R65" s="188">
        <f>2629000</f>
        <v>2629000</v>
      </c>
      <c r="S65" s="188">
        <v>3136500</v>
      </c>
      <c r="U65" s="31">
        <f>C65</f>
        <v>5246909.7873964822</v>
      </c>
      <c r="V65" s="31">
        <f t="shared" ref="V65:AF65" si="76">U65+D65</f>
        <v>8153374.7391985748</v>
      </c>
      <c r="W65" s="31">
        <f t="shared" si="76"/>
        <v>11117320.960317783</v>
      </c>
      <c r="X65" s="31">
        <f t="shared" si="76"/>
        <v>14311077.087582653</v>
      </c>
      <c r="Y65" s="31">
        <f t="shared" si="76"/>
        <v>18493409.159275215</v>
      </c>
      <c r="Z65" s="31">
        <f t="shared" si="76"/>
        <v>19563031.514473785</v>
      </c>
      <c r="AA65" s="31">
        <f t="shared" si="76"/>
        <v>20648025.102558117</v>
      </c>
      <c r="AB65" s="31">
        <f t="shared" si="76"/>
        <v>21498602.570049424</v>
      </c>
      <c r="AC65" s="31">
        <f t="shared" si="76"/>
        <v>22859844.210518572</v>
      </c>
      <c r="AD65" s="31">
        <f t="shared" si="76"/>
        <v>27403671.698967408</v>
      </c>
      <c r="AE65" s="31">
        <f t="shared" si="76"/>
        <v>34212135.776798487</v>
      </c>
      <c r="AF65" s="31">
        <f t="shared" si="76"/>
        <v>41423332.362470806</v>
      </c>
      <c r="AG65" s="13" t="str">
        <f>IF(O65=AF65, "Ok!", "Error!")</f>
        <v>Ok!</v>
      </c>
    </row>
    <row r="66" spans="1:33" ht="15">
      <c r="A66" s="18"/>
      <c r="B66" s="18"/>
      <c r="C66" s="40"/>
      <c r="D66" s="40"/>
      <c r="E66" s="40"/>
      <c r="F66" s="40"/>
      <c r="G66" s="40"/>
      <c r="H66" s="40"/>
      <c r="I66" s="40"/>
      <c r="J66" s="40"/>
      <c r="K66" s="40"/>
      <c r="L66" s="40"/>
      <c r="M66" s="40"/>
      <c r="N66" s="40"/>
      <c r="O66" s="40"/>
      <c r="Q66" s="40"/>
      <c r="R66" s="40"/>
      <c r="S66" s="40"/>
      <c r="U66" s="40"/>
      <c r="V66" s="40"/>
      <c r="W66" s="40"/>
      <c r="X66" s="40"/>
      <c r="Y66" s="40"/>
      <c r="Z66" s="40"/>
      <c r="AA66" s="40"/>
      <c r="AB66" s="40"/>
      <c r="AC66" s="40"/>
      <c r="AD66" s="40"/>
      <c r="AE66" s="40"/>
      <c r="AF66" s="40"/>
    </row>
    <row r="67" spans="1:33" s="24" customFormat="1" ht="24" customHeight="1" thickBot="1">
      <c r="A67" s="18" t="s">
        <v>25</v>
      </c>
      <c r="B67" s="18"/>
      <c r="C67" s="74">
        <f t="shared" ref="C67:N67" si="77">C63-C65</f>
        <v>12242789.503925126</v>
      </c>
      <c r="D67" s="74">
        <f t="shared" si="77"/>
        <v>6781751.5542048831</v>
      </c>
      <c r="E67" s="74">
        <f t="shared" si="77"/>
        <v>6915874.5159448171</v>
      </c>
      <c r="F67" s="74">
        <f t="shared" si="77"/>
        <v>7452097.6302846968</v>
      </c>
      <c r="G67" s="74">
        <f t="shared" si="77"/>
        <v>9758774.8339493088</v>
      </c>
      <c r="H67" s="74">
        <f t="shared" si="77"/>
        <v>2495785.4954633326</v>
      </c>
      <c r="I67" s="74">
        <f t="shared" si="77"/>
        <v>2531651.705530108</v>
      </c>
      <c r="J67" s="74">
        <f t="shared" si="77"/>
        <v>1984680.7574797184</v>
      </c>
      <c r="K67" s="74">
        <f t="shared" si="77"/>
        <v>3176230.4944280153</v>
      </c>
      <c r="L67" s="74">
        <f t="shared" si="77"/>
        <v>10602264.13971395</v>
      </c>
      <c r="M67" s="74">
        <f t="shared" si="77"/>
        <v>15886416.181605842</v>
      </c>
      <c r="N67" s="74">
        <f t="shared" si="77"/>
        <v>16826125.366568737</v>
      </c>
      <c r="O67" s="74">
        <f>SUM(C67:N67)</f>
        <v>96654442.179098547</v>
      </c>
      <c r="Q67" s="74">
        <f t="shared" ref="Q67:S67" si="78">Q63-Q65</f>
        <v>12494997</v>
      </c>
      <c r="R67" s="74">
        <f t="shared" si="78"/>
        <v>9322000</v>
      </c>
      <c r="S67" s="74">
        <f t="shared" si="78"/>
        <v>11121800</v>
      </c>
      <c r="U67" s="74">
        <f t="shared" ref="U67:AF67" si="79">U63-U65</f>
        <v>12242789.503925126</v>
      </c>
      <c r="V67" s="74">
        <f t="shared" si="79"/>
        <v>19024541.058130011</v>
      </c>
      <c r="W67" s="74">
        <f t="shared" si="79"/>
        <v>25940415.574074857</v>
      </c>
      <c r="X67" s="74">
        <f t="shared" si="79"/>
        <v>33392513.204359524</v>
      </c>
      <c r="Y67" s="74">
        <f t="shared" si="79"/>
        <v>43151288.038308814</v>
      </c>
      <c r="Z67" s="74">
        <f t="shared" si="79"/>
        <v>45647073.533772185</v>
      </c>
      <c r="AA67" s="74">
        <f t="shared" si="79"/>
        <v>48178725.239302203</v>
      </c>
      <c r="AB67" s="74">
        <f t="shared" si="79"/>
        <v>50163405.99678199</v>
      </c>
      <c r="AC67" s="74">
        <f t="shared" si="79"/>
        <v>53339636.491210073</v>
      </c>
      <c r="AD67" s="74">
        <f t="shared" si="79"/>
        <v>63941900.630923912</v>
      </c>
      <c r="AE67" s="74">
        <f t="shared" si="79"/>
        <v>79828316.812529802</v>
      </c>
      <c r="AF67" s="74">
        <f t="shared" si="79"/>
        <v>96654442.179098487</v>
      </c>
      <c r="AG67" s="13" t="str">
        <f>IF(O67=AF67, "Ok!", "Error!")</f>
        <v>Ok!</v>
      </c>
    </row>
    <row r="68" spans="1:33" s="44" customFormat="1" ht="15">
      <c r="A68" s="50"/>
      <c r="B68" s="50"/>
      <c r="C68" s="51">
        <f t="shared" ref="C68:O68" si="80">IFERROR(C67/C$8,)</f>
        <v>0.2410269815972613</v>
      </c>
      <c r="D68" s="51">
        <f t="shared" si="80"/>
        <v>0.16763997166376024</v>
      </c>
      <c r="E68" s="51">
        <f t="shared" si="80"/>
        <v>0.16555762958747608</v>
      </c>
      <c r="F68" s="51">
        <f t="shared" si="80"/>
        <v>0.17674555877803183</v>
      </c>
      <c r="G68" s="51">
        <f t="shared" si="80"/>
        <v>0.20241628383002888</v>
      </c>
      <c r="H68" s="51">
        <f t="shared" si="80"/>
        <v>7.8307904882535709E-2</v>
      </c>
      <c r="I68" s="51">
        <f t="shared" si="80"/>
        <v>8.1012709036567529E-2</v>
      </c>
      <c r="J68" s="51">
        <f t="shared" si="80"/>
        <v>6.5299416107045247E-2</v>
      </c>
      <c r="K68" s="51">
        <f t="shared" si="80"/>
        <v>9.8801895602445053E-2</v>
      </c>
      <c r="L68" s="51">
        <f t="shared" si="80"/>
        <v>0.22246759354666487</v>
      </c>
      <c r="M68" s="51">
        <f t="shared" si="80"/>
        <v>0.27074326423867628</v>
      </c>
      <c r="N68" s="51">
        <f t="shared" si="80"/>
        <v>0.27493499168970637</v>
      </c>
      <c r="O68" s="51">
        <f t="shared" si="80"/>
        <v>0.18709960397628084</v>
      </c>
      <c r="Q68" s="51">
        <f t="shared" ref="Q68:S68" si="81">IFERROR(Q67/Q$8,)</f>
        <v>0.24520524046603726</v>
      </c>
      <c r="R68" s="51">
        <f t="shared" si="81"/>
        <v>0.20920577212235464</v>
      </c>
      <c r="S68" s="51">
        <f t="shared" si="81"/>
        <v>0.22850603429501271</v>
      </c>
      <c r="U68" s="51">
        <f t="shared" ref="U68:AF68" si="82">IFERROR(U67/U$8,)</f>
        <v>0.2410269815972613</v>
      </c>
      <c r="V68" s="51">
        <f t="shared" si="82"/>
        <v>0.20849147307074833</v>
      </c>
      <c r="W68" s="51">
        <f t="shared" si="82"/>
        <v>0.19500883047687365</v>
      </c>
      <c r="X68" s="51">
        <f t="shared" si="82"/>
        <v>0.19061328610587358</v>
      </c>
      <c r="Y68" s="51">
        <f t="shared" si="82"/>
        <v>0.1931605078208414</v>
      </c>
      <c r="Z68" s="51">
        <f t="shared" si="82"/>
        <v>0.17882057731064976</v>
      </c>
      <c r="AA68" s="51">
        <f t="shared" si="82"/>
        <v>0.16815281264015083</v>
      </c>
      <c r="AB68" s="51">
        <f t="shared" si="82"/>
        <v>0.1582885958350948</v>
      </c>
      <c r="AC68" s="51">
        <f t="shared" si="82"/>
        <v>0.15281001127624577</v>
      </c>
      <c r="AD68" s="51">
        <f t="shared" si="82"/>
        <v>0.16117798768988098</v>
      </c>
      <c r="AE68" s="51">
        <f t="shared" si="82"/>
        <v>0.17529538808415554</v>
      </c>
      <c r="AF68" s="51">
        <f t="shared" si="82"/>
        <v>0.18709960397628075</v>
      </c>
    </row>
    <row r="69" spans="1:33" s="44" customFormat="1" ht="15">
      <c r="A69" s="50"/>
      <c r="B69" s="50"/>
      <c r="C69" s="26"/>
      <c r="D69" s="26"/>
      <c r="E69" s="26"/>
      <c r="F69" s="26"/>
      <c r="G69" s="26"/>
      <c r="H69" s="26"/>
      <c r="I69" s="26"/>
      <c r="J69" s="26"/>
      <c r="K69" s="26"/>
      <c r="L69" s="26"/>
      <c r="M69" s="26"/>
      <c r="N69" s="26"/>
      <c r="O69" s="26"/>
      <c r="Q69" s="26"/>
      <c r="R69" s="26"/>
      <c r="S69" s="26"/>
      <c r="U69" s="26"/>
      <c r="V69" s="26"/>
      <c r="W69" s="26"/>
      <c r="X69" s="26"/>
      <c r="Y69" s="26"/>
      <c r="Z69" s="26"/>
      <c r="AA69" s="26"/>
      <c r="AB69" s="26"/>
      <c r="AC69" s="26"/>
      <c r="AD69" s="26"/>
      <c r="AE69" s="26"/>
      <c r="AF69" s="26"/>
    </row>
    <row r="70" spans="1:33" ht="15">
      <c r="A70" s="1" t="s">
        <v>4</v>
      </c>
      <c r="B70" s="1"/>
      <c r="D70" s="54"/>
      <c r="E70" s="33"/>
      <c r="F70" s="33"/>
      <c r="G70" s="33"/>
      <c r="H70" s="33"/>
      <c r="I70" s="33"/>
      <c r="J70" s="33"/>
      <c r="K70" s="33"/>
      <c r="L70" s="33"/>
      <c r="M70" s="33"/>
      <c r="N70" s="33"/>
      <c r="O70" s="33"/>
      <c r="Q70" s="33"/>
      <c r="R70" s="33"/>
      <c r="S70" s="33"/>
      <c r="U70" s="21"/>
      <c r="V70" s="54"/>
      <c r="W70" s="33"/>
      <c r="X70" s="33"/>
      <c r="Y70" s="33"/>
      <c r="Z70" s="33"/>
      <c r="AA70" s="33"/>
      <c r="AB70" s="33"/>
      <c r="AC70" s="33"/>
      <c r="AD70" s="33"/>
      <c r="AE70" s="33"/>
      <c r="AF70" s="33"/>
    </row>
    <row r="71" spans="1:33" s="53" customFormat="1" ht="15">
      <c r="A71" s="56" t="s">
        <v>206</v>
      </c>
      <c r="B71" s="57"/>
      <c r="C71" s="189">
        <v>8091</v>
      </c>
      <c r="D71" s="189">
        <v>7308</v>
      </c>
      <c r="E71" s="189">
        <v>8091</v>
      </c>
      <c r="F71" s="189">
        <v>7830</v>
      </c>
      <c r="G71" s="189">
        <v>8091</v>
      </c>
      <c r="H71" s="189">
        <v>7830</v>
      </c>
      <c r="I71" s="189">
        <v>8091</v>
      </c>
      <c r="J71" s="189">
        <v>8091</v>
      </c>
      <c r="K71" s="189">
        <v>7830</v>
      </c>
      <c r="L71" s="189">
        <v>8091</v>
      </c>
      <c r="M71" s="189">
        <v>7830</v>
      </c>
      <c r="N71" s="189">
        <v>8091</v>
      </c>
      <c r="O71" s="58">
        <f>SUM(C71:N71)</f>
        <v>95265</v>
      </c>
      <c r="Q71" s="278">
        <v>8091</v>
      </c>
      <c r="R71" s="189">
        <f>7569</f>
        <v>7569</v>
      </c>
      <c r="S71" s="189">
        <v>8091</v>
      </c>
      <c r="U71" s="58">
        <f>C71</f>
        <v>8091</v>
      </c>
      <c r="V71" s="58">
        <f t="shared" ref="V71:AF72" si="83">U71+D71</f>
        <v>15399</v>
      </c>
      <c r="W71" s="58">
        <f t="shared" si="83"/>
        <v>23490</v>
      </c>
      <c r="X71" s="58">
        <f t="shared" si="83"/>
        <v>31320</v>
      </c>
      <c r="Y71" s="58">
        <f t="shared" si="83"/>
        <v>39411</v>
      </c>
      <c r="Z71" s="58">
        <f t="shared" si="83"/>
        <v>47241</v>
      </c>
      <c r="AA71" s="58">
        <f t="shared" si="83"/>
        <v>55332</v>
      </c>
      <c r="AB71" s="58">
        <f t="shared" si="83"/>
        <v>63423</v>
      </c>
      <c r="AC71" s="58">
        <f t="shared" si="83"/>
        <v>71253</v>
      </c>
      <c r="AD71" s="58">
        <f t="shared" si="83"/>
        <v>79344</v>
      </c>
      <c r="AE71" s="58">
        <f t="shared" si="83"/>
        <v>87174</v>
      </c>
      <c r="AF71" s="58">
        <f t="shared" si="83"/>
        <v>95265</v>
      </c>
      <c r="AG71" s="13" t="str">
        <f t="shared" ref="AG71:AG88" si="84">IF(O71=AF71, "Ok!", "Error!")</f>
        <v>Ok!</v>
      </c>
    </row>
    <row r="72" spans="1:33" s="53" customFormat="1" ht="15.75" customHeight="1">
      <c r="A72" s="56" t="s">
        <v>13</v>
      </c>
      <c r="B72" s="57"/>
      <c r="C72" s="189">
        <v>5801</v>
      </c>
      <c r="D72" s="189">
        <v>4738</v>
      </c>
      <c r="E72" s="189">
        <v>5135</v>
      </c>
      <c r="F72" s="189">
        <v>5168</v>
      </c>
      <c r="G72" s="189">
        <v>5628</v>
      </c>
      <c r="H72" s="189">
        <v>3994</v>
      </c>
      <c r="I72" s="189">
        <v>3995</v>
      </c>
      <c r="J72" s="189">
        <v>4255</v>
      </c>
      <c r="K72" s="189">
        <v>4465</v>
      </c>
      <c r="L72" s="189">
        <v>5753</v>
      </c>
      <c r="M72" s="189">
        <v>6818</v>
      </c>
      <c r="N72" s="189">
        <v>6662</v>
      </c>
      <c r="O72" s="58">
        <f>SUM(C72:N72)</f>
        <v>62412</v>
      </c>
      <c r="Q72" s="278">
        <f>5295</f>
        <v>5295</v>
      </c>
      <c r="R72" s="189">
        <f>4850</f>
        <v>4850</v>
      </c>
      <c r="S72" s="189">
        <v>4955</v>
      </c>
      <c r="U72" s="58">
        <f>C72</f>
        <v>5801</v>
      </c>
      <c r="V72" s="58">
        <f t="shared" si="83"/>
        <v>10539</v>
      </c>
      <c r="W72" s="58">
        <f t="shared" si="83"/>
        <v>15674</v>
      </c>
      <c r="X72" s="58">
        <f t="shared" si="83"/>
        <v>20842</v>
      </c>
      <c r="Y72" s="58">
        <f t="shared" si="83"/>
        <v>26470</v>
      </c>
      <c r="Z72" s="58">
        <f t="shared" si="83"/>
        <v>30464</v>
      </c>
      <c r="AA72" s="58">
        <f t="shared" si="83"/>
        <v>34459</v>
      </c>
      <c r="AB72" s="58">
        <f t="shared" si="83"/>
        <v>38714</v>
      </c>
      <c r="AC72" s="58">
        <f t="shared" si="83"/>
        <v>43179</v>
      </c>
      <c r="AD72" s="58">
        <f t="shared" si="83"/>
        <v>48932</v>
      </c>
      <c r="AE72" s="58">
        <f t="shared" si="83"/>
        <v>55750</v>
      </c>
      <c r="AF72" s="58">
        <f t="shared" si="83"/>
        <v>62412</v>
      </c>
      <c r="AG72" s="13" t="str">
        <f t="shared" si="84"/>
        <v>Ok!</v>
      </c>
    </row>
    <row r="73" spans="1:33" s="62" customFormat="1" ht="15">
      <c r="A73" s="59" t="s">
        <v>198</v>
      </c>
      <c r="B73" s="60"/>
      <c r="C73" s="61">
        <f>IFERROR(C72/C71,)</f>
        <v>0.7169694722531208</v>
      </c>
      <c r="D73" s="61">
        <f t="shared" ref="D73:O73" si="85">IFERROR(D72/D71,)</f>
        <v>0.64833059660645864</v>
      </c>
      <c r="E73" s="61">
        <f t="shared" si="85"/>
        <v>0.63465579038437769</v>
      </c>
      <c r="F73" s="61">
        <f t="shared" si="85"/>
        <v>0.66002554278416348</v>
      </c>
      <c r="G73" s="61">
        <f t="shared" si="85"/>
        <v>0.69558769002595477</v>
      </c>
      <c r="H73" s="61">
        <f t="shared" si="85"/>
        <v>0.51008939974457213</v>
      </c>
      <c r="I73" s="61">
        <f t="shared" si="85"/>
        <v>0.49375849709553826</v>
      </c>
      <c r="J73" s="61">
        <f t="shared" si="85"/>
        <v>0.52589296749474723</v>
      </c>
      <c r="K73" s="61">
        <f t="shared" si="85"/>
        <v>0.57024265644955296</v>
      </c>
      <c r="L73" s="61">
        <f t="shared" si="85"/>
        <v>0.71103695464095906</v>
      </c>
      <c r="M73" s="61">
        <f t="shared" si="85"/>
        <v>0.87075351213282248</v>
      </c>
      <c r="N73" s="61">
        <f t="shared" si="85"/>
        <v>0.82338400692127056</v>
      </c>
      <c r="O73" s="61">
        <f t="shared" si="85"/>
        <v>0.65514092268934021</v>
      </c>
      <c r="Q73" s="61">
        <f t="shared" ref="Q73:S73" si="86">IFERROR(Q72/Q71,)</f>
        <v>0.65443084909158322</v>
      </c>
      <c r="R73" s="61">
        <f t="shared" si="86"/>
        <v>0.64077156823886905</v>
      </c>
      <c r="S73" s="61">
        <f t="shared" si="86"/>
        <v>0.61240884933877149</v>
      </c>
      <c r="U73" s="61">
        <f>IFERROR(U72/U71,)</f>
        <v>0.7169694722531208</v>
      </c>
      <c r="V73" s="61">
        <f t="shared" ref="V73:AF73" si="87">IFERROR(V72/V71,)</f>
        <v>0.68439509059029802</v>
      </c>
      <c r="W73" s="61">
        <f t="shared" si="87"/>
        <v>0.66726266496381437</v>
      </c>
      <c r="X73" s="61">
        <f t="shared" si="87"/>
        <v>0.66545338441890167</v>
      </c>
      <c r="Y73" s="61">
        <f t="shared" si="87"/>
        <v>0.67163989749054831</v>
      </c>
      <c r="Z73" s="61">
        <f t="shared" si="87"/>
        <v>0.6448635718972926</v>
      </c>
      <c r="AA73" s="61">
        <f t="shared" si="87"/>
        <v>0.62276801850647001</v>
      </c>
      <c r="AB73" s="61">
        <f t="shared" si="87"/>
        <v>0.61040947290415148</v>
      </c>
      <c r="AC73" s="61">
        <f t="shared" si="87"/>
        <v>0.60599553703001974</v>
      </c>
      <c r="AD73" s="61">
        <f t="shared" si="87"/>
        <v>0.61670699737850376</v>
      </c>
      <c r="AE73" s="61">
        <f t="shared" si="87"/>
        <v>0.63952554660793359</v>
      </c>
      <c r="AF73" s="61">
        <f t="shared" si="87"/>
        <v>0.65514092268934021</v>
      </c>
      <c r="AG73" s="13" t="str">
        <f t="shared" si="84"/>
        <v>Ok!</v>
      </c>
    </row>
    <row r="74" spans="1:33" ht="15">
      <c r="A74" s="63" t="s">
        <v>199</v>
      </c>
      <c r="B74" s="64"/>
      <c r="C74" s="58">
        <f>IFERROR(SUM(C11:C12)/C72,)</f>
        <v>4279.2242716772971</v>
      </c>
      <c r="D74" s="58">
        <f t="shared" ref="D74:O74" si="88">IFERROR(SUM(D11:D12)/D72,)</f>
        <v>4010.6143942591812</v>
      </c>
      <c r="E74" s="58">
        <f t="shared" si="88"/>
        <v>3841.1731256085686</v>
      </c>
      <c r="F74" s="58">
        <f t="shared" si="88"/>
        <v>3975.6540247678017</v>
      </c>
      <c r="G74" s="58">
        <f t="shared" si="88"/>
        <v>4017.0932595060412</v>
      </c>
      <c r="H74" s="58">
        <f t="shared" si="88"/>
        <v>3574.2120681021534</v>
      </c>
      <c r="I74" s="58">
        <f t="shared" si="88"/>
        <v>3518.7334167709637</v>
      </c>
      <c r="J74" s="58">
        <f t="shared" si="88"/>
        <v>3591.1022326674502</v>
      </c>
      <c r="K74" s="58">
        <f t="shared" si="88"/>
        <v>3608.8138857782756</v>
      </c>
      <c r="L74" s="58">
        <f t="shared" si="88"/>
        <v>3803.0937771597428</v>
      </c>
      <c r="M74" s="58">
        <f t="shared" si="88"/>
        <v>3986.6075095335877</v>
      </c>
      <c r="N74" s="58">
        <f t="shared" si="88"/>
        <v>4390.5031522065447</v>
      </c>
      <c r="O74" s="58">
        <f t="shared" si="88"/>
        <v>3921.369822542139</v>
      </c>
      <c r="P74" s="53"/>
      <c r="Q74" s="58">
        <f t="shared" ref="Q74:S74" si="89">IFERROR(Q10/Q72,)</f>
        <v>4494.1831916902738</v>
      </c>
      <c r="R74" s="58">
        <f t="shared" si="89"/>
        <v>4278.9690721649486</v>
      </c>
      <c r="S74" s="58">
        <f t="shared" si="89"/>
        <v>4712.8153380423819</v>
      </c>
      <c r="T74" s="53"/>
      <c r="U74" s="58">
        <f t="shared" ref="U74:AF74" si="90">IFERROR(SUM(U11:U12)/U72,)</f>
        <v>4279.2242716772971</v>
      </c>
      <c r="V74" s="58">
        <f t="shared" si="90"/>
        <v>4158.4657937185693</v>
      </c>
      <c r="W74" s="58">
        <f t="shared" si="90"/>
        <v>4054.5167155799413</v>
      </c>
      <c r="X74" s="58">
        <f t="shared" si="90"/>
        <v>4034.961855867959</v>
      </c>
      <c r="Y74" s="58">
        <f t="shared" si="90"/>
        <v>4031.1626696071025</v>
      </c>
      <c r="Z74" s="58">
        <f t="shared" si="90"/>
        <v>3971.2539018021271</v>
      </c>
      <c r="AA74" s="58">
        <f t="shared" si="90"/>
        <v>3918.7909940654108</v>
      </c>
      <c r="AB74" s="58">
        <f t="shared" si="90"/>
        <v>3882.7751941029082</v>
      </c>
      <c r="AC74" s="58">
        <f t="shared" si="90"/>
        <v>3854.4457459528935</v>
      </c>
      <c r="AD74" s="58">
        <f t="shared" si="90"/>
        <v>3848.4082270191284</v>
      </c>
      <c r="AE74" s="58">
        <f t="shared" si="90"/>
        <v>3865.3094415156947</v>
      </c>
      <c r="AF74" s="58">
        <f t="shared" si="90"/>
        <v>3921.369822542139</v>
      </c>
      <c r="AG74" s="13" t="str">
        <f t="shared" si="84"/>
        <v>Ok!</v>
      </c>
    </row>
    <row r="75" spans="1:33" ht="15">
      <c r="A75" s="63" t="s">
        <v>200</v>
      </c>
      <c r="B75" s="64"/>
      <c r="C75" s="58">
        <f>IFERROR(SUM(C11:C12)/C71,)</f>
        <v>3068.0731677172166</v>
      </c>
      <c r="D75" s="58">
        <f t="shared" ref="D75:O75" si="91">IFERROR(SUM(D11:D12)/D71,)</f>
        <v>2600.2040229885056</v>
      </c>
      <c r="E75" s="58">
        <f t="shared" si="91"/>
        <v>2437.8227660363368</v>
      </c>
      <c r="F75" s="58">
        <f t="shared" si="91"/>
        <v>2624.0332056194125</v>
      </c>
      <c r="G75" s="58">
        <f t="shared" si="91"/>
        <v>2794.2406209986407</v>
      </c>
      <c r="H75" s="58">
        <f t="shared" si="91"/>
        <v>1823.1676883780333</v>
      </c>
      <c r="I75" s="58">
        <f t="shared" si="91"/>
        <v>1737.4045235446793</v>
      </c>
      <c r="J75" s="58">
        <f t="shared" si="91"/>
        <v>1888.5354097144975</v>
      </c>
      <c r="K75" s="58">
        <f t="shared" si="91"/>
        <v>2057.8996168582376</v>
      </c>
      <c r="L75" s="58">
        <f t="shared" si="91"/>
        <v>2704.1402175256458</v>
      </c>
      <c r="M75" s="58">
        <f t="shared" si="91"/>
        <v>3471.352490421456</v>
      </c>
      <c r="N75" s="58">
        <f t="shared" si="91"/>
        <v>3615.0700778642936</v>
      </c>
      <c r="O75" s="58">
        <f t="shared" si="91"/>
        <v>2569.0498437463916</v>
      </c>
      <c r="P75" s="53"/>
      <c r="Q75" s="58">
        <f t="shared" ref="Q75:S75" si="92">IFERROR(SUM(Q11:Q12)/Q71,)</f>
        <v>2922.0986281053024</v>
      </c>
      <c r="R75" s="58">
        <f t="shared" si="92"/>
        <v>2721.4955740520545</v>
      </c>
      <c r="S75" s="58">
        <f t="shared" si="92"/>
        <v>2862.3161537510814</v>
      </c>
      <c r="T75" s="53"/>
      <c r="U75" s="58">
        <f t="shared" ref="U75:AF75" si="93">IFERROR(SUM(U11:U12)/U71,)</f>
        <v>3068.0731677172166</v>
      </c>
      <c r="V75" s="58">
        <f t="shared" si="93"/>
        <v>2846.0335736086759</v>
      </c>
      <c r="W75" s="58">
        <f t="shared" si="93"/>
        <v>2705.4276287782036</v>
      </c>
      <c r="X75" s="58">
        <f t="shared" si="93"/>
        <v>2685.0790229885056</v>
      </c>
      <c r="Y75" s="58">
        <f t="shared" si="93"/>
        <v>2707.4896821826392</v>
      </c>
      <c r="Z75" s="58">
        <f t="shared" si="93"/>
        <v>2560.9169760271798</v>
      </c>
      <c r="AA75" s="58">
        <f t="shared" si="93"/>
        <v>2440.4977023151159</v>
      </c>
      <c r="AB75" s="58">
        <f t="shared" si="93"/>
        <v>2370.0827596376707</v>
      </c>
      <c r="AC75" s="58">
        <f t="shared" si="93"/>
        <v>2335.7769197717989</v>
      </c>
      <c r="AD75" s="58">
        <f t="shared" si="93"/>
        <v>2373.3402823716979</v>
      </c>
      <c r="AE75" s="58">
        <f t="shared" si="93"/>
        <v>2471.9641333941313</v>
      </c>
      <c r="AF75" s="58">
        <f t="shared" si="93"/>
        <v>2569.0498437463916</v>
      </c>
      <c r="AG75" s="13" t="str">
        <f t="shared" si="84"/>
        <v>Ok!</v>
      </c>
    </row>
    <row r="76" spans="1:33" ht="15.75" customHeight="1">
      <c r="A76" s="63" t="s">
        <v>26</v>
      </c>
      <c r="B76" s="64"/>
      <c r="C76" s="31">
        <f>C10-C22</f>
        <v>21069781.67111269</v>
      </c>
      <c r="D76" s="31">
        <f t="shared" ref="D76:N76" si="94">D10-D22</f>
        <v>15620546.795002883</v>
      </c>
      <c r="E76" s="31">
        <f t="shared" si="94"/>
        <v>16228234.340185665</v>
      </c>
      <c r="F76" s="31">
        <f t="shared" si="94"/>
        <v>17217810.971029647</v>
      </c>
      <c r="G76" s="31">
        <f t="shared" si="94"/>
        <v>19102027.945864044</v>
      </c>
      <c r="H76" s="31">
        <f t="shared" si="94"/>
        <v>11517685.518512383</v>
      </c>
      <c r="I76" s="31">
        <f t="shared" si="94"/>
        <v>11003906.51</v>
      </c>
      <c r="J76" s="31">
        <f t="shared" si="94"/>
        <v>12137846.01</v>
      </c>
      <c r="K76" s="31">
        <f t="shared" si="94"/>
        <v>12885605.029999999</v>
      </c>
      <c r="L76" s="31">
        <f t="shared" si="94"/>
        <v>18367795.727050215</v>
      </c>
      <c r="M76" s="31">
        <f t="shared" si="94"/>
        <v>23138363.41</v>
      </c>
      <c r="N76" s="31">
        <f t="shared" si="94"/>
        <v>25055728.420000002</v>
      </c>
      <c r="O76" s="31">
        <f>O10-O22</f>
        <v>203345332.34875751</v>
      </c>
      <c r="Q76" s="31">
        <f t="shared" ref="Q76:S76" si="95">Q10-Q22</f>
        <v>19856700</v>
      </c>
      <c r="R76" s="31">
        <f t="shared" si="95"/>
        <v>17033000</v>
      </c>
      <c r="S76" s="31">
        <f t="shared" si="95"/>
        <v>19607000</v>
      </c>
      <c r="U76" s="31">
        <f>U10-U22</f>
        <v>21069781.67111269</v>
      </c>
      <c r="V76" s="31">
        <f t="shared" ref="V76:AF76" si="96">V10-V22</f>
        <v>36690328.466115579</v>
      </c>
      <c r="W76" s="31">
        <f t="shared" si="96"/>
        <v>52918562.806301236</v>
      </c>
      <c r="X76" s="31">
        <f t="shared" si="96"/>
        <v>70136373.77733089</v>
      </c>
      <c r="Y76" s="31">
        <f t="shared" si="96"/>
        <v>89238401.723194927</v>
      </c>
      <c r="Z76" s="31">
        <f t="shared" si="96"/>
        <v>100756087.24170731</v>
      </c>
      <c r="AA76" s="31">
        <f t="shared" si="96"/>
        <v>111759993.7517073</v>
      </c>
      <c r="AB76" s="31">
        <f t="shared" si="96"/>
        <v>123897839.76170731</v>
      </c>
      <c r="AC76" s="31">
        <f t="shared" si="96"/>
        <v>136783444.79170731</v>
      </c>
      <c r="AD76" s="31">
        <f t="shared" si="96"/>
        <v>155151240.51875752</v>
      </c>
      <c r="AE76" s="31">
        <f t="shared" si="96"/>
        <v>178289603.92875752</v>
      </c>
      <c r="AF76" s="31">
        <f t="shared" si="96"/>
        <v>203345332.34875751</v>
      </c>
      <c r="AG76" s="13" t="str">
        <f t="shared" si="84"/>
        <v>Ok!</v>
      </c>
    </row>
    <row r="77" spans="1:33" ht="15">
      <c r="A77" s="63" t="s">
        <v>27</v>
      </c>
      <c r="B77" s="64"/>
      <c r="C77" s="61">
        <f>IFERROR(C76/C10,)</f>
        <v>0.84398919134313244</v>
      </c>
      <c r="D77" s="61">
        <f t="shared" ref="D77:N77" si="97">IFERROR(D76/D10,)</f>
        <v>0.81664814346630032</v>
      </c>
      <c r="E77" s="61">
        <f t="shared" si="97"/>
        <v>0.81806326672150576</v>
      </c>
      <c r="F77" s="61">
        <f t="shared" si="97"/>
        <v>0.82708053032255902</v>
      </c>
      <c r="G77" s="61">
        <f t="shared" si="97"/>
        <v>0.83238514941370922</v>
      </c>
      <c r="H77" s="61">
        <f t="shared" si="97"/>
        <v>0.78441094384024002</v>
      </c>
      <c r="I77" s="61">
        <f t="shared" si="97"/>
        <v>0.7763061306412129</v>
      </c>
      <c r="J77" s="61">
        <f t="shared" si="97"/>
        <v>0.78717481592307925</v>
      </c>
      <c r="K77" s="61">
        <f t="shared" si="97"/>
        <v>0.79318562306683549</v>
      </c>
      <c r="L77" s="61">
        <f t="shared" si="97"/>
        <v>0.82840068235801112</v>
      </c>
      <c r="M77" s="61">
        <f t="shared" si="97"/>
        <v>0.84342700208930621</v>
      </c>
      <c r="N77" s="61">
        <f t="shared" si="97"/>
        <v>0.8478177514510189</v>
      </c>
      <c r="O77" s="61">
        <f>IFERROR(O76/O10,)</f>
        <v>0.82200243216492597</v>
      </c>
      <c r="Q77" s="61">
        <f t="shared" ref="Q77:S77" si="98">IFERROR(Q76/Q10,)</f>
        <v>0.83443082444204453</v>
      </c>
      <c r="R77" s="61">
        <f t="shared" si="98"/>
        <v>0.8207488074013396</v>
      </c>
      <c r="S77" s="61">
        <f t="shared" si="98"/>
        <v>0.83962829736211031</v>
      </c>
      <c r="U77" s="61">
        <f>IFERROR(U76/U10,)</f>
        <v>0.84398919134313244</v>
      </c>
      <c r="V77" s="61">
        <f t="shared" ref="V77:AF77" si="99">IFERROR(V76/V10,)</f>
        <v>0.83212835994877954</v>
      </c>
      <c r="W77" s="61">
        <f t="shared" si="99"/>
        <v>0.82776395075967846</v>
      </c>
      <c r="X77" s="61">
        <f t="shared" si="99"/>
        <v>0.82759607298140359</v>
      </c>
      <c r="Y77" s="61">
        <f t="shared" si="99"/>
        <v>0.82861656296816799</v>
      </c>
      <c r="Z77" s="61">
        <f t="shared" si="99"/>
        <v>0.82331269665681517</v>
      </c>
      <c r="AA77" s="61">
        <f t="shared" si="99"/>
        <v>0.8184332642596297</v>
      </c>
      <c r="AB77" s="61">
        <f t="shared" si="99"/>
        <v>0.81526171717611606</v>
      </c>
      <c r="AC77" s="61">
        <f t="shared" si="99"/>
        <v>0.81312975970329915</v>
      </c>
      <c r="AD77" s="61">
        <f t="shared" si="99"/>
        <v>0.81490818364869577</v>
      </c>
      <c r="AE77" s="61">
        <f t="shared" si="99"/>
        <v>0.81849996017517268</v>
      </c>
      <c r="AF77" s="61">
        <f t="shared" si="99"/>
        <v>0.82200243216492597</v>
      </c>
      <c r="AG77" s="13" t="str">
        <f t="shared" si="84"/>
        <v>Ok!</v>
      </c>
    </row>
    <row r="78" spans="1:33" ht="15">
      <c r="A78" s="63" t="s">
        <v>28</v>
      </c>
      <c r="B78" s="64"/>
      <c r="C78" s="189">
        <v>42290</v>
      </c>
      <c r="D78" s="189">
        <v>34256</v>
      </c>
      <c r="E78" s="189">
        <v>37578</v>
      </c>
      <c r="F78" s="189">
        <v>37223</v>
      </c>
      <c r="G78" s="189">
        <v>41561</v>
      </c>
      <c r="H78" s="189">
        <v>27656</v>
      </c>
      <c r="I78" s="189">
        <v>28438</v>
      </c>
      <c r="J78" s="189">
        <v>29754</v>
      </c>
      <c r="K78" s="189">
        <v>32797</v>
      </c>
      <c r="L78" s="189">
        <v>42502</v>
      </c>
      <c r="M78" s="189">
        <v>50114</v>
      </c>
      <c r="N78" s="189">
        <v>46105</v>
      </c>
      <c r="O78" s="58">
        <f>SUM(C78:N78)</f>
        <v>450274</v>
      </c>
      <c r="Q78" s="278">
        <v>42561</v>
      </c>
      <c r="R78" s="189">
        <f>36832</f>
        <v>36832</v>
      </c>
      <c r="S78" s="189">
        <v>38805</v>
      </c>
      <c r="U78" s="58">
        <f>C78</f>
        <v>42290</v>
      </c>
      <c r="V78" s="58">
        <f t="shared" ref="V78:AF78" si="100">U78+D78</f>
        <v>76546</v>
      </c>
      <c r="W78" s="58">
        <f t="shared" si="100"/>
        <v>114124</v>
      </c>
      <c r="X78" s="58">
        <f t="shared" si="100"/>
        <v>151347</v>
      </c>
      <c r="Y78" s="58">
        <f t="shared" si="100"/>
        <v>192908</v>
      </c>
      <c r="Z78" s="58">
        <f t="shared" si="100"/>
        <v>220564</v>
      </c>
      <c r="AA78" s="58">
        <f t="shared" si="100"/>
        <v>249002</v>
      </c>
      <c r="AB78" s="58">
        <f t="shared" si="100"/>
        <v>278756</v>
      </c>
      <c r="AC78" s="58">
        <f t="shared" si="100"/>
        <v>311553</v>
      </c>
      <c r="AD78" s="58">
        <f t="shared" si="100"/>
        <v>354055</v>
      </c>
      <c r="AE78" s="58">
        <f t="shared" si="100"/>
        <v>404169</v>
      </c>
      <c r="AF78" s="58">
        <f t="shared" si="100"/>
        <v>450274</v>
      </c>
      <c r="AG78" s="13" t="str">
        <f t="shared" si="84"/>
        <v>Ok!</v>
      </c>
    </row>
    <row r="79" spans="1:33" ht="15.75" customHeight="1">
      <c r="A79" s="63" t="s">
        <v>29</v>
      </c>
      <c r="B79" s="64"/>
      <c r="C79" s="58">
        <f>IFERROR((C15+C16)/C78,)</f>
        <v>553.58415701111369</v>
      </c>
      <c r="D79" s="58">
        <f t="shared" ref="D79:N79" si="101">IFERROR((D15+D16)/D78,)</f>
        <v>551.70326365634014</v>
      </c>
      <c r="E79" s="58">
        <f t="shared" si="101"/>
        <v>511.42833126304413</v>
      </c>
      <c r="F79" s="58">
        <f t="shared" si="101"/>
        <v>502.95948741369585</v>
      </c>
      <c r="G79" s="58">
        <f t="shared" si="101"/>
        <v>537.03245831428501</v>
      </c>
      <c r="H79" s="58">
        <f t="shared" si="101"/>
        <v>541.17815294691934</v>
      </c>
      <c r="I79" s="58">
        <f t="shared" si="101"/>
        <v>497.49207423531891</v>
      </c>
      <c r="J79" s="58">
        <f t="shared" si="101"/>
        <v>444.09324729448144</v>
      </c>
      <c r="K79" s="58">
        <f t="shared" si="101"/>
        <v>435.64146639551541</v>
      </c>
      <c r="L79" s="58">
        <f t="shared" si="101"/>
        <v>542.66608480353864</v>
      </c>
      <c r="M79" s="58">
        <f t="shared" si="101"/>
        <v>562.35283335371355</v>
      </c>
      <c r="N79" s="58">
        <f t="shared" si="101"/>
        <v>610.40375751003137</v>
      </c>
      <c r="O79" s="58">
        <f>IFERROR((O15+O16)/O78,)</f>
        <v>529.84302259824005</v>
      </c>
      <c r="Q79" s="58">
        <f t="shared" ref="Q79:S79" si="102">IFERROR((Q15+Q16)/Q78,)</f>
        <v>563.19165433143019</v>
      </c>
      <c r="R79" s="58">
        <f t="shared" si="102"/>
        <v>566.24674196350998</v>
      </c>
      <c r="S79" s="58">
        <f t="shared" si="102"/>
        <v>568.19482025512173</v>
      </c>
      <c r="U79" s="58">
        <f>IFERROR((U15+U16)/U78,)</f>
        <v>553.58415701111369</v>
      </c>
      <c r="V79" s="58">
        <f t="shared" ref="V79:AF79" si="103">IFERROR((V15+V16)/V78,)</f>
        <v>552.74241632236294</v>
      </c>
      <c r="W79" s="58">
        <f t="shared" si="103"/>
        <v>539.13878616254476</v>
      </c>
      <c r="X79" s="58">
        <f t="shared" si="103"/>
        <v>530.24067759528941</v>
      </c>
      <c r="Y79" s="58">
        <f t="shared" si="103"/>
        <v>531.70393053691009</v>
      </c>
      <c r="Z79" s="58">
        <f t="shared" si="103"/>
        <v>532.89188095026509</v>
      </c>
      <c r="AA79" s="58">
        <f t="shared" si="103"/>
        <v>528.848942727441</v>
      </c>
      <c r="AB79" s="58">
        <f t="shared" si="103"/>
        <v>519.80224611135998</v>
      </c>
      <c r="AC79" s="58">
        <f t="shared" si="103"/>
        <v>510.94269061890589</v>
      </c>
      <c r="AD79" s="58">
        <f t="shared" si="103"/>
        <v>514.75087776394059</v>
      </c>
      <c r="AE79" s="58">
        <f t="shared" si="103"/>
        <v>520.65317210721253</v>
      </c>
      <c r="AF79" s="58">
        <f t="shared" si="103"/>
        <v>529.84302259824005</v>
      </c>
      <c r="AG79" s="13" t="str">
        <f t="shared" si="84"/>
        <v>Ok!</v>
      </c>
    </row>
    <row r="80" spans="1:33" ht="15">
      <c r="A80" s="63" t="s">
        <v>33</v>
      </c>
      <c r="B80" s="64"/>
      <c r="C80" s="31">
        <f t="shared" ref="C80:M80" si="104">C14-C23</f>
        <v>13168689.24774</v>
      </c>
      <c r="D80" s="31">
        <f t="shared" si="104"/>
        <v>9676029.3080019094</v>
      </c>
      <c r="E80" s="31">
        <f t="shared" si="104"/>
        <v>10329465.632729128</v>
      </c>
      <c r="F80" s="31">
        <f t="shared" si="104"/>
        <v>9845039.1994522735</v>
      </c>
      <c r="G80" s="31">
        <f t="shared" si="104"/>
        <v>12722284.226870663</v>
      </c>
      <c r="H80" s="31">
        <f t="shared" si="104"/>
        <v>7970195.4272299996</v>
      </c>
      <c r="I80" s="31">
        <f t="shared" si="104"/>
        <v>8077920.0767859509</v>
      </c>
      <c r="J80" s="31">
        <f t="shared" si="104"/>
        <v>6165864.7720000017</v>
      </c>
      <c r="K80" s="31">
        <f t="shared" si="104"/>
        <v>6657218.1553737195</v>
      </c>
      <c r="L80" s="31">
        <f t="shared" si="104"/>
        <v>13013592.22632</v>
      </c>
      <c r="M80" s="31">
        <f t="shared" si="104"/>
        <v>16748366.474688003</v>
      </c>
      <c r="N80" s="31">
        <f>N14-N23</f>
        <v>16372698.996499997</v>
      </c>
      <c r="O80" s="31">
        <f>O14-O23</f>
        <v>130747363.74369164</v>
      </c>
      <c r="Q80" s="31">
        <f t="shared" ref="Q80:S80" si="105">Q14-Q23</f>
        <v>13704877</v>
      </c>
      <c r="R80" s="31">
        <f t="shared" si="105"/>
        <v>11253000</v>
      </c>
      <c r="S80" s="31">
        <f t="shared" si="105"/>
        <v>12117800</v>
      </c>
      <c r="U80" s="31">
        <f t="shared" ref="U80:AE80" si="106">U14-U23</f>
        <v>13168689.24774</v>
      </c>
      <c r="V80" s="31">
        <f t="shared" si="106"/>
        <v>22844718.555741914</v>
      </c>
      <c r="W80" s="31">
        <f t="shared" si="106"/>
        <v>33174184.188471038</v>
      </c>
      <c r="X80" s="31">
        <f t="shared" si="106"/>
        <v>43019223.387923315</v>
      </c>
      <c r="Y80" s="31">
        <f t="shared" si="106"/>
        <v>55741507.614793971</v>
      </c>
      <c r="Z80" s="31">
        <f t="shared" si="106"/>
        <v>63711703.042023987</v>
      </c>
      <c r="AA80" s="31">
        <f t="shared" si="106"/>
        <v>71789623.118809938</v>
      </c>
      <c r="AB80" s="31">
        <f t="shared" si="106"/>
        <v>77955487.890809923</v>
      </c>
      <c r="AC80" s="31">
        <f t="shared" si="106"/>
        <v>84612706.046183676</v>
      </c>
      <c r="AD80" s="31">
        <f t="shared" si="106"/>
        <v>97626298.272503614</v>
      </c>
      <c r="AE80" s="31">
        <f t="shared" si="106"/>
        <v>114374664.74719164</v>
      </c>
      <c r="AF80" s="31">
        <f>AF14-AF23</f>
        <v>130747363.74369162</v>
      </c>
      <c r="AG80" s="13" t="str">
        <f t="shared" si="84"/>
        <v>Ok!</v>
      </c>
    </row>
    <row r="81" spans="1:33" ht="15.75" customHeight="1">
      <c r="A81" s="63" t="s">
        <v>34</v>
      </c>
      <c r="B81" s="64"/>
      <c r="C81" s="61">
        <f>IFERROR(C80/C14,)</f>
        <v>0.53687983953461071</v>
      </c>
      <c r="D81" s="61">
        <f t="shared" ref="D81:M81" si="107">IFERROR(D80/D14,)</f>
        <v>0.48151955245307942</v>
      </c>
      <c r="E81" s="61">
        <f t="shared" si="107"/>
        <v>0.49927562628018701</v>
      </c>
      <c r="F81" s="61">
        <f t="shared" si="107"/>
        <v>0.49010317496327049</v>
      </c>
      <c r="G81" s="61">
        <f t="shared" si="107"/>
        <v>0.53114274722267885</v>
      </c>
      <c r="H81" s="61">
        <f t="shared" si="107"/>
        <v>0.49773595316417274</v>
      </c>
      <c r="I81" s="61">
        <f t="shared" si="107"/>
        <v>0.50788693216836445</v>
      </c>
      <c r="J81" s="61">
        <f t="shared" si="107"/>
        <v>0.44676402661288012</v>
      </c>
      <c r="K81" s="61">
        <f t="shared" si="107"/>
        <v>0.45221455428967683</v>
      </c>
      <c r="L81" s="61">
        <f t="shared" si="107"/>
        <v>0.53736204668395904</v>
      </c>
      <c r="M81" s="61">
        <f t="shared" si="107"/>
        <v>0.55974704928149055</v>
      </c>
      <c r="N81" s="61">
        <f>IFERROR(N80/N14,)</f>
        <v>0.54062382043815882</v>
      </c>
      <c r="O81" s="61">
        <f>IFERROR(O80/O14,)</f>
        <v>0.51431540888025551</v>
      </c>
      <c r="Q81" s="61">
        <f t="shared" ref="Q81:S81" si="108">IFERROR(Q80/Q14,)</f>
        <v>0.5393709709158172</v>
      </c>
      <c r="R81" s="61">
        <f t="shared" si="108"/>
        <v>0.5067092939481268</v>
      </c>
      <c r="S81" s="61">
        <f t="shared" si="108"/>
        <v>0.51364457141888287</v>
      </c>
      <c r="U81" s="61">
        <f>IFERROR(U80/U14,)</f>
        <v>0.53687983953461071</v>
      </c>
      <c r="V81" s="61">
        <f t="shared" ref="V81:AE81" si="109">IFERROR(V80/V14,)</f>
        <v>0.51194979011790676</v>
      </c>
      <c r="W81" s="61">
        <f t="shared" si="109"/>
        <v>0.5079349830476636</v>
      </c>
      <c r="X81" s="61">
        <f t="shared" si="109"/>
        <v>0.50374058453255777</v>
      </c>
      <c r="Y81" s="61">
        <f t="shared" si="109"/>
        <v>0.50974279281995627</v>
      </c>
      <c r="Z81" s="61">
        <f t="shared" si="109"/>
        <v>0.50820915806612077</v>
      </c>
      <c r="AA81" s="61">
        <f t="shared" si="109"/>
        <v>0.50817288011374073</v>
      </c>
      <c r="AB81" s="61">
        <f t="shared" si="109"/>
        <v>0.50270756116510829</v>
      </c>
      <c r="AC81" s="61">
        <f t="shared" si="109"/>
        <v>0.49832971309928553</v>
      </c>
      <c r="AD81" s="61">
        <f t="shared" si="109"/>
        <v>0.50320197059504157</v>
      </c>
      <c r="AE81" s="61">
        <f t="shared" si="109"/>
        <v>0.51075742006879021</v>
      </c>
      <c r="AF81" s="61">
        <f>IFERROR(AF80/AF14,)</f>
        <v>0.51431540888025551</v>
      </c>
      <c r="AG81" s="13" t="str">
        <f t="shared" si="84"/>
        <v>Ok!</v>
      </c>
    </row>
    <row r="82" spans="1:33" ht="15.75" customHeight="1">
      <c r="A82" s="63" t="s">
        <v>203</v>
      </c>
      <c r="B82" s="64"/>
      <c r="C82" s="32">
        <f>IFERROR(C24/(C15+C16),)</f>
        <v>0.27109305733944544</v>
      </c>
      <c r="D82" s="32">
        <f t="shared" ref="D82:O82" si="110">IFERROR(D24/(D15+D16),)</f>
        <v>0.2771398984811842</v>
      </c>
      <c r="E82" s="32">
        <f t="shared" si="110"/>
        <v>0.27801505191095638</v>
      </c>
      <c r="F82" s="32">
        <f t="shared" si="110"/>
        <v>0.28100934728215221</v>
      </c>
      <c r="G82" s="32">
        <f t="shared" si="110"/>
        <v>0.27489204745053908</v>
      </c>
      <c r="H82" s="32">
        <f t="shared" si="110"/>
        <v>0.27409117909295727</v>
      </c>
      <c r="I82" s="32">
        <f t="shared" si="110"/>
        <v>0.27278037189789184</v>
      </c>
      <c r="J82" s="32">
        <f t="shared" si="110"/>
        <v>0.2731148645825584</v>
      </c>
      <c r="K82" s="32">
        <f t="shared" si="110"/>
        <v>0.26992960977093428</v>
      </c>
      <c r="L82" s="32">
        <f t="shared" si="110"/>
        <v>0.27377565035673745</v>
      </c>
      <c r="M82" s="32">
        <f t="shared" si="110"/>
        <v>0.27404133880812959</v>
      </c>
      <c r="N82" s="32">
        <f>IFERROR(N24/(N15+N16),)</f>
        <v>0.27542847075417937</v>
      </c>
      <c r="O82" s="32">
        <f t="shared" si="110"/>
        <v>0.27471271404165926</v>
      </c>
      <c r="Q82" s="32">
        <f t="shared" ref="Q82:S82" si="111">IFERROR(Q24/(Q15+Q16),)</f>
        <v>0.2955360867751356</v>
      </c>
      <c r="R82" s="32">
        <f t="shared" si="111"/>
        <v>0.29358457997698506</v>
      </c>
      <c r="S82" s="32">
        <f t="shared" si="111"/>
        <v>0.2936214215739632</v>
      </c>
      <c r="U82" s="32">
        <f>IFERROR(U24/(U15+U16),)</f>
        <v>0.27109305733944544</v>
      </c>
      <c r="V82" s="32">
        <f t="shared" ref="V82:AE82" si="112">IFERROR(V24/(V15+V16),)</f>
        <v>0.2737940628393396</v>
      </c>
      <c r="W82" s="32">
        <f t="shared" si="112"/>
        <v>0.27511248687204587</v>
      </c>
      <c r="X82" s="32">
        <f t="shared" si="112"/>
        <v>0.27648816985726637</v>
      </c>
      <c r="Y82" s="32">
        <f t="shared" si="112"/>
        <v>0.27614084760466856</v>
      </c>
      <c r="Z82" s="32">
        <f t="shared" si="112"/>
        <v>0.27587984819853761</v>
      </c>
      <c r="AA82" s="32">
        <f t="shared" si="112"/>
        <v>0.27554685216518826</v>
      </c>
      <c r="AB82" s="32">
        <f t="shared" si="112"/>
        <v>0.27532507414328933</v>
      </c>
      <c r="AC82" s="32">
        <f t="shared" si="112"/>
        <v>0.27484080362341662</v>
      </c>
      <c r="AD82" s="32">
        <f t="shared" si="112"/>
        <v>0.27470600473125656</v>
      </c>
      <c r="AE82" s="32">
        <f t="shared" si="112"/>
        <v>0.2746169904168575</v>
      </c>
      <c r="AF82" s="32">
        <f>IFERROR(AF24/(AF15+AF16),)</f>
        <v>0.27471271404165926</v>
      </c>
      <c r="AG82" s="13" t="str">
        <f t="shared" si="84"/>
        <v>Ok!</v>
      </c>
    </row>
    <row r="83" spans="1:33" ht="15">
      <c r="A83" s="63" t="s">
        <v>30</v>
      </c>
      <c r="B83" s="64"/>
      <c r="C83" s="188">
        <v>8060629.75</v>
      </c>
      <c r="D83" s="188">
        <v>7843446.25</v>
      </c>
      <c r="E83" s="188">
        <v>7991783.1666666679</v>
      </c>
      <c r="F83" s="188">
        <v>8070186.1666666679</v>
      </c>
      <c r="G83" s="188">
        <v>8182519.666666667</v>
      </c>
      <c r="H83" s="188">
        <v>7338964.916666666</v>
      </c>
      <c r="I83" s="188">
        <v>7249904.75</v>
      </c>
      <c r="J83" s="188">
        <v>7274314.833333334</v>
      </c>
      <c r="K83" s="188">
        <v>7598986.1666666679</v>
      </c>
      <c r="L83" s="188">
        <v>8166896.333333333</v>
      </c>
      <c r="M83" s="188">
        <v>8460662.2499999981</v>
      </c>
      <c r="N83" s="188">
        <v>8558820.916666666</v>
      </c>
      <c r="O83" s="31">
        <f>SUM(C83:N83)</f>
        <v>94797115.166666672</v>
      </c>
      <c r="P83" s="187"/>
      <c r="Q83" s="191">
        <v>8499313</v>
      </c>
      <c r="R83" s="191">
        <f>8401000</f>
        <v>8401000</v>
      </c>
      <c r="S83" s="191">
        <v>8427000</v>
      </c>
      <c r="T83" s="187"/>
      <c r="U83" s="31">
        <f>C83</f>
        <v>8060629.75</v>
      </c>
      <c r="V83" s="31">
        <f t="shared" ref="V83:AF83" si="113">U83+D83</f>
        <v>15904076</v>
      </c>
      <c r="W83" s="31">
        <f t="shared" si="113"/>
        <v>23895859.166666668</v>
      </c>
      <c r="X83" s="31">
        <f t="shared" si="113"/>
        <v>31966045.333333336</v>
      </c>
      <c r="Y83" s="31">
        <f t="shared" si="113"/>
        <v>40148565</v>
      </c>
      <c r="Z83" s="31">
        <f t="shared" si="113"/>
        <v>47487529.916666664</v>
      </c>
      <c r="AA83" s="31">
        <f t="shared" si="113"/>
        <v>54737434.666666664</v>
      </c>
      <c r="AB83" s="31">
        <f t="shared" si="113"/>
        <v>62011749.5</v>
      </c>
      <c r="AC83" s="31">
        <f t="shared" si="113"/>
        <v>69610735.666666672</v>
      </c>
      <c r="AD83" s="31">
        <f t="shared" si="113"/>
        <v>77777632</v>
      </c>
      <c r="AE83" s="31">
        <f t="shared" si="113"/>
        <v>86238294.25</v>
      </c>
      <c r="AF83" s="31">
        <f t="shared" si="113"/>
        <v>94797115.166666672</v>
      </c>
      <c r="AG83" s="13" t="str">
        <f t="shared" si="84"/>
        <v>Ok!</v>
      </c>
    </row>
    <row r="84" spans="1:33" s="62" customFormat="1" ht="15">
      <c r="A84" s="59" t="s">
        <v>32</v>
      </c>
      <c r="B84" s="60"/>
      <c r="C84" s="61">
        <f>IFERROR(C83/C8,)</f>
        <v>0.15869171464499179</v>
      </c>
      <c r="D84" s="61">
        <f t="shared" ref="D84:O84" si="114">IFERROR(D83/D8,)</f>
        <v>0.19388429325178769</v>
      </c>
      <c r="E84" s="61">
        <f t="shared" si="114"/>
        <v>0.19131357490653814</v>
      </c>
      <c r="F84" s="61">
        <f t="shared" si="114"/>
        <v>0.19140510957258491</v>
      </c>
      <c r="G84" s="61">
        <f t="shared" si="114"/>
        <v>0.16972163529492054</v>
      </c>
      <c r="H84" s="61">
        <f t="shared" si="114"/>
        <v>0.23026777248094765</v>
      </c>
      <c r="I84" s="61">
        <f t="shared" si="114"/>
        <v>0.2319965352151771</v>
      </c>
      <c r="J84" s="61">
        <f t="shared" si="114"/>
        <v>0.23933749012545613</v>
      </c>
      <c r="K84" s="61">
        <f t="shared" si="114"/>
        <v>0.23637901570447248</v>
      </c>
      <c r="L84" s="61">
        <f t="shared" si="114"/>
        <v>0.17136620537646469</v>
      </c>
      <c r="M84" s="61">
        <f t="shared" si="114"/>
        <v>0.14419031259159648</v>
      </c>
      <c r="N84" s="61">
        <f t="shared" si="114"/>
        <v>0.1398491516218445</v>
      </c>
      <c r="O84" s="61">
        <f t="shared" si="114"/>
        <v>0.18350426846302492</v>
      </c>
      <c r="Q84" s="61">
        <f t="shared" ref="Q84:S84" si="115">IFERROR(Q83/Q8,)</f>
        <v>0.16679284420485388</v>
      </c>
      <c r="R84" s="61">
        <f t="shared" si="115"/>
        <v>0.18853654704997869</v>
      </c>
      <c r="S84" s="61">
        <f t="shared" si="115"/>
        <v>0.17313927161107664</v>
      </c>
      <c r="U84" s="61">
        <f>IFERROR(U83/U8,)</f>
        <v>0.15869171464499179</v>
      </c>
      <c r="V84" s="61">
        <f t="shared" ref="V84:AF84" si="116">IFERROR(V83/V8,)</f>
        <v>0.17429404593453371</v>
      </c>
      <c r="W84" s="61">
        <f t="shared" si="116"/>
        <v>0.1796387392493784</v>
      </c>
      <c r="X84" s="61">
        <f t="shared" si="116"/>
        <v>0.18247063069216685</v>
      </c>
      <c r="Y84" s="61">
        <f t="shared" si="116"/>
        <v>0.1797192518747813</v>
      </c>
      <c r="Z84" s="61">
        <f t="shared" si="116"/>
        <v>0.18603049127503057</v>
      </c>
      <c r="AA84" s="61">
        <f t="shared" si="116"/>
        <v>0.1910439421173819</v>
      </c>
      <c r="AB84" s="61">
        <f t="shared" si="116"/>
        <v>0.19567556386147958</v>
      </c>
      <c r="AC84" s="61">
        <f t="shared" si="116"/>
        <v>0.19942425561756541</v>
      </c>
      <c r="AD84" s="61">
        <f t="shared" si="116"/>
        <v>0.19605363758895442</v>
      </c>
      <c r="AE84" s="61">
        <f t="shared" si="116"/>
        <v>0.18937108862975005</v>
      </c>
      <c r="AF84" s="61">
        <f t="shared" si="116"/>
        <v>0.18350426846302495</v>
      </c>
      <c r="AG84" s="13" t="str">
        <f t="shared" si="84"/>
        <v>Ok!</v>
      </c>
    </row>
    <row r="85" spans="1:33" ht="15.75" customHeight="1">
      <c r="A85" s="63" t="s">
        <v>31</v>
      </c>
      <c r="B85" s="64"/>
      <c r="C85" s="58">
        <f>C86+C87</f>
        <v>295.5</v>
      </c>
      <c r="D85" s="58">
        <f t="shared" ref="D85:N85" si="117">D86+D87</f>
        <v>289.5</v>
      </c>
      <c r="E85" s="58">
        <f t="shared" si="117"/>
        <v>289.5</v>
      </c>
      <c r="F85" s="58">
        <f t="shared" si="117"/>
        <v>287.5</v>
      </c>
      <c r="G85" s="58">
        <f t="shared" si="117"/>
        <v>290.5</v>
      </c>
      <c r="H85" s="58">
        <f t="shared" si="117"/>
        <v>257</v>
      </c>
      <c r="I85" s="58">
        <f t="shared" si="117"/>
        <v>257.5</v>
      </c>
      <c r="J85" s="58">
        <f t="shared" si="117"/>
        <v>251.5</v>
      </c>
      <c r="K85" s="58">
        <f t="shared" si="117"/>
        <v>261.5</v>
      </c>
      <c r="L85" s="58">
        <f t="shared" si="117"/>
        <v>291.5</v>
      </c>
      <c r="M85" s="58">
        <f t="shared" si="117"/>
        <v>309.5</v>
      </c>
      <c r="N85" s="58">
        <f t="shared" si="117"/>
        <v>307.5</v>
      </c>
      <c r="O85" s="58">
        <f>O86+O87</f>
        <v>282.375</v>
      </c>
      <c r="Q85" s="58">
        <f t="shared" ref="Q85:S85" si="118">Q86+Q87</f>
        <v>292</v>
      </c>
      <c r="R85" s="58">
        <f t="shared" si="118"/>
        <v>290</v>
      </c>
      <c r="S85" s="58">
        <f t="shared" si="118"/>
        <v>297</v>
      </c>
      <c r="U85" s="58">
        <f>U86+U87</f>
        <v>295.5</v>
      </c>
      <c r="V85" s="58">
        <f t="shared" ref="V85:AF85" si="119">V86+V87</f>
        <v>292.5</v>
      </c>
      <c r="W85" s="58">
        <f t="shared" si="119"/>
        <v>291.5</v>
      </c>
      <c r="X85" s="58">
        <f t="shared" si="119"/>
        <v>290.5</v>
      </c>
      <c r="Y85" s="58">
        <f t="shared" si="119"/>
        <v>290.5</v>
      </c>
      <c r="Z85" s="58">
        <f t="shared" si="119"/>
        <v>284.91666666666669</v>
      </c>
      <c r="AA85" s="58">
        <f t="shared" si="119"/>
        <v>281</v>
      </c>
      <c r="AB85" s="58">
        <f t="shared" si="119"/>
        <v>277.3125</v>
      </c>
      <c r="AC85" s="58">
        <f t="shared" si="119"/>
        <v>275.55555555555554</v>
      </c>
      <c r="AD85" s="58">
        <f t="shared" si="119"/>
        <v>277.14999999999998</v>
      </c>
      <c r="AE85" s="58">
        <f t="shared" si="119"/>
        <v>280.09090909090912</v>
      </c>
      <c r="AF85" s="58">
        <f t="shared" si="119"/>
        <v>282.375</v>
      </c>
      <c r="AG85" s="13" t="str">
        <f t="shared" si="84"/>
        <v>Ok!</v>
      </c>
    </row>
    <row r="86" spans="1:33" ht="15.75" customHeight="1">
      <c r="A86" s="65" t="s">
        <v>159</v>
      </c>
      <c r="B86" s="64"/>
      <c r="C86" s="189">
        <v>180</v>
      </c>
      <c r="D86" s="189">
        <v>180</v>
      </c>
      <c r="E86" s="189">
        <v>176</v>
      </c>
      <c r="F86" s="189">
        <v>176</v>
      </c>
      <c r="G86" s="189">
        <v>176</v>
      </c>
      <c r="H86" s="189">
        <v>177</v>
      </c>
      <c r="I86" s="189">
        <v>180</v>
      </c>
      <c r="J86" s="189">
        <v>172</v>
      </c>
      <c r="K86" s="189">
        <v>174</v>
      </c>
      <c r="L86" s="189">
        <v>177</v>
      </c>
      <c r="M86" s="189">
        <v>180</v>
      </c>
      <c r="N86" s="189">
        <v>181</v>
      </c>
      <c r="O86" s="58">
        <f>IFERROR(AVERAGE(C86:N86),0)</f>
        <v>177.41666666666666</v>
      </c>
      <c r="Q86" s="278">
        <v>191</v>
      </c>
      <c r="R86" s="189">
        <v>189</v>
      </c>
      <c r="S86" s="189">
        <v>191</v>
      </c>
      <c r="U86" s="58">
        <f>C86</f>
        <v>180</v>
      </c>
      <c r="V86" s="58">
        <f>(C86+D86)/2</f>
        <v>180</v>
      </c>
      <c r="W86" s="186">
        <f>(C86+D86+E86)/3</f>
        <v>178.66666666666666</v>
      </c>
      <c r="X86" s="186">
        <f>(C86+D86+E86+F86)/4</f>
        <v>178</v>
      </c>
      <c r="Y86" s="58">
        <f>(C86+D86+E86+F86+G86)/5</f>
        <v>177.6</v>
      </c>
      <c r="Z86" s="58">
        <f>(C86+D86+E86+F86+G86+H86)/6</f>
        <v>177.5</v>
      </c>
      <c r="AA86" s="58">
        <f>(C86+D86+E86+F86+G86+H86+I86)/7</f>
        <v>177.85714285714286</v>
      </c>
      <c r="AB86" s="58">
        <f>(C86+D86+E86+F86+G86+H86+I86+J86)/8</f>
        <v>177.125</v>
      </c>
      <c r="AC86" s="58">
        <f>(C86+D86+E86+F86+G86+H86+I86+J86+K86)/9</f>
        <v>176.77777777777777</v>
      </c>
      <c r="AD86" s="58">
        <f>(C86+D86+E86+F86+G86+H86+I86+J86+K86+L86)/10</f>
        <v>176.8</v>
      </c>
      <c r="AE86" s="58">
        <f>(C86+D86+E86+F86+G86+H86+I86+J86+K86+L86+M86)/11</f>
        <v>177.09090909090909</v>
      </c>
      <c r="AF86" s="58">
        <f>(C86+D86+E86+F86+G86+H86+I86+J86+K86+L86+M86+N86)/12</f>
        <v>177.41666666666666</v>
      </c>
      <c r="AG86" s="13" t="str">
        <f t="shared" si="84"/>
        <v>Ok!</v>
      </c>
    </row>
    <row r="87" spans="1:33" ht="15.75" customHeight="1">
      <c r="A87" s="65" t="s">
        <v>201</v>
      </c>
      <c r="B87" s="64"/>
      <c r="C87" s="189">
        <v>115.5</v>
      </c>
      <c r="D87" s="189">
        <v>109.5</v>
      </c>
      <c r="E87" s="189">
        <v>113.5</v>
      </c>
      <c r="F87" s="189">
        <v>111.5</v>
      </c>
      <c r="G87" s="189">
        <v>114.5</v>
      </c>
      <c r="H87" s="189">
        <v>80</v>
      </c>
      <c r="I87" s="189">
        <v>77.5</v>
      </c>
      <c r="J87" s="189">
        <v>79.5</v>
      </c>
      <c r="K87" s="189">
        <v>87.5</v>
      </c>
      <c r="L87" s="189">
        <v>114.5</v>
      </c>
      <c r="M87" s="189">
        <v>129.5</v>
      </c>
      <c r="N87" s="189">
        <v>126.5</v>
      </c>
      <c r="O87" s="58">
        <f>IFERROR(AVERAGE(C87:N87),0)</f>
        <v>104.95833333333333</v>
      </c>
      <c r="Q87" s="278">
        <v>101</v>
      </c>
      <c r="R87" s="189">
        <v>101</v>
      </c>
      <c r="S87" s="189">
        <v>106</v>
      </c>
      <c r="U87" s="58">
        <f>C87</f>
        <v>115.5</v>
      </c>
      <c r="V87" s="58">
        <f>(C87+D87)/2</f>
        <v>112.5</v>
      </c>
      <c r="W87" s="186">
        <f>(C87+D87+E87)/3</f>
        <v>112.83333333333333</v>
      </c>
      <c r="X87" s="186">
        <f>(C87+D87+E87+F87)/4</f>
        <v>112.5</v>
      </c>
      <c r="Y87" s="58">
        <f>(C87+D87+E87+F87+G87)/5</f>
        <v>112.9</v>
      </c>
      <c r="Z87" s="58">
        <f>(C87+D87+E87+F87+G87+H87)/6</f>
        <v>107.41666666666667</v>
      </c>
      <c r="AA87" s="58">
        <f>(C87+D87+E87+F87+G87+H87+I87)/7</f>
        <v>103.14285714285714</v>
      </c>
      <c r="AB87" s="58">
        <f>(C87+D87+E87+F87+G87+H87+I87+J87)/8</f>
        <v>100.1875</v>
      </c>
      <c r="AC87" s="58">
        <f>(C87+D87+E87+F87+G87+H87+I87+J87+K87)/9</f>
        <v>98.777777777777771</v>
      </c>
      <c r="AD87" s="58">
        <f>(C87+D87+E87+F87+G87+H87+I87+J87+K87+L87)/10</f>
        <v>100.35</v>
      </c>
      <c r="AE87" s="58">
        <f>(C87+D87+E87+F87+G87+H87+I87+J87+K87+L87+M87)/11</f>
        <v>103</v>
      </c>
      <c r="AF87" s="58">
        <f>(C87+D87+E87+F87+G87+H87+I87+J87+K87+L87+M87+N87)/12</f>
        <v>104.95833333333333</v>
      </c>
      <c r="AG87" s="13" t="str">
        <f t="shared" si="84"/>
        <v>Ok!</v>
      </c>
    </row>
    <row r="88" spans="1:33" s="62" customFormat="1" ht="15">
      <c r="A88" s="59" t="s">
        <v>37</v>
      </c>
      <c r="B88" s="60"/>
      <c r="C88" s="32">
        <f>IFERROR(C67/Equity!J9,)</f>
        <v>1.3857153429172819E-2</v>
      </c>
      <c r="D88" s="32">
        <f>IFERROR(D67/Equity!J10,)</f>
        <v>7.5942457007987883E-3</v>
      </c>
      <c r="E88" s="32">
        <f>IFERROR(E67/Equity!J11,)</f>
        <v>7.6854947067220795E-3</v>
      </c>
      <c r="F88" s="32">
        <f>IFERROR(F67/Equity!J12,)</f>
        <v>8.2158000420657247E-3</v>
      </c>
      <c r="G88" s="32">
        <f>IFERROR(G67/Equity!J13,)</f>
        <v>1.0657755377803734E-2</v>
      </c>
      <c r="H88" s="32">
        <f>IFERROR(H67/Equity!J14,)</f>
        <v>2.7075794381792922E-3</v>
      </c>
      <c r="I88" s="32">
        <f>IFERROR(I67/Equity!J15,)</f>
        <v>2.7390198763084538E-3</v>
      </c>
      <c r="J88" s="32">
        <f>IFERROR(J67/Equity!J16,)</f>
        <v>2.1420131892649686E-3</v>
      </c>
      <c r="K88" s="32">
        <f>IFERROR(K67/Equity!J17,)</f>
        <v>3.4185005665095438E-3</v>
      </c>
      <c r="L88" s="32">
        <f>IFERROR(L67/Equity!J18,)</f>
        <v>1.1326975673383833E-2</v>
      </c>
      <c r="M88" s="32">
        <f>IFERROR(M67/Equity!J19,)</f>
        <v>1.6735521069170853E-2</v>
      </c>
      <c r="N88" s="32">
        <f>IFERROR(N67/Equity!J20,)</f>
        <v>1.7425211379645797E-2</v>
      </c>
      <c r="O88" s="32">
        <f>IFERROR(O67/Equity!J20,)</f>
        <v>0.10009577660100363</v>
      </c>
      <c r="Q88" s="32"/>
      <c r="R88" s="32"/>
      <c r="S88" s="32"/>
      <c r="U88" s="32">
        <f>IFERROR(U67/Equity!J9,)</f>
        <v>1.3857153429172819E-2</v>
      </c>
      <c r="V88" s="32">
        <f>IFERROR(V67/Equity!J10,)</f>
        <v>2.1303794157837275E-2</v>
      </c>
      <c r="W88" s="32">
        <f>IFERROR(W67/Equity!J11,)</f>
        <v>2.8827146317516279E-2</v>
      </c>
      <c r="X88" s="32">
        <f>IFERROR(X67/Equity!J12,)</f>
        <v>3.681462924937233E-2</v>
      </c>
      <c r="Y88" s="32">
        <f>IFERROR(Y67/Equity!J13,)</f>
        <v>4.7126394447542248E-2</v>
      </c>
      <c r="Z88" s="32">
        <f>IFERROR(Z67/Equity!J14,)</f>
        <v>4.9520713193404932E-2</v>
      </c>
      <c r="AA88" s="32">
        <f>IFERROR(AA67/Equity!J15,)</f>
        <v>5.2125055653348885E-2</v>
      </c>
      <c r="AB88" s="32">
        <f>IFERROR(AB67/Equity!J16,)</f>
        <v>5.4140030762432831E-2</v>
      </c>
      <c r="AC88" s="32">
        <f>IFERROR(AC67/Equity!J17,)</f>
        <v>5.7408169174904725E-2</v>
      </c>
      <c r="AD88" s="32">
        <f>IFERROR(AD67/Equity!J18,)</f>
        <v>6.8312611665977824E-2</v>
      </c>
      <c r="AE88" s="32">
        <f>IFERROR(AE67/Equity!J19,)</f>
        <v>8.4095019459416859E-2</v>
      </c>
      <c r="AF88" s="32">
        <f>IFERROR(AF67/Equity!J20,)</f>
        <v>0.10009577660100358</v>
      </c>
      <c r="AG88" s="13" t="str">
        <f t="shared" si="84"/>
        <v>Ok!</v>
      </c>
    </row>
    <row r="89" spans="1:33">
      <c r="D89" s="54"/>
      <c r="E89" s="54"/>
      <c r="F89" s="54"/>
      <c r="G89" s="54"/>
      <c r="H89" s="54"/>
      <c r="I89" s="54"/>
      <c r="J89" s="54"/>
      <c r="K89" s="54"/>
      <c r="L89" s="54"/>
      <c r="M89" s="54"/>
      <c r="N89" s="54"/>
      <c r="O89" s="54"/>
      <c r="Q89" s="54"/>
      <c r="R89" s="54"/>
      <c r="S89" s="54"/>
    </row>
    <row r="286" spans="30:32" ht="15">
      <c r="AD286" s="24" t="s">
        <v>55</v>
      </c>
      <c r="AE286" s="24" t="s">
        <v>56</v>
      </c>
    </row>
    <row r="287" spans="30:32" ht="15">
      <c r="AD287" s="24" t="s">
        <v>9</v>
      </c>
      <c r="AE287" s="70" t="s">
        <v>165</v>
      </c>
      <c r="AF287" s="24"/>
    </row>
    <row r="288" spans="30:32" ht="15">
      <c r="AD288" s="24" t="s">
        <v>39</v>
      </c>
      <c r="AE288" s="71" t="s">
        <v>166</v>
      </c>
    </row>
    <row r="289" spans="30:31" ht="15">
      <c r="AD289" s="24" t="s">
        <v>40</v>
      </c>
      <c r="AE289" s="71" t="s">
        <v>167</v>
      </c>
    </row>
    <row r="290" spans="30:31" ht="15">
      <c r="AD290" s="24" t="s">
        <v>42</v>
      </c>
      <c r="AE290" s="71" t="s">
        <v>168</v>
      </c>
    </row>
    <row r="291" spans="30:31" ht="15">
      <c r="AD291" s="24" t="s">
        <v>163</v>
      </c>
      <c r="AE291" s="71" t="s">
        <v>169</v>
      </c>
    </row>
    <row r="292" spans="30:31" ht="15">
      <c r="AD292" s="24" t="s">
        <v>164</v>
      </c>
      <c r="AE292" s="71" t="s">
        <v>170</v>
      </c>
    </row>
    <row r="293" spans="30:31" ht="15">
      <c r="AE293" s="71" t="s">
        <v>171</v>
      </c>
    </row>
    <row r="294" spans="30:31" ht="15">
      <c r="AE294" s="71" t="s">
        <v>172</v>
      </c>
    </row>
    <row r="295" spans="30:31" ht="15">
      <c r="AE295" s="71" t="s">
        <v>173</v>
      </c>
    </row>
    <row r="296" spans="30:31" ht="15">
      <c r="AE296" s="71" t="s">
        <v>174</v>
      </c>
    </row>
    <row r="297" spans="30:31" ht="15">
      <c r="AE297" s="71" t="s">
        <v>175</v>
      </c>
    </row>
    <row r="298" spans="30:31" ht="15">
      <c r="AE298" s="71" t="s">
        <v>176</v>
      </c>
    </row>
  </sheetData>
  <sheetProtection password="CE24" sheet="1" objects="1" scenarios="1"/>
  <protectedRanges>
    <protectedRange sqref="Q11:S13 Q15:S19 Q22:S22 Q24:S25 Q27:S28 Q32:S36 Q45:S45 Q51:S55 Q61:S61 Q65:S65 Q71:S72 Q78:S78 Q83:S83 Q86:S87" name="First 3 Months 2016"/>
    <protectedRange sqref="C51:N55" name="NonOperating Items"/>
    <protectedRange sqref="C45:N45" name="Management Fee"/>
    <protectedRange sqref="C32:N36" name="Undistributed Expenses"/>
    <protectedRange sqref="C22:N22 C24:N25 C27:N28" name="Departmental Expenses"/>
    <protectedRange sqref="C11:N13 C15:N19" name="Revenue"/>
    <protectedRange sqref="C61:N61" name="Depreciation"/>
    <protectedRange sqref="C65:N65" name="Income Taxes"/>
    <protectedRange sqref="C71:N72 C78:N78 C83:N83 C86:N87" name="Statistics"/>
  </protectedRanges>
  <mergeCells count="1">
    <mergeCell ref="Q4:S4"/>
  </mergeCells>
  <dataValidations disablePrompts="1" count="1">
    <dataValidation type="list" allowBlank="1" showInputMessage="1" showErrorMessage="1" promptTitle="Property Name" prompt="Select property name" sqref="A1">
      <formula1>$AD$286:$AD$292</formula1>
    </dataValidation>
  </dataValidations>
  <printOptions horizontalCentered="1"/>
  <pageMargins left="0" right="0" top="0" bottom="0" header="0" footer="0"/>
  <pageSetup paperSize="8" scale="96" fitToHeight="0" orientation="landscape" r:id="rId1"/>
  <headerFooter scaleWithDoc="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B050"/>
    <pageSetUpPr fitToPage="1"/>
  </sheetPr>
  <dimension ref="A1:AG298"/>
  <sheetViews>
    <sheetView zoomScale="90" zoomScaleNormal="90" zoomScaleSheetLayoutView="80" workbookViewId="0">
      <pane xSplit="2" ySplit="6" topLeftCell="H60" activePane="bottomRight" state="frozen"/>
      <selection activeCell="A16" sqref="A16"/>
      <selection pane="topRight" activeCell="A16" sqref="A16"/>
      <selection pane="bottomLeft" activeCell="A16" sqref="A16"/>
      <selection pane="bottomRight" activeCell="V70" sqref="V70"/>
    </sheetView>
  </sheetViews>
  <sheetFormatPr defaultRowHeight="14.25" outlineLevelCol="1"/>
  <cols>
    <col min="1" max="1" width="47.42578125" style="7" customWidth="1"/>
    <col min="2" max="2" width="2.28515625" style="7" customWidth="1"/>
    <col min="3" max="3" width="12.28515625" style="21" customWidth="1"/>
    <col min="4" max="15" width="12.28515625" style="13" customWidth="1"/>
    <col min="16" max="16" width="3.7109375" style="13" customWidth="1"/>
    <col min="17" max="19" width="12.28515625" style="13" customWidth="1" outlineLevel="1"/>
    <col min="20" max="20" width="3.7109375" style="13" customWidth="1"/>
    <col min="21" max="32" width="11.85546875" style="13" customWidth="1"/>
    <col min="33" max="16384" width="9.140625" style="13"/>
  </cols>
  <sheetData>
    <row r="1" spans="1:33" s="3" customFormat="1" ht="15">
      <c r="A1" s="1" t="str">
        <f>'Top Flash'!A1</f>
        <v>TAAL VISTA HOTEL</v>
      </c>
      <c r="B1" s="2"/>
      <c r="C1" s="2"/>
    </row>
    <row r="2" spans="1:33" s="3" customFormat="1" ht="15">
      <c r="A2" s="4" t="s">
        <v>154</v>
      </c>
      <c r="B2" s="2"/>
      <c r="C2" s="2"/>
    </row>
    <row r="3" spans="1:33" s="7" customFormat="1" ht="15">
      <c r="A3" s="4" t="str">
        <f>'Top Flash'!A3</f>
        <v>December 2015</v>
      </c>
      <c r="B3" s="6"/>
      <c r="C3" s="6"/>
      <c r="D3" s="6"/>
      <c r="E3" s="6"/>
      <c r="F3" s="6"/>
      <c r="G3" s="6"/>
      <c r="H3" s="6"/>
      <c r="I3" s="6"/>
      <c r="J3" s="6"/>
      <c r="K3" s="6"/>
      <c r="L3" s="6"/>
      <c r="M3" s="6"/>
      <c r="N3" s="6"/>
      <c r="O3" s="6"/>
      <c r="Q3" s="6"/>
      <c r="R3" s="6"/>
      <c r="S3" s="6"/>
    </row>
    <row r="4" spans="1:33" ht="15.75" customHeight="1">
      <c r="A4" s="8" t="s">
        <v>38</v>
      </c>
      <c r="B4" s="8"/>
      <c r="C4" s="79"/>
      <c r="D4" s="80"/>
      <c r="E4" s="11"/>
      <c r="F4" s="16" t="s">
        <v>293</v>
      </c>
      <c r="G4" s="16"/>
      <c r="H4" s="16"/>
      <c r="I4" s="16"/>
      <c r="J4" s="16"/>
      <c r="K4" s="11"/>
      <c r="L4" s="11"/>
      <c r="M4" s="16"/>
      <c r="N4" s="11"/>
      <c r="O4" s="12"/>
      <c r="Q4" s="306" t="s">
        <v>233</v>
      </c>
      <c r="R4" s="307"/>
      <c r="S4" s="308"/>
      <c r="U4" s="79"/>
      <c r="V4" s="80"/>
      <c r="W4" s="11"/>
      <c r="X4" s="16" t="s">
        <v>226</v>
      </c>
      <c r="Y4" s="16"/>
      <c r="Z4" s="16"/>
      <c r="AA4" s="16"/>
      <c r="AB4" s="16"/>
      <c r="AC4" s="11"/>
      <c r="AD4" s="11"/>
      <c r="AE4" s="16"/>
      <c r="AF4" s="12"/>
    </row>
    <row r="5" spans="1:33" ht="15.75" customHeight="1">
      <c r="A5" s="8"/>
      <c r="B5" s="8"/>
      <c r="C5" s="78"/>
      <c r="D5" s="78"/>
      <c r="E5" s="78"/>
      <c r="F5" s="78"/>
      <c r="G5" s="78"/>
      <c r="H5" s="78"/>
      <c r="I5" s="78"/>
      <c r="J5" s="78"/>
      <c r="K5" s="78"/>
      <c r="L5" s="78"/>
      <c r="M5" s="78"/>
      <c r="N5" s="78"/>
      <c r="O5" s="78"/>
      <c r="Q5" s="94"/>
      <c r="R5" s="94"/>
      <c r="S5" s="94"/>
      <c r="U5" s="94"/>
      <c r="V5" s="94"/>
      <c r="W5" s="94"/>
      <c r="X5" s="94"/>
      <c r="Y5" s="94"/>
      <c r="Z5" s="94"/>
      <c r="AA5" s="94"/>
      <c r="AB5" s="94"/>
      <c r="AC5" s="94"/>
      <c r="AD5" s="94"/>
      <c r="AE5" s="94"/>
      <c r="AF5" s="94"/>
    </row>
    <row r="6" spans="1:33" ht="30" customHeight="1">
      <c r="A6" s="18"/>
      <c r="B6" s="18"/>
      <c r="C6" s="81">
        <v>41640</v>
      </c>
      <c r="D6" s="81">
        <v>41671</v>
      </c>
      <c r="E6" s="81">
        <v>41699</v>
      </c>
      <c r="F6" s="81">
        <v>41730</v>
      </c>
      <c r="G6" s="81">
        <v>41760</v>
      </c>
      <c r="H6" s="81">
        <v>41791</v>
      </c>
      <c r="I6" s="81">
        <v>41821</v>
      </c>
      <c r="J6" s="81">
        <v>41852</v>
      </c>
      <c r="K6" s="81">
        <v>41883</v>
      </c>
      <c r="L6" s="81">
        <v>41913</v>
      </c>
      <c r="M6" s="81">
        <v>41944</v>
      </c>
      <c r="N6" s="81">
        <v>41974</v>
      </c>
      <c r="O6" s="81" t="s">
        <v>234</v>
      </c>
      <c r="Q6" s="81">
        <v>42005</v>
      </c>
      <c r="R6" s="81">
        <v>42036</v>
      </c>
      <c r="S6" s="81">
        <v>42064</v>
      </c>
      <c r="U6" s="81">
        <v>41640</v>
      </c>
      <c r="V6" s="81">
        <v>41671</v>
      </c>
      <c r="W6" s="81">
        <v>41699</v>
      </c>
      <c r="X6" s="81">
        <v>41730</v>
      </c>
      <c r="Y6" s="81">
        <v>41760</v>
      </c>
      <c r="Z6" s="81">
        <v>41791</v>
      </c>
      <c r="AA6" s="81">
        <v>41821</v>
      </c>
      <c r="AB6" s="81">
        <v>41852</v>
      </c>
      <c r="AC6" s="81">
        <v>41883</v>
      </c>
      <c r="AD6" s="81">
        <v>41913</v>
      </c>
      <c r="AE6" s="81">
        <v>41944</v>
      </c>
      <c r="AF6" s="81">
        <v>41974</v>
      </c>
    </row>
    <row r="7" spans="1:33" ht="15" customHeight="1">
      <c r="C7" s="20"/>
      <c r="U7" s="20"/>
    </row>
    <row r="8" spans="1:33" s="24" customFormat="1" ht="15" customHeight="1">
      <c r="A8" s="18" t="s">
        <v>177</v>
      </c>
      <c r="B8" s="18"/>
      <c r="C8" s="72">
        <f t="shared" ref="C8:N8" si="0">SUBTOTAL(9,C10:C19)</f>
        <v>37355508.914556079</v>
      </c>
      <c r="D8" s="72">
        <f t="shared" si="0"/>
        <v>32366516.971659441</v>
      </c>
      <c r="E8" s="72">
        <f t="shared" si="0"/>
        <v>35617182.450762935</v>
      </c>
      <c r="F8" s="72">
        <f t="shared" si="0"/>
        <v>41206697.361429624</v>
      </c>
      <c r="G8" s="72">
        <f t="shared" si="0"/>
        <v>39878709.423040859</v>
      </c>
      <c r="H8" s="72">
        <f t="shared" si="0"/>
        <v>29322188.9793</v>
      </c>
      <c r="I8" s="72">
        <f t="shared" si="0"/>
        <v>14617017.52369844</v>
      </c>
      <c r="J8" s="72">
        <f t="shared" si="0"/>
        <v>11267978.818699999</v>
      </c>
      <c r="K8" s="72">
        <f t="shared" si="0"/>
        <v>20325247.165276147</v>
      </c>
      <c r="L8" s="72">
        <f t="shared" si="0"/>
        <v>34110171.925560273</v>
      </c>
      <c r="M8" s="72">
        <f t="shared" si="0"/>
        <v>45445399.883709259</v>
      </c>
      <c r="N8" s="72">
        <f t="shared" si="0"/>
        <v>59594342.257895552</v>
      </c>
      <c r="O8" s="72">
        <f>SUM(C8:N8)</f>
        <v>401106961.67558861</v>
      </c>
      <c r="Q8" s="72">
        <f t="shared" ref="Q8:S8" si="1">SUBTOTAL(9,Q10:Q19)</f>
        <v>43755174.729999997</v>
      </c>
      <c r="R8" s="72">
        <f t="shared" si="1"/>
        <v>37394758.769999988</v>
      </c>
      <c r="S8" s="72">
        <f t="shared" si="1"/>
        <v>46987771.669999994</v>
      </c>
      <c r="U8" s="72">
        <f t="shared" ref="U8:AF8" si="2">SUBTOTAL(9,U10:U19)</f>
        <v>37355508.914556079</v>
      </c>
      <c r="V8" s="72">
        <f t="shared" si="2"/>
        <v>69722025.886215523</v>
      </c>
      <c r="W8" s="72">
        <f t="shared" si="2"/>
        <v>105339208.33697845</v>
      </c>
      <c r="X8" s="72">
        <f t="shared" si="2"/>
        <v>146545905.6984081</v>
      </c>
      <c r="Y8" s="72">
        <f t="shared" si="2"/>
        <v>186424615.12144899</v>
      </c>
      <c r="Z8" s="72">
        <f t="shared" si="2"/>
        <v>215746804.10074896</v>
      </c>
      <c r="AA8" s="72">
        <f t="shared" si="2"/>
        <v>230363821.62444738</v>
      </c>
      <c r="AB8" s="72">
        <f t="shared" si="2"/>
        <v>241631800.44314739</v>
      </c>
      <c r="AC8" s="72">
        <f t="shared" si="2"/>
        <v>261957047.60842353</v>
      </c>
      <c r="AD8" s="72">
        <f t="shared" si="2"/>
        <v>296067219.53398383</v>
      </c>
      <c r="AE8" s="72">
        <f t="shared" si="2"/>
        <v>341512619.41769302</v>
      </c>
      <c r="AF8" s="72">
        <f t="shared" si="2"/>
        <v>401106961.67558873</v>
      </c>
      <c r="AG8" s="13" t="str">
        <f>IF(O8=AF8, "Ok!", "Error!")</f>
        <v>Ok!</v>
      </c>
    </row>
    <row r="9" spans="1:33" ht="15" customHeight="1">
      <c r="A9" s="1"/>
      <c r="B9" s="1"/>
      <c r="C9" s="20"/>
      <c r="D9" s="20"/>
      <c r="E9" s="20"/>
      <c r="F9" s="20"/>
      <c r="G9" s="20"/>
      <c r="H9" s="20"/>
      <c r="I9" s="20"/>
      <c r="J9" s="20"/>
      <c r="K9" s="20"/>
      <c r="L9" s="20"/>
      <c r="M9" s="20"/>
      <c r="N9" s="20"/>
      <c r="O9" s="20"/>
      <c r="Q9" s="20"/>
      <c r="R9" s="20"/>
      <c r="S9" s="20"/>
      <c r="U9" s="20"/>
      <c r="V9" s="20"/>
      <c r="W9" s="20"/>
      <c r="X9" s="20"/>
      <c r="Y9" s="20"/>
      <c r="Z9" s="20"/>
      <c r="AA9" s="20"/>
      <c r="AB9" s="20"/>
      <c r="AC9" s="20"/>
      <c r="AD9" s="20"/>
      <c r="AE9" s="20"/>
      <c r="AF9" s="20"/>
    </row>
    <row r="10" spans="1:33" ht="15" customHeight="1">
      <c r="A10" s="29" t="s">
        <v>156</v>
      </c>
      <c r="B10" s="30"/>
      <c r="C10" s="31">
        <f t="shared" ref="C10:N10" si="3">SUBTOTAL(9,C11:C13)</f>
        <v>18687127.509599999</v>
      </c>
      <c r="D10" s="31">
        <f t="shared" si="3"/>
        <v>14340253.50313936</v>
      </c>
      <c r="E10" s="31">
        <f t="shared" si="3"/>
        <v>15956270.88581565</v>
      </c>
      <c r="F10" s="31">
        <f t="shared" si="3"/>
        <v>19129145.651932679</v>
      </c>
      <c r="G10" s="31">
        <f t="shared" si="3"/>
        <v>17334769.350836001</v>
      </c>
      <c r="H10" s="31">
        <f t="shared" si="3"/>
        <v>13313815.5921</v>
      </c>
      <c r="I10" s="31">
        <f t="shared" si="3"/>
        <v>6698088.9247740004</v>
      </c>
      <c r="J10" s="31">
        <f t="shared" si="3"/>
        <v>5705135.5749000004</v>
      </c>
      <c r="K10" s="31">
        <f t="shared" si="3"/>
        <v>10000674.67097104</v>
      </c>
      <c r="L10" s="31">
        <f t="shared" si="3"/>
        <v>16838935.210361037</v>
      </c>
      <c r="M10" s="31">
        <f t="shared" si="3"/>
        <v>21787353.438900001</v>
      </c>
      <c r="N10" s="31">
        <f t="shared" si="3"/>
        <v>29029492.264945559</v>
      </c>
      <c r="O10" s="31">
        <f>SUM(C10:N10)</f>
        <v>188821062.57827535</v>
      </c>
      <c r="Q10" s="31">
        <f t="shared" ref="Q10:S10" si="4">SUBTOTAL(9,Q11:Q13)</f>
        <v>21269822.830000002</v>
      </c>
      <c r="R10" s="31">
        <f t="shared" si="4"/>
        <v>17434626.979999997</v>
      </c>
      <c r="S10" s="31">
        <f t="shared" si="4"/>
        <v>19280875.809999999</v>
      </c>
      <c r="U10" s="31">
        <f t="shared" ref="U10:AF10" si="5">SUBTOTAL(9,U11:U13)</f>
        <v>18687127.509599999</v>
      </c>
      <c r="V10" s="31">
        <f t="shared" si="5"/>
        <v>33027381.01273936</v>
      </c>
      <c r="W10" s="31">
        <f t="shared" si="5"/>
        <v>48983651.898555011</v>
      </c>
      <c r="X10" s="31">
        <f t="shared" si="5"/>
        <v>68112797.550487682</v>
      </c>
      <c r="Y10" s="31">
        <f t="shared" si="5"/>
        <v>85447566.901323691</v>
      </c>
      <c r="Z10" s="31">
        <f t="shared" si="5"/>
        <v>98761382.493423685</v>
      </c>
      <c r="AA10" s="31">
        <f t="shared" si="5"/>
        <v>105459471.41819768</v>
      </c>
      <c r="AB10" s="31">
        <f t="shared" si="5"/>
        <v>111164606.99309768</v>
      </c>
      <c r="AC10" s="31">
        <f t="shared" si="5"/>
        <v>121165281.66406871</v>
      </c>
      <c r="AD10" s="31">
        <f t="shared" si="5"/>
        <v>138004216.87442976</v>
      </c>
      <c r="AE10" s="31">
        <f t="shared" si="5"/>
        <v>159791570.31332976</v>
      </c>
      <c r="AF10" s="31">
        <f t="shared" si="5"/>
        <v>188821062.57827535</v>
      </c>
      <c r="AG10" s="13" t="str">
        <f t="shared" ref="AG10:AG19" si="6">IF(O10=AF10, "Ok!", "Error!")</f>
        <v>Ok!</v>
      </c>
    </row>
    <row r="11" spans="1:33" ht="15" customHeight="1">
      <c r="A11" s="82" t="s">
        <v>179</v>
      </c>
      <c r="B11" s="30"/>
      <c r="C11" s="188">
        <v>11920441</v>
      </c>
      <c r="D11" s="188">
        <v>9847507</v>
      </c>
      <c r="E11" s="188">
        <v>9749193</v>
      </c>
      <c r="F11" s="188">
        <v>13137315</v>
      </c>
      <c r="G11" s="188">
        <v>12263059.864499999</v>
      </c>
      <c r="H11" s="188">
        <v>9535308</v>
      </c>
      <c r="I11" s="188">
        <v>4032583.96668472</v>
      </c>
      <c r="J11" s="188">
        <v>4863995.4389000004</v>
      </c>
      <c r="K11" s="188">
        <v>7465660</v>
      </c>
      <c r="L11" s="188">
        <v>11276995</v>
      </c>
      <c r="M11" s="188">
        <v>11648649.754900001</v>
      </c>
      <c r="N11" s="188">
        <v>22652157</v>
      </c>
      <c r="O11" s="31">
        <f t="shared" ref="O11:O19" si="7">SUM(C11:N11)</f>
        <v>128392865.02498472</v>
      </c>
      <c r="Q11" s="31">
        <f>'TY Actual-Forecast'!C11</f>
        <v>16430289.15</v>
      </c>
      <c r="R11" s="31">
        <f>'TY Actual-Forecast'!D11</f>
        <v>10251835.939999999</v>
      </c>
      <c r="S11" s="31">
        <f>'TY Actual-Forecast'!E11</f>
        <v>8621323.0899999999</v>
      </c>
      <c r="U11" s="31">
        <f>C11</f>
        <v>11920441</v>
      </c>
      <c r="V11" s="31">
        <f t="shared" ref="V11:AF13" si="8">U11+D11</f>
        <v>21767948</v>
      </c>
      <c r="W11" s="31">
        <f t="shared" si="8"/>
        <v>31517141</v>
      </c>
      <c r="X11" s="31">
        <f t="shared" si="8"/>
        <v>44654456</v>
      </c>
      <c r="Y11" s="31">
        <f t="shared" si="8"/>
        <v>56917515.864500001</v>
      </c>
      <c r="Z11" s="31">
        <f t="shared" si="8"/>
        <v>66452823.864500001</v>
      </c>
      <c r="AA11" s="31">
        <f t="shared" si="8"/>
        <v>70485407.831184715</v>
      </c>
      <c r="AB11" s="31">
        <f t="shared" si="8"/>
        <v>75349403.270084709</v>
      </c>
      <c r="AC11" s="31">
        <f t="shared" si="8"/>
        <v>82815063.270084709</v>
      </c>
      <c r="AD11" s="31">
        <f t="shared" si="8"/>
        <v>94092058.270084709</v>
      </c>
      <c r="AE11" s="31">
        <f t="shared" si="8"/>
        <v>105740708.02498472</v>
      </c>
      <c r="AF11" s="31">
        <f t="shared" si="8"/>
        <v>128392865.02498472</v>
      </c>
      <c r="AG11" s="13" t="str">
        <f t="shared" si="6"/>
        <v>Ok!</v>
      </c>
    </row>
    <row r="12" spans="1:33" ht="15" customHeight="1">
      <c r="A12" s="82" t="s">
        <v>180</v>
      </c>
      <c r="B12" s="30"/>
      <c r="C12" s="188">
        <v>6640820.5096000005</v>
      </c>
      <c r="D12" s="188">
        <v>4381544.9231393598</v>
      </c>
      <c r="E12" s="188">
        <v>6131368.8858156502</v>
      </c>
      <c r="F12" s="188">
        <v>5802095.65193268</v>
      </c>
      <c r="G12" s="188">
        <v>4844499.4863360003</v>
      </c>
      <c r="H12" s="188">
        <v>3506273.5921000005</v>
      </c>
      <c r="I12" s="188">
        <v>2619068.9580892799</v>
      </c>
      <c r="J12" s="188">
        <v>789816.13599999994</v>
      </c>
      <c r="K12" s="188">
        <v>2304859.6709710401</v>
      </c>
      <c r="L12" s="188">
        <v>4482394.8103610398</v>
      </c>
      <c r="M12" s="188">
        <v>9316368.284</v>
      </c>
      <c r="N12" s="188">
        <v>4436250.8049455602</v>
      </c>
      <c r="O12" s="31">
        <f t="shared" si="7"/>
        <v>55255361.713290617</v>
      </c>
      <c r="Q12" s="31">
        <f>'TY Actual-Forecast'!C12</f>
        <v>4659306.66</v>
      </c>
      <c r="R12" s="31">
        <f>'TY Actual-Forecast'!D12</f>
        <v>7059130</v>
      </c>
      <c r="S12" s="31">
        <f>'TY Actual-Forecast'!E12</f>
        <v>10570699.609999999</v>
      </c>
      <c r="U12" s="31">
        <f>C12</f>
        <v>6640820.5096000005</v>
      </c>
      <c r="V12" s="31">
        <f t="shared" si="8"/>
        <v>11022365.43273936</v>
      </c>
      <c r="W12" s="31">
        <f t="shared" si="8"/>
        <v>17153734.318555012</v>
      </c>
      <c r="X12" s="31">
        <f t="shared" si="8"/>
        <v>22955829.970487691</v>
      </c>
      <c r="Y12" s="31">
        <f t="shared" si="8"/>
        <v>27800329.456823692</v>
      </c>
      <c r="Z12" s="31">
        <f t="shared" si="8"/>
        <v>31306603.048923694</v>
      </c>
      <c r="AA12" s="31">
        <f t="shared" si="8"/>
        <v>33925672.007012971</v>
      </c>
      <c r="AB12" s="31">
        <f t="shared" si="8"/>
        <v>34715488.143012971</v>
      </c>
      <c r="AC12" s="31">
        <f t="shared" si="8"/>
        <v>37020347.813984014</v>
      </c>
      <c r="AD12" s="31">
        <f t="shared" si="8"/>
        <v>41502742.624345057</v>
      </c>
      <c r="AE12" s="31">
        <f t="shared" si="8"/>
        <v>50819110.908345059</v>
      </c>
      <c r="AF12" s="31">
        <f t="shared" si="8"/>
        <v>55255361.713290617</v>
      </c>
      <c r="AG12" s="13" t="str">
        <f t="shared" si="6"/>
        <v>Ok!</v>
      </c>
    </row>
    <row r="13" spans="1:33" ht="15" customHeight="1">
      <c r="A13" s="82" t="s">
        <v>181</v>
      </c>
      <c r="B13" s="30"/>
      <c r="C13" s="188">
        <v>125866</v>
      </c>
      <c r="D13" s="188">
        <v>111201.58</v>
      </c>
      <c r="E13" s="188">
        <v>75709</v>
      </c>
      <c r="F13" s="188">
        <v>189735</v>
      </c>
      <c r="G13" s="188">
        <v>227210</v>
      </c>
      <c r="H13" s="188">
        <v>272234</v>
      </c>
      <c r="I13" s="188">
        <v>46436</v>
      </c>
      <c r="J13" s="188">
        <v>51324</v>
      </c>
      <c r="K13" s="188">
        <v>230155</v>
      </c>
      <c r="L13" s="188">
        <v>1079545.3999999999</v>
      </c>
      <c r="M13" s="188">
        <v>822335.4</v>
      </c>
      <c r="N13" s="188">
        <v>1941084.46</v>
      </c>
      <c r="O13" s="31">
        <f t="shared" si="7"/>
        <v>5172835.84</v>
      </c>
      <c r="Q13" s="31">
        <f>'TY Actual-Forecast'!C13</f>
        <v>180227.02</v>
      </c>
      <c r="R13" s="31">
        <f>'TY Actual-Forecast'!D13</f>
        <v>123661.04</v>
      </c>
      <c r="S13" s="31">
        <f>'TY Actual-Forecast'!E13</f>
        <v>88853.11</v>
      </c>
      <c r="U13" s="31">
        <f>C13</f>
        <v>125866</v>
      </c>
      <c r="V13" s="31">
        <f t="shared" si="8"/>
        <v>237067.58000000002</v>
      </c>
      <c r="W13" s="31">
        <f t="shared" si="8"/>
        <v>312776.58</v>
      </c>
      <c r="X13" s="31">
        <f t="shared" si="8"/>
        <v>502511.58</v>
      </c>
      <c r="Y13" s="31">
        <f t="shared" si="8"/>
        <v>729721.58000000007</v>
      </c>
      <c r="Z13" s="31">
        <f t="shared" si="8"/>
        <v>1001955.5800000001</v>
      </c>
      <c r="AA13" s="31">
        <f t="shared" si="8"/>
        <v>1048391.5800000001</v>
      </c>
      <c r="AB13" s="31">
        <f t="shared" si="8"/>
        <v>1099715.58</v>
      </c>
      <c r="AC13" s="31">
        <f t="shared" si="8"/>
        <v>1329870.58</v>
      </c>
      <c r="AD13" s="31">
        <f t="shared" si="8"/>
        <v>2409415.98</v>
      </c>
      <c r="AE13" s="31">
        <f t="shared" si="8"/>
        <v>3231751.38</v>
      </c>
      <c r="AF13" s="31">
        <f t="shared" si="8"/>
        <v>5172835.84</v>
      </c>
      <c r="AG13" s="13" t="str">
        <f t="shared" si="6"/>
        <v>Ok!</v>
      </c>
    </row>
    <row r="14" spans="1:33" ht="15" customHeight="1">
      <c r="A14" s="29" t="s">
        <v>182</v>
      </c>
      <c r="B14" s="30"/>
      <c r="C14" s="31">
        <f>SUBTOTAL(9,C15:C17)</f>
        <v>17487445.278956082</v>
      </c>
      <c r="D14" s="31">
        <f t="shared" ref="D14:N14" si="9">SUBTOTAL(9,D15:D17)</f>
        <v>16260454.598520083</v>
      </c>
      <c r="E14" s="31">
        <f t="shared" si="9"/>
        <v>18063519.384947281</v>
      </c>
      <c r="F14" s="31">
        <f t="shared" si="9"/>
        <v>20778963.469496962</v>
      </c>
      <c r="G14" s="31">
        <f t="shared" si="9"/>
        <v>20995481.692204859</v>
      </c>
      <c r="H14" s="31">
        <f t="shared" si="9"/>
        <v>14673758.5372</v>
      </c>
      <c r="I14" s="31">
        <f t="shared" si="9"/>
        <v>7127525.77892444</v>
      </c>
      <c r="J14" s="31">
        <f t="shared" si="9"/>
        <v>4745569.1937999995</v>
      </c>
      <c r="K14" s="31">
        <f t="shared" si="9"/>
        <v>9717966.8243051097</v>
      </c>
      <c r="L14" s="31">
        <f t="shared" si="9"/>
        <v>16004105.61519924</v>
      </c>
      <c r="M14" s="31">
        <f t="shared" si="9"/>
        <v>22734511.884809259</v>
      </c>
      <c r="N14" s="31">
        <f t="shared" si="9"/>
        <v>29235647.912950002</v>
      </c>
      <c r="O14" s="31">
        <f t="shared" si="7"/>
        <v>197824950.17131332</v>
      </c>
      <c r="Q14" s="31">
        <f t="shared" ref="Q14:S14" si="10">SUBTOTAL(9,Q15:Q17)</f>
        <v>21311952.359999999</v>
      </c>
      <c r="R14" s="31">
        <f t="shared" si="10"/>
        <v>18603283.07</v>
      </c>
      <c r="S14" s="31">
        <f t="shared" si="10"/>
        <v>26633579.57</v>
      </c>
      <c r="U14" s="31">
        <f t="shared" ref="U14:AF14" si="11">SUBTOTAL(9,U15:U17)</f>
        <v>17487445.278956082</v>
      </c>
      <c r="V14" s="31">
        <f t="shared" si="11"/>
        <v>33747899.877476163</v>
      </c>
      <c r="W14" s="31">
        <f t="shared" si="11"/>
        <v>51811419.262423441</v>
      </c>
      <c r="X14" s="31">
        <f t="shared" si="11"/>
        <v>72590382.731920406</v>
      </c>
      <c r="Y14" s="31">
        <f t="shared" si="11"/>
        <v>93585864.424125269</v>
      </c>
      <c r="Z14" s="31">
        <f t="shared" si="11"/>
        <v>108259622.96132526</v>
      </c>
      <c r="AA14" s="31">
        <f t="shared" si="11"/>
        <v>115387148.74024969</v>
      </c>
      <c r="AB14" s="31">
        <f t="shared" si="11"/>
        <v>120132717.9340497</v>
      </c>
      <c r="AC14" s="31">
        <f t="shared" si="11"/>
        <v>129850684.75835481</v>
      </c>
      <c r="AD14" s="31">
        <f t="shared" si="11"/>
        <v>145854790.37355405</v>
      </c>
      <c r="AE14" s="31">
        <f t="shared" si="11"/>
        <v>168589302.25836331</v>
      </c>
      <c r="AF14" s="31">
        <f t="shared" si="11"/>
        <v>197824950.17131332</v>
      </c>
      <c r="AG14" s="13" t="str">
        <f t="shared" si="6"/>
        <v>Ok!</v>
      </c>
    </row>
    <row r="15" spans="1:33" ht="15" customHeight="1">
      <c r="A15" s="82" t="s">
        <v>183</v>
      </c>
      <c r="B15" s="30"/>
      <c r="C15" s="188">
        <v>9266441.1239560805</v>
      </c>
      <c r="D15" s="188">
        <v>9349448.3937569242</v>
      </c>
      <c r="E15" s="188">
        <v>8678310.4174957704</v>
      </c>
      <c r="F15" s="188">
        <v>10275371.85949696</v>
      </c>
      <c r="G15" s="188">
        <v>10121953.05880486</v>
      </c>
      <c r="H15" s="188">
        <v>7931489.2271999996</v>
      </c>
      <c r="I15" s="188">
        <v>4009384.6308201202</v>
      </c>
      <c r="J15" s="188">
        <v>3721398.1905999999</v>
      </c>
      <c r="K15" s="188">
        <v>6449421.1897350997</v>
      </c>
      <c r="L15" s="188">
        <v>8522062.7234215196</v>
      </c>
      <c r="M15" s="188">
        <v>10001485.157989258</v>
      </c>
      <c r="N15" s="188">
        <v>15029635.969999999</v>
      </c>
      <c r="O15" s="31">
        <f t="shared" si="7"/>
        <v>103356401.94327658</v>
      </c>
      <c r="Q15" s="31">
        <f>'TY Actual-Forecast'!C15</f>
        <v>11252145.279999999</v>
      </c>
      <c r="R15" s="31">
        <f>'TY Actual-Forecast'!D15</f>
        <v>9498881.4499999993</v>
      </c>
      <c r="S15" s="31">
        <f>'TY Actual-Forecast'!E15</f>
        <v>9337140.9499999993</v>
      </c>
      <c r="U15" s="31">
        <f>C15</f>
        <v>9266441.1239560805</v>
      </c>
      <c r="V15" s="31">
        <f t="shared" ref="V15:AF19" si="12">U15+D15</f>
        <v>18615889.517713003</v>
      </c>
      <c r="W15" s="31">
        <f t="shared" si="12"/>
        <v>27294199.935208775</v>
      </c>
      <c r="X15" s="31">
        <f t="shared" si="12"/>
        <v>37569571.794705734</v>
      </c>
      <c r="Y15" s="31">
        <f t="shared" si="12"/>
        <v>47691524.853510596</v>
      </c>
      <c r="Z15" s="31">
        <f t="shared" si="12"/>
        <v>55623014.080710597</v>
      </c>
      <c r="AA15" s="31">
        <f t="shared" si="12"/>
        <v>59632398.711530715</v>
      </c>
      <c r="AB15" s="31">
        <f t="shared" si="12"/>
        <v>63353796.902130716</v>
      </c>
      <c r="AC15" s="31">
        <f t="shared" si="12"/>
        <v>69803218.091865808</v>
      </c>
      <c r="AD15" s="31">
        <f t="shared" si="12"/>
        <v>78325280.815287322</v>
      </c>
      <c r="AE15" s="31">
        <f t="shared" si="12"/>
        <v>88326765.973276585</v>
      </c>
      <c r="AF15" s="31">
        <f t="shared" si="12"/>
        <v>103356401.94327658</v>
      </c>
      <c r="AG15" s="13" t="str">
        <f t="shared" si="6"/>
        <v>Ok!</v>
      </c>
    </row>
    <row r="16" spans="1:33" ht="15.75" customHeight="1">
      <c r="A16" s="82" t="s">
        <v>184</v>
      </c>
      <c r="B16" s="30"/>
      <c r="C16" s="188">
        <v>7254233.9250000007</v>
      </c>
      <c r="D16" s="188">
        <v>5820180.6247631591</v>
      </c>
      <c r="E16" s="188">
        <v>8032373.9474515114</v>
      </c>
      <c r="F16" s="188">
        <v>9235671.379999999</v>
      </c>
      <c r="G16" s="188">
        <v>9390926.3933999985</v>
      </c>
      <c r="H16" s="188">
        <v>5768895.0199999996</v>
      </c>
      <c r="I16" s="188">
        <v>2468557.4281043196</v>
      </c>
      <c r="J16" s="188">
        <v>879324.44319999998</v>
      </c>
      <c r="K16" s="188">
        <v>2751117.63457001</v>
      </c>
      <c r="L16" s="188">
        <v>6322077.8917777203</v>
      </c>
      <c r="M16" s="188">
        <v>11889386.88682</v>
      </c>
      <c r="N16" s="188">
        <v>12216005.932950001</v>
      </c>
      <c r="O16" s="31">
        <f t="shared" si="7"/>
        <v>82028751.508036718</v>
      </c>
      <c r="Q16" s="31">
        <f>'TY Actual-Forecast'!C16</f>
        <v>8691707.8000000007</v>
      </c>
      <c r="R16" s="31">
        <f>'TY Actual-Forecast'!D16</f>
        <v>7840635.6400000006</v>
      </c>
      <c r="S16" s="31">
        <f>'TY Actual-Forecast'!E16</f>
        <v>9888973.7600000016</v>
      </c>
      <c r="U16" s="31">
        <f>C16</f>
        <v>7254233.9250000007</v>
      </c>
      <c r="V16" s="31">
        <f t="shared" si="12"/>
        <v>13074414.54976316</v>
      </c>
      <c r="W16" s="31">
        <f t="shared" si="12"/>
        <v>21106788.497214671</v>
      </c>
      <c r="X16" s="31">
        <f t="shared" si="12"/>
        <v>30342459.87721467</v>
      </c>
      <c r="Y16" s="31">
        <f t="shared" si="12"/>
        <v>39733386.270614669</v>
      </c>
      <c r="Z16" s="31">
        <f t="shared" si="12"/>
        <v>45502281.290614665</v>
      </c>
      <c r="AA16" s="31">
        <f t="shared" si="12"/>
        <v>47970838.718718983</v>
      </c>
      <c r="AB16" s="31">
        <f t="shared" si="12"/>
        <v>48850163.161918983</v>
      </c>
      <c r="AC16" s="31">
        <f t="shared" si="12"/>
        <v>51601280.796488993</v>
      </c>
      <c r="AD16" s="31">
        <f t="shared" si="12"/>
        <v>57923358.688266709</v>
      </c>
      <c r="AE16" s="31">
        <f t="shared" si="12"/>
        <v>69812745.575086713</v>
      </c>
      <c r="AF16" s="31">
        <f t="shared" si="12"/>
        <v>82028751.508036718</v>
      </c>
      <c r="AG16" s="13" t="str">
        <f t="shared" si="6"/>
        <v>Ok!</v>
      </c>
    </row>
    <row r="17" spans="1:33" ht="15.75" customHeight="1">
      <c r="A17" s="82" t="s">
        <v>250</v>
      </c>
      <c r="B17" s="30"/>
      <c r="C17" s="188">
        <v>966770.23</v>
      </c>
      <c r="D17" s="188">
        <v>1090825.58</v>
      </c>
      <c r="E17" s="188">
        <v>1352835.02</v>
      </c>
      <c r="F17" s="188">
        <v>1267920.23</v>
      </c>
      <c r="G17" s="188">
        <v>1482602.2399999998</v>
      </c>
      <c r="H17" s="188">
        <v>973374.29</v>
      </c>
      <c r="I17" s="188">
        <v>649583.72</v>
      </c>
      <c r="J17" s="188">
        <v>144846.56</v>
      </c>
      <c r="K17" s="188">
        <v>517428</v>
      </c>
      <c r="L17" s="188">
        <v>1159965</v>
      </c>
      <c r="M17" s="188">
        <v>843639.84</v>
      </c>
      <c r="N17" s="188">
        <v>1990006.01</v>
      </c>
      <c r="O17" s="31">
        <f t="shared" si="7"/>
        <v>12439796.720000001</v>
      </c>
      <c r="Q17" s="31">
        <f>'TY Actual-Forecast'!C17</f>
        <v>1368099.28</v>
      </c>
      <c r="R17" s="31">
        <f>'TY Actual-Forecast'!D17</f>
        <v>1263765.98</v>
      </c>
      <c r="S17" s="31">
        <f>'TY Actual-Forecast'!E17</f>
        <v>7407464.8599999994</v>
      </c>
      <c r="U17" s="31">
        <f>C17</f>
        <v>966770.23</v>
      </c>
      <c r="V17" s="31">
        <f t="shared" si="12"/>
        <v>2057595.81</v>
      </c>
      <c r="W17" s="31">
        <f t="shared" si="12"/>
        <v>3410430.83</v>
      </c>
      <c r="X17" s="31">
        <f t="shared" si="12"/>
        <v>4678351.0600000005</v>
      </c>
      <c r="Y17" s="31">
        <f t="shared" si="12"/>
        <v>6160953.3000000007</v>
      </c>
      <c r="Z17" s="31">
        <f t="shared" si="12"/>
        <v>7134327.5900000008</v>
      </c>
      <c r="AA17" s="31">
        <f t="shared" si="12"/>
        <v>7783911.3100000005</v>
      </c>
      <c r="AB17" s="31">
        <f t="shared" si="12"/>
        <v>7928757.8700000001</v>
      </c>
      <c r="AC17" s="31">
        <f t="shared" si="12"/>
        <v>8446185.870000001</v>
      </c>
      <c r="AD17" s="31">
        <f t="shared" si="12"/>
        <v>9606150.870000001</v>
      </c>
      <c r="AE17" s="31">
        <f t="shared" si="12"/>
        <v>10449790.710000001</v>
      </c>
      <c r="AF17" s="31">
        <f t="shared" si="12"/>
        <v>12439796.720000001</v>
      </c>
      <c r="AG17" s="13" t="str">
        <f t="shared" si="6"/>
        <v>Ok!</v>
      </c>
    </row>
    <row r="18" spans="1:33" ht="15" customHeight="1">
      <c r="A18" s="29" t="s">
        <v>251</v>
      </c>
      <c r="B18" s="30"/>
      <c r="C18" s="188">
        <v>201054.27600000001</v>
      </c>
      <c r="D18" s="188">
        <v>160016.07</v>
      </c>
      <c r="E18" s="188">
        <v>229373.78999999998</v>
      </c>
      <c r="F18" s="188">
        <v>204988.65999999997</v>
      </c>
      <c r="G18" s="188">
        <v>161931.66</v>
      </c>
      <c r="H18" s="188">
        <v>129883.12000000001</v>
      </c>
      <c r="I18" s="188">
        <v>61720.460000000006</v>
      </c>
      <c r="J18" s="188">
        <v>47900.619999999995</v>
      </c>
      <c r="K18" s="188">
        <v>82431.839999999997</v>
      </c>
      <c r="L18" s="188">
        <v>187448.68</v>
      </c>
      <c r="M18" s="188">
        <v>134198.98000000001</v>
      </c>
      <c r="N18" s="188">
        <v>253205.65000000002</v>
      </c>
      <c r="O18" s="31">
        <f t="shared" si="7"/>
        <v>1854153.8059999999</v>
      </c>
      <c r="Q18" s="31">
        <f>'TY Actual-Forecast'!C18</f>
        <v>253754.08</v>
      </c>
      <c r="R18" s="31">
        <f>'TY Actual-Forecast'!D18</f>
        <v>193195.91999999998</v>
      </c>
      <c r="S18" s="31">
        <f>'TY Actual-Forecast'!E18</f>
        <v>180198.90999999997</v>
      </c>
      <c r="U18" s="31">
        <f>C18</f>
        <v>201054.27600000001</v>
      </c>
      <c r="V18" s="31">
        <f t="shared" si="12"/>
        <v>361070.34600000002</v>
      </c>
      <c r="W18" s="31">
        <f t="shared" si="12"/>
        <v>590444.13599999994</v>
      </c>
      <c r="X18" s="31">
        <f t="shared" si="12"/>
        <v>795432.79599999986</v>
      </c>
      <c r="Y18" s="31">
        <f t="shared" si="12"/>
        <v>957364.45599999989</v>
      </c>
      <c r="Z18" s="31">
        <f t="shared" si="12"/>
        <v>1087247.5759999999</v>
      </c>
      <c r="AA18" s="31">
        <f t="shared" si="12"/>
        <v>1148968.0359999998</v>
      </c>
      <c r="AB18" s="31">
        <f t="shared" si="12"/>
        <v>1196868.656</v>
      </c>
      <c r="AC18" s="31">
        <f t="shared" si="12"/>
        <v>1279300.496</v>
      </c>
      <c r="AD18" s="31">
        <f t="shared" si="12"/>
        <v>1466749.176</v>
      </c>
      <c r="AE18" s="31">
        <f t="shared" si="12"/>
        <v>1600948.156</v>
      </c>
      <c r="AF18" s="31">
        <f t="shared" si="12"/>
        <v>1854153.8059999999</v>
      </c>
      <c r="AG18" s="13" t="str">
        <f t="shared" si="6"/>
        <v>Ok!</v>
      </c>
    </row>
    <row r="19" spans="1:33" ht="15.75" customHeight="1">
      <c r="A19" s="29" t="s">
        <v>178</v>
      </c>
      <c r="B19" s="30"/>
      <c r="C19" s="188">
        <v>979881.85</v>
      </c>
      <c r="D19" s="188">
        <v>1605792.8</v>
      </c>
      <c r="E19" s="188">
        <v>1368018.39</v>
      </c>
      <c r="F19" s="188">
        <v>1093599.58</v>
      </c>
      <c r="G19" s="188">
        <v>1386526.7200000002</v>
      </c>
      <c r="H19" s="188">
        <v>1204731.73</v>
      </c>
      <c r="I19" s="188">
        <v>729682.36</v>
      </c>
      <c r="J19" s="188">
        <v>769373.42999999993</v>
      </c>
      <c r="K19" s="188">
        <v>524173.82999999996</v>
      </c>
      <c r="L19" s="188">
        <v>1079682.42</v>
      </c>
      <c r="M19" s="188">
        <v>789335.58000000007</v>
      </c>
      <c r="N19" s="188">
        <v>1075996.43</v>
      </c>
      <c r="O19" s="31">
        <f t="shared" si="7"/>
        <v>12606795.120000001</v>
      </c>
      <c r="Q19" s="31">
        <f>'TY Actual-Forecast'!C19</f>
        <v>919645.46</v>
      </c>
      <c r="R19" s="31">
        <f>'TY Actual-Forecast'!D19</f>
        <v>1163652.8</v>
      </c>
      <c r="S19" s="31">
        <f>'TY Actual-Forecast'!E19</f>
        <v>893117.38</v>
      </c>
      <c r="U19" s="31">
        <f>C19</f>
        <v>979881.85</v>
      </c>
      <c r="V19" s="31">
        <f t="shared" si="12"/>
        <v>2585674.65</v>
      </c>
      <c r="W19" s="31">
        <f t="shared" si="12"/>
        <v>3953693.04</v>
      </c>
      <c r="X19" s="31">
        <f t="shared" si="12"/>
        <v>5047292.62</v>
      </c>
      <c r="Y19" s="31">
        <f t="shared" si="12"/>
        <v>6433819.3399999999</v>
      </c>
      <c r="Z19" s="31">
        <f t="shared" si="12"/>
        <v>7638551.0700000003</v>
      </c>
      <c r="AA19" s="31">
        <f t="shared" si="12"/>
        <v>8368233.4300000006</v>
      </c>
      <c r="AB19" s="31">
        <f t="shared" si="12"/>
        <v>9137606.8600000013</v>
      </c>
      <c r="AC19" s="31">
        <f t="shared" si="12"/>
        <v>9661780.6900000013</v>
      </c>
      <c r="AD19" s="31">
        <f t="shared" si="12"/>
        <v>10741463.110000001</v>
      </c>
      <c r="AE19" s="31">
        <f t="shared" si="12"/>
        <v>11530798.690000001</v>
      </c>
      <c r="AF19" s="31">
        <f t="shared" si="12"/>
        <v>12606795.120000001</v>
      </c>
      <c r="AG19" s="13" t="str">
        <f t="shared" si="6"/>
        <v>Ok!</v>
      </c>
    </row>
    <row r="20" spans="1:33" ht="15" customHeight="1">
      <c r="C20" s="33"/>
      <c r="D20" s="33"/>
      <c r="E20" s="33"/>
      <c r="F20" s="33"/>
      <c r="G20" s="33"/>
      <c r="H20" s="33"/>
      <c r="I20" s="33"/>
      <c r="J20" s="33"/>
      <c r="K20" s="33"/>
      <c r="L20" s="33"/>
      <c r="M20" s="33"/>
      <c r="N20" s="33"/>
      <c r="O20" s="33"/>
      <c r="Q20" s="33"/>
      <c r="R20" s="33"/>
      <c r="S20" s="33"/>
      <c r="U20" s="33"/>
      <c r="V20" s="33"/>
      <c r="W20" s="33"/>
      <c r="X20" s="33"/>
      <c r="Y20" s="33"/>
      <c r="Z20" s="33"/>
      <c r="AA20" s="33"/>
      <c r="AB20" s="33"/>
      <c r="AC20" s="33"/>
      <c r="AD20" s="33"/>
      <c r="AE20" s="33"/>
      <c r="AF20" s="33"/>
    </row>
    <row r="21" spans="1:33" ht="15" customHeight="1">
      <c r="A21" s="18" t="s">
        <v>189</v>
      </c>
      <c r="B21" s="18"/>
      <c r="C21" s="20"/>
      <c r="D21" s="20"/>
      <c r="E21" s="20"/>
      <c r="F21" s="20"/>
      <c r="G21" s="20"/>
      <c r="H21" s="20"/>
      <c r="I21" s="20"/>
      <c r="J21" s="20"/>
      <c r="K21" s="20"/>
      <c r="L21" s="20"/>
      <c r="M21" s="20"/>
      <c r="N21" s="20"/>
      <c r="O21" s="20"/>
      <c r="Q21" s="20"/>
      <c r="R21" s="20"/>
      <c r="S21" s="20"/>
      <c r="U21" s="20"/>
      <c r="V21" s="20"/>
      <c r="W21" s="20"/>
      <c r="X21" s="20"/>
      <c r="Y21" s="20"/>
      <c r="Z21" s="20"/>
      <c r="AA21" s="20"/>
      <c r="AB21" s="20"/>
      <c r="AC21" s="20"/>
      <c r="AD21" s="20"/>
      <c r="AE21" s="20"/>
      <c r="AF21" s="20"/>
    </row>
    <row r="22" spans="1:33" ht="15" customHeight="1">
      <c r="A22" s="29" t="s">
        <v>19</v>
      </c>
      <c r="B22" s="35"/>
      <c r="C22" s="188">
        <v>3171268.1608333336</v>
      </c>
      <c r="D22" s="188">
        <v>3038253.56</v>
      </c>
      <c r="E22" s="188">
        <v>2709180.1291666664</v>
      </c>
      <c r="F22" s="188">
        <v>3096296.0341666667</v>
      </c>
      <c r="G22" s="188">
        <v>3559475.6391666662</v>
      </c>
      <c r="H22" s="188">
        <v>2927159.6425000001</v>
      </c>
      <c r="I22" s="188">
        <v>1949775.9525000001</v>
      </c>
      <c r="J22" s="188">
        <v>1761580.42</v>
      </c>
      <c r="K22" s="188">
        <v>2776938.0875000004</v>
      </c>
      <c r="L22" s="188">
        <v>3374973.33</v>
      </c>
      <c r="M22" s="188">
        <v>3888511.600833334</v>
      </c>
      <c r="N22" s="188">
        <f>1479762.53+2706617.66</f>
        <v>4186380.1900000004</v>
      </c>
      <c r="O22" s="31">
        <f t="shared" ref="O22:O29" si="13">SUM(C22:N22)</f>
        <v>36439792.746666662</v>
      </c>
      <c r="Q22" s="31">
        <f>'TY Actual-Forecast'!C22</f>
        <v>3757433.88</v>
      </c>
      <c r="R22" s="31">
        <f>'TY Actual-Forecast'!D22</f>
        <v>3239673.8700000006</v>
      </c>
      <c r="S22" s="31">
        <f>'TY Actual-Forecast'!E22</f>
        <v>3213348.76</v>
      </c>
      <c r="U22" s="31">
        <f>C22</f>
        <v>3171268.1608333336</v>
      </c>
      <c r="V22" s="31">
        <f t="shared" ref="V22:AF22" si="14">U22+D22</f>
        <v>6209521.7208333332</v>
      </c>
      <c r="W22" s="31">
        <f t="shared" si="14"/>
        <v>8918701.8499999996</v>
      </c>
      <c r="X22" s="31">
        <f t="shared" si="14"/>
        <v>12014997.884166665</v>
      </c>
      <c r="Y22" s="31">
        <f t="shared" si="14"/>
        <v>15574473.523333332</v>
      </c>
      <c r="Z22" s="31">
        <f t="shared" si="14"/>
        <v>18501633.165833332</v>
      </c>
      <c r="AA22" s="31">
        <f t="shared" si="14"/>
        <v>20451409.118333332</v>
      </c>
      <c r="AB22" s="31">
        <f t="shared" si="14"/>
        <v>22212989.538333334</v>
      </c>
      <c r="AC22" s="31">
        <f t="shared" si="14"/>
        <v>24989927.625833333</v>
      </c>
      <c r="AD22" s="31">
        <f t="shared" si="14"/>
        <v>28364900.955833331</v>
      </c>
      <c r="AE22" s="31">
        <f t="shared" si="14"/>
        <v>32253412.556666665</v>
      </c>
      <c r="AF22" s="31">
        <f t="shared" si="14"/>
        <v>36439792.746666662</v>
      </c>
      <c r="AG22" s="13" t="str">
        <f t="shared" ref="AG22:AG29" si="15">IF(O22=AF22, "Ok!", "Error!")</f>
        <v>Ok!</v>
      </c>
    </row>
    <row r="23" spans="1:33" ht="15" customHeight="1">
      <c r="A23" s="29" t="s">
        <v>186</v>
      </c>
      <c r="B23" s="36"/>
      <c r="C23" s="31">
        <f t="shared" ref="C23:N23" si="16">SUBTOTAL(9,C24:C25)</f>
        <v>8940974.7758333348</v>
      </c>
      <c r="D23" s="31">
        <f t="shared" si="16"/>
        <v>8596578.7441666666</v>
      </c>
      <c r="E23" s="31">
        <f t="shared" si="16"/>
        <v>8596236.336666666</v>
      </c>
      <c r="F23" s="31">
        <f t="shared" si="16"/>
        <v>10344749.762499999</v>
      </c>
      <c r="G23" s="31">
        <f t="shared" si="16"/>
        <v>10421070.575833334</v>
      </c>
      <c r="H23" s="31">
        <f t="shared" si="16"/>
        <v>7792255.7875000006</v>
      </c>
      <c r="I23" s="31">
        <f t="shared" si="16"/>
        <v>4854204.3825000003</v>
      </c>
      <c r="J23" s="31">
        <f t="shared" si="16"/>
        <v>4006902.1533333333</v>
      </c>
      <c r="K23" s="31">
        <f t="shared" si="16"/>
        <v>6167949.5099999998</v>
      </c>
      <c r="L23" s="31">
        <f t="shared" si="16"/>
        <v>7634422.7400000002</v>
      </c>
      <c r="M23" s="31">
        <f t="shared" si="16"/>
        <v>10743802.93</v>
      </c>
      <c r="N23" s="31">
        <f t="shared" si="16"/>
        <v>14030234.42</v>
      </c>
      <c r="O23" s="31">
        <f t="shared" si="13"/>
        <v>102129382.11833335</v>
      </c>
      <c r="Q23" s="31">
        <f t="shared" ref="Q23:S23" si="17">SUBTOTAL(9,Q24:Q25)</f>
        <v>10508884.93</v>
      </c>
      <c r="R23" s="31">
        <f t="shared" si="17"/>
        <v>9367908.5700000003</v>
      </c>
      <c r="S23" s="31">
        <f t="shared" si="17"/>
        <v>9976107.9199999999</v>
      </c>
      <c r="U23" s="31">
        <f t="shared" ref="U23:AF23" si="18">SUBTOTAL(9,U24:U25)</f>
        <v>8940974.7758333348</v>
      </c>
      <c r="V23" s="31">
        <f t="shared" si="18"/>
        <v>17537553.520000003</v>
      </c>
      <c r="W23" s="31">
        <f t="shared" si="18"/>
        <v>26133789.856666669</v>
      </c>
      <c r="X23" s="31">
        <f t="shared" si="18"/>
        <v>36478539.619166672</v>
      </c>
      <c r="Y23" s="31">
        <f t="shared" si="18"/>
        <v>46899610.195</v>
      </c>
      <c r="Z23" s="31">
        <f t="shared" si="18"/>
        <v>54691865.982500002</v>
      </c>
      <c r="AA23" s="31">
        <f t="shared" si="18"/>
        <v>59546070.365000002</v>
      </c>
      <c r="AB23" s="31">
        <f t="shared" si="18"/>
        <v>63552972.518333338</v>
      </c>
      <c r="AC23" s="31">
        <f t="shared" si="18"/>
        <v>69720922.028333336</v>
      </c>
      <c r="AD23" s="31">
        <f t="shared" si="18"/>
        <v>77355344.768333346</v>
      </c>
      <c r="AE23" s="31">
        <f t="shared" si="18"/>
        <v>88099147.698333338</v>
      </c>
      <c r="AF23" s="31">
        <f t="shared" si="18"/>
        <v>102129382.11833334</v>
      </c>
      <c r="AG23" s="13" t="str">
        <f t="shared" si="15"/>
        <v>Ok!</v>
      </c>
    </row>
    <row r="24" spans="1:33" ht="15" customHeight="1">
      <c r="A24" s="36" t="s">
        <v>187</v>
      </c>
      <c r="B24" s="36"/>
      <c r="C24" s="188">
        <v>4660288.0500000007</v>
      </c>
      <c r="D24" s="188">
        <v>4486002.4399999995</v>
      </c>
      <c r="E24" s="188">
        <v>4552993.4899999993</v>
      </c>
      <c r="F24" s="188">
        <v>5638604.9299999997</v>
      </c>
      <c r="G24" s="188">
        <v>5975786.6299999999</v>
      </c>
      <c r="H24" s="188">
        <v>3953961.18</v>
      </c>
      <c r="I24" s="188">
        <v>2198838.87</v>
      </c>
      <c r="J24" s="188">
        <v>1628547.2599999998</v>
      </c>
      <c r="K24" s="188">
        <v>2795052.51</v>
      </c>
      <c r="L24" s="188">
        <v>4246122.74</v>
      </c>
      <c r="M24" s="188">
        <v>6007711.5200000005</v>
      </c>
      <c r="N24" s="188">
        <v>7853506.9100000001</v>
      </c>
      <c r="O24" s="31">
        <f t="shared" si="13"/>
        <v>53997416.530000001</v>
      </c>
      <c r="Q24" s="31">
        <f>'TY Actual-Forecast'!C24</f>
        <v>5610286.21</v>
      </c>
      <c r="R24" s="31">
        <f>'TY Actual-Forecast'!D24</f>
        <v>4885263.47</v>
      </c>
      <c r="S24" s="31">
        <f>'TY Actual-Forecast'!E24</f>
        <v>5320831.7699999996</v>
      </c>
      <c r="U24" s="31">
        <f>C24</f>
        <v>4660288.0500000007</v>
      </c>
      <c r="V24" s="31">
        <f t="shared" ref="V24:AF25" si="19">U24+D24</f>
        <v>9146290.4900000002</v>
      </c>
      <c r="W24" s="31">
        <f t="shared" si="19"/>
        <v>13699283.98</v>
      </c>
      <c r="X24" s="31">
        <f t="shared" si="19"/>
        <v>19337888.91</v>
      </c>
      <c r="Y24" s="31">
        <f t="shared" si="19"/>
        <v>25313675.539999999</v>
      </c>
      <c r="Z24" s="31">
        <f t="shared" si="19"/>
        <v>29267636.719999999</v>
      </c>
      <c r="AA24" s="31">
        <f t="shared" si="19"/>
        <v>31466475.59</v>
      </c>
      <c r="AB24" s="31">
        <f t="shared" si="19"/>
        <v>33095022.850000001</v>
      </c>
      <c r="AC24" s="31">
        <f t="shared" si="19"/>
        <v>35890075.359999999</v>
      </c>
      <c r="AD24" s="31">
        <f t="shared" si="19"/>
        <v>40136198.100000001</v>
      </c>
      <c r="AE24" s="31">
        <f t="shared" si="19"/>
        <v>46143909.620000005</v>
      </c>
      <c r="AF24" s="31">
        <f t="shared" si="19"/>
        <v>53997416.530000001</v>
      </c>
      <c r="AG24" s="13" t="str">
        <f t="shared" si="15"/>
        <v>Ok!</v>
      </c>
    </row>
    <row r="25" spans="1:33" s="24" customFormat="1" ht="15" customHeight="1">
      <c r="A25" s="36" t="s">
        <v>287</v>
      </c>
      <c r="B25" s="36"/>
      <c r="C25" s="188">
        <v>4280686.725833334</v>
      </c>
      <c r="D25" s="188">
        <v>4110576.3041666667</v>
      </c>
      <c r="E25" s="188">
        <v>4043242.8466666667</v>
      </c>
      <c r="F25" s="188">
        <v>4706144.8324999996</v>
      </c>
      <c r="G25" s="188">
        <v>4445283.9458333338</v>
      </c>
      <c r="H25" s="188">
        <v>3838294.6075000004</v>
      </c>
      <c r="I25" s="188">
        <v>2655365.5125000002</v>
      </c>
      <c r="J25" s="188">
        <v>2378354.8933333335</v>
      </c>
      <c r="K25" s="188">
        <f>3372897</f>
        <v>3372897</v>
      </c>
      <c r="L25" s="188">
        <f>3412881-24581</f>
        <v>3388300</v>
      </c>
      <c r="M25" s="188">
        <v>4736091.41</v>
      </c>
      <c r="N25" s="188">
        <f>2743819.76+3432907.75</f>
        <v>6176727.5099999998</v>
      </c>
      <c r="O25" s="31">
        <f t="shared" si="13"/>
        <v>48131965.588333331</v>
      </c>
      <c r="Q25" s="31">
        <f>'TY Actual-Forecast'!C25</f>
        <v>4898598.72</v>
      </c>
      <c r="R25" s="31">
        <f>'TY Actual-Forecast'!D25</f>
        <v>4482645.0999999996</v>
      </c>
      <c r="S25" s="31">
        <f>'TY Actual-Forecast'!E25</f>
        <v>4655276.1500000004</v>
      </c>
      <c r="U25" s="31">
        <f>C25</f>
        <v>4280686.725833334</v>
      </c>
      <c r="V25" s="31">
        <f t="shared" si="19"/>
        <v>8391263.0300000012</v>
      </c>
      <c r="W25" s="31">
        <f t="shared" si="19"/>
        <v>12434505.876666669</v>
      </c>
      <c r="X25" s="31">
        <f t="shared" si="19"/>
        <v>17140650.709166668</v>
      </c>
      <c r="Y25" s="31">
        <f t="shared" si="19"/>
        <v>21585934.655000001</v>
      </c>
      <c r="Z25" s="31">
        <f t="shared" si="19"/>
        <v>25424229.262500003</v>
      </c>
      <c r="AA25" s="31">
        <f t="shared" si="19"/>
        <v>28079594.775000002</v>
      </c>
      <c r="AB25" s="31">
        <f t="shared" si="19"/>
        <v>30457949.668333337</v>
      </c>
      <c r="AC25" s="31">
        <f t="shared" si="19"/>
        <v>33830846.668333337</v>
      </c>
      <c r="AD25" s="31">
        <f t="shared" si="19"/>
        <v>37219146.668333337</v>
      </c>
      <c r="AE25" s="31">
        <f t="shared" si="19"/>
        <v>41955238.078333333</v>
      </c>
      <c r="AF25" s="31">
        <f t="shared" si="19"/>
        <v>48131965.588333331</v>
      </c>
      <c r="AG25" s="13" t="str">
        <f t="shared" si="15"/>
        <v>Ok!</v>
      </c>
    </row>
    <row r="26" spans="1:33" ht="15" customHeight="1">
      <c r="A26" s="29" t="s">
        <v>157</v>
      </c>
      <c r="B26" s="1"/>
      <c r="C26" s="31">
        <f t="shared" ref="C26:N26" si="20">SUBTOTAL(9,C27:C28)</f>
        <v>129424.77</v>
      </c>
      <c r="D26" s="31">
        <f t="shared" si="20"/>
        <v>118349.32999999999</v>
      </c>
      <c r="E26" s="31">
        <f t="shared" si="20"/>
        <v>112102.21351008823</v>
      </c>
      <c r="F26" s="31">
        <f t="shared" si="20"/>
        <v>115528.69480697598</v>
      </c>
      <c r="G26" s="31">
        <f t="shared" si="20"/>
        <v>115391.01</v>
      </c>
      <c r="H26" s="31">
        <f t="shared" si="20"/>
        <v>108647.34</v>
      </c>
      <c r="I26" s="31">
        <f t="shared" si="20"/>
        <v>76734.76999999999</v>
      </c>
      <c r="J26" s="31">
        <f t="shared" si="20"/>
        <v>75725.241666666669</v>
      </c>
      <c r="K26" s="31">
        <f t="shared" si="20"/>
        <v>109923.46999999999</v>
      </c>
      <c r="L26" s="31">
        <f t="shared" si="20"/>
        <v>111736.97</v>
      </c>
      <c r="M26" s="31">
        <f t="shared" si="20"/>
        <v>110178.22499999999</v>
      </c>
      <c r="N26" s="31">
        <f t="shared" si="20"/>
        <v>111392.01000000001</v>
      </c>
      <c r="O26" s="31">
        <f t="shared" si="13"/>
        <v>1295134.0449837309</v>
      </c>
      <c r="Q26" s="31">
        <f t="shared" ref="Q26:S26" si="21">SUBTOTAL(9,Q27:Q28)</f>
        <v>192588.29</v>
      </c>
      <c r="R26" s="31">
        <f t="shared" si="21"/>
        <v>188105.13</v>
      </c>
      <c r="S26" s="31">
        <f t="shared" si="21"/>
        <v>187715.02</v>
      </c>
      <c r="U26" s="31">
        <f t="shared" ref="U26:AF26" si="22">SUBTOTAL(9,U27:U28)</f>
        <v>129424.77</v>
      </c>
      <c r="V26" s="31">
        <f t="shared" si="22"/>
        <v>247774.09999999998</v>
      </c>
      <c r="W26" s="31">
        <f t="shared" si="22"/>
        <v>359876.31351008825</v>
      </c>
      <c r="X26" s="31">
        <f t="shared" si="22"/>
        <v>475405.00831706426</v>
      </c>
      <c r="Y26" s="31">
        <f t="shared" si="22"/>
        <v>590796.01831706427</v>
      </c>
      <c r="Z26" s="31">
        <f t="shared" si="22"/>
        <v>699443.35831706424</v>
      </c>
      <c r="AA26" s="31">
        <f t="shared" si="22"/>
        <v>776178.12831706426</v>
      </c>
      <c r="AB26" s="31">
        <f t="shared" si="22"/>
        <v>851903.36998373095</v>
      </c>
      <c r="AC26" s="31">
        <f t="shared" si="22"/>
        <v>961826.83998373093</v>
      </c>
      <c r="AD26" s="31">
        <f t="shared" si="22"/>
        <v>1073563.8099837308</v>
      </c>
      <c r="AE26" s="31">
        <f t="shared" si="22"/>
        <v>1183742.0349837309</v>
      </c>
      <c r="AF26" s="31">
        <f t="shared" si="22"/>
        <v>1295134.0449837309</v>
      </c>
      <c r="AG26" s="13" t="str">
        <f t="shared" si="15"/>
        <v>Ok!</v>
      </c>
    </row>
    <row r="27" spans="1:33" ht="15" customHeight="1">
      <c r="A27" s="36" t="s">
        <v>188</v>
      </c>
      <c r="B27" s="35"/>
      <c r="C27" s="188">
        <v>13008</v>
      </c>
      <c r="D27" s="188">
        <v>9951</v>
      </c>
      <c r="E27" s="188">
        <v>13609.803510088228</v>
      </c>
      <c r="F27" s="188">
        <v>13688.544806975977</v>
      </c>
      <c r="G27" s="188">
        <v>13688</v>
      </c>
      <c r="H27" s="188">
        <v>9688</v>
      </c>
      <c r="I27" s="188">
        <v>4840</v>
      </c>
      <c r="J27" s="188">
        <v>4840</v>
      </c>
      <c r="K27" s="188">
        <v>9688</v>
      </c>
      <c r="L27" s="188">
        <v>9688</v>
      </c>
      <c r="M27" s="188">
        <v>9688</v>
      </c>
      <c r="N27" s="188">
        <v>9688</v>
      </c>
      <c r="O27" s="31">
        <f t="shared" si="13"/>
        <v>122065.3483170642</v>
      </c>
      <c r="Q27" s="31">
        <f>'TY Actual-Forecast'!C27</f>
        <v>13008</v>
      </c>
      <c r="R27" s="31">
        <f>'TY Actual-Forecast'!D27</f>
        <v>13008</v>
      </c>
      <c r="S27" s="31">
        <f>'TY Actual-Forecast'!E27</f>
        <v>13008</v>
      </c>
      <c r="U27" s="31">
        <f>C27</f>
        <v>13008</v>
      </c>
      <c r="V27" s="31">
        <f t="shared" ref="V27:AF28" si="23">U27+D27</f>
        <v>22959</v>
      </c>
      <c r="W27" s="31">
        <f t="shared" si="23"/>
        <v>36568.803510088226</v>
      </c>
      <c r="X27" s="31">
        <f t="shared" si="23"/>
        <v>50257.348317064199</v>
      </c>
      <c r="Y27" s="31">
        <f t="shared" si="23"/>
        <v>63945.348317064199</v>
      </c>
      <c r="Z27" s="31">
        <f t="shared" si="23"/>
        <v>73633.348317064199</v>
      </c>
      <c r="AA27" s="31">
        <f t="shared" si="23"/>
        <v>78473.348317064199</v>
      </c>
      <c r="AB27" s="31">
        <f t="shared" si="23"/>
        <v>83313.348317064199</v>
      </c>
      <c r="AC27" s="31">
        <f t="shared" si="23"/>
        <v>93001.348317064199</v>
      </c>
      <c r="AD27" s="31">
        <f t="shared" si="23"/>
        <v>102689.3483170642</v>
      </c>
      <c r="AE27" s="31">
        <f t="shared" si="23"/>
        <v>112377.3483170642</v>
      </c>
      <c r="AF27" s="31">
        <f t="shared" si="23"/>
        <v>122065.3483170642</v>
      </c>
      <c r="AG27" s="13" t="str">
        <f t="shared" si="15"/>
        <v>Ok!</v>
      </c>
    </row>
    <row r="28" spans="1:33" ht="15" customHeight="1">
      <c r="A28" s="36" t="s">
        <v>288</v>
      </c>
      <c r="B28" s="36"/>
      <c r="C28" s="188">
        <v>116416.77</v>
      </c>
      <c r="D28" s="188">
        <v>108398.32999999999</v>
      </c>
      <c r="E28" s="188">
        <v>98492.41</v>
      </c>
      <c r="F28" s="188">
        <v>101840.15000000001</v>
      </c>
      <c r="G28" s="188">
        <v>101703.01</v>
      </c>
      <c r="H28" s="188">
        <v>98959.34</v>
      </c>
      <c r="I28" s="188">
        <v>71894.76999999999</v>
      </c>
      <c r="J28" s="188">
        <v>70885.241666666669</v>
      </c>
      <c r="K28" s="188">
        <v>100235.46999999999</v>
      </c>
      <c r="L28" s="188">
        <v>102048.97</v>
      </c>
      <c r="M28" s="188">
        <v>100490.22499999999</v>
      </c>
      <c r="N28" s="188">
        <f>95430.71+6273.3</f>
        <v>101704.01000000001</v>
      </c>
      <c r="O28" s="31">
        <f t="shared" si="13"/>
        <v>1173068.6966666668</v>
      </c>
      <c r="Q28" s="31">
        <f>'TY Actual-Forecast'!C28</f>
        <v>179580.29</v>
      </c>
      <c r="R28" s="31">
        <f>'TY Actual-Forecast'!D28</f>
        <v>175097.13</v>
      </c>
      <c r="S28" s="31">
        <f>'TY Actual-Forecast'!E28</f>
        <v>174707.02</v>
      </c>
      <c r="U28" s="31">
        <f>C28</f>
        <v>116416.77</v>
      </c>
      <c r="V28" s="31">
        <f t="shared" si="23"/>
        <v>224815.09999999998</v>
      </c>
      <c r="W28" s="31">
        <f t="shared" si="23"/>
        <v>323307.51</v>
      </c>
      <c r="X28" s="31">
        <f t="shared" si="23"/>
        <v>425147.66000000003</v>
      </c>
      <c r="Y28" s="31">
        <f t="shared" si="23"/>
        <v>526850.67000000004</v>
      </c>
      <c r="Z28" s="31">
        <f t="shared" si="23"/>
        <v>625810.01</v>
      </c>
      <c r="AA28" s="31">
        <f t="shared" si="23"/>
        <v>697704.78</v>
      </c>
      <c r="AB28" s="31">
        <f t="shared" si="23"/>
        <v>768590.02166666673</v>
      </c>
      <c r="AC28" s="31">
        <f t="shared" si="23"/>
        <v>868825.4916666667</v>
      </c>
      <c r="AD28" s="31">
        <f t="shared" si="23"/>
        <v>970874.46166666667</v>
      </c>
      <c r="AE28" s="31">
        <f t="shared" si="23"/>
        <v>1071364.6866666668</v>
      </c>
      <c r="AF28" s="31">
        <f t="shared" si="23"/>
        <v>1173068.6966666668</v>
      </c>
      <c r="AG28" s="13" t="str">
        <f t="shared" si="15"/>
        <v>Ok!</v>
      </c>
    </row>
    <row r="29" spans="1:33" s="24" customFormat="1" ht="15.75" customHeight="1">
      <c r="A29" s="39" t="s">
        <v>21</v>
      </c>
      <c r="B29" s="36"/>
      <c r="C29" s="22">
        <f t="shared" ref="C29:N29" si="24">SUBTOTAL(9,C22:C28)</f>
        <v>12241667.706666667</v>
      </c>
      <c r="D29" s="22">
        <f t="shared" si="24"/>
        <v>11753181.634166667</v>
      </c>
      <c r="E29" s="22">
        <f t="shared" si="24"/>
        <v>11417518.679343421</v>
      </c>
      <c r="F29" s="22">
        <f t="shared" si="24"/>
        <v>13556574.491473643</v>
      </c>
      <c r="G29" s="22">
        <f t="shared" si="24"/>
        <v>14095937.225</v>
      </c>
      <c r="H29" s="22">
        <f t="shared" si="24"/>
        <v>10828062.77</v>
      </c>
      <c r="I29" s="22">
        <f t="shared" si="24"/>
        <v>6880715.1050000004</v>
      </c>
      <c r="J29" s="22">
        <f t="shared" si="24"/>
        <v>5844207.8149999995</v>
      </c>
      <c r="K29" s="22">
        <f t="shared" si="24"/>
        <v>9054811.0675000008</v>
      </c>
      <c r="L29" s="22">
        <f t="shared" si="24"/>
        <v>11121133.040000001</v>
      </c>
      <c r="M29" s="22">
        <f t="shared" si="24"/>
        <v>14742492.755833333</v>
      </c>
      <c r="N29" s="22">
        <f t="shared" si="24"/>
        <v>18328006.620000001</v>
      </c>
      <c r="O29" s="22">
        <f t="shared" si="13"/>
        <v>139864308.90998372</v>
      </c>
      <c r="Q29" s="22">
        <f t="shared" ref="Q29:S29" si="25">SUBTOTAL(9,Q22:Q28)</f>
        <v>14458907.099999998</v>
      </c>
      <c r="R29" s="22">
        <f t="shared" si="25"/>
        <v>12795687.57</v>
      </c>
      <c r="S29" s="22">
        <f t="shared" si="25"/>
        <v>13377171.699999999</v>
      </c>
      <c r="U29" s="22">
        <f t="shared" ref="U29:AF29" si="26">SUBTOTAL(9,U22:U28)</f>
        <v>12241667.706666667</v>
      </c>
      <c r="V29" s="22">
        <f t="shared" si="26"/>
        <v>23994849.340833336</v>
      </c>
      <c r="W29" s="22">
        <f t="shared" si="26"/>
        <v>35412368.020176746</v>
      </c>
      <c r="X29" s="22">
        <f t="shared" si="26"/>
        <v>48968942.511650391</v>
      </c>
      <c r="Y29" s="22">
        <f t="shared" si="26"/>
        <v>63064879.7366504</v>
      </c>
      <c r="Z29" s="22">
        <f t="shared" si="26"/>
        <v>73892942.506650403</v>
      </c>
      <c r="AA29" s="22">
        <f t="shared" si="26"/>
        <v>80773657.611650392</v>
      </c>
      <c r="AB29" s="22">
        <f t="shared" si="26"/>
        <v>86617865.42665039</v>
      </c>
      <c r="AC29" s="22">
        <f t="shared" si="26"/>
        <v>95672676.494150385</v>
      </c>
      <c r="AD29" s="22">
        <f t="shared" si="26"/>
        <v>106793809.53415041</v>
      </c>
      <c r="AE29" s="22">
        <f t="shared" si="26"/>
        <v>121536302.28998373</v>
      </c>
      <c r="AF29" s="22">
        <f t="shared" si="26"/>
        <v>139864308.90998372</v>
      </c>
      <c r="AG29" s="13" t="str">
        <f t="shared" si="15"/>
        <v>Ok!</v>
      </c>
    </row>
    <row r="30" spans="1:33" ht="15" customHeight="1">
      <c r="A30" s="18"/>
      <c r="B30" s="18"/>
      <c r="C30" s="40"/>
      <c r="D30" s="40"/>
      <c r="E30" s="40"/>
      <c r="F30" s="40"/>
      <c r="G30" s="40"/>
      <c r="H30" s="40"/>
      <c r="I30" s="40"/>
      <c r="J30" s="40"/>
      <c r="K30" s="40"/>
      <c r="L30" s="40"/>
      <c r="M30" s="40"/>
      <c r="N30" s="40"/>
      <c r="O30" s="40"/>
      <c r="Q30" s="40"/>
      <c r="R30" s="40"/>
      <c r="S30" s="40"/>
      <c r="U30" s="40"/>
      <c r="V30" s="40"/>
      <c r="W30" s="40"/>
      <c r="X30" s="40"/>
      <c r="Y30" s="40"/>
      <c r="Z30" s="40"/>
      <c r="AA30" s="40"/>
      <c r="AB30" s="40"/>
      <c r="AC30" s="40"/>
      <c r="AD30" s="40"/>
      <c r="AE30" s="40"/>
      <c r="AF30" s="40"/>
    </row>
    <row r="31" spans="1:33" ht="15" customHeight="1">
      <c r="A31" s="18" t="s">
        <v>158</v>
      </c>
      <c r="B31" s="35"/>
      <c r="C31" s="26"/>
      <c r="D31" s="26"/>
      <c r="E31" s="26"/>
      <c r="F31" s="26"/>
      <c r="G31" s="26"/>
      <c r="H31" s="26"/>
      <c r="I31" s="26"/>
      <c r="J31" s="26"/>
      <c r="K31" s="26"/>
      <c r="L31" s="26"/>
      <c r="M31" s="26"/>
      <c r="N31" s="26"/>
      <c r="O31" s="26"/>
      <c r="Q31" s="26"/>
      <c r="R31" s="26"/>
      <c r="S31" s="26"/>
      <c r="U31" s="26"/>
      <c r="V31" s="26"/>
      <c r="W31" s="26"/>
      <c r="X31" s="26"/>
      <c r="Y31" s="26"/>
      <c r="Z31" s="26"/>
      <c r="AA31" s="26"/>
      <c r="AB31" s="26"/>
      <c r="AC31" s="26"/>
      <c r="AD31" s="26"/>
      <c r="AE31" s="26"/>
      <c r="AF31" s="26"/>
    </row>
    <row r="32" spans="1:33" ht="15" customHeight="1">
      <c r="A32" s="39" t="s">
        <v>150</v>
      </c>
      <c r="B32" s="36"/>
      <c r="C32" s="188">
        <f>3517026.89-C33</f>
        <v>3370341.4000000004</v>
      </c>
      <c r="D32" s="188">
        <f>3143528.24-D33</f>
        <v>2995374.0300000003</v>
      </c>
      <c r="E32" s="188">
        <f>3355350.26-E33</f>
        <v>3179874.26</v>
      </c>
      <c r="F32" s="188">
        <f>3043491.28-F33</f>
        <v>2897484.28</v>
      </c>
      <c r="G32" s="188">
        <f>3154935.5-G33</f>
        <v>3006935.36</v>
      </c>
      <c r="H32" s="188">
        <f>3476405.74-H33</f>
        <v>3309846.4400000004</v>
      </c>
      <c r="I32" s="188">
        <f>2534448.66-I33</f>
        <v>2466993.3000000003</v>
      </c>
      <c r="J32" s="188">
        <f>1482669.62-J33</f>
        <v>1282509.4600000002</v>
      </c>
      <c r="K32" s="188">
        <f>3807486.77-K33</f>
        <v>3595237.32</v>
      </c>
      <c r="L32" s="188">
        <f>3941108.04-L33</f>
        <v>3733515.7600000002</v>
      </c>
      <c r="M32" s="188">
        <f>3991493.53-M33</f>
        <v>3793213.75</v>
      </c>
      <c r="N32" s="188">
        <f>3239282.31+2113959.88-N33</f>
        <v>5109676.6899999995</v>
      </c>
      <c r="O32" s="31">
        <f t="shared" ref="O32:O37" si="27">SUM(C32:N32)</f>
        <v>38741002.049999997</v>
      </c>
      <c r="Q32" s="31">
        <f>'TY Actual-Forecast'!C32</f>
        <v>4084772.99</v>
      </c>
      <c r="R32" s="31">
        <f>'TY Actual-Forecast'!D32</f>
        <v>3654778.24</v>
      </c>
      <c r="S32" s="31">
        <f>'TY Actual-Forecast'!E32</f>
        <v>3897705.84</v>
      </c>
      <c r="U32" s="31">
        <f>C32</f>
        <v>3370341.4000000004</v>
      </c>
      <c r="V32" s="31">
        <f t="shared" ref="V32:AF36" si="28">U32+D32</f>
        <v>6365715.4300000006</v>
      </c>
      <c r="W32" s="31">
        <f t="shared" si="28"/>
        <v>9545589.6900000013</v>
      </c>
      <c r="X32" s="31">
        <f t="shared" si="28"/>
        <v>12443073.970000001</v>
      </c>
      <c r="Y32" s="31">
        <f t="shared" si="28"/>
        <v>15450009.33</v>
      </c>
      <c r="Z32" s="31">
        <f t="shared" si="28"/>
        <v>18759855.77</v>
      </c>
      <c r="AA32" s="31">
        <f t="shared" si="28"/>
        <v>21226849.07</v>
      </c>
      <c r="AB32" s="31">
        <f t="shared" si="28"/>
        <v>22509358.530000001</v>
      </c>
      <c r="AC32" s="31">
        <f t="shared" si="28"/>
        <v>26104595.850000001</v>
      </c>
      <c r="AD32" s="31">
        <f t="shared" si="28"/>
        <v>29838111.610000003</v>
      </c>
      <c r="AE32" s="31">
        <f t="shared" si="28"/>
        <v>33631325.359999999</v>
      </c>
      <c r="AF32" s="31">
        <f t="shared" si="28"/>
        <v>38741002.049999997</v>
      </c>
      <c r="AG32" s="13" t="str">
        <f t="shared" ref="AG32:AG37" si="29">IF(O32=AF32, "Ok!", "Error!")</f>
        <v>Ok!</v>
      </c>
    </row>
    <row r="33" spans="1:33" ht="15" customHeight="1">
      <c r="A33" s="39" t="s">
        <v>202</v>
      </c>
      <c r="B33" s="36"/>
      <c r="C33" s="261">
        <v>146685.49</v>
      </c>
      <c r="D33" s="261">
        <v>148154.21</v>
      </c>
      <c r="E33" s="261">
        <v>175476</v>
      </c>
      <c r="F33" s="261">
        <v>146007</v>
      </c>
      <c r="G33" s="261">
        <v>148000.14000000001</v>
      </c>
      <c r="H33" s="261">
        <v>166559.29999999999</v>
      </c>
      <c r="I33" s="261">
        <v>67455.360000000001</v>
      </c>
      <c r="J33" s="261">
        <v>200160.16</v>
      </c>
      <c r="K33" s="261">
        <v>212249.45</v>
      </c>
      <c r="L33" s="261">
        <v>207592.28</v>
      </c>
      <c r="M33" s="261">
        <v>198279.78</v>
      </c>
      <c r="N33" s="261">
        <v>243565.5</v>
      </c>
      <c r="O33" s="31">
        <f t="shared" si="27"/>
        <v>2060184.67</v>
      </c>
      <c r="Q33" s="31">
        <f>'TY Actual-Forecast'!C33</f>
        <v>292091.36</v>
      </c>
      <c r="R33" s="31">
        <f>'TY Actual-Forecast'!D33</f>
        <v>307470.95999999996</v>
      </c>
      <c r="S33" s="31">
        <f>'TY Actual-Forecast'!E33</f>
        <v>284367.79000000004</v>
      </c>
      <c r="U33" s="31">
        <f>C33</f>
        <v>146685.49</v>
      </c>
      <c r="V33" s="31">
        <f t="shared" si="28"/>
        <v>294839.69999999995</v>
      </c>
      <c r="W33" s="31">
        <f t="shared" si="28"/>
        <v>470315.69999999995</v>
      </c>
      <c r="X33" s="31">
        <f t="shared" si="28"/>
        <v>616322.69999999995</v>
      </c>
      <c r="Y33" s="31">
        <f t="shared" si="28"/>
        <v>764322.84</v>
      </c>
      <c r="Z33" s="31">
        <f t="shared" si="28"/>
        <v>930882.1399999999</v>
      </c>
      <c r="AA33" s="31">
        <f t="shared" si="28"/>
        <v>998337.49999999988</v>
      </c>
      <c r="AB33" s="31">
        <f t="shared" si="28"/>
        <v>1198497.6599999999</v>
      </c>
      <c r="AC33" s="31">
        <f t="shared" si="28"/>
        <v>1410747.1099999999</v>
      </c>
      <c r="AD33" s="31">
        <f t="shared" si="28"/>
        <v>1618339.39</v>
      </c>
      <c r="AE33" s="31">
        <f t="shared" si="28"/>
        <v>1816619.17</v>
      </c>
      <c r="AF33" s="31">
        <f t="shared" si="28"/>
        <v>2060184.67</v>
      </c>
      <c r="AG33" s="13" t="str">
        <f t="shared" si="29"/>
        <v>Ok!</v>
      </c>
    </row>
    <row r="34" spans="1:33" ht="15" customHeight="1">
      <c r="A34" s="39" t="s">
        <v>22</v>
      </c>
      <c r="B34" s="36"/>
      <c r="C34" s="188">
        <v>1019356.88</v>
      </c>
      <c r="D34" s="188">
        <v>1805505.06</v>
      </c>
      <c r="E34" s="188">
        <v>2290708.1000000006</v>
      </c>
      <c r="F34" s="188">
        <v>1376346.13</v>
      </c>
      <c r="G34" s="188">
        <v>1449727.6500000001</v>
      </c>
      <c r="H34" s="188">
        <v>1432113.9999999998</v>
      </c>
      <c r="I34" s="188">
        <v>1074211.2799999998</v>
      </c>
      <c r="J34" s="188">
        <v>1856023.92</v>
      </c>
      <c r="K34" s="188">
        <v>2042978.38</v>
      </c>
      <c r="L34" s="188">
        <v>2438524.3291666666</v>
      </c>
      <c r="M34" s="188">
        <v>3521845.83</v>
      </c>
      <c r="N34" s="188">
        <f>1576728.24+1226687.84</f>
        <v>2803416.08</v>
      </c>
      <c r="O34" s="31">
        <f t="shared" si="27"/>
        <v>23110757.639166661</v>
      </c>
      <c r="Q34" s="31">
        <f>'TY Actual-Forecast'!C34</f>
        <v>1359579</v>
      </c>
      <c r="R34" s="31">
        <f>'TY Actual-Forecast'!D34</f>
        <v>1376718</v>
      </c>
      <c r="S34" s="31">
        <f>'TY Actual-Forecast'!E34</f>
        <v>1331536</v>
      </c>
      <c r="U34" s="31">
        <f>C34</f>
        <v>1019356.88</v>
      </c>
      <c r="V34" s="31">
        <f t="shared" si="28"/>
        <v>2824861.94</v>
      </c>
      <c r="W34" s="31">
        <f t="shared" si="28"/>
        <v>5115570.040000001</v>
      </c>
      <c r="X34" s="31">
        <f t="shared" si="28"/>
        <v>6491916.1700000009</v>
      </c>
      <c r="Y34" s="31">
        <f t="shared" si="28"/>
        <v>7941643.8200000012</v>
      </c>
      <c r="Z34" s="31">
        <f t="shared" si="28"/>
        <v>9373757.8200000003</v>
      </c>
      <c r="AA34" s="31">
        <f t="shared" si="28"/>
        <v>10447969.1</v>
      </c>
      <c r="AB34" s="31">
        <f t="shared" si="28"/>
        <v>12303993.02</v>
      </c>
      <c r="AC34" s="31">
        <f t="shared" si="28"/>
        <v>14346971.399999999</v>
      </c>
      <c r="AD34" s="31">
        <f t="shared" si="28"/>
        <v>16785495.729166664</v>
      </c>
      <c r="AE34" s="31">
        <f t="shared" si="28"/>
        <v>20307341.559166662</v>
      </c>
      <c r="AF34" s="31">
        <f t="shared" si="28"/>
        <v>23110757.639166661</v>
      </c>
      <c r="AG34" s="13" t="str">
        <f t="shared" si="29"/>
        <v>Ok!</v>
      </c>
    </row>
    <row r="35" spans="1:33" ht="15" customHeight="1">
      <c r="A35" s="39" t="s">
        <v>190</v>
      </c>
      <c r="B35" s="36"/>
      <c r="C35" s="188">
        <v>1475484.6691666665</v>
      </c>
      <c r="D35" s="188">
        <v>1637156.3399999999</v>
      </c>
      <c r="E35" s="188">
        <v>1673857.87</v>
      </c>
      <c r="F35" s="188">
        <v>1284831.5699999994</v>
      </c>
      <c r="G35" s="188">
        <v>1495315.6899999995</v>
      </c>
      <c r="H35" s="188">
        <v>1581482.5000000005</v>
      </c>
      <c r="I35" s="188">
        <v>950205.81999999983</v>
      </c>
      <c r="J35" s="188">
        <v>1270248.42</v>
      </c>
      <c r="K35" s="188">
        <v>1212029.5225000004</v>
      </c>
      <c r="L35" s="188">
        <v>1531175.9349999996</v>
      </c>
      <c r="M35" s="188">
        <v>1771766.4883333333</v>
      </c>
      <c r="N35" s="188">
        <f>467591.47+989659.77+2043</f>
        <v>1459294.24</v>
      </c>
      <c r="O35" s="31">
        <f t="shared" si="27"/>
        <v>17342849.064999998</v>
      </c>
      <c r="Q35" s="31">
        <f>'TY Actual-Forecast'!C35</f>
        <v>1477597.7199999995</v>
      </c>
      <c r="R35" s="31">
        <f>'TY Actual-Forecast'!D35</f>
        <v>1702080.4700000002</v>
      </c>
      <c r="S35" s="31">
        <f>'TY Actual-Forecast'!E35</f>
        <v>1567981.19</v>
      </c>
      <c r="U35" s="31">
        <f>C35</f>
        <v>1475484.6691666665</v>
      </c>
      <c r="V35" s="31">
        <f t="shared" si="28"/>
        <v>3112641.0091666663</v>
      </c>
      <c r="W35" s="31">
        <f t="shared" si="28"/>
        <v>4786498.8791666664</v>
      </c>
      <c r="X35" s="31">
        <f t="shared" si="28"/>
        <v>6071330.4491666658</v>
      </c>
      <c r="Y35" s="31">
        <f t="shared" si="28"/>
        <v>7566646.1391666653</v>
      </c>
      <c r="Z35" s="31">
        <f t="shared" si="28"/>
        <v>9148128.6391666662</v>
      </c>
      <c r="AA35" s="31">
        <f t="shared" si="28"/>
        <v>10098334.459166666</v>
      </c>
      <c r="AB35" s="31">
        <f t="shared" si="28"/>
        <v>11368582.879166666</v>
      </c>
      <c r="AC35" s="31">
        <f t="shared" si="28"/>
        <v>12580612.401666667</v>
      </c>
      <c r="AD35" s="31">
        <f t="shared" si="28"/>
        <v>14111788.336666666</v>
      </c>
      <c r="AE35" s="31">
        <f t="shared" si="28"/>
        <v>15883554.824999999</v>
      </c>
      <c r="AF35" s="31">
        <f t="shared" si="28"/>
        <v>17342849.064999998</v>
      </c>
      <c r="AG35" s="13" t="str">
        <f t="shared" si="29"/>
        <v>Ok!</v>
      </c>
    </row>
    <row r="36" spans="1:33" ht="15.75" customHeight="1">
      <c r="A36" s="39" t="s">
        <v>20</v>
      </c>
      <c r="B36" s="36"/>
      <c r="C36" s="188">
        <v>4056011.3200000003</v>
      </c>
      <c r="D36" s="188">
        <v>3752927.3200000003</v>
      </c>
      <c r="E36" s="188">
        <v>3815919.2699999996</v>
      </c>
      <c r="F36" s="188">
        <v>4971340.79</v>
      </c>
      <c r="G36" s="188">
        <v>5379257.9199999999</v>
      </c>
      <c r="H36" s="188">
        <v>3360634.11</v>
      </c>
      <c r="I36" s="188">
        <v>2339190.6</v>
      </c>
      <c r="J36" s="188">
        <v>1212814.8599999999</v>
      </c>
      <c r="K36" s="188">
        <v>3866994.11</v>
      </c>
      <c r="L36" s="188">
        <v>4390700.71</v>
      </c>
      <c r="M36" s="188">
        <v>4459324.88</v>
      </c>
      <c r="N36" s="188">
        <f>3863139.49-2043</f>
        <v>3861096.49</v>
      </c>
      <c r="O36" s="31">
        <f t="shared" si="27"/>
        <v>45466212.380000003</v>
      </c>
      <c r="Q36" s="31">
        <f>'TY Actual-Forecast'!C36</f>
        <v>3566976</v>
      </c>
      <c r="R36" s="31">
        <f>'TY Actual-Forecast'!D36</f>
        <v>3731551.3</v>
      </c>
      <c r="S36" s="31">
        <f>'TY Actual-Forecast'!E36</f>
        <v>4162258.96</v>
      </c>
      <c r="U36" s="31">
        <f>C36</f>
        <v>4056011.3200000003</v>
      </c>
      <c r="V36" s="31">
        <f t="shared" si="28"/>
        <v>7808938.6400000006</v>
      </c>
      <c r="W36" s="31">
        <f t="shared" si="28"/>
        <v>11624857.91</v>
      </c>
      <c r="X36" s="31">
        <f t="shared" si="28"/>
        <v>16596198.699999999</v>
      </c>
      <c r="Y36" s="31">
        <f t="shared" si="28"/>
        <v>21975456.619999997</v>
      </c>
      <c r="Z36" s="31">
        <f t="shared" si="28"/>
        <v>25336090.729999997</v>
      </c>
      <c r="AA36" s="31">
        <f t="shared" si="28"/>
        <v>27675281.329999998</v>
      </c>
      <c r="AB36" s="31">
        <f t="shared" si="28"/>
        <v>28888096.189999998</v>
      </c>
      <c r="AC36" s="31">
        <f t="shared" si="28"/>
        <v>32755090.299999997</v>
      </c>
      <c r="AD36" s="31">
        <f t="shared" si="28"/>
        <v>37145791.009999998</v>
      </c>
      <c r="AE36" s="31">
        <f t="shared" si="28"/>
        <v>41605115.890000001</v>
      </c>
      <c r="AF36" s="31">
        <f t="shared" si="28"/>
        <v>45466212.380000003</v>
      </c>
      <c r="AG36" s="13" t="str">
        <f t="shared" si="29"/>
        <v>Ok!</v>
      </c>
    </row>
    <row r="37" spans="1:33" s="24" customFormat="1" ht="15.75" customHeight="1">
      <c r="A37" s="39" t="s">
        <v>23</v>
      </c>
      <c r="B37" s="36"/>
      <c r="C37" s="22">
        <f t="shared" ref="C37:N37" si="30">SUBTOTAL(9,C32:C36)</f>
        <v>10067879.759166667</v>
      </c>
      <c r="D37" s="22">
        <f t="shared" si="30"/>
        <v>10339116.960000001</v>
      </c>
      <c r="E37" s="22">
        <f t="shared" si="30"/>
        <v>11135835.5</v>
      </c>
      <c r="F37" s="22">
        <f t="shared" si="30"/>
        <v>10676009.77</v>
      </c>
      <c r="G37" s="22">
        <f t="shared" si="30"/>
        <v>11479236.76</v>
      </c>
      <c r="H37" s="22">
        <f t="shared" si="30"/>
        <v>9850636.3499999996</v>
      </c>
      <c r="I37" s="22">
        <f t="shared" si="30"/>
        <v>6898056.3599999994</v>
      </c>
      <c r="J37" s="22">
        <f t="shared" si="30"/>
        <v>5821756.8200000003</v>
      </c>
      <c r="K37" s="22">
        <f t="shared" si="30"/>
        <v>10929488.782500001</v>
      </c>
      <c r="L37" s="22">
        <f t="shared" si="30"/>
        <v>12301509.014166666</v>
      </c>
      <c r="M37" s="22">
        <f t="shared" si="30"/>
        <v>13744430.728333332</v>
      </c>
      <c r="N37" s="22">
        <f t="shared" si="30"/>
        <v>13477049</v>
      </c>
      <c r="O37" s="22">
        <f t="shared" si="27"/>
        <v>126721005.80416667</v>
      </c>
      <c r="Q37" s="22">
        <f t="shared" ref="Q37:S37" si="31">SUBTOTAL(9,Q32:Q36)</f>
        <v>10781017.07</v>
      </c>
      <c r="R37" s="22">
        <f t="shared" si="31"/>
        <v>10772598.969999999</v>
      </c>
      <c r="S37" s="22">
        <f t="shared" si="31"/>
        <v>11243849.780000001</v>
      </c>
      <c r="U37" s="22">
        <f t="shared" ref="U37:AF37" si="32">SUBTOTAL(9,U32:U36)</f>
        <v>10067879.759166667</v>
      </c>
      <c r="V37" s="22">
        <f t="shared" si="32"/>
        <v>20406996.719166666</v>
      </c>
      <c r="W37" s="22">
        <f t="shared" si="32"/>
        <v>31542832.21916667</v>
      </c>
      <c r="X37" s="22">
        <f t="shared" si="32"/>
        <v>42218841.989166662</v>
      </c>
      <c r="Y37" s="22">
        <f t="shared" si="32"/>
        <v>53698078.749166667</v>
      </c>
      <c r="Z37" s="22">
        <f t="shared" si="32"/>
        <v>63548715.099166662</v>
      </c>
      <c r="AA37" s="22">
        <f t="shared" si="32"/>
        <v>70446771.459166676</v>
      </c>
      <c r="AB37" s="22">
        <f t="shared" si="32"/>
        <v>76268528.279166669</v>
      </c>
      <c r="AC37" s="22">
        <f t="shared" si="32"/>
        <v>87198017.061666667</v>
      </c>
      <c r="AD37" s="22">
        <f t="shared" si="32"/>
        <v>99499526.075833336</v>
      </c>
      <c r="AE37" s="22">
        <f t="shared" si="32"/>
        <v>113243956.80416666</v>
      </c>
      <c r="AF37" s="22">
        <f t="shared" si="32"/>
        <v>126721005.80416664</v>
      </c>
      <c r="AG37" s="13" t="str">
        <f t="shared" si="29"/>
        <v>Ok!</v>
      </c>
    </row>
    <row r="38" spans="1:33" ht="15" customHeight="1">
      <c r="A38" s="18"/>
      <c r="B38" s="18"/>
      <c r="C38" s="26"/>
      <c r="D38" s="26"/>
      <c r="E38" s="26"/>
      <c r="F38" s="26"/>
      <c r="G38" s="26"/>
      <c r="H38" s="26"/>
      <c r="I38" s="26"/>
      <c r="J38" s="26"/>
      <c r="K38" s="26"/>
      <c r="L38" s="26"/>
      <c r="M38" s="26"/>
      <c r="N38" s="26"/>
      <c r="O38" s="26"/>
      <c r="Q38" s="26"/>
      <c r="R38" s="26"/>
      <c r="S38" s="26"/>
      <c r="U38" s="26"/>
      <c r="V38" s="26"/>
      <c r="W38" s="26"/>
      <c r="X38" s="26"/>
      <c r="Y38" s="26"/>
      <c r="Z38" s="26"/>
      <c r="AA38" s="26"/>
      <c r="AB38" s="26"/>
      <c r="AC38" s="26"/>
      <c r="AD38" s="26"/>
      <c r="AE38" s="26"/>
      <c r="AF38" s="26"/>
    </row>
    <row r="39" spans="1:33" s="24" customFormat="1" ht="15" customHeight="1">
      <c r="A39" s="18" t="s">
        <v>15</v>
      </c>
      <c r="B39" s="18"/>
      <c r="C39" s="22">
        <f t="shared" ref="C39:N39" si="33">C29+C37</f>
        <v>22309547.465833336</v>
      </c>
      <c r="D39" s="22">
        <f t="shared" si="33"/>
        <v>22092298.594166666</v>
      </c>
      <c r="E39" s="22">
        <f t="shared" si="33"/>
        <v>22553354.179343421</v>
      </c>
      <c r="F39" s="22">
        <f t="shared" si="33"/>
        <v>24232584.261473641</v>
      </c>
      <c r="G39" s="22">
        <f t="shared" si="33"/>
        <v>25575173.984999999</v>
      </c>
      <c r="H39" s="22">
        <f t="shared" si="33"/>
        <v>20678699.119999997</v>
      </c>
      <c r="I39" s="22">
        <f t="shared" si="33"/>
        <v>13778771.465</v>
      </c>
      <c r="J39" s="22">
        <f t="shared" si="33"/>
        <v>11665964.635</v>
      </c>
      <c r="K39" s="22">
        <f t="shared" si="33"/>
        <v>19984299.850000001</v>
      </c>
      <c r="L39" s="22">
        <f t="shared" si="33"/>
        <v>23422642.054166667</v>
      </c>
      <c r="M39" s="22">
        <f t="shared" si="33"/>
        <v>28486923.484166667</v>
      </c>
      <c r="N39" s="22">
        <f t="shared" si="33"/>
        <v>31805055.620000001</v>
      </c>
      <c r="O39" s="22">
        <f t="shared" ref="O39" si="34">SUM(C39:N39)</f>
        <v>266585314.71415037</v>
      </c>
      <c r="Q39" s="22">
        <f t="shared" ref="Q39:S39" si="35">Q29+Q37</f>
        <v>25239924.169999998</v>
      </c>
      <c r="R39" s="22">
        <f t="shared" si="35"/>
        <v>23568286.539999999</v>
      </c>
      <c r="S39" s="22">
        <f t="shared" si="35"/>
        <v>24621021.48</v>
      </c>
      <c r="U39" s="22">
        <f t="shared" ref="U39:AF39" si="36">U29+U37</f>
        <v>22309547.465833336</v>
      </c>
      <c r="V39" s="22">
        <f t="shared" si="36"/>
        <v>44401846.060000002</v>
      </c>
      <c r="W39" s="22">
        <f t="shared" si="36"/>
        <v>66955200.23934342</v>
      </c>
      <c r="X39" s="22">
        <f t="shared" si="36"/>
        <v>91187784.50081706</v>
      </c>
      <c r="Y39" s="22">
        <f t="shared" si="36"/>
        <v>116762958.48581707</v>
      </c>
      <c r="Z39" s="22">
        <f t="shared" si="36"/>
        <v>137441657.60581708</v>
      </c>
      <c r="AA39" s="22">
        <f t="shared" si="36"/>
        <v>151220429.07081705</v>
      </c>
      <c r="AB39" s="22">
        <f t="shared" si="36"/>
        <v>162886393.70581704</v>
      </c>
      <c r="AC39" s="22">
        <f t="shared" si="36"/>
        <v>182870693.55581707</v>
      </c>
      <c r="AD39" s="22">
        <f t="shared" si="36"/>
        <v>206293335.60998374</v>
      </c>
      <c r="AE39" s="22">
        <f t="shared" si="36"/>
        <v>234780259.09415039</v>
      </c>
      <c r="AF39" s="22">
        <f t="shared" si="36"/>
        <v>266585314.71415037</v>
      </c>
      <c r="AG39" s="13" t="str">
        <f t="shared" ref="AG39:AG40" si="37">IF(O39=AF39, "Ok!", "Error!")</f>
        <v>Ok!</v>
      </c>
    </row>
    <row r="40" spans="1:33" s="44" customFormat="1" ht="15" customHeight="1">
      <c r="A40" s="41" t="s">
        <v>1</v>
      </c>
      <c r="B40" s="42"/>
      <c r="C40" s="32">
        <f t="shared" ref="C40:O40" si="38">IFERROR(C39/C$8,)</f>
        <v>0.5972224208446032</v>
      </c>
      <c r="D40" s="32">
        <f t="shared" si="38"/>
        <v>0.68256645018402762</v>
      </c>
      <c r="E40" s="32">
        <f t="shared" si="38"/>
        <v>0.63321556135219559</v>
      </c>
      <c r="F40" s="32">
        <f t="shared" si="38"/>
        <v>0.58807392519051704</v>
      </c>
      <c r="G40" s="32">
        <f t="shared" si="38"/>
        <v>0.6413240136157301</v>
      </c>
      <c r="H40" s="32">
        <f t="shared" si="38"/>
        <v>0.70522358117936301</v>
      </c>
      <c r="I40" s="32">
        <f t="shared" si="38"/>
        <v>0.94265272944091372</v>
      </c>
      <c r="J40" s="32">
        <f t="shared" si="38"/>
        <v>1.0353200713902226</v>
      </c>
      <c r="K40" s="32">
        <f t="shared" si="38"/>
        <v>0.9832254283304056</v>
      </c>
      <c r="L40" s="32">
        <f t="shared" si="38"/>
        <v>0.68667616525893371</v>
      </c>
      <c r="M40" s="32">
        <f t="shared" si="38"/>
        <v>0.62683843814912343</v>
      </c>
      <c r="N40" s="32">
        <f t="shared" si="38"/>
        <v>0.53369253548202733</v>
      </c>
      <c r="O40" s="32">
        <f t="shared" si="38"/>
        <v>0.66462400353390516</v>
      </c>
      <c r="Q40" s="32">
        <f t="shared" ref="Q40:S40" si="39">IFERROR(Q39/Q$8,)</f>
        <v>0.57684432357425075</v>
      </c>
      <c r="R40" s="32">
        <f t="shared" si="39"/>
        <v>0.63025641333746751</v>
      </c>
      <c r="S40" s="32">
        <f t="shared" si="39"/>
        <v>0.52398785056069463</v>
      </c>
      <c r="U40" s="32">
        <f t="shared" ref="U40:AF40" si="40">IFERROR(U39/U$8,)</f>
        <v>0.5972224208446032</v>
      </c>
      <c r="V40" s="32">
        <f t="shared" si="40"/>
        <v>0.63684101968670026</v>
      </c>
      <c r="W40" s="32">
        <f t="shared" si="40"/>
        <v>0.63561518352363922</v>
      </c>
      <c r="X40" s="32">
        <f t="shared" si="40"/>
        <v>0.62224723417713068</v>
      </c>
      <c r="Y40" s="32">
        <f t="shared" si="40"/>
        <v>0.62632801151151718</v>
      </c>
      <c r="Z40" s="32">
        <f t="shared" si="40"/>
        <v>0.63705072331748136</v>
      </c>
      <c r="AA40" s="32">
        <f t="shared" si="40"/>
        <v>0.65644174508159303</v>
      </c>
      <c r="AB40" s="32">
        <f t="shared" si="40"/>
        <v>0.67410992016401394</v>
      </c>
      <c r="AC40" s="32">
        <f t="shared" si="40"/>
        <v>0.69809419225542013</v>
      </c>
      <c r="AD40" s="32">
        <f t="shared" si="40"/>
        <v>0.69677871104640998</v>
      </c>
      <c r="AE40" s="32">
        <f t="shared" si="40"/>
        <v>0.68747169429484034</v>
      </c>
      <c r="AF40" s="32">
        <f t="shared" si="40"/>
        <v>0.66462400353390494</v>
      </c>
      <c r="AG40" s="13" t="str">
        <f t="shared" si="37"/>
        <v>Ok!</v>
      </c>
    </row>
    <row r="41" spans="1:33" ht="15" customHeight="1">
      <c r="A41" s="18"/>
      <c r="B41" s="18"/>
      <c r="C41" s="26"/>
      <c r="D41" s="26"/>
      <c r="E41" s="26"/>
      <c r="F41" s="26"/>
      <c r="G41" s="26"/>
      <c r="H41" s="26"/>
      <c r="I41" s="26"/>
      <c r="J41" s="26"/>
      <c r="K41" s="26"/>
      <c r="L41" s="26"/>
      <c r="M41" s="26"/>
      <c r="N41" s="26"/>
      <c r="O41" s="26"/>
      <c r="Q41" s="26"/>
      <c r="R41" s="26"/>
      <c r="S41" s="26"/>
      <c r="U41" s="26"/>
      <c r="V41" s="26"/>
      <c r="W41" s="26"/>
      <c r="X41" s="26"/>
      <c r="Y41" s="26"/>
      <c r="Z41" s="26"/>
      <c r="AA41" s="26"/>
      <c r="AB41" s="26"/>
      <c r="AC41" s="26"/>
      <c r="AD41" s="26"/>
      <c r="AE41" s="26"/>
      <c r="AF41" s="26"/>
    </row>
    <row r="42" spans="1:33" s="24" customFormat="1" ht="15">
      <c r="A42" s="18" t="s">
        <v>2</v>
      </c>
      <c r="B42" s="18"/>
      <c r="C42" s="72">
        <f t="shared" ref="C42:N42" si="41">C8-C39</f>
        <v>15045961.448722742</v>
      </c>
      <c r="D42" s="72">
        <f t="shared" si="41"/>
        <v>10274218.377492774</v>
      </c>
      <c r="E42" s="72">
        <f t="shared" si="41"/>
        <v>13063828.271419514</v>
      </c>
      <c r="F42" s="72">
        <f t="shared" si="41"/>
        <v>16974113.099955983</v>
      </c>
      <c r="G42" s="72">
        <f t="shared" si="41"/>
        <v>14303535.43804086</v>
      </c>
      <c r="H42" s="72">
        <f t="shared" si="41"/>
        <v>8643489.8593000025</v>
      </c>
      <c r="I42" s="72">
        <f t="shared" si="41"/>
        <v>838246.05869843997</v>
      </c>
      <c r="J42" s="72">
        <f t="shared" si="41"/>
        <v>-397985.816300001</v>
      </c>
      <c r="K42" s="72">
        <f t="shared" si="41"/>
        <v>340947.31527614594</v>
      </c>
      <c r="L42" s="72">
        <f t="shared" si="41"/>
        <v>10687529.871393606</v>
      </c>
      <c r="M42" s="72">
        <f t="shared" si="41"/>
        <v>16958476.399542592</v>
      </c>
      <c r="N42" s="72">
        <f t="shared" si="41"/>
        <v>27789286.637895551</v>
      </c>
      <c r="O42" s="72">
        <f>SUM(C42:N42)</f>
        <v>134521646.96143821</v>
      </c>
      <c r="Q42" s="72">
        <f t="shared" ref="Q42:S42" si="42">Q8-Q39</f>
        <v>18515250.559999999</v>
      </c>
      <c r="R42" s="72">
        <f t="shared" si="42"/>
        <v>13826472.229999989</v>
      </c>
      <c r="S42" s="72">
        <f t="shared" si="42"/>
        <v>22366750.189999994</v>
      </c>
      <c r="U42" s="72">
        <f t="shared" ref="U42:AF42" si="43">U8-U39</f>
        <v>15045961.448722742</v>
      </c>
      <c r="V42" s="72">
        <f t="shared" si="43"/>
        <v>25320179.826215521</v>
      </c>
      <c r="W42" s="72">
        <f t="shared" si="43"/>
        <v>38384008.097635031</v>
      </c>
      <c r="X42" s="72">
        <f t="shared" si="43"/>
        <v>55358121.197591037</v>
      </c>
      <c r="Y42" s="72">
        <f t="shared" si="43"/>
        <v>69661656.635631919</v>
      </c>
      <c r="Z42" s="72">
        <f t="shared" si="43"/>
        <v>78305146.494931877</v>
      </c>
      <c r="AA42" s="72">
        <f t="shared" si="43"/>
        <v>79143392.553630322</v>
      </c>
      <c r="AB42" s="72">
        <f t="shared" si="43"/>
        <v>78745406.737330347</v>
      </c>
      <c r="AC42" s="72">
        <f t="shared" si="43"/>
        <v>79086354.052606463</v>
      </c>
      <c r="AD42" s="72">
        <f t="shared" si="43"/>
        <v>89773883.924000084</v>
      </c>
      <c r="AE42" s="72">
        <f t="shared" si="43"/>
        <v>106732360.32354262</v>
      </c>
      <c r="AF42" s="72">
        <f t="shared" si="43"/>
        <v>134521646.96143836</v>
      </c>
      <c r="AG42" s="13" t="str">
        <f t="shared" ref="AG42:AG43" si="44">IF(O42=AF42, "Ok!", "Error!")</f>
        <v>Ok!</v>
      </c>
    </row>
    <row r="43" spans="1:33" s="48" customFormat="1" ht="15">
      <c r="A43" s="45" t="s">
        <v>1</v>
      </c>
      <c r="B43" s="46"/>
      <c r="C43" s="32">
        <f t="shared" ref="C43:O43" si="45">IFERROR(C42/C$8,)</f>
        <v>0.4027775791553968</v>
      </c>
      <c r="D43" s="32">
        <f t="shared" si="45"/>
        <v>0.31743354981597244</v>
      </c>
      <c r="E43" s="32">
        <f t="shared" si="45"/>
        <v>0.36678443864780441</v>
      </c>
      <c r="F43" s="32">
        <f t="shared" si="45"/>
        <v>0.41192607480948296</v>
      </c>
      <c r="G43" s="32">
        <f t="shared" si="45"/>
        <v>0.35867598638426995</v>
      </c>
      <c r="H43" s="32">
        <f t="shared" si="45"/>
        <v>0.29477641882063699</v>
      </c>
      <c r="I43" s="32">
        <f t="shared" si="45"/>
        <v>5.734727055908629E-2</v>
      </c>
      <c r="J43" s="32">
        <f t="shared" si="45"/>
        <v>-3.5320071390222682E-2</v>
      </c>
      <c r="K43" s="32">
        <f t="shared" si="45"/>
        <v>1.6774571669594437E-2</v>
      </c>
      <c r="L43" s="32">
        <f t="shared" si="45"/>
        <v>0.31332383474106629</v>
      </c>
      <c r="M43" s="32">
        <f t="shared" si="45"/>
        <v>0.37316156185087657</v>
      </c>
      <c r="N43" s="32">
        <f t="shared" si="45"/>
        <v>0.46630746451797267</v>
      </c>
      <c r="O43" s="32">
        <f t="shared" si="45"/>
        <v>0.33537599646609473</v>
      </c>
      <c r="Q43" s="32">
        <f t="shared" ref="Q43:S43" si="46">IFERROR(Q42/Q$8,)</f>
        <v>0.42315567642574925</v>
      </c>
      <c r="R43" s="32">
        <f t="shared" si="46"/>
        <v>0.36974358666253254</v>
      </c>
      <c r="S43" s="32">
        <f t="shared" si="46"/>
        <v>0.47601214943930531</v>
      </c>
      <c r="U43" s="32">
        <f t="shared" ref="U43:AF43" si="47">IFERROR(U42/U$8,)</f>
        <v>0.4027775791553968</v>
      </c>
      <c r="V43" s="32">
        <f t="shared" si="47"/>
        <v>0.3631589803132998</v>
      </c>
      <c r="W43" s="32">
        <f t="shared" si="47"/>
        <v>0.36438481647636084</v>
      </c>
      <c r="X43" s="32">
        <f t="shared" si="47"/>
        <v>0.37775276582286926</v>
      </c>
      <c r="Y43" s="32">
        <f t="shared" si="47"/>
        <v>0.37367198848848276</v>
      </c>
      <c r="Z43" s="32">
        <f t="shared" si="47"/>
        <v>0.36294927668251864</v>
      </c>
      <c r="AA43" s="32">
        <f t="shared" si="47"/>
        <v>0.34355825491840697</v>
      </c>
      <c r="AB43" s="32">
        <f t="shared" si="47"/>
        <v>0.325890079835986</v>
      </c>
      <c r="AC43" s="32">
        <f t="shared" si="47"/>
        <v>0.30190580774457987</v>
      </c>
      <c r="AD43" s="32">
        <f t="shared" si="47"/>
        <v>0.30322128895359002</v>
      </c>
      <c r="AE43" s="32">
        <f t="shared" si="47"/>
        <v>0.31252830570515971</v>
      </c>
      <c r="AF43" s="32">
        <f t="shared" si="47"/>
        <v>0.33537599646609501</v>
      </c>
      <c r="AG43" s="13" t="str">
        <f t="shared" si="44"/>
        <v>Ok!</v>
      </c>
    </row>
    <row r="44" spans="1:33" ht="15">
      <c r="A44" s="18"/>
      <c r="B44" s="18"/>
      <c r="C44" s="40"/>
      <c r="D44" s="40"/>
      <c r="E44" s="40"/>
      <c r="F44" s="40"/>
      <c r="G44" s="40"/>
      <c r="H44" s="40"/>
      <c r="I44" s="40"/>
      <c r="J44" s="40"/>
      <c r="K44" s="40"/>
      <c r="L44" s="40"/>
      <c r="M44" s="40"/>
      <c r="N44" s="40"/>
      <c r="O44" s="40"/>
      <c r="Q44" s="40"/>
      <c r="R44" s="40"/>
      <c r="S44" s="40"/>
      <c r="U44" s="40"/>
      <c r="V44" s="40"/>
      <c r="W44" s="40"/>
      <c r="X44" s="40"/>
      <c r="Y44" s="40"/>
      <c r="Z44" s="40"/>
      <c r="AA44" s="40"/>
      <c r="AB44" s="40"/>
      <c r="AC44" s="40"/>
      <c r="AD44" s="40"/>
      <c r="AE44" s="40"/>
      <c r="AF44" s="40"/>
    </row>
    <row r="45" spans="1:33" ht="15">
      <c r="A45" s="39" t="s">
        <v>191</v>
      </c>
      <c r="B45" s="36"/>
      <c r="C45" s="188"/>
      <c r="D45" s="188"/>
      <c r="E45" s="188"/>
      <c r="F45" s="188"/>
      <c r="G45" s="188"/>
      <c r="H45" s="188"/>
      <c r="I45" s="188"/>
      <c r="J45" s="188"/>
      <c r="K45" s="188"/>
      <c r="L45" s="188"/>
      <c r="M45" s="188"/>
      <c r="N45" s="188"/>
      <c r="O45" s="31">
        <f t="shared" ref="O45" si="48">SUM(C45:N45)</f>
        <v>0</v>
      </c>
      <c r="Q45" s="31">
        <f>'TY Actual-Forecast'!C45</f>
        <v>0</v>
      </c>
      <c r="R45" s="31">
        <f>'TY Actual-Forecast'!D45</f>
        <v>0</v>
      </c>
      <c r="S45" s="31">
        <f>'TY Actual-Forecast'!E45</f>
        <v>0</v>
      </c>
      <c r="U45" s="31">
        <f>C45</f>
        <v>0</v>
      </c>
      <c r="V45" s="31">
        <f t="shared" ref="V45:AF45" si="49">U45+D45</f>
        <v>0</v>
      </c>
      <c r="W45" s="31">
        <f t="shared" si="49"/>
        <v>0</v>
      </c>
      <c r="X45" s="31">
        <f t="shared" si="49"/>
        <v>0</v>
      </c>
      <c r="Y45" s="31">
        <f t="shared" si="49"/>
        <v>0</v>
      </c>
      <c r="Z45" s="31">
        <f t="shared" si="49"/>
        <v>0</v>
      </c>
      <c r="AA45" s="31">
        <f t="shared" si="49"/>
        <v>0</v>
      </c>
      <c r="AB45" s="31">
        <f t="shared" si="49"/>
        <v>0</v>
      </c>
      <c r="AC45" s="31">
        <f t="shared" si="49"/>
        <v>0</v>
      </c>
      <c r="AD45" s="31">
        <f t="shared" si="49"/>
        <v>0</v>
      </c>
      <c r="AE45" s="31">
        <f t="shared" si="49"/>
        <v>0</v>
      </c>
      <c r="AF45" s="31">
        <f t="shared" si="49"/>
        <v>0</v>
      </c>
      <c r="AG45" s="13" t="str">
        <f>IF(O45=AF45, "Ok!", "Error!")</f>
        <v>Ok!</v>
      </c>
    </row>
    <row r="46" spans="1:33" ht="15">
      <c r="A46" s="18"/>
      <c r="B46" s="18"/>
      <c r="C46" s="40"/>
      <c r="D46" s="40"/>
      <c r="E46" s="40"/>
      <c r="F46" s="40"/>
      <c r="G46" s="40"/>
      <c r="H46" s="40"/>
      <c r="I46" s="40"/>
      <c r="J46" s="40"/>
      <c r="K46" s="40"/>
      <c r="L46" s="40"/>
      <c r="M46" s="40"/>
      <c r="N46" s="40"/>
      <c r="O46" s="40"/>
      <c r="Q46" s="40"/>
      <c r="R46" s="40"/>
      <c r="S46" s="40"/>
      <c r="U46" s="40"/>
      <c r="V46" s="40"/>
      <c r="W46" s="40"/>
      <c r="X46" s="40"/>
      <c r="Y46" s="40"/>
      <c r="Z46" s="40"/>
      <c r="AA46" s="40"/>
      <c r="AB46" s="40"/>
      <c r="AC46" s="40"/>
      <c r="AD46" s="40"/>
      <c r="AE46" s="40"/>
      <c r="AF46" s="40"/>
    </row>
    <row r="47" spans="1:33" s="24" customFormat="1" ht="30">
      <c r="A47" s="49" t="s">
        <v>192</v>
      </c>
      <c r="B47" s="18"/>
      <c r="C47" s="22">
        <f t="shared" ref="C47:N47" si="50">C42-C45</f>
        <v>15045961.448722742</v>
      </c>
      <c r="D47" s="22">
        <f t="shared" si="50"/>
        <v>10274218.377492774</v>
      </c>
      <c r="E47" s="22">
        <f t="shared" si="50"/>
        <v>13063828.271419514</v>
      </c>
      <c r="F47" s="22">
        <f t="shared" si="50"/>
        <v>16974113.099955983</v>
      </c>
      <c r="G47" s="22">
        <f t="shared" si="50"/>
        <v>14303535.43804086</v>
      </c>
      <c r="H47" s="22">
        <f t="shared" si="50"/>
        <v>8643489.8593000025</v>
      </c>
      <c r="I47" s="22">
        <f t="shared" si="50"/>
        <v>838246.05869843997</v>
      </c>
      <c r="J47" s="22">
        <f t="shared" si="50"/>
        <v>-397985.816300001</v>
      </c>
      <c r="K47" s="22">
        <f t="shared" si="50"/>
        <v>340947.31527614594</v>
      </c>
      <c r="L47" s="22">
        <f t="shared" si="50"/>
        <v>10687529.871393606</v>
      </c>
      <c r="M47" s="22">
        <f t="shared" si="50"/>
        <v>16958476.399542592</v>
      </c>
      <c r="N47" s="22">
        <f t="shared" si="50"/>
        <v>27789286.637895551</v>
      </c>
      <c r="O47" s="22">
        <f>SUM(C47:N47)</f>
        <v>134521646.96143821</v>
      </c>
      <c r="Q47" s="22">
        <f t="shared" ref="Q47:S47" si="51">Q42-Q45</f>
        <v>18515250.559999999</v>
      </c>
      <c r="R47" s="22">
        <f t="shared" si="51"/>
        <v>13826472.229999989</v>
      </c>
      <c r="S47" s="22">
        <f t="shared" si="51"/>
        <v>22366750.189999994</v>
      </c>
      <c r="U47" s="22">
        <f t="shared" ref="U47:AF47" si="52">U42-U45</f>
        <v>15045961.448722742</v>
      </c>
      <c r="V47" s="22">
        <f t="shared" si="52"/>
        <v>25320179.826215521</v>
      </c>
      <c r="W47" s="22">
        <f t="shared" si="52"/>
        <v>38384008.097635031</v>
      </c>
      <c r="X47" s="22">
        <f t="shared" si="52"/>
        <v>55358121.197591037</v>
      </c>
      <c r="Y47" s="22">
        <f t="shared" si="52"/>
        <v>69661656.635631919</v>
      </c>
      <c r="Z47" s="22">
        <f t="shared" si="52"/>
        <v>78305146.494931877</v>
      </c>
      <c r="AA47" s="22">
        <f t="shared" si="52"/>
        <v>79143392.553630322</v>
      </c>
      <c r="AB47" s="22">
        <f t="shared" si="52"/>
        <v>78745406.737330347</v>
      </c>
      <c r="AC47" s="22">
        <f t="shared" si="52"/>
        <v>79086354.052606463</v>
      </c>
      <c r="AD47" s="22">
        <f t="shared" si="52"/>
        <v>89773883.924000084</v>
      </c>
      <c r="AE47" s="22">
        <f t="shared" si="52"/>
        <v>106732360.32354262</v>
      </c>
      <c r="AF47" s="22">
        <f t="shared" si="52"/>
        <v>134521646.96143836</v>
      </c>
      <c r="AG47" s="13" t="str">
        <f t="shared" ref="AG47:AG48" si="53">IF(O47=AF47, "Ok!", "Error!")</f>
        <v>Ok!</v>
      </c>
    </row>
    <row r="48" spans="1:33" s="24" customFormat="1" ht="15">
      <c r="A48" s="49"/>
      <c r="B48" s="18"/>
      <c r="C48" s="32">
        <f t="shared" ref="C48:O48" si="54">IFERROR(C47/C$8,)</f>
        <v>0.4027775791553968</v>
      </c>
      <c r="D48" s="32">
        <f t="shared" si="54"/>
        <v>0.31743354981597244</v>
      </c>
      <c r="E48" s="32">
        <f t="shared" si="54"/>
        <v>0.36678443864780441</v>
      </c>
      <c r="F48" s="32">
        <f t="shared" si="54"/>
        <v>0.41192607480948296</v>
      </c>
      <c r="G48" s="32">
        <f t="shared" si="54"/>
        <v>0.35867598638426995</v>
      </c>
      <c r="H48" s="32">
        <f t="shared" si="54"/>
        <v>0.29477641882063699</v>
      </c>
      <c r="I48" s="32">
        <f t="shared" si="54"/>
        <v>5.734727055908629E-2</v>
      </c>
      <c r="J48" s="32">
        <f t="shared" si="54"/>
        <v>-3.5320071390222682E-2</v>
      </c>
      <c r="K48" s="32">
        <f t="shared" si="54"/>
        <v>1.6774571669594437E-2</v>
      </c>
      <c r="L48" s="32">
        <f t="shared" si="54"/>
        <v>0.31332383474106629</v>
      </c>
      <c r="M48" s="32">
        <f t="shared" si="54"/>
        <v>0.37316156185087657</v>
      </c>
      <c r="N48" s="32">
        <f t="shared" si="54"/>
        <v>0.46630746451797267</v>
      </c>
      <c r="O48" s="32">
        <f t="shared" si="54"/>
        <v>0.33537599646609473</v>
      </c>
      <c r="Q48" s="32">
        <f t="shared" ref="Q48:S48" si="55">IFERROR(Q47/Q$8,)</f>
        <v>0.42315567642574925</v>
      </c>
      <c r="R48" s="32">
        <f t="shared" si="55"/>
        <v>0.36974358666253254</v>
      </c>
      <c r="S48" s="32">
        <f t="shared" si="55"/>
        <v>0.47601214943930531</v>
      </c>
      <c r="U48" s="32">
        <f t="shared" ref="U48:AF48" si="56">IFERROR(U47/U$8,)</f>
        <v>0.4027775791553968</v>
      </c>
      <c r="V48" s="32">
        <f t="shared" si="56"/>
        <v>0.3631589803132998</v>
      </c>
      <c r="W48" s="32">
        <f t="shared" si="56"/>
        <v>0.36438481647636084</v>
      </c>
      <c r="X48" s="32">
        <f t="shared" si="56"/>
        <v>0.37775276582286926</v>
      </c>
      <c r="Y48" s="32">
        <f t="shared" si="56"/>
        <v>0.37367198848848276</v>
      </c>
      <c r="Z48" s="32">
        <f t="shared" si="56"/>
        <v>0.36294927668251864</v>
      </c>
      <c r="AA48" s="32">
        <f t="shared" si="56"/>
        <v>0.34355825491840697</v>
      </c>
      <c r="AB48" s="32">
        <f t="shared" si="56"/>
        <v>0.325890079835986</v>
      </c>
      <c r="AC48" s="32">
        <f t="shared" si="56"/>
        <v>0.30190580774457987</v>
      </c>
      <c r="AD48" s="32">
        <f t="shared" si="56"/>
        <v>0.30322128895359002</v>
      </c>
      <c r="AE48" s="32">
        <f t="shared" si="56"/>
        <v>0.31252830570515971</v>
      </c>
      <c r="AF48" s="32">
        <f t="shared" si="56"/>
        <v>0.33537599646609501</v>
      </c>
      <c r="AG48" s="13" t="str">
        <f t="shared" si="53"/>
        <v>Ok!</v>
      </c>
    </row>
    <row r="49" spans="1:33" ht="15">
      <c r="A49" s="18"/>
      <c r="B49" s="18"/>
      <c r="C49" s="40"/>
      <c r="D49" s="40"/>
      <c r="E49" s="40"/>
      <c r="F49" s="40"/>
      <c r="G49" s="40"/>
      <c r="H49" s="40"/>
      <c r="I49" s="40"/>
      <c r="J49" s="40"/>
      <c r="K49" s="40"/>
      <c r="L49" s="40"/>
      <c r="M49" s="40"/>
      <c r="N49" s="40"/>
      <c r="O49" s="40"/>
      <c r="Q49" s="40"/>
      <c r="R49" s="40"/>
      <c r="S49" s="40"/>
      <c r="U49" s="40"/>
      <c r="V49" s="40"/>
      <c r="W49" s="40"/>
      <c r="X49" s="40"/>
      <c r="Y49" s="40"/>
      <c r="Z49" s="40"/>
      <c r="AA49" s="40"/>
      <c r="AB49" s="40"/>
      <c r="AC49" s="40"/>
      <c r="AD49" s="40"/>
      <c r="AE49" s="40"/>
      <c r="AF49" s="40"/>
    </row>
    <row r="50" spans="1:33" ht="15">
      <c r="A50" s="18" t="s">
        <v>195</v>
      </c>
      <c r="B50" s="18"/>
      <c r="C50" s="40"/>
      <c r="D50" s="40"/>
      <c r="E50" s="40"/>
      <c r="F50" s="40"/>
      <c r="G50" s="40"/>
      <c r="H50" s="40"/>
      <c r="I50" s="40"/>
      <c r="J50" s="40"/>
      <c r="K50" s="40"/>
      <c r="L50" s="40"/>
      <c r="M50" s="40"/>
      <c r="N50" s="40"/>
      <c r="O50" s="40"/>
      <c r="Q50" s="40"/>
      <c r="R50" s="40"/>
      <c r="S50" s="40"/>
      <c r="U50" s="40"/>
      <c r="V50" s="40"/>
      <c r="W50" s="40"/>
      <c r="X50" s="40"/>
      <c r="Y50" s="40"/>
      <c r="Z50" s="40"/>
      <c r="AA50" s="40"/>
      <c r="AB50" s="40"/>
      <c r="AC50" s="40"/>
      <c r="AD50" s="40"/>
      <c r="AE50" s="40"/>
      <c r="AF50" s="40"/>
    </row>
    <row r="51" spans="1:33" ht="15">
      <c r="A51" s="39" t="s">
        <v>193</v>
      </c>
      <c r="B51" s="36"/>
      <c r="C51" s="188"/>
      <c r="D51" s="188"/>
      <c r="E51" s="188"/>
      <c r="F51" s="188"/>
      <c r="G51" s="188"/>
      <c r="H51" s="188"/>
      <c r="I51" s="188"/>
      <c r="J51" s="188"/>
      <c r="K51" s="188"/>
      <c r="L51" s="188"/>
      <c r="M51" s="188"/>
      <c r="N51" s="188"/>
      <c r="O51" s="31">
        <f t="shared" ref="O51:O56" si="57">SUM(C51:N51)</f>
        <v>0</v>
      </c>
      <c r="Q51" s="31">
        <f>'TY Actual-Forecast'!C51</f>
        <v>0</v>
      </c>
      <c r="R51" s="31">
        <f>'TY Actual-Forecast'!D51</f>
        <v>0</v>
      </c>
      <c r="S51" s="31">
        <f>'TY Actual-Forecast'!E51</f>
        <v>0</v>
      </c>
      <c r="U51" s="31">
        <f t="shared" ref="U51:U55" si="58">C51</f>
        <v>0</v>
      </c>
      <c r="V51" s="31">
        <f t="shared" ref="V51:AF55" si="59">U51+D51</f>
        <v>0</v>
      </c>
      <c r="W51" s="31">
        <f t="shared" si="59"/>
        <v>0</v>
      </c>
      <c r="X51" s="31">
        <f t="shared" si="59"/>
        <v>0</v>
      </c>
      <c r="Y51" s="31">
        <f t="shared" si="59"/>
        <v>0</v>
      </c>
      <c r="Z51" s="31">
        <f t="shared" si="59"/>
        <v>0</v>
      </c>
      <c r="AA51" s="31">
        <f t="shared" si="59"/>
        <v>0</v>
      </c>
      <c r="AB51" s="31">
        <f t="shared" si="59"/>
        <v>0</v>
      </c>
      <c r="AC51" s="31">
        <f t="shared" si="59"/>
        <v>0</v>
      </c>
      <c r="AD51" s="31">
        <f t="shared" si="59"/>
        <v>0</v>
      </c>
      <c r="AE51" s="31">
        <f t="shared" si="59"/>
        <v>0</v>
      </c>
      <c r="AF51" s="31">
        <f t="shared" si="59"/>
        <v>0</v>
      </c>
      <c r="AG51" s="13" t="str">
        <f t="shared" ref="AG51:AG56" si="60">IF(O51=AF51, "Ok!", "Error!")</f>
        <v>Ok!</v>
      </c>
    </row>
    <row r="52" spans="1:33" ht="15">
      <c r="A52" s="39" t="s">
        <v>205</v>
      </c>
      <c r="B52" s="36"/>
      <c r="C52" s="188">
        <v>872857.96</v>
      </c>
      <c r="D52" s="188">
        <v>866601.83</v>
      </c>
      <c r="E52" s="188">
        <v>830821.12</v>
      </c>
      <c r="F52" s="188">
        <v>830821.12</v>
      </c>
      <c r="G52" s="188">
        <v>855757.03</v>
      </c>
      <c r="H52" s="188">
        <v>1041339.6699999999</v>
      </c>
      <c r="I52" s="188">
        <v>970405.85</v>
      </c>
      <c r="J52" s="188">
        <v>985161.59</v>
      </c>
      <c r="K52" s="188">
        <v>985163.59</v>
      </c>
      <c r="L52" s="188">
        <v>989203.8899999999</v>
      </c>
      <c r="M52" s="188">
        <v>968651.04999999993</v>
      </c>
      <c r="N52" s="188">
        <v>999322.95</v>
      </c>
      <c r="O52" s="31">
        <f t="shared" si="57"/>
        <v>11196107.65</v>
      </c>
      <c r="Q52" s="31">
        <f>'TY Actual-Forecast'!C52</f>
        <v>1376389.53</v>
      </c>
      <c r="R52" s="31">
        <f>'TY Actual-Forecast'!D52</f>
        <v>1031860.47</v>
      </c>
      <c r="S52" s="31">
        <f>'TY Actual-Forecast'!E52</f>
        <v>713492.6399999999</v>
      </c>
      <c r="U52" s="31">
        <f t="shared" si="58"/>
        <v>872857.96</v>
      </c>
      <c r="V52" s="31">
        <f t="shared" si="59"/>
        <v>1739459.79</v>
      </c>
      <c r="W52" s="31">
        <f t="shared" si="59"/>
        <v>2570280.91</v>
      </c>
      <c r="X52" s="31">
        <f t="shared" si="59"/>
        <v>3401102.0300000003</v>
      </c>
      <c r="Y52" s="31">
        <f t="shared" si="59"/>
        <v>4256859.0600000005</v>
      </c>
      <c r="Z52" s="31">
        <f t="shared" si="59"/>
        <v>5298198.7300000004</v>
      </c>
      <c r="AA52" s="31">
        <f t="shared" si="59"/>
        <v>6268604.5800000001</v>
      </c>
      <c r="AB52" s="31">
        <f t="shared" si="59"/>
        <v>7253766.1699999999</v>
      </c>
      <c r="AC52" s="31">
        <f t="shared" si="59"/>
        <v>8238929.7599999998</v>
      </c>
      <c r="AD52" s="31">
        <f t="shared" si="59"/>
        <v>9228133.6500000004</v>
      </c>
      <c r="AE52" s="31">
        <f t="shared" si="59"/>
        <v>10196784.700000001</v>
      </c>
      <c r="AF52" s="31">
        <f t="shared" si="59"/>
        <v>11196107.65</v>
      </c>
      <c r="AG52" s="13" t="str">
        <f t="shared" si="60"/>
        <v>Ok!</v>
      </c>
    </row>
    <row r="53" spans="1:33" ht="15">
      <c r="A53" s="39" t="s">
        <v>194</v>
      </c>
      <c r="B53" s="36"/>
      <c r="C53" s="188"/>
      <c r="D53" s="188"/>
      <c r="E53" s="188"/>
      <c r="F53" s="188"/>
      <c r="G53" s="188"/>
      <c r="H53" s="188"/>
      <c r="I53" s="188"/>
      <c r="J53" s="188"/>
      <c r="K53" s="188"/>
      <c r="L53" s="188"/>
      <c r="M53" s="188"/>
      <c r="N53" s="188"/>
      <c r="O53" s="31">
        <f t="shared" si="57"/>
        <v>0</v>
      </c>
      <c r="Q53" s="31">
        <f>'TY Actual-Forecast'!C53</f>
        <v>0</v>
      </c>
      <c r="R53" s="31">
        <f>'TY Actual-Forecast'!D53</f>
        <v>0</v>
      </c>
      <c r="S53" s="31">
        <f>'TY Actual-Forecast'!E53</f>
        <v>0</v>
      </c>
      <c r="U53" s="31">
        <f t="shared" si="58"/>
        <v>0</v>
      </c>
      <c r="V53" s="31">
        <f t="shared" si="59"/>
        <v>0</v>
      </c>
      <c r="W53" s="31">
        <f t="shared" si="59"/>
        <v>0</v>
      </c>
      <c r="X53" s="31">
        <f t="shared" si="59"/>
        <v>0</v>
      </c>
      <c r="Y53" s="31">
        <f t="shared" si="59"/>
        <v>0</v>
      </c>
      <c r="Z53" s="31">
        <f t="shared" si="59"/>
        <v>0</v>
      </c>
      <c r="AA53" s="31">
        <f t="shared" si="59"/>
        <v>0</v>
      </c>
      <c r="AB53" s="31">
        <f t="shared" si="59"/>
        <v>0</v>
      </c>
      <c r="AC53" s="31">
        <f t="shared" si="59"/>
        <v>0</v>
      </c>
      <c r="AD53" s="31">
        <f t="shared" si="59"/>
        <v>0</v>
      </c>
      <c r="AE53" s="31">
        <f t="shared" si="59"/>
        <v>0</v>
      </c>
      <c r="AF53" s="31">
        <f t="shared" si="59"/>
        <v>0</v>
      </c>
      <c r="AG53" s="13" t="str">
        <f t="shared" si="60"/>
        <v>Ok!</v>
      </c>
    </row>
    <row r="54" spans="1:33" ht="15">
      <c r="A54" s="39" t="s">
        <v>36</v>
      </c>
      <c r="B54" s="36"/>
      <c r="C54" s="188"/>
      <c r="D54" s="188"/>
      <c r="E54" s="188"/>
      <c r="F54" s="188"/>
      <c r="G54" s="188"/>
      <c r="H54" s="188"/>
      <c r="I54" s="188"/>
      <c r="J54" s="188"/>
      <c r="K54" s="188"/>
      <c r="L54" s="188"/>
      <c r="M54" s="188"/>
      <c r="N54" s="188"/>
      <c r="O54" s="31">
        <f t="shared" si="57"/>
        <v>0</v>
      </c>
      <c r="Q54" s="31">
        <f>'TY Actual-Forecast'!C54</f>
        <v>0</v>
      </c>
      <c r="R54" s="31">
        <f>'TY Actual-Forecast'!D54</f>
        <v>0</v>
      </c>
      <c r="S54" s="31">
        <f>'TY Actual-Forecast'!E54</f>
        <v>0</v>
      </c>
      <c r="U54" s="31">
        <f t="shared" si="58"/>
        <v>0</v>
      </c>
      <c r="V54" s="31">
        <f t="shared" si="59"/>
        <v>0</v>
      </c>
      <c r="W54" s="31">
        <f t="shared" si="59"/>
        <v>0</v>
      </c>
      <c r="X54" s="31">
        <f t="shared" si="59"/>
        <v>0</v>
      </c>
      <c r="Y54" s="31">
        <f t="shared" si="59"/>
        <v>0</v>
      </c>
      <c r="Z54" s="31">
        <f t="shared" si="59"/>
        <v>0</v>
      </c>
      <c r="AA54" s="31">
        <f t="shared" si="59"/>
        <v>0</v>
      </c>
      <c r="AB54" s="31">
        <f t="shared" si="59"/>
        <v>0</v>
      </c>
      <c r="AC54" s="31">
        <f t="shared" si="59"/>
        <v>0</v>
      </c>
      <c r="AD54" s="31">
        <f t="shared" si="59"/>
        <v>0</v>
      </c>
      <c r="AE54" s="31">
        <f t="shared" si="59"/>
        <v>0</v>
      </c>
      <c r="AF54" s="31">
        <f t="shared" si="59"/>
        <v>0</v>
      </c>
      <c r="AG54" s="13" t="str">
        <f t="shared" si="60"/>
        <v>Ok!</v>
      </c>
    </row>
    <row r="55" spans="1:33" ht="15.75" customHeight="1">
      <c r="A55" s="39" t="s">
        <v>204</v>
      </c>
      <c r="B55" s="36"/>
      <c r="C55" s="188"/>
      <c r="D55" s="188"/>
      <c r="E55" s="188"/>
      <c r="F55" s="188"/>
      <c r="G55" s="188"/>
      <c r="H55" s="188"/>
      <c r="I55" s="188"/>
      <c r="J55" s="188"/>
      <c r="K55" s="188"/>
      <c r="L55" s="188"/>
      <c r="M55" s="188"/>
      <c r="N55" s="188"/>
      <c r="O55" s="31">
        <f t="shared" si="57"/>
        <v>0</v>
      </c>
      <c r="Q55" s="31">
        <f>'TY Actual-Forecast'!C55</f>
        <v>0</v>
      </c>
      <c r="R55" s="31">
        <f>'TY Actual-Forecast'!D55</f>
        <v>0</v>
      </c>
      <c r="S55" s="31">
        <f>'TY Actual-Forecast'!E55</f>
        <v>-5000000</v>
      </c>
      <c r="U55" s="31">
        <f t="shared" si="58"/>
        <v>0</v>
      </c>
      <c r="V55" s="31">
        <f t="shared" si="59"/>
        <v>0</v>
      </c>
      <c r="W55" s="31">
        <f t="shared" si="59"/>
        <v>0</v>
      </c>
      <c r="X55" s="31">
        <f t="shared" si="59"/>
        <v>0</v>
      </c>
      <c r="Y55" s="31">
        <f t="shared" si="59"/>
        <v>0</v>
      </c>
      <c r="Z55" s="31">
        <f t="shared" si="59"/>
        <v>0</v>
      </c>
      <c r="AA55" s="31">
        <f t="shared" si="59"/>
        <v>0</v>
      </c>
      <c r="AB55" s="31">
        <f t="shared" si="59"/>
        <v>0</v>
      </c>
      <c r="AC55" s="31">
        <f t="shared" si="59"/>
        <v>0</v>
      </c>
      <c r="AD55" s="31">
        <f t="shared" si="59"/>
        <v>0</v>
      </c>
      <c r="AE55" s="31">
        <f t="shared" si="59"/>
        <v>0</v>
      </c>
      <c r="AF55" s="31">
        <f t="shared" si="59"/>
        <v>0</v>
      </c>
      <c r="AG55" s="13" t="str">
        <f t="shared" si="60"/>
        <v>Ok!</v>
      </c>
    </row>
    <row r="56" spans="1:33" s="24" customFormat="1" ht="15">
      <c r="A56" s="39" t="s">
        <v>16</v>
      </c>
      <c r="B56" s="36"/>
      <c r="C56" s="22">
        <f t="shared" ref="C56:N56" si="61">SUBTOTAL(9,C51:C55)</f>
        <v>872857.96</v>
      </c>
      <c r="D56" s="22">
        <f t="shared" si="61"/>
        <v>866601.83</v>
      </c>
      <c r="E56" s="22">
        <f t="shared" si="61"/>
        <v>830821.12</v>
      </c>
      <c r="F56" s="22">
        <f t="shared" si="61"/>
        <v>830821.12</v>
      </c>
      <c r="G56" s="22">
        <f t="shared" si="61"/>
        <v>855757.03</v>
      </c>
      <c r="H56" s="22">
        <f t="shared" si="61"/>
        <v>1041339.6699999999</v>
      </c>
      <c r="I56" s="22">
        <f t="shared" si="61"/>
        <v>970405.85</v>
      </c>
      <c r="J56" s="22">
        <f t="shared" si="61"/>
        <v>985161.59</v>
      </c>
      <c r="K56" s="22">
        <f t="shared" si="61"/>
        <v>985163.59</v>
      </c>
      <c r="L56" s="22">
        <f t="shared" si="61"/>
        <v>989203.8899999999</v>
      </c>
      <c r="M56" s="22">
        <f t="shared" si="61"/>
        <v>968651.04999999993</v>
      </c>
      <c r="N56" s="22">
        <f t="shared" si="61"/>
        <v>999322.95</v>
      </c>
      <c r="O56" s="22">
        <f t="shared" si="57"/>
        <v>11196107.65</v>
      </c>
      <c r="Q56" s="22">
        <f t="shared" ref="Q56:S56" si="62">SUBTOTAL(9,Q51:Q55)</f>
        <v>1376389.53</v>
      </c>
      <c r="R56" s="22">
        <f t="shared" si="62"/>
        <v>1031860.47</v>
      </c>
      <c r="S56" s="22">
        <f t="shared" si="62"/>
        <v>-4286507.3600000003</v>
      </c>
      <c r="U56" s="22">
        <f t="shared" ref="U56:AF56" si="63">SUBTOTAL(9,U51:U55)</f>
        <v>872857.96</v>
      </c>
      <c r="V56" s="22">
        <f t="shared" si="63"/>
        <v>1739459.79</v>
      </c>
      <c r="W56" s="22">
        <f t="shared" si="63"/>
        <v>2570280.91</v>
      </c>
      <c r="X56" s="22">
        <f t="shared" si="63"/>
        <v>3401102.0300000003</v>
      </c>
      <c r="Y56" s="22">
        <f t="shared" si="63"/>
        <v>4256859.0600000005</v>
      </c>
      <c r="Z56" s="22">
        <f t="shared" si="63"/>
        <v>5298198.7300000004</v>
      </c>
      <c r="AA56" s="22">
        <f t="shared" si="63"/>
        <v>6268604.5800000001</v>
      </c>
      <c r="AB56" s="22">
        <f t="shared" si="63"/>
        <v>7253766.1699999999</v>
      </c>
      <c r="AC56" s="22">
        <f t="shared" si="63"/>
        <v>8238929.7599999998</v>
      </c>
      <c r="AD56" s="22">
        <f t="shared" si="63"/>
        <v>9228133.6500000004</v>
      </c>
      <c r="AE56" s="22">
        <f t="shared" si="63"/>
        <v>10196784.700000001</v>
      </c>
      <c r="AF56" s="22">
        <f t="shared" si="63"/>
        <v>11196107.65</v>
      </c>
      <c r="AG56" s="13" t="str">
        <f t="shared" si="60"/>
        <v>Ok!</v>
      </c>
    </row>
    <row r="57" spans="1:33" ht="15">
      <c r="A57" s="18"/>
      <c r="B57" s="18"/>
      <c r="C57" s="40"/>
      <c r="D57" s="40"/>
      <c r="E57" s="40"/>
      <c r="F57" s="40"/>
      <c r="G57" s="40"/>
      <c r="H57" s="40"/>
      <c r="I57" s="40"/>
      <c r="J57" s="40"/>
      <c r="K57" s="40"/>
      <c r="L57" s="40"/>
      <c r="M57" s="40"/>
      <c r="N57" s="40"/>
      <c r="O57" s="40"/>
      <c r="Q57" s="40"/>
      <c r="R57" s="40"/>
      <c r="S57" s="40"/>
      <c r="U57" s="40"/>
      <c r="V57" s="40"/>
      <c r="W57" s="40"/>
      <c r="X57" s="40"/>
      <c r="Y57" s="40"/>
      <c r="Z57" s="40"/>
      <c r="AA57" s="40"/>
      <c r="AB57" s="40"/>
      <c r="AC57" s="40"/>
      <c r="AD57" s="40"/>
      <c r="AE57" s="40"/>
      <c r="AF57" s="40"/>
    </row>
    <row r="58" spans="1:33" s="24" customFormat="1" ht="15">
      <c r="A58" s="18" t="s">
        <v>3</v>
      </c>
      <c r="B58" s="18"/>
      <c r="C58" s="22">
        <f t="shared" ref="C58:N58" si="64">C47-C56</f>
        <v>14173103.488722742</v>
      </c>
      <c r="D58" s="22">
        <f t="shared" si="64"/>
        <v>9407616.5474927742</v>
      </c>
      <c r="E58" s="22">
        <f t="shared" si="64"/>
        <v>12233007.151419515</v>
      </c>
      <c r="F58" s="22">
        <f t="shared" si="64"/>
        <v>16143291.979955984</v>
      </c>
      <c r="G58" s="22">
        <f t="shared" si="64"/>
        <v>13447778.408040861</v>
      </c>
      <c r="H58" s="22">
        <f t="shared" si="64"/>
        <v>7602150.1893000025</v>
      </c>
      <c r="I58" s="22">
        <f t="shared" si="64"/>
        <v>-132159.79130156001</v>
      </c>
      <c r="J58" s="22">
        <f t="shared" si="64"/>
        <v>-1383147.4063000008</v>
      </c>
      <c r="K58" s="22">
        <f t="shared" si="64"/>
        <v>-644216.27472385403</v>
      </c>
      <c r="L58" s="22">
        <f t="shared" si="64"/>
        <v>9698325.9813936055</v>
      </c>
      <c r="M58" s="22">
        <f t="shared" si="64"/>
        <v>15989825.349542592</v>
      </c>
      <c r="N58" s="22">
        <f t="shared" si="64"/>
        <v>26789963.687895551</v>
      </c>
      <c r="O58" s="22">
        <f>SUM(C58:N58)</f>
        <v>123325539.31143819</v>
      </c>
      <c r="Q58" s="22">
        <f t="shared" ref="Q58:S58" si="65">Q47-Q56</f>
        <v>17138861.029999997</v>
      </c>
      <c r="R58" s="22">
        <f t="shared" si="65"/>
        <v>12794611.759999989</v>
      </c>
      <c r="S58" s="22">
        <f t="shared" si="65"/>
        <v>26653257.549999993</v>
      </c>
      <c r="U58" s="22">
        <f t="shared" ref="U58:AF58" si="66">U47-U56</f>
        <v>14173103.488722742</v>
      </c>
      <c r="V58" s="22">
        <f t="shared" si="66"/>
        <v>23580720.036215521</v>
      </c>
      <c r="W58" s="22">
        <f t="shared" si="66"/>
        <v>35813727.187635034</v>
      </c>
      <c r="X58" s="22">
        <f t="shared" si="66"/>
        <v>51957019.167591035</v>
      </c>
      <c r="Y58" s="22">
        <f t="shared" si="66"/>
        <v>65404797.575631917</v>
      </c>
      <c r="Z58" s="22">
        <f t="shared" si="66"/>
        <v>73006947.764931872</v>
      </c>
      <c r="AA58" s="22">
        <f t="shared" si="66"/>
        <v>72874787.973630324</v>
      </c>
      <c r="AB58" s="22">
        <f t="shared" si="66"/>
        <v>71491640.567330346</v>
      </c>
      <c r="AC58" s="22">
        <f t="shared" si="66"/>
        <v>70847424.292606458</v>
      </c>
      <c r="AD58" s="22">
        <f t="shared" si="66"/>
        <v>80545750.274000078</v>
      </c>
      <c r="AE58" s="22">
        <f t="shared" si="66"/>
        <v>96535575.623542622</v>
      </c>
      <c r="AF58" s="22">
        <f t="shared" si="66"/>
        <v>123325539.31143835</v>
      </c>
      <c r="AG58" s="13" t="str">
        <f t="shared" ref="AG58:AG59" si="67">IF(O58=AF58, "Ok!", "Error!")</f>
        <v>Ok!</v>
      </c>
    </row>
    <row r="59" spans="1:33" s="48" customFormat="1" ht="15">
      <c r="A59" s="45" t="s">
        <v>1</v>
      </c>
      <c r="B59" s="46"/>
      <c r="C59" s="32">
        <f t="shared" ref="C59:O59" si="68">IFERROR(C58/C$8,)</f>
        <v>0.37941133451403736</v>
      </c>
      <c r="D59" s="32">
        <f t="shared" si="68"/>
        <v>0.29065891012400902</v>
      </c>
      <c r="E59" s="32">
        <f t="shared" si="68"/>
        <v>0.34345802530366853</v>
      </c>
      <c r="F59" s="32">
        <f t="shared" si="68"/>
        <v>0.39176379117115223</v>
      </c>
      <c r="G59" s="32">
        <f t="shared" si="68"/>
        <v>0.33721699128686172</v>
      </c>
      <c r="H59" s="32">
        <f t="shared" si="68"/>
        <v>0.25926271038859822</v>
      </c>
      <c r="I59" s="32">
        <f t="shared" si="68"/>
        <v>-9.0415018718620621E-3</v>
      </c>
      <c r="J59" s="32">
        <f t="shared" si="68"/>
        <v>-0.12275026680069463</v>
      </c>
      <c r="K59" s="32">
        <f t="shared" si="68"/>
        <v>-3.1695372237560755E-2</v>
      </c>
      <c r="L59" s="32">
        <f t="shared" si="68"/>
        <v>0.28432357369990907</v>
      </c>
      <c r="M59" s="32">
        <f t="shared" si="68"/>
        <v>0.35184695019648049</v>
      </c>
      <c r="N59" s="32">
        <f t="shared" si="68"/>
        <v>0.4495387090935834</v>
      </c>
      <c r="O59" s="32">
        <f t="shared" si="68"/>
        <v>0.30746297395651456</v>
      </c>
      <c r="Q59" s="32">
        <f t="shared" ref="Q59:S59" si="69">IFERROR(Q58/Q$8,)</f>
        <v>0.39169906498508456</v>
      </c>
      <c r="R59" s="32">
        <f t="shared" si="69"/>
        <v>0.34214986754412463</v>
      </c>
      <c r="S59" s="32">
        <f t="shared" si="69"/>
        <v>0.56723816862796972</v>
      </c>
      <c r="U59" s="32">
        <f t="shared" ref="U59:AF59" si="70">IFERROR(U58/U$8,)</f>
        <v>0.37941133451403736</v>
      </c>
      <c r="V59" s="32">
        <f t="shared" si="70"/>
        <v>0.33821048279203225</v>
      </c>
      <c r="W59" s="32">
        <f t="shared" si="70"/>
        <v>0.33998477635286084</v>
      </c>
      <c r="X59" s="32">
        <f t="shared" si="70"/>
        <v>0.35454432466041552</v>
      </c>
      <c r="Y59" s="32">
        <f t="shared" si="70"/>
        <v>0.35083777715203018</v>
      </c>
      <c r="Z59" s="32">
        <f t="shared" si="70"/>
        <v>0.33839179249598178</v>
      </c>
      <c r="AA59" s="32">
        <f t="shared" si="70"/>
        <v>0.31634649685763194</v>
      </c>
      <c r="AB59" s="32">
        <f t="shared" si="70"/>
        <v>0.29587016459015847</v>
      </c>
      <c r="AC59" s="32">
        <f t="shared" si="70"/>
        <v>0.27045435478609464</v>
      </c>
      <c r="AD59" s="32">
        <f t="shared" si="70"/>
        <v>0.27205224003110112</v>
      </c>
      <c r="AE59" s="32">
        <f t="shared" si="70"/>
        <v>0.28267059585717119</v>
      </c>
      <c r="AF59" s="32">
        <f t="shared" si="70"/>
        <v>0.3074629739565149</v>
      </c>
      <c r="AG59" s="13" t="str">
        <f t="shared" si="67"/>
        <v>Ok!</v>
      </c>
    </row>
    <row r="60" spans="1:33" ht="15">
      <c r="A60" s="18"/>
      <c r="B60" s="18"/>
      <c r="C60" s="40"/>
      <c r="D60" s="40"/>
      <c r="E60" s="40"/>
      <c r="F60" s="40"/>
      <c r="G60" s="40"/>
      <c r="H60" s="40"/>
      <c r="I60" s="40"/>
      <c r="J60" s="40"/>
      <c r="K60" s="40"/>
      <c r="L60" s="40"/>
      <c r="M60" s="40"/>
      <c r="N60" s="40"/>
      <c r="O60" s="40"/>
      <c r="Q60" s="40"/>
      <c r="R60" s="40"/>
      <c r="S60" s="40"/>
      <c r="U60" s="40"/>
      <c r="V60" s="40"/>
      <c r="W60" s="40"/>
      <c r="X60" s="40"/>
      <c r="Y60" s="40"/>
      <c r="Z60" s="40"/>
      <c r="AA60" s="40"/>
      <c r="AB60" s="40"/>
      <c r="AC60" s="40"/>
      <c r="AD60" s="40"/>
      <c r="AE60" s="40"/>
      <c r="AF60" s="40"/>
    </row>
    <row r="61" spans="1:33" ht="15">
      <c r="A61" s="39" t="s">
        <v>14</v>
      </c>
      <c r="B61" s="36"/>
      <c r="C61" s="188">
        <v>3004304.55</v>
      </c>
      <c r="D61" s="188">
        <v>3016343.94</v>
      </c>
      <c r="E61" s="188">
        <v>2990634.59</v>
      </c>
      <c r="F61" s="188">
        <v>2995786.45</v>
      </c>
      <c r="G61" s="188">
        <v>2999498.94</v>
      </c>
      <c r="H61" s="188">
        <v>2999498.94</v>
      </c>
      <c r="I61" s="188">
        <v>2729367.29</v>
      </c>
      <c r="J61" s="188">
        <v>2827104.1</v>
      </c>
      <c r="K61" s="188">
        <v>2835800.79</v>
      </c>
      <c r="L61" s="188">
        <v>2835800.79</v>
      </c>
      <c r="M61" s="188">
        <v>3020528.6</v>
      </c>
      <c r="N61" s="188">
        <f>2883464.77+23541471.81</f>
        <v>26424936.579999998</v>
      </c>
      <c r="O61" s="31">
        <f>SUM(C61:N61)</f>
        <v>58679605.560000002</v>
      </c>
      <c r="Q61" s="31">
        <f>'TY Actual-Forecast'!C61</f>
        <v>5074399.9999999991</v>
      </c>
      <c r="R61" s="31">
        <f>'TY Actual-Forecast'!D61</f>
        <v>5074399.9999999991</v>
      </c>
      <c r="S61" s="31">
        <f>'TY Actual-Forecast'!E61</f>
        <v>5074399.9999999991</v>
      </c>
      <c r="U61" s="31">
        <f>C61</f>
        <v>3004304.55</v>
      </c>
      <c r="V61" s="31">
        <f t="shared" ref="V61:AF61" si="71">U61+D61</f>
        <v>6020648.4900000002</v>
      </c>
      <c r="W61" s="31">
        <f t="shared" si="71"/>
        <v>9011283.0800000001</v>
      </c>
      <c r="X61" s="31">
        <f t="shared" si="71"/>
        <v>12007069.530000001</v>
      </c>
      <c r="Y61" s="31">
        <f t="shared" si="71"/>
        <v>15006568.470000001</v>
      </c>
      <c r="Z61" s="31">
        <f t="shared" si="71"/>
        <v>18006067.41</v>
      </c>
      <c r="AA61" s="31">
        <f t="shared" si="71"/>
        <v>20735434.699999999</v>
      </c>
      <c r="AB61" s="31">
        <f t="shared" si="71"/>
        <v>23562538.800000001</v>
      </c>
      <c r="AC61" s="31">
        <f t="shared" si="71"/>
        <v>26398339.59</v>
      </c>
      <c r="AD61" s="31">
        <f t="shared" si="71"/>
        <v>29234140.379999999</v>
      </c>
      <c r="AE61" s="31">
        <f t="shared" si="71"/>
        <v>32254668.98</v>
      </c>
      <c r="AF61" s="31">
        <f t="shared" si="71"/>
        <v>58679605.560000002</v>
      </c>
      <c r="AG61" s="13" t="str">
        <f>IF(O61=AF61, "Ok!", "Error!")</f>
        <v>Ok!</v>
      </c>
    </row>
    <row r="62" spans="1:33" ht="15">
      <c r="A62" s="18"/>
      <c r="B62" s="18"/>
      <c r="C62" s="40"/>
      <c r="D62" s="40"/>
      <c r="E62" s="40"/>
      <c r="F62" s="40"/>
      <c r="G62" s="40"/>
      <c r="H62" s="40"/>
      <c r="I62" s="40"/>
      <c r="J62" s="40"/>
      <c r="K62" s="40"/>
      <c r="L62" s="40"/>
      <c r="M62" s="40"/>
      <c r="N62" s="40"/>
      <c r="O62" s="40"/>
      <c r="Q62" s="40"/>
      <c r="R62" s="40"/>
      <c r="S62" s="40"/>
      <c r="U62" s="40"/>
      <c r="V62" s="40"/>
      <c r="W62" s="40"/>
      <c r="X62" s="40"/>
      <c r="Y62" s="40"/>
      <c r="Z62" s="40"/>
      <c r="AA62" s="40"/>
      <c r="AB62" s="40"/>
      <c r="AC62" s="40"/>
      <c r="AD62" s="40"/>
      <c r="AE62" s="40"/>
      <c r="AF62" s="40"/>
    </row>
    <row r="63" spans="1:33" s="24" customFormat="1" ht="15">
      <c r="A63" s="18" t="s">
        <v>196</v>
      </c>
      <c r="B63" s="18"/>
      <c r="C63" s="22">
        <f t="shared" ref="C63:N63" si="72">C58-C61</f>
        <v>11168798.938722741</v>
      </c>
      <c r="D63" s="22">
        <f t="shared" si="72"/>
        <v>6391272.6074927747</v>
      </c>
      <c r="E63" s="22">
        <f t="shared" si="72"/>
        <v>9242372.5614195149</v>
      </c>
      <c r="F63" s="22">
        <f t="shared" si="72"/>
        <v>13147505.529955983</v>
      </c>
      <c r="G63" s="22">
        <f t="shared" si="72"/>
        <v>10448279.468040861</v>
      </c>
      <c r="H63" s="22">
        <f t="shared" si="72"/>
        <v>4602651.2493000031</v>
      </c>
      <c r="I63" s="22">
        <f t="shared" si="72"/>
        <v>-2861527.0813015602</v>
      </c>
      <c r="J63" s="22">
        <f t="shared" si="72"/>
        <v>-4210251.5063000005</v>
      </c>
      <c r="K63" s="22">
        <f t="shared" si="72"/>
        <v>-3480017.064723854</v>
      </c>
      <c r="L63" s="22">
        <f t="shared" si="72"/>
        <v>6862525.1913936054</v>
      </c>
      <c r="M63" s="22">
        <f t="shared" si="72"/>
        <v>12969296.749542592</v>
      </c>
      <c r="N63" s="22">
        <f t="shared" si="72"/>
        <v>365027.10789555311</v>
      </c>
      <c r="O63" s="22">
        <f>SUM(C63:N63)</f>
        <v>64645933.751438208</v>
      </c>
      <c r="Q63" s="22">
        <f t="shared" ref="Q63:S63" si="73">Q58-Q61</f>
        <v>12064461.029999997</v>
      </c>
      <c r="R63" s="22">
        <f t="shared" si="73"/>
        <v>7720211.7599999895</v>
      </c>
      <c r="S63" s="22">
        <f t="shared" si="73"/>
        <v>21578857.549999993</v>
      </c>
      <c r="U63" s="22">
        <f t="shared" ref="U63:AF63" si="74">U58-U61</f>
        <v>11168798.938722741</v>
      </c>
      <c r="V63" s="22">
        <f t="shared" si="74"/>
        <v>17560071.546215519</v>
      </c>
      <c r="W63" s="22">
        <f t="shared" si="74"/>
        <v>26802444.107635036</v>
      </c>
      <c r="X63" s="22">
        <f t="shared" si="74"/>
        <v>39949949.637591034</v>
      </c>
      <c r="Y63" s="22">
        <f t="shared" si="74"/>
        <v>50398229.105631918</v>
      </c>
      <c r="Z63" s="22">
        <f t="shared" si="74"/>
        <v>55000880.354931876</v>
      </c>
      <c r="AA63" s="22">
        <f t="shared" si="74"/>
        <v>52139353.273630321</v>
      </c>
      <c r="AB63" s="22">
        <f t="shared" si="74"/>
        <v>47929101.767330348</v>
      </c>
      <c r="AC63" s="22">
        <f t="shared" si="74"/>
        <v>44449084.702606454</v>
      </c>
      <c r="AD63" s="22">
        <f t="shared" si="74"/>
        <v>51311609.894000083</v>
      </c>
      <c r="AE63" s="22">
        <f t="shared" si="74"/>
        <v>64280906.643542618</v>
      </c>
      <c r="AF63" s="22">
        <f t="shared" si="74"/>
        <v>64645933.751438349</v>
      </c>
      <c r="AG63" s="13" t="str">
        <f>IF(O63=AF63, "Ok!", "Error!")</f>
        <v>Error!</v>
      </c>
    </row>
    <row r="64" spans="1:33" ht="15">
      <c r="A64" s="18"/>
      <c r="B64" s="18"/>
      <c r="C64" s="26"/>
      <c r="D64" s="26"/>
      <c r="E64" s="26"/>
      <c r="F64" s="26"/>
      <c r="G64" s="26"/>
      <c r="H64" s="26"/>
      <c r="I64" s="26"/>
      <c r="J64" s="26"/>
      <c r="K64" s="26"/>
      <c r="L64" s="26"/>
      <c r="M64" s="26"/>
      <c r="N64" s="26"/>
      <c r="O64" s="26"/>
      <c r="Q64" s="26"/>
      <c r="R64" s="26"/>
      <c r="S64" s="26"/>
      <c r="U64" s="26"/>
      <c r="V64" s="26"/>
      <c r="W64" s="26"/>
      <c r="X64" s="26"/>
      <c r="Y64" s="26"/>
      <c r="Z64" s="26"/>
      <c r="AA64" s="26"/>
      <c r="AB64" s="26"/>
      <c r="AC64" s="26"/>
      <c r="AD64" s="26"/>
      <c r="AE64" s="26"/>
      <c r="AF64" s="26"/>
    </row>
    <row r="65" spans="1:33" ht="15">
      <c r="A65" s="39" t="s">
        <v>197</v>
      </c>
      <c r="B65" s="18"/>
      <c r="C65" s="188">
        <f>+C63*0.15</f>
        <v>1675319.8408084111</v>
      </c>
      <c r="D65" s="188">
        <f>+D63*0.15</f>
        <v>958690.89112391614</v>
      </c>
      <c r="E65" s="188">
        <f>+E63*0.15</f>
        <v>1386355.8842129272</v>
      </c>
      <c r="F65" s="188">
        <f>+F63*0.3</f>
        <v>3944251.6589867948</v>
      </c>
      <c r="G65" s="188">
        <f>+G63*0.3</f>
        <v>3134483.8404122582</v>
      </c>
      <c r="H65" s="188">
        <f>+H63*0.3</f>
        <v>1380795.374790001</v>
      </c>
      <c r="I65" s="188">
        <v>0</v>
      </c>
      <c r="J65" s="188">
        <v>0</v>
      </c>
      <c r="K65" s="188">
        <v>0</v>
      </c>
      <c r="L65" s="188">
        <f>+L63*0.3</f>
        <v>2058757.5574180814</v>
      </c>
      <c r="M65" s="188">
        <f>+M63*0.3</f>
        <v>3890789.0248627774</v>
      </c>
      <c r="N65" s="188">
        <v>-2689000</v>
      </c>
      <c r="O65" s="31">
        <f>SUM(C65:N65)</f>
        <v>15740444.072615169</v>
      </c>
      <c r="Q65" s="31">
        <f>'TY Actual-Forecast'!C65</f>
        <v>2654181.4265999994</v>
      </c>
      <c r="R65" s="31">
        <f>'TY Actual-Forecast'!D65</f>
        <v>1698446.5871999976</v>
      </c>
      <c r="S65" s="31">
        <f>'TY Actual-Forecast'!E65</f>
        <v>4747348.6609999985</v>
      </c>
      <c r="U65" s="31">
        <f>C65</f>
        <v>1675319.8408084111</v>
      </c>
      <c r="V65" s="31">
        <f t="shared" ref="V65:AF65" si="75">U65+D65</f>
        <v>2634010.7319323272</v>
      </c>
      <c r="W65" s="31">
        <f t="shared" si="75"/>
        <v>4020366.6161452541</v>
      </c>
      <c r="X65" s="31">
        <f t="shared" si="75"/>
        <v>7964618.2751320489</v>
      </c>
      <c r="Y65" s="31">
        <f t="shared" si="75"/>
        <v>11099102.115544308</v>
      </c>
      <c r="Z65" s="31">
        <f t="shared" si="75"/>
        <v>12479897.49033431</v>
      </c>
      <c r="AA65" s="31">
        <f t="shared" si="75"/>
        <v>12479897.49033431</v>
      </c>
      <c r="AB65" s="31">
        <f t="shared" si="75"/>
        <v>12479897.49033431</v>
      </c>
      <c r="AC65" s="31">
        <f t="shared" si="75"/>
        <v>12479897.49033431</v>
      </c>
      <c r="AD65" s="31">
        <f t="shared" si="75"/>
        <v>14538655.047752392</v>
      </c>
      <c r="AE65" s="31">
        <f t="shared" si="75"/>
        <v>18429444.072615169</v>
      </c>
      <c r="AF65" s="31">
        <f t="shared" si="75"/>
        <v>15740444.072615169</v>
      </c>
      <c r="AG65" s="13" t="str">
        <f>IF(O65=AF65, "Ok!", "Error!")</f>
        <v>Ok!</v>
      </c>
    </row>
    <row r="66" spans="1:33" ht="15">
      <c r="A66" s="18"/>
      <c r="B66" s="18"/>
      <c r="C66" s="40"/>
      <c r="D66" s="40"/>
      <c r="E66" s="40"/>
      <c r="F66" s="40"/>
      <c r="G66" s="40"/>
      <c r="H66" s="40"/>
      <c r="I66" s="40"/>
      <c r="J66" s="40"/>
      <c r="K66" s="40"/>
      <c r="L66" s="40"/>
      <c r="M66" s="40"/>
      <c r="N66" s="40"/>
      <c r="O66" s="40"/>
      <c r="Q66" s="40"/>
      <c r="R66" s="40"/>
      <c r="S66" s="40"/>
      <c r="U66" s="40"/>
      <c r="V66" s="40"/>
      <c r="W66" s="40"/>
      <c r="X66" s="40"/>
      <c r="Y66" s="40"/>
      <c r="Z66" s="40"/>
      <c r="AA66" s="40"/>
      <c r="AB66" s="40"/>
      <c r="AC66" s="40"/>
      <c r="AD66" s="40"/>
      <c r="AE66" s="40"/>
      <c r="AF66" s="40"/>
    </row>
    <row r="67" spans="1:33" s="24" customFormat="1" ht="24" customHeight="1" thickBot="1">
      <c r="A67" s="18" t="s">
        <v>25</v>
      </c>
      <c r="B67" s="18"/>
      <c r="C67" s="74">
        <f t="shared" ref="C67:N67" si="76">C63-C65</f>
        <v>9493479.0979143307</v>
      </c>
      <c r="D67" s="74">
        <f t="shared" si="76"/>
        <v>5432581.7163688587</v>
      </c>
      <c r="E67" s="74">
        <f t="shared" si="76"/>
        <v>7856016.677206588</v>
      </c>
      <c r="F67" s="74">
        <f t="shared" si="76"/>
        <v>9203253.8709691875</v>
      </c>
      <c r="G67" s="74">
        <f t="shared" si="76"/>
        <v>7313795.627628603</v>
      </c>
      <c r="H67" s="74">
        <f t="shared" si="76"/>
        <v>3221855.8745100023</v>
      </c>
      <c r="I67" s="74">
        <f t="shared" si="76"/>
        <v>-2861527.0813015602</v>
      </c>
      <c r="J67" s="74">
        <f t="shared" si="76"/>
        <v>-4210251.5063000005</v>
      </c>
      <c r="K67" s="74">
        <f t="shared" si="76"/>
        <v>-3480017.064723854</v>
      </c>
      <c r="L67" s="74">
        <f t="shared" si="76"/>
        <v>4803767.6339755245</v>
      </c>
      <c r="M67" s="74">
        <f t="shared" si="76"/>
        <v>9078507.7246798147</v>
      </c>
      <c r="N67" s="74">
        <f t="shared" si="76"/>
        <v>3054027.1078955531</v>
      </c>
      <c r="O67" s="74">
        <f>SUM(C67:N67)</f>
        <v>48905489.678823046</v>
      </c>
      <c r="Q67" s="74">
        <f t="shared" ref="Q67:S67" si="77">Q63-Q65</f>
        <v>9410279.6033999976</v>
      </c>
      <c r="R67" s="74">
        <f t="shared" si="77"/>
        <v>6021765.1727999914</v>
      </c>
      <c r="S67" s="74">
        <f t="shared" si="77"/>
        <v>16831508.888999995</v>
      </c>
      <c r="U67" s="74">
        <f t="shared" ref="U67:AF67" si="78">U63-U65</f>
        <v>9493479.0979143307</v>
      </c>
      <c r="V67" s="74">
        <f t="shared" si="78"/>
        <v>14926060.814283192</v>
      </c>
      <c r="W67" s="74">
        <f t="shared" si="78"/>
        <v>22782077.491489783</v>
      </c>
      <c r="X67" s="74">
        <f t="shared" si="78"/>
        <v>31985331.362458985</v>
      </c>
      <c r="Y67" s="74">
        <f t="shared" si="78"/>
        <v>39299126.990087613</v>
      </c>
      <c r="Z67" s="74">
        <f t="shared" si="78"/>
        <v>42520982.864597566</v>
      </c>
      <c r="AA67" s="74">
        <f t="shared" si="78"/>
        <v>39659455.783296011</v>
      </c>
      <c r="AB67" s="74">
        <f t="shared" si="78"/>
        <v>35449204.276996039</v>
      </c>
      <c r="AC67" s="74">
        <f t="shared" si="78"/>
        <v>31969187.212272145</v>
      </c>
      <c r="AD67" s="74">
        <f t="shared" si="78"/>
        <v>36772954.846247688</v>
      </c>
      <c r="AE67" s="74">
        <f t="shared" si="78"/>
        <v>45851462.570927449</v>
      </c>
      <c r="AF67" s="74">
        <f t="shared" si="78"/>
        <v>48905489.67882318</v>
      </c>
      <c r="AG67" s="13" t="str">
        <f>IF(O67=AF67, "Ok!", "Error!")</f>
        <v>Error!</v>
      </c>
    </row>
    <row r="68" spans="1:33" s="44" customFormat="1" ht="15">
      <c r="A68" s="50"/>
      <c r="B68" s="50"/>
      <c r="C68" s="51">
        <f t="shared" ref="C68:O68" si="79">IFERROR(C67/C$8,)</f>
        <v>0.25413866317894196</v>
      </c>
      <c r="D68" s="51">
        <f t="shared" si="79"/>
        <v>0.1678457314738469</v>
      </c>
      <c r="E68" s="51">
        <f t="shared" si="79"/>
        <v>0.22056816785175856</v>
      </c>
      <c r="F68" s="51">
        <f t="shared" si="79"/>
        <v>0.22334364218141967</v>
      </c>
      <c r="G68" s="51">
        <f t="shared" si="79"/>
        <v>0.18340101105184928</v>
      </c>
      <c r="H68" s="51">
        <f t="shared" si="79"/>
        <v>0.10987774060062404</v>
      </c>
      <c r="I68" s="51">
        <f t="shared" si="79"/>
        <v>-0.19576682292828834</v>
      </c>
      <c r="J68" s="51">
        <f t="shared" si="79"/>
        <v>-0.37364744592107269</v>
      </c>
      <c r="K68" s="51">
        <f t="shared" si="79"/>
        <v>-0.17121646966582277</v>
      </c>
      <c r="L68" s="51">
        <f t="shared" si="79"/>
        <v>0.14083094170439661</v>
      </c>
      <c r="M68" s="51">
        <f t="shared" si="79"/>
        <v>0.19976736364760592</v>
      </c>
      <c r="N68" s="51">
        <f t="shared" si="79"/>
        <v>5.124693036595987E-2</v>
      </c>
      <c r="O68" s="51">
        <f t="shared" si="79"/>
        <v>0.12192630483032436</v>
      </c>
      <c r="Q68" s="51">
        <f t="shared" ref="Q68:S68" si="80">IFERROR(Q67/Q$8,)</f>
        <v>0.21506666723348719</v>
      </c>
      <c r="R68" s="51">
        <f t="shared" si="80"/>
        <v>0.16103233102364503</v>
      </c>
      <c r="S68" s="51">
        <f t="shared" si="80"/>
        <v>0.35821040859756942</v>
      </c>
      <c r="U68" s="51">
        <f t="shared" ref="U68:AF68" si="81">IFERROR(U67/U$8,)</f>
        <v>0.25413866317894196</v>
      </c>
      <c r="V68" s="51">
        <f t="shared" si="81"/>
        <v>0.21407956272874404</v>
      </c>
      <c r="W68" s="51">
        <f t="shared" si="81"/>
        <v>0.21627348307583896</v>
      </c>
      <c r="X68" s="51">
        <f t="shared" si="81"/>
        <v>0.21826151477943637</v>
      </c>
      <c r="Y68" s="51">
        <f t="shared" si="81"/>
        <v>0.21080438848960817</v>
      </c>
      <c r="Z68" s="51">
        <f t="shared" si="81"/>
        <v>0.19708742867283083</v>
      </c>
      <c r="AA68" s="51">
        <f t="shared" si="81"/>
        <v>0.17216008791498166</v>
      </c>
      <c r="AB68" s="51">
        <f t="shared" si="81"/>
        <v>0.14670752861164374</v>
      </c>
      <c r="AC68" s="51">
        <f t="shared" si="81"/>
        <v>0.12203980577785432</v>
      </c>
      <c r="AD68" s="51">
        <f t="shared" si="81"/>
        <v>0.12420474952995171</v>
      </c>
      <c r="AE68" s="51">
        <f t="shared" si="81"/>
        <v>0.13425993642374898</v>
      </c>
      <c r="AF68" s="51">
        <f t="shared" si="81"/>
        <v>0.12192630483032466</v>
      </c>
    </row>
    <row r="69" spans="1:33" s="44" customFormat="1" ht="15">
      <c r="A69" s="50"/>
      <c r="B69" s="50"/>
      <c r="C69" s="26"/>
      <c r="D69" s="26"/>
      <c r="E69" s="26"/>
      <c r="F69" s="26"/>
      <c r="G69" s="26"/>
      <c r="H69" s="26"/>
      <c r="I69" s="26"/>
      <c r="J69" s="26"/>
      <c r="K69" s="26"/>
      <c r="L69" s="26"/>
      <c r="M69" s="26"/>
      <c r="N69" s="26"/>
      <c r="O69" s="26"/>
      <c r="Q69" s="26"/>
      <c r="R69" s="26"/>
      <c r="S69" s="26"/>
      <c r="U69" s="26"/>
      <c r="V69" s="26"/>
      <c r="W69" s="26"/>
      <c r="X69" s="26"/>
      <c r="Y69" s="26"/>
      <c r="Z69" s="26"/>
      <c r="AA69" s="26"/>
      <c r="AB69" s="26"/>
      <c r="AC69" s="26"/>
      <c r="AD69" s="26"/>
      <c r="AE69" s="26"/>
      <c r="AF69" s="26"/>
    </row>
    <row r="70" spans="1:33" ht="15">
      <c r="A70" s="1" t="s">
        <v>4</v>
      </c>
      <c r="B70" s="1"/>
      <c r="D70" s="54"/>
      <c r="E70" s="33"/>
      <c r="F70" s="33"/>
      <c r="G70" s="33"/>
      <c r="H70" s="33"/>
      <c r="I70" s="33"/>
      <c r="J70" s="33"/>
      <c r="K70" s="33"/>
      <c r="L70" s="33"/>
      <c r="M70" s="33"/>
      <c r="N70" s="33"/>
      <c r="O70" s="33"/>
      <c r="Q70" s="33"/>
      <c r="R70" s="33"/>
      <c r="S70" s="33"/>
      <c r="U70" s="21"/>
      <c r="V70" s="54"/>
      <c r="W70" s="33"/>
      <c r="X70" s="33"/>
      <c r="Y70" s="33"/>
      <c r="Z70" s="33"/>
      <c r="AA70" s="33"/>
      <c r="AB70" s="33"/>
      <c r="AC70" s="33"/>
      <c r="AD70" s="33"/>
      <c r="AE70" s="33"/>
      <c r="AF70" s="33"/>
    </row>
    <row r="71" spans="1:33" s="53" customFormat="1" ht="15">
      <c r="A71" s="56" t="s">
        <v>206</v>
      </c>
      <c r="B71" s="57"/>
      <c r="C71" s="189">
        <v>8091</v>
      </c>
      <c r="D71" s="189">
        <v>7308</v>
      </c>
      <c r="E71" s="189">
        <v>8091</v>
      </c>
      <c r="F71" s="189">
        <v>7830</v>
      </c>
      <c r="G71" s="189">
        <v>8091</v>
      </c>
      <c r="H71" s="189">
        <v>7830</v>
      </c>
      <c r="I71" s="189">
        <v>8091</v>
      </c>
      <c r="J71" s="189">
        <v>8091</v>
      </c>
      <c r="K71" s="189">
        <v>7830</v>
      </c>
      <c r="L71" s="189">
        <v>8091</v>
      </c>
      <c r="M71" s="189">
        <v>7830</v>
      </c>
      <c r="N71" s="189">
        <v>8091</v>
      </c>
      <c r="O71" s="58">
        <f>SUM(C71:N71)</f>
        <v>95265</v>
      </c>
      <c r="Q71" s="58">
        <f>'TY Actual-Forecast'!C71</f>
        <v>8091</v>
      </c>
      <c r="R71" s="58">
        <f>'TY Actual-Forecast'!D71</f>
        <v>7308</v>
      </c>
      <c r="S71" s="58">
        <f>'TY Actual-Forecast'!E71</f>
        <v>8091</v>
      </c>
      <c r="U71" s="58">
        <f>C71</f>
        <v>8091</v>
      </c>
      <c r="V71" s="58">
        <f t="shared" ref="V71:AF72" si="82">U71+D71</f>
        <v>15399</v>
      </c>
      <c r="W71" s="58">
        <f t="shared" si="82"/>
        <v>23490</v>
      </c>
      <c r="X71" s="58">
        <f t="shared" si="82"/>
        <v>31320</v>
      </c>
      <c r="Y71" s="58">
        <f t="shared" si="82"/>
        <v>39411</v>
      </c>
      <c r="Z71" s="58">
        <f t="shared" si="82"/>
        <v>47241</v>
      </c>
      <c r="AA71" s="58">
        <f t="shared" si="82"/>
        <v>55332</v>
      </c>
      <c r="AB71" s="58">
        <f t="shared" si="82"/>
        <v>63423</v>
      </c>
      <c r="AC71" s="58">
        <f t="shared" si="82"/>
        <v>71253</v>
      </c>
      <c r="AD71" s="58">
        <f t="shared" si="82"/>
        <v>79344</v>
      </c>
      <c r="AE71" s="58">
        <f t="shared" si="82"/>
        <v>87174</v>
      </c>
      <c r="AF71" s="58">
        <f t="shared" si="82"/>
        <v>95265</v>
      </c>
      <c r="AG71" s="13" t="str">
        <f t="shared" ref="AG71:AG88" si="83">IF(O71=AF71, "Ok!", "Error!")</f>
        <v>Ok!</v>
      </c>
    </row>
    <row r="72" spans="1:33" s="53" customFormat="1" ht="15.75" customHeight="1">
      <c r="A72" s="56" t="s">
        <v>13</v>
      </c>
      <c r="B72" s="57"/>
      <c r="C72" s="189">
        <v>4424</v>
      </c>
      <c r="D72" s="189">
        <v>3705</v>
      </c>
      <c r="E72" s="189">
        <v>4498</v>
      </c>
      <c r="F72" s="189">
        <v>5098</v>
      </c>
      <c r="G72" s="189">
        <v>4772</v>
      </c>
      <c r="H72" s="189">
        <v>3813</v>
      </c>
      <c r="I72" s="189">
        <v>1935</v>
      </c>
      <c r="J72" s="189">
        <v>1505</v>
      </c>
      <c r="K72" s="189">
        <v>2808</v>
      </c>
      <c r="L72" s="189">
        <v>4244</v>
      </c>
      <c r="M72" s="189">
        <v>5396</v>
      </c>
      <c r="N72" s="189">
        <v>5734.9844000000003</v>
      </c>
      <c r="O72" s="58">
        <f>SUM(C72:N72)</f>
        <v>47932.984400000001</v>
      </c>
      <c r="Q72" s="58">
        <f>'TY Actual-Forecast'!C72</f>
        <v>5087</v>
      </c>
      <c r="R72" s="58">
        <f>'TY Actual-Forecast'!D72</f>
        <v>4259</v>
      </c>
      <c r="S72" s="58">
        <f>'TY Actual-Forecast'!E72</f>
        <v>4028</v>
      </c>
      <c r="U72" s="58">
        <f>C72</f>
        <v>4424</v>
      </c>
      <c r="V72" s="58">
        <f t="shared" si="82"/>
        <v>8129</v>
      </c>
      <c r="W72" s="58">
        <f t="shared" si="82"/>
        <v>12627</v>
      </c>
      <c r="X72" s="58">
        <f t="shared" si="82"/>
        <v>17725</v>
      </c>
      <c r="Y72" s="58">
        <f t="shared" si="82"/>
        <v>22497</v>
      </c>
      <c r="Z72" s="58">
        <f t="shared" si="82"/>
        <v>26310</v>
      </c>
      <c r="AA72" s="58">
        <f t="shared" si="82"/>
        <v>28245</v>
      </c>
      <c r="AB72" s="58">
        <f t="shared" si="82"/>
        <v>29750</v>
      </c>
      <c r="AC72" s="58">
        <f t="shared" si="82"/>
        <v>32558</v>
      </c>
      <c r="AD72" s="58">
        <f t="shared" si="82"/>
        <v>36802</v>
      </c>
      <c r="AE72" s="58">
        <f t="shared" si="82"/>
        <v>42198</v>
      </c>
      <c r="AF72" s="58">
        <f t="shared" si="82"/>
        <v>47932.984400000001</v>
      </c>
      <c r="AG72" s="13" t="str">
        <f t="shared" si="83"/>
        <v>Ok!</v>
      </c>
    </row>
    <row r="73" spans="1:33" s="62" customFormat="1" ht="15">
      <c r="A73" s="59" t="s">
        <v>198</v>
      </c>
      <c r="B73" s="60"/>
      <c r="C73" s="61">
        <f>IFERROR(C72/C71,)</f>
        <v>0.54678037325423312</v>
      </c>
      <c r="D73" s="61">
        <f t="shared" ref="D73:O73" si="84">IFERROR(D72/D71,)</f>
        <v>0.50697865353037763</v>
      </c>
      <c r="E73" s="61">
        <f t="shared" si="84"/>
        <v>0.55592633790631563</v>
      </c>
      <c r="F73" s="61">
        <f t="shared" si="84"/>
        <v>0.65108556832694764</v>
      </c>
      <c r="G73" s="61">
        <f t="shared" si="84"/>
        <v>0.58979112594240513</v>
      </c>
      <c r="H73" s="61">
        <f t="shared" si="84"/>
        <v>0.48697318007662838</v>
      </c>
      <c r="I73" s="61">
        <f t="shared" si="84"/>
        <v>0.23915461624026696</v>
      </c>
      <c r="J73" s="61">
        <f t="shared" si="84"/>
        <v>0.1860091459646521</v>
      </c>
      <c r="K73" s="61">
        <f t="shared" si="84"/>
        <v>0.35862068965517241</v>
      </c>
      <c r="L73" s="61">
        <f t="shared" si="84"/>
        <v>0.52453343220862692</v>
      </c>
      <c r="M73" s="61">
        <f t="shared" si="84"/>
        <v>0.68914431673052368</v>
      </c>
      <c r="N73" s="61">
        <f t="shared" si="84"/>
        <v>0.7088103324681746</v>
      </c>
      <c r="O73" s="61">
        <f t="shared" si="84"/>
        <v>0.50315419513987303</v>
      </c>
      <c r="Q73" s="61">
        <f t="shared" ref="Q73:S73" si="85">IFERROR(Q72/Q71,)</f>
        <v>0.62872327277221607</v>
      </c>
      <c r="R73" s="61">
        <f t="shared" si="85"/>
        <v>0.58278598795840175</v>
      </c>
      <c r="S73" s="61">
        <f t="shared" si="85"/>
        <v>0.49783710295389938</v>
      </c>
      <c r="U73" s="61">
        <f>IFERROR(U72/U71,)</f>
        <v>0.54678037325423312</v>
      </c>
      <c r="V73" s="61">
        <f t="shared" ref="V73:AF73" si="86">IFERROR(V72/V71,)</f>
        <v>0.52789142152087798</v>
      </c>
      <c r="W73" s="61">
        <f t="shared" si="86"/>
        <v>0.53754789272030656</v>
      </c>
      <c r="X73" s="61">
        <f t="shared" si="86"/>
        <v>0.56593231162196678</v>
      </c>
      <c r="Y73" s="61">
        <f t="shared" si="86"/>
        <v>0.57083047880033488</v>
      </c>
      <c r="Z73" s="61">
        <f t="shared" si="86"/>
        <v>0.55693147901187523</v>
      </c>
      <c r="AA73" s="61">
        <f t="shared" si="86"/>
        <v>0.51046410756885707</v>
      </c>
      <c r="AB73" s="61">
        <f t="shared" si="86"/>
        <v>0.46907273386626303</v>
      </c>
      <c r="AC73" s="61">
        <f t="shared" si="86"/>
        <v>0.45693514659031903</v>
      </c>
      <c r="AD73" s="61">
        <f t="shared" si="86"/>
        <v>0.46382839282113331</v>
      </c>
      <c r="AE73" s="61">
        <f t="shared" si="86"/>
        <v>0.48406635005850368</v>
      </c>
      <c r="AF73" s="61">
        <f t="shared" si="86"/>
        <v>0.50315419513987303</v>
      </c>
      <c r="AG73" s="13" t="str">
        <f t="shared" si="83"/>
        <v>Ok!</v>
      </c>
    </row>
    <row r="74" spans="1:33" ht="15">
      <c r="A74" s="63" t="s">
        <v>199</v>
      </c>
      <c r="B74" s="64"/>
      <c r="C74" s="58">
        <f>IFERROR(SUM(C11:C12)/C72,)</f>
        <v>4195.583523869801</v>
      </c>
      <c r="D74" s="58">
        <f t="shared" ref="D74:O74" si="87">IFERROR(SUM(D11:D12)/D72,)</f>
        <v>3840.4998443021213</v>
      </c>
      <c r="E74" s="58">
        <f t="shared" si="87"/>
        <v>3530.582900359193</v>
      </c>
      <c r="F74" s="58">
        <f t="shared" si="87"/>
        <v>3715.0668207008002</v>
      </c>
      <c r="G74" s="58">
        <f t="shared" si="87"/>
        <v>3584.9872906194469</v>
      </c>
      <c r="H74" s="58">
        <f t="shared" si="87"/>
        <v>3420.2941495148179</v>
      </c>
      <c r="I74" s="58">
        <f t="shared" si="87"/>
        <v>3437.5467311493544</v>
      </c>
      <c r="J74" s="58">
        <f t="shared" si="87"/>
        <v>3756.6854318272426</v>
      </c>
      <c r="K74" s="58">
        <f t="shared" si="87"/>
        <v>3479.5297973543588</v>
      </c>
      <c r="L74" s="58">
        <f t="shared" si="87"/>
        <v>3713.3340740718754</v>
      </c>
      <c r="M74" s="58">
        <f t="shared" si="87"/>
        <v>3885.2887396034102</v>
      </c>
      <c r="N74" s="58">
        <f t="shared" si="87"/>
        <v>4723.3620731288402</v>
      </c>
      <c r="O74" s="58">
        <f t="shared" si="87"/>
        <v>3831.3539003900482</v>
      </c>
      <c r="P74" s="53"/>
      <c r="Q74" s="58">
        <f t="shared" ref="Q74:S74" si="88">IFERROR(Q10/Q72,)</f>
        <v>4181.2114861411446</v>
      </c>
      <c r="R74" s="58">
        <f t="shared" si="88"/>
        <v>4093.5963794317909</v>
      </c>
      <c r="S74" s="58">
        <f t="shared" si="88"/>
        <v>4786.711968718967</v>
      </c>
      <c r="T74" s="53"/>
      <c r="U74" s="58">
        <f t="shared" ref="U74:AF74" si="89">IFERROR(SUM(U11:U12)/U72,)</f>
        <v>4195.583523869801</v>
      </c>
      <c r="V74" s="58">
        <f t="shared" si="89"/>
        <v>4033.7450403173038</v>
      </c>
      <c r="W74" s="58">
        <f t="shared" si="89"/>
        <v>3854.5082219493952</v>
      </c>
      <c r="X74" s="58">
        <f t="shared" si="89"/>
        <v>3814.4025935395025</v>
      </c>
      <c r="Y74" s="58">
        <f t="shared" si="89"/>
        <v>3765.7396684590699</v>
      </c>
      <c r="Z74" s="58">
        <f t="shared" si="89"/>
        <v>3715.6756713577988</v>
      </c>
      <c r="AA74" s="58">
        <f t="shared" si="89"/>
        <v>3696.6216972277457</v>
      </c>
      <c r="AB74" s="58">
        <f t="shared" si="89"/>
        <v>3699.6602155663086</v>
      </c>
      <c r="AC74" s="58">
        <f t="shared" si="89"/>
        <v>3680.6748290456635</v>
      </c>
      <c r="AD74" s="58">
        <f t="shared" si="89"/>
        <v>3684.4410872895432</v>
      </c>
      <c r="AE74" s="58">
        <f t="shared" si="89"/>
        <v>3710.1241512235119</v>
      </c>
      <c r="AF74" s="58">
        <f t="shared" si="89"/>
        <v>3831.3539003900482</v>
      </c>
      <c r="AG74" s="13" t="str">
        <f t="shared" si="83"/>
        <v>Ok!</v>
      </c>
    </row>
    <row r="75" spans="1:33" ht="15">
      <c r="A75" s="63" t="s">
        <v>200</v>
      </c>
      <c r="B75" s="64"/>
      <c r="C75" s="58">
        <f>IFERROR(SUM(C11:C12)/C71,)</f>
        <v>2294.0627252008403</v>
      </c>
      <c r="D75" s="58">
        <f t="shared" ref="D75:O75" si="90">IFERROR(SUM(D11:D12)/D71,)</f>
        <v>1947.0514399479146</v>
      </c>
      <c r="E75" s="58">
        <f t="shared" si="90"/>
        <v>1962.7440224713448</v>
      </c>
      <c r="F75" s="58">
        <f t="shared" si="90"/>
        <v>2418.8263923285667</v>
      </c>
      <c r="G75" s="58">
        <f t="shared" si="90"/>
        <v>2114.3936906236559</v>
      </c>
      <c r="H75" s="58">
        <f t="shared" si="90"/>
        <v>1665.5915187867176</v>
      </c>
      <c r="I75" s="58">
        <f t="shared" si="90"/>
        <v>822.10516929600794</v>
      </c>
      <c r="J75" s="58">
        <f t="shared" si="90"/>
        <v>698.7778488320356</v>
      </c>
      <c r="K75" s="58">
        <f t="shared" si="90"/>
        <v>1247.8313756029424</v>
      </c>
      <c r="L75" s="58">
        <f t="shared" si="90"/>
        <v>1947.7678668101642</v>
      </c>
      <c r="M75" s="58">
        <f t="shared" si="90"/>
        <v>2677.5246537547896</v>
      </c>
      <c r="N75" s="58">
        <f t="shared" si="90"/>
        <v>3347.9678414220193</v>
      </c>
      <c r="O75" s="58">
        <f t="shared" si="90"/>
        <v>1927.7617880467681</v>
      </c>
      <c r="P75" s="53"/>
      <c r="Q75" s="58">
        <f t="shared" ref="Q75:S75" si="91">IFERROR(SUM(Q11:Q12)/Q71,)</f>
        <v>2606.5499703374121</v>
      </c>
      <c r="R75" s="58">
        <f t="shared" si="91"/>
        <v>2368.7692857142852</v>
      </c>
      <c r="S75" s="58">
        <f t="shared" si="91"/>
        <v>2372.0210975157584</v>
      </c>
      <c r="T75" s="53"/>
      <c r="U75" s="58">
        <f t="shared" ref="U75:AF75" si="92">IFERROR(SUM(U11:U12)/U71,)</f>
        <v>2294.0627252008403</v>
      </c>
      <c r="V75" s="58">
        <f t="shared" si="92"/>
        <v>2129.3794033858926</v>
      </c>
      <c r="W75" s="58">
        <f t="shared" si="92"/>
        <v>2071.9827721819929</v>
      </c>
      <c r="X75" s="58">
        <f t="shared" si="92"/>
        <v>2158.6936772186364</v>
      </c>
      <c r="Y75" s="58">
        <f t="shared" si="92"/>
        <v>2149.5989779839051</v>
      </c>
      <c r="Z75" s="58">
        <f t="shared" si="92"/>
        <v>2069.3767471777414</v>
      </c>
      <c r="AA75" s="58">
        <f t="shared" si="92"/>
        <v>1886.9926956950351</v>
      </c>
      <c r="AB75" s="58">
        <f t="shared" si="92"/>
        <v>1735.4097316919363</v>
      </c>
      <c r="AC75" s="58">
        <f t="shared" si="92"/>
        <v>1681.8296925612776</v>
      </c>
      <c r="AD75" s="58">
        <f t="shared" si="92"/>
        <v>1708.9483879616578</v>
      </c>
      <c r="AE75" s="58">
        <f t="shared" si="92"/>
        <v>1795.9462561466694</v>
      </c>
      <c r="AF75" s="58">
        <f t="shared" si="92"/>
        <v>1927.7617880467681</v>
      </c>
      <c r="AG75" s="13" t="str">
        <f t="shared" si="83"/>
        <v>Ok!</v>
      </c>
    </row>
    <row r="76" spans="1:33" ht="15.75" customHeight="1">
      <c r="A76" s="63" t="s">
        <v>26</v>
      </c>
      <c r="B76" s="64"/>
      <c r="C76" s="31">
        <f>C10-C22</f>
        <v>15515859.348766666</v>
      </c>
      <c r="D76" s="31">
        <f t="shared" ref="D76:N76" si="93">D10-D22</f>
        <v>11301999.943139359</v>
      </c>
      <c r="E76" s="31">
        <f t="shared" si="93"/>
        <v>13247090.756648984</v>
      </c>
      <c r="F76" s="31">
        <f t="shared" si="93"/>
        <v>16032849.617766012</v>
      </c>
      <c r="G76" s="31">
        <f t="shared" si="93"/>
        <v>13775293.711669335</v>
      </c>
      <c r="H76" s="31">
        <f t="shared" si="93"/>
        <v>10386655.9496</v>
      </c>
      <c r="I76" s="31">
        <f t="shared" si="93"/>
        <v>4748312.9722739998</v>
      </c>
      <c r="J76" s="31">
        <f t="shared" si="93"/>
        <v>3943555.1549000004</v>
      </c>
      <c r="K76" s="31">
        <f t="shared" si="93"/>
        <v>7223736.5834710393</v>
      </c>
      <c r="L76" s="31">
        <f t="shared" si="93"/>
        <v>13463961.880361037</v>
      </c>
      <c r="M76" s="31">
        <f t="shared" si="93"/>
        <v>17898841.838066667</v>
      </c>
      <c r="N76" s="31">
        <f t="shared" si="93"/>
        <v>24843112.074945558</v>
      </c>
      <c r="O76" s="31">
        <f>O10-O22</f>
        <v>152381269.83160868</v>
      </c>
      <c r="Q76" s="31">
        <f t="shared" ref="Q76:S76" si="94">Q10-Q22</f>
        <v>17512388.950000003</v>
      </c>
      <c r="R76" s="31">
        <f t="shared" si="94"/>
        <v>14194953.109999996</v>
      </c>
      <c r="S76" s="31">
        <f t="shared" si="94"/>
        <v>16067527.049999999</v>
      </c>
      <c r="U76" s="31">
        <f>U10-U22</f>
        <v>15515859.348766666</v>
      </c>
      <c r="V76" s="31">
        <f t="shared" ref="V76:AF76" si="95">V10-V22</f>
        <v>26817859.291906029</v>
      </c>
      <c r="W76" s="31">
        <f t="shared" si="95"/>
        <v>40064950.048555009</v>
      </c>
      <c r="X76" s="31">
        <f t="shared" si="95"/>
        <v>56097799.666321017</v>
      </c>
      <c r="Y76" s="31">
        <f t="shared" si="95"/>
        <v>69873093.377990365</v>
      </c>
      <c r="Z76" s="31">
        <f t="shared" si="95"/>
        <v>80259749.327590346</v>
      </c>
      <c r="AA76" s="31">
        <f t="shared" si="95"/>
        <v>85008062.299864352</v>
      </c>
      <c r="AB76" s="31">
        <f t="shared" si="95"/>
        <v>88951617.454764336</v>
      </c>
      <c r="AC76" s="31">
        <f t="shared" si="95"/>
        <v>96175354.038235381</v>
      </c>
      <c r="AD76" s="31">
        <f t="shared" si="95"/>
        <v>109639315.91859643</v>
      </c>
      <c r="AE76" s="31">
        <f t="shared" si="95"/>
        <v>127538157.75666308</v>
      </c>
      <c r="AF76" s="31">
        <f t="shared" si="95"/>
        <v>152381269.83160868</v>
      </c>
      <c r="AG76" s="13" t="str">
        <f t="shared" si="83"/>
        <v>Ok!</v>
      </c>
    </row>
    <row r="77" spans="1:33" ht="15">
      <c r="A77" s="63" t="s">
        <v>27</v>
      </c>
      <c r="B77" s="64"/>
      <c r="C77" s="61">
        <f>IFERROR(C76/C10,)</f>
        <v>0.83029664889886468</v>
      </c>
      <c r="D77" s="61">
        <f t="shared" ref="D77:N77" si="96">IFERROR(D76/D10,)</f>
        <v>0.78813111223348542</v>
      </c>
      <c r="E77" s="61">
        <f t="shared" si="96"/>
        <v>0.8302122000463783</v>
      </c>
      <c r="F77" s="61">
        <f t="shared" si="96"/>
        <v>0.83813725450651066</v>
      </c>
      <c r="G77" s="61">
        <f t="shared" si="96"/>
        <v>0.79466264781913565</v>
      </c>
      <c r="H77" s="61">
        <f t="shared" si="96"/>
        <v>0.78014119076150612</v>
      </c>
      <c r="I77" s="61">
        <f t="shared" si="96"/>
        <v>0.70890563347279123</v>
      </c>
      <c r="J77" s="61">
        <f t="shared" si="96"/>
        <v>0.69122899940359839</v>
      </c>
      <c r="K77" s="61">
        <f t="shared" si="96"/>
        <v>0.72232492518123614</v>
      </c>
      <c r="L77" s="61">
        <f t="shared" si="96"/>
        <v>0.79957323382755396</v>
      </c>
      <c r="M77" s="61">
        <f t="shared" si="96"/>
        <v>0.82152437138644696</v>
      </c>
      <c r="N77" s="61">
        <f t="shared" si="96"/>
        <v>0.85578872162861608</v>
      </c>
      <c r="O77" s="61">
        <f>IFERROR(O76/O10,)</f>
        <v>0.80701415271635479</v>
      </c>
      <c r="Q77" s="61">
        <f t="shared" ref="Q77:S77" si="97">IFERROR(Q76/Q10,)</f>
        <v>0.82334437338611355</v>
      </c>
      <c r="R77" s="61">
        <f t="shared" si="97"/>
        <v>0.81418163556258649</v>
      </c>
      <c r="S77" s="61">
        <f t="shared" si="97"/>
        <v>0.83334010385910995</v>
      </c>
      <c r="U77" s="61">
        <f>IFERROR(U76/U10,)</f>
        <v>0.83029664889886468</v>
      </c>
      <c r="V77" s="61">
        <f t="shared" ref="V77:AF77" si="98">IFERROR(V76/V10,)</f>
        <v>0.81198867332416735</v>
      </c>
      <c r="W77" s="61">
        <f t="shared" si="98"/>
        <v>0.817924929964989</v>
      </c>
      <c r="X77" s="61">
        <f t="shared" si="98"/>
        <v>0.82360146233516962</v>
      </c>
      <c r="Y77" s="61">
        <f t="shared" si="98"/>
        <v>0.81773063776855115</v>
      </c>
      <c r="Z77" s="61">
        <f t="shared" si="98"/>
        <v>0.81266328296826618</v>
      </c>
      <c r="AA77" s="61">
        <f t="shared" si="98"/>
        <v>0.80607328252923227</v>
      </c>
      <c r="AB77" s="61">
        <f t="shared" si="98"/>
        <v>0.80017930041607066</v>
      </c>
      <c r="AC77" s="61">
        <f t="shared" si="98"/>
        <v>0.79375339798146127</v>
      </c>
      <c r="AD77" s="61">
        <f t="shared" si="98"/>
        <v>0.79446352004125642</v>
      </c>
      <c r="AE77" s="61">
        <f t="shared" si="98"/>
        <v>0.79815322865015925</v>
      </c>
      <c r="AF77" s="61">
        <f t="shared" si="98"/>
        <v>0.80701415271635479</v>
      </c>
      <c r="AG77" s="13" t="str">
        <f t="shared" si="83"/>
        <v>Ok!</v>
      </c>
    </row>
    <row r="78" spans="1:33" ht="15">
      <c r="A78" s="63" t="s">
        <v>28</v>
      </c>
      <c r="B78" s="64"/>
      <c r="C78" s="189">
        <v>31409.5236</v>
      </c>
      <c r="D78" s="189">
        <v>29622.1185</v>
      </c>
      <c r="E78" s="189">
        <v>34767</v>
      </c>
      <c r="F78" s="189">
        <v>42421</v>
      </c>
      <c r="G78" s="189">
        <v>38912</v>
      </c>
      <c r="H78" s="189">
        <v>27085</v>
      </c>
      <c r="I78" s="189">
        <v>13000</v>
      </c>
      <c r="J78" s="189">
        <v>9413</v>
      </c>
      <c r="K78" s="189">
        <v>18994</v>
      </c>
      <c r="L78" s="189">
        <v>31031</v>
      </c>
      <c r="M78" s="189">
        <v>49004</v>
      </c>
      <c r="N78" s="189">
        <v>46207</v>
      </c>
      <c r="O78" s="58">
        <f>SUM(C78:N78)</f>
        <v>371865.6421</v>
      </c>
      <c r="Q78" s="58">
        <f>'TY Actual-Forecast'!C78</f>
        <v>38993</v>
      </c>
      <c r="R78" s="58">
        <f>'TY Actual-Forecast'!D78</f>
        <v>33312</v>
      </c>
      <c r="S78" s="58">
        <f>'TY Actual-Forecast'!E78</f>
        <v>39574</v>
      </c>
      <c r="U78" s="58">
        <f>C78</f>
        <v>31409.5236</v>
      </c>
      <c r="V78" s="58">
        <f t="shared" ref="V78:AF78" si="99">U78+D78</f>
        <v>61031.642099999997</v>
      </c>
      <c r="W78" s="58">
        <f t="shared" si="99"/>
        <v>95798.642099999997</v>
      </c>
      <c r="X78" s="58">
        <f t="shared" si="99"/>
        <v>138219.6421</v>
      </c>
      <c r="Y78" s="58">
        <f t="shared" si="99"/>
        <v>177131.6421</v>
      </c>
      <c r="Z78" s="58">
        <f t="shared" si="99"/>
        <v>204216.6421</v>
      </c>
      <c r="AA78" s="58">
        <f t="shared" si="99"/>
        <v>217216.6421</v>
      </c>
      <c r="AB78" s="58">
        <f t="shared" si="99"/>
        <v>226629.6421</v>
      </c>
      <c r="AC78" s="58">
        <f t="shared" si="99"/>
        <v>245623.6421</v>
      </c>
      <c r="AD78" s="58">
        <f t="shared" si="99"/>
        <v>276654.6421</v>
      </c>
      <c r="AE78" s="58">
        <f t="shared" si="99"/>
        <v>325658.6421</v>
      </c>
      <c r="AF78" s="58">
        <f t="shared" si="99"/>
        <v>371865.6421</v>
      </c>
      <c r="AG78" s="13" t="str">
        <f t="shared" si="83"/>
        <v>Ok!</v>
      </c>
    </row>
    <row r="79" spans="1:33" ht="15.75" customHeight="1">
      <c r="A79" s="63" t="s">
        <v>29</v>
      </c>
      <c r="B79" s="64"/>
      <c r="C79" s="58">
        <f>IFERROR((C15+C16)/C78,)</f>
        <v>525.97661968219347</v>
      </c>
      <c r="D79" s="58">
        <f t="shared" ref="D79:N79" si="100">IFERROR((D15+D16)/D78,)</f>
        <v>512.10479826147764</v>
      </c>
      <c r="E79" s="58">
        <f t="shared" si="100"/>
        <v>480.64786622220157</v>
      </c>
      <c r="F79" s="58">
        <f t="shared" si="100"/>
        <v>459.93831450217959</v>
      </c>
      <c r="G79" s="58">
        <f t="shared" si="100"/>
        <v>501.46174579062654</v>
      </c>
      <c r="H79" s="58">
        <f t="shared" si="100"/>
        <v>505.82921348347793</v>
      </c>
      <c r="I79" s="58">
        <f t="shared" si="100"/>
        <v>498.30323530188002</v>
      </c>
      <c r="J79" s="58">
        <f t="shared" si="100"/>
        <v>488.7626297460958</v>
      </c>
      <c r="K79" s="58">
        <f t="shared" si="100"/>
        <v>484.39185133753341</v>
      </c>
      <c r="L79" s="58">
        <f t="shared" si="100"/>
        <v>478.36488077081759</v>
      </c>
      <c r="M79" s="58">
        <f t="shared" si="100"/>
        <v>446.71602409618112</v>
      </c>
      <c r="N79" s="58">
        <f t="shared" si="100"/>
        <v>589.64316884779362</v>
      </c>
      <c r="O79" s="58">
        <f>IFERROR((O15+O16)/O78,)</f>
        <v>498.52724334629602</v>
      </c>
      <c r="Q79" s="58">
        <f t="shared" ref="Q79:S79" si="101">IFERROR((Q15+Q16)/Q78,)</f>
        <v>511.47265098863892</v>
      </c>
      <c r="R79" s="58">
        <f t="shared" si="101"/>
        <v>520.51864463256481</v>
      </c>
      <c r="S79" s="58">
        <f t="shared" si="101"/>
        <v>485.82692449588114</v>
      </c>
      <c r="U79" s="58">
        <f>IFERROR((U15+U16)/U78,)</f>
        <v>525.97661968219347</v>
      </c>
      <c r="V79" s="58">
        <f t="shared" ref="V79:AF79" si="102">IFERROR((V15+V16)/V78,)</f>
        <v>519.24383773832892</v>
      </c>
      <c r="W79" s="58">
        <f t="shared" si="102"/>
        <v>505.23668573401881</v>
      </c>
      <c r="X79" s="58">
        <f t="shared" si="102"/>
        <v>491.33415945895007</v>
      </c>
      <c r="Y79" s="58">
        <f t="shared" si="102"/>
        <v>493.55897166452831</v>
      </c>
      <c r="Z79" s="58">
        <f t="shared" si="102"/>
        <v>495.18635862108937</v>
      </c>
      <c r="AA79" s="58">
        <f t="shared" si="102"/>
        <v>495.37289772075752</v>
      </c>
      <c r="AB79" s="58">
        <f t="shared" si="102"/>
        <v>495.09834205421311</v>
      </c>
      <c r="AC79" s="58">
        <f t="shared" si="102"/>
        <v>494.27041245047479</v>
      </c>
      <c r="AD79" s="58">
        <f t="shared" si="102"/>
        <v>492.48636664591157</v>
      </c>
      <c r="AE79" s="58">
        <f t="shared" si="102"/>
        <v>485.59900185238564</v>
      </c>
      <c r="AF79" s="58">
        <f t="shared" si="102"/>
        <v>498.52724334629602</v>
      </c>
      <c r="AG79" s="13" t="str">
        <f t="shared" si="83"/>
        <v>Ok!</v>
      </c>
    </row>
    <row r="80" spans="1:33" ht="15">
      <c r="A80" s="63" t="s">
        <v>33</v>
      </c>
      <c r="B80" s="64"/>
      <c r="C80" s="31">
        <f t="shared" ref="C80:M80" si="103">C14-C23</f>
        <v>8546470.5031227469</v>
      </c>
      <c r="D80" s="31">
        <f t="shared" si="103"/>
        <v>7663875.8543534167</v>
      </c>
      <c r="E80" s="31">
        <f t="shared" si="103"/>
        <v>9467283.0482806154</v>
      </c>
      <c r="F80" s="31">
        <f t="shared" si="103"/>
        <v>10434213.706996962</v>
      </c>
      <c r="G80" s="31">
        <f t="shared" si="103"/>
        <v>10574411.116371525</v>
      </c>
      <c r="H80" s="31">
        <f t="shared" si="103"/>
        <v>6881502.7496999996</v>
      </c>
      <c r="I80" s="31">
        <f t="shared" si="103"/>
        <v>2273321.3964244397</v>
      </c>
      <c r="J80" s="31">
        <f t="shared" si="103"/>
        <v>738667.04046666622</v>
      </c>
      <c r="K80" s="31">
        <f t="shared" si="103"/>
        <v>3550017.3143051099</v>
      </c>
      <c r="L80" s="31">
        <f t="shared" si="103"/>
        <v>8369682.8751992397</v>
      </c>
      <c r="M80" s="31">
        <f t="shared" si="103"/>
        <v>11990708.95480926</v>
      </c>
      <c r="N80" s="31">
        <f>N14-N23</f>
        <v>15205413.492950002</v>
      </c>
      <c r="O80" s="31">
        <f>O14-O23</f>
        <v>95695568.052979961</v>
      </c>
      <c r="Q80" s="31">
        <f t="shared" ref="Q80:S80" si="104">Q14-Q23</f>
        <v>10803067.43</v>
      </c>
      <c r="R80" s="31">
        <f t="shared" si="104"/>
        <v>9235374.5</v>
      </c>
      <c r="S80" s="31">
        <f t="shared" si="104"/>
        <v>16657471.65</v>
      </c>
      <c r="U80" s="31">
        <f t="shared" ref="U80:AE80" si="105">U14-U23</f>
        <v>8546470.5031227469</v>
      </c>
      <c r="V80" s="31">
        <f t="shared" si="105"/>
        <v>16210346.35747616</v>
      </c>
      <c r="W80" s="31">
        <f t="shared" si="105"/>
        <v>25677629.405756772</v>
      </c>
      <c r="X80" s="31">
        <f t="shared" si="105"/>
        <v>36111843.112753734</v>
      </c>
      <c r="Y80" s="31">
        <f t="shared" si="105"/>
        <v>46686254.229125269</v>
      </c>
      <c r="Z80" s="31">
        <f t="shared" si="105"/>
        <v>53567756.978825256</v>
      </c>
      <c r="AA80" s="31">
        <f t="shared" si="105"/>
        <v>55841078.375249691</v>
      </c>
      <c r="AB80" s="31">
        <f t="shared" si="105"/>
        <v>56579745.415716358</v>
      </c>
      <c r="AC80" s="31">
        <f t="shared" si="105"/>
        <v>60129762.730021477</v>
      </c>
      <c r="AD80" s="31">
        <f t="shared" si="105"/>
        <v>68499445.605220705</v>
      </c>
      <c r="AE80" s="31">
        <f t="shared" si="105"/>
        <v>80490154.560029969</v>
      </c>
      <c r="AF80" s="31">
        <f>AF14-AF23</f>
        <v>95695568.052979976</v>
      </c>
      <c r="AG80" s="13" t="str">
        <f t="shared" si="83"/>
        <v>Ok!</v>
      </c>
    </row>
    <row r="81" spans="1:33" ht="15.75" customHeight="1">
      <c r="A81" s="63" t="s">
        <v>34</v>
      </c>
      <c r="B81" s="64"/>
      <c r="C81" s="61">
        <f>IFERROR(C80/C14,)</f>
        <v>0.48872035719290219</v>
      </c>
      <c r="D81" s="61">
        <f t="shared" ref="D81:M81" si="106">IFERROR(D80/D14,)</f>
        <v>0.47131990116997902</v>
      </c>
      <c r="E81" s="61">
        <f t="shared" si="106"/>
        <v>0.52411065897656162</v>
      </c>
      <c r="F81" s="61">
        <f t="shared" si="106"/>
        <v>0.50215275282206195</v>
      </c>
      <c r="G81" s="61">
        <f t="shared" si="106"/>
        <v>0.5036517509525662</v>
      </c>
      <c r="H81" s="61">
        <f t="shared" si="106"/>
        <v>0.46896660676638791</v>
      </c>
      <c r="I81" s="61">
        <f t="shared" si="106"/>
        <v>0.3189495860045124</v>
      </c>
      <c r="J81" s="61">
        <f t="shared" si="106"/>
        <v>0.15565404492083296</v>
      </c>
      <c r="K81" s="61">
        <f t="shared" si="106"/>
        <v>0.36530453113158845</v>
      </c>
      <c r="L81" s="61">
        <f t="shared" si="106"/>
        <v>0.52297098484844273</v>
      </c>
      <c r="M81" s="61">
        <f t="shared" si="106"/>
        <v>0.52742319762850098</v>
      </c>
      <c r="N81" s="61">
        <f>IFERROR(N80/N14,)</f>
        <v>0.52009839283276926</v>
      </c>
      <c r="O81" s="61">
        <f>IFERROR(O80/O14,)</f>
        <v>0.48373861825876407</v>
      </c>
      <c r="Q81" s="61">
        <f t="shared" ref="Q81:S81" si="107">IFERROR(Q80/Q14,)</f>
        <v>0.50690181957595182</v>
      </c>
      <c r="R81" s="61">
        <f t="shared" si="107"/>
        <v>0.49643788492866275</v>
      </c>
      <c r="S81" s="61">
        <f t="shared" si="107"/>
        <v>0.62543120072237446</v>
      </c>
      <c r="U81" s="61">
        <f>IFERROR(U80/U14,)</f>
        <v>0.48872035719290219</v>
      </c>
      <c r="V81" s="61">
        <f t="shared" ref="V81:AE81" si="108">IFERROR(V80/V14,)</f>
        <v>0.48033644808503118</v>
      </c>
      <c r="W81" s="61">
        <f t="shared" si="108"/>
        <v>0.49559787728840765</v>
      </c>
      <c r="X81" s="61">
        <f t="shared" si="108"/>
        <v>0.49747420737698017</v>
      </c>
      <c r="Y81" s="61">
        <f t="shared" si="108"/>
        <v>0.49886010581198559</v>
      </c>
      <c r="Z81" s="61">
        <f t="shared" si="108"/>
        <v>0.49480827212895279</v>
      </c>
      <c r="AA81" s="61">
        <f t="shared" si="108"/>
        <v>0.48394538720212815</v>
      </c>
      <c r="AB81" s="61">
        <f t="shared" si="108"/>
        <v>0.47097698602621674</v>
      </c>
      <c r="AC81" s="61">
        <f t="shared" si="108"/>
        <v>0.46306850704653391</v>
      </c>
      <c r="AD81" s="61">
        <f t="shared" si="108"/>
        <v>0.46964138393935684</v>
      </c>
      <c r="AE81" s="61">
        <f t="shared" si="108"/>
        <v>0.47743334530609011</v>
      </c>
      <c r="AF81" s="61">
        <f>IFERROR(AF80/AF14,)</f>
        <v>0.48373861825876419</v>
      </c>
      <c r="AG81" s="13" t="str">
        <f t="shared" si="83"/>
        <v>Ok!</v>
      </c>
    </row>
    <row r="82" spans="1:33" ht="15.75" customHeight="1">
      <c r="A82" s="63" t="s">
        <v>203</v>
      </c>
      <c r="B82" s="64"/>
      <c r="C82" s="32">
        <f>IFERROR(C24/(C15+C16),)</f>
        <v>0.28208823405763178</v>
      </c>
      <c r="D82" s="32">
        <f t="shared" ref="D82:O82" si="109">IFERROR(D24/(D15+D16),)</f>
        <v>0.2957226201460294</v>
      </c>
      <c r="E82" s="32">
        <f t="shared" si="109"/>
        <v>0.27246002560795557</v>
      </c>
      <c r="F82" s="32">
        <f t="shared" si="109"/>
        <v>0.28899556321957981</v>
      </c>
      <c r="G82" s="32">
        <f t="shared" si="109"/>
        <v>0.30624832406909402</v>
      </c>
      <c r="H82" s="32">
        <f t="shared" si="109"/>
        <v>0.28860221061377067</v>
      </c>
      <c r="I82" s="32">
        <f t="shared" si="109"/>
        <v>0.3394347849979199</v>
      </c>
      <c r="J82" s="32">
        <f t="shared" si="109"/>
        <v>0.35397640536632163</v>
      </c>
      <c r="K82" s="32">
        <f t="shared" si="109"/>
        <v>0.30379226297228329</v>
      </c>
      <c r="L82" s="32">
        <f t="shared" si="109"/>
        <v>0.28604705722420215</v>
      </c>
      <c r="M82" s="32">
        <f t="shared" si="109"/>
        <v>0.27443911360418111</v>
      </c>
      <c r="N82" s="32">
        <f>IFERROR(N24/(N15+N16),)</f>
        <v>0.28824818802120672</v>
      </c>
      <c r="O82" s="32">
        <f t="shared" si="109"/>
        <v>0.2912715259271344</v>
      </c>
      <c r="Q82" s="32">
        <f t="shared" ref="Q82:S82" si="110">IFERROR(Q24/(Q15+Q16),)</f>
        <v>0.28130402823845913</v>
      </c>
      <c r="R82" s="32">
        <f t="shared" si="110"/>
        <v>0.28174161048680046</v>
      </c>
      <c r="S82" s="32">
        <f t="shared" si="110"/>
        <v>0.2767502353053421</v>
      </c>
      <c r="U82" s="32">
        <f>IFERROR(U24/(U15+U16),)</f>
        <v>0.28208823405763178</v>
      </c>
      <c r="V82" s="32">
        <f t="shared" ref="V82:AE82" si="111">IFERROR(V24/(V15+V16),)</f>
        <v>0.28861479115269395</v>
      </c>
      <c r="W82" s="32">
        <f t="shared" si="111"/>
        <v>0.28303727720616045</v>
      </c>
      <c r="X82" s="32">
        <f t="shared" si="111"/>
        <v>0.28474908545543692</v>
      </c>
      <c r="Y82" s="32">
        <f t="shared" si="111"/>
        <v>0.28954762680924917</v>
      </c>
      <c r="Z82" s="32">
        <f t="shared" si="111"/>
        <v>0.28941954248470886</v>
      </c>
      <c r="AA82" s="32">
        <f t="shared" si="111"/>
        <v>0.29243056567324122</v>
      </c>
      <c r="AB82" s="32">
        <f t="shared" si="111"/>
        <v>0.29495414271571413</v>
      </c>
      <c r="AC82" s="32">
        <f t="shared" si="111"/>
        <v>0.29562393229764072</v>
      </c>
      <c r="AD82" s="32">
        <f t="shared" si="111"/>
        <v>0.29458054220756491</v>
      </c>
      <c r="AE82" s="32">
        <f t="shared" si="111"/>
        <v>0.29179241271330197</v>
      </c>
      <c r="AF82" s="32">
        <f>IFERROR(AF24/(AF15+AF16),)</f>
        <v>0.2912715259271344</v>
      </c>
      <c r="AG82" s="13" t="str">
        <f t="shared" si="83"/>
        <v>Ok!</v>
      </c>
    </row>
    <row r="83" spans="1:33" ht="15">
      <c r="A83" s="63" t="s">
        <v>30</v>
      </c>
      <c r="B83" s="64"/>
      <c r="C83" s="188">
        <v>6775183.9358333331</v>
      </c>
      <c r="D83" s="188">
        <v>6708203.9841666669</v>
      </c>
      <c r="E83" s="188">
        <v>6693566.3300000001</v>
      </c>
      <c r="F83" s="188">
        <v>6825516</v>
      </c>
      <c r="G83" s="188">
        <v>7051863.0999999996</v>
      </c>
      <c r="H83" s="188">
        <v>6569092.7799999993</v>
      </c>
      <c r="I83" s="188">
        <v>5249107.68</v>
      </c>
      <c r="J83" s="188">
        <v>3672236.17</v>
      </c>
      <c r="K83" s="188">
        <v>6936870.0099999998</v>
      </c>
      <c r="L83" s="188">
        <v>6719008</v>
      </c>
      <c r="M83" s="188">
        <v>7993551.6899999995</v>
      </c>
      <c r="N83" s="188">
        <v>8494144.7800000012</v>
      </c>
      <c r="O83" s="31">
        <f>SUM(C83:N83)</f>
        <v>79688344.460000008</v>
      </c>
      <c r="P83" s="187"/>
      <c r="Q83" s="258">
        <f>'TY Actual-Forecast'!C83</f>
        <v>8792439.9100000001</v>
      </c>
      <c r="R83" s="258">
        <f>'TY Actual-Forecast'!D83</f>
        <v>7409176.5299999993</v>
      </c>
      <c r="S83" s="258">
        <f>'TY Actual-Forecast'!E83</f>
        <v>8436031.8300000001</v>
      </c>
      <c r="T83" s="187"/>
      <c r="U83" s="31">
        <f>C83</f>
        <v>6775183.9358333331</v>
      </c>
      <c r="V83" s="31">
        <f t="shared" ref="V83:AF83" si="112">U83+D83</f>
        <v>13483387.92</v>
      </c>
      <c r="W83" s="31">
        <f t="shared" si="112"/>
        <v>20176954.25</v>
      </c>
      <c r="X83" s="31">
        <f t="shared" si="112"/>
        <v>27002470.25</v>
      </c>
      <c r="Y83" s="31">
        <f t="shared" si="112"/>
        <v>34054333.350000001</v>
      </c>
      <c r="Z83" s="31">
        <f t="shared" si="112"/>
        <v>40623426.130000003</v>
      </c>
      <c r="AA83" s="31">
        <f t="shared" si="112"/>
        <v>45872533.810000002</v>
      </c>
      <c r="AB83" s="31">
        <f t="shared" si="112"/>
        <v>49544769.980000004</v>
      </c>
      <c r="AC83" s="31">
        <f t="shared" si="112"/>
        <v>56481639.990000002</v>
      </c>
      <c r="AD83" s="31">
        <f t="shared" si="112"/>
        <v>63200647.990000002</v>
      </c>
      <c r="AE83" s="31">
        <f t="shared" si="112"/>
        <v>71194199.680000007</v>
      </c>
      <c r="AF83" s="31">
        <f t="shared" si="112"/>
        <v>79688344.460000008</v>
      </c>
      <c r="AG83" s="13" t="str">
        <f t="shared" si="83"/>
        <v>Ok!</v>
      </c>
    </row>
    <row r="84" spans="1:33" s="62" customFormat="1" ht="15">
      <c r="A84" s="59" t="s">
        <v>32</v>
      </c>
      <c r="B84" s="60"/>
      <c r="C84" s="61">
        <f>IFERROR(C83/C8,)</f>
        <v>0.18137040914983468</v>
      </c>
      <c r="D84" s="61">
        <f t="shared" ref="D84:O84" si="113">IFERROR(D83/D8,)</f>
        <v>0.20725751831871378</v>
      </c>
      <c r="E84" s="61">
        <f t="shared" si="113"/>
        <v>0.1879308207282584</v>
      </c>
      <c r="F84" s="61">
        <f t="shared" si="113"/>
        <v>0.16564093793133816</v>
      </c>
      <c r="G84" s="61">
        <f t="shared" si="113"/>
        <v>0.17683278125158233</v>
      </c>
      <c r="H84" s="61">
        <f t="shared" si="113"/>
        <v>0.22403145906458247</v>
      </c>
      <c r="I84" s="61">
        <f t="shared" si="113"/>
        <v>0.35910935124006443</v>
      </c>
      <c r="J84" s="61">
        <f t="shared" si="113"/>
        <v>0.32590016622197293</v>
      </c>
      <c r="K84" s="61">
        <f t="shared" si="113"/>
        <v>0.34129326711711616</v>
      </c>
      <c r="L84" s="61">
        <f t="shared" si="113"/>
        <v>0.19697959936007087</v>
      </c>
      <c r="M84" s="61">
        <f t="shared" si="113"/>
        <v>0.17589352740771977</v>
      </c>
      <c r="N84" s="61">
        <f t="shared" si="113"/>
        <v>0.14253273814553472</v>
      </c>
      <c r="O84" s="61">
        <f t="shared" si="113"/>
        <v>0.19867105803177548</v>
      </c>
      <c r="Q84" s="61">
        <f t="shared" ref="Q84:S84" si="114">IFERROR(Q83/Q8,)</f>
        <v>0.20094628725071945</v>
      </c>
      <c r="R84" s="61">
        <f t="shared" si="114"/>
        <v>0.19813409081125091</v>
      </c>
      <c r="S84" s="61">
        <f t="shared" si="114"/>
        <v>0.17953675031127522</v>
      </c>
      <c r="U84" s="61">
        <f>IFERROR(U83/U8,)</f>
        <v>0.18137040914983468</v>
      </c>
      <c r="V84" s="61">
        <f t="shared" ref="V84:AF84" si="115">IFERROR(V83/V8,)</f>
        <v>0.19338778167468237</v>
      </c>
      <c r="W84" s="61">
        <f t="shared" si="115"/>
        <v>0.19154267977270387</v>
      </c>
      <c r="X84" s="61">
        <f t="shared" si="115"/>
        <v>0.18425946546450203</v>
      </c>
      <c r="Y84" s="61">
        <f t="shared" si="115"/>
        <v>0.18267079874519154</v>
      </c>
      <c r="Z84" s="61">
        <f t="shared" si="115"/>
        <v>0.18829213391744967</v>
      </c>
      <c r="AA84" s="61">
        <f t="shared" si="115"/>
        <v>0.1991308074615297</v>
      </c>
      <c r="AB84" s="61">
        <f t="shared" si="115"/>
        <v>0.2050424235929873</v>
      </c>
      <c r="AC84" s="61">
        <f t="shared" si="115"/>
        <v>0.21561412645950043</v>
      </c>
      <c r="AD84" s="61">
        <f t="shared" si="115"/>
        <v>0.21346722575190588</v>
      </c>
      <c r="AE84" s="61">
        <f t="shared" si="115"/>
        <v>0.20846725898853152</v>
      </c>
      <c r="AF84" s="61">
        <f t="shared" si="115"/>
        <v>0.19867105803177543</v>
      </c>
      <c r="AG84" s="13" t="str">
        <f t="shared" si="83"/>
        <v>Ok!</v>
      </c>
    </row>
    <row r="85" spans="1:33" ht="15.75" customHeight="1">
      <c r="A85" s="63" t="s">
        <v>31</v>
      </c>
      <c r="B85" s="64"/>
      <c r="C85" s="58">
        <f>C86+C87</f>
        <v>275</v>
      </c>
      <c r="D85" s="58">
        <f t="shared" ref="D85:O85" si="116">D86+D87</f>
        <v>285</v>
      </c>
      <c r="E85" s="58">
        <f t="shared" si="116"/>
        <v>279</v>
      </c>
      <c r="F85" s="58">
        <f t="shared" si="116"/>
        <v>295</v>
      </c>
      <c r="G85" s="58">
        <f t="shared" si="116"/>
        <v>291</v>
      </c>
      <c r="H85" s="58">
        <f t="shared" si="116"/>
        <v>265</v>
      </c>
      <c r="I85" s="58">
        <f t="shared" si="116"/>
        <v>210</v>
      </c>
      <c r="J85" s="58">
        <f t="shared" si="116"/>
        <v>199</v>
      </c>
      <c r="K85" s="58">
        <f t="shared" si="116"/>
        <v>238</v>
      </c>
      <c r="L85" s="58">
        <f t="shared" si="116"/>
        <v>248</v>
      </c>
      <c r="M85" s="58">
        <f t="shared" si="116"/>
        <v>268</v>
      </c>
      <c r="N85" s="58">
        <f t="shared" si="116"/>
        <v>284</v>
      </c>
      <c r="O85" s="58">
        <f t="shared" si="116"/>
        <v>261.41666666666663</v>
      </c>
      <c r="Q85" s="58">
        <f t="shared" ref="Q85:S85" si="117">Q86+Q87</f>
        <v>284</v>
      </c>
      <c r="R85" s="58">
        <f t="shared" si="117"/>
        <v>269</v>
      </c>
      <c r="S85" s="58">
        <f t="shared" si="117"/>
        <v>269</v>
      </c>
      <c r="U85" s="58">
        <f>U86+U87</f>
        <v>275</v>
      </c>
      <c r="V85" s="58">
        <f t="shared" ref="V85:AF85" si="118">V86+V87</f>
        <v>280</v>
      </c>
      <c r="W85" s="58">
        <f t="shared" si="118"/>
        <v>279.66666666666669</v>
      </c>
      <c r="X85" s="58">
        <f t="shared" si="118"/>
        <v>283.5</v>
      </c>
      <c r="Y85" s="58">
        <f t="shared" si="118"/>
        <v>285</v>
      </c>
      <c r="Z85" s="58">
        <f t="shared" si="118"/>
        <v>281.66666666666669</v>
      </c>
      <c r="AA85" s="58">
        <f t="shared" si="118"/>
        <v>271.42857142857144</v>
      </c>
      <c r="AB85" s="58">
        <f t="shared" si="118"/>
        <v>262.375</v>
      </c>
      <c r="AC85" s="58">
        <f t="shared" si="118"/>
        <v>259.66666666666669</v>
      </c>
      <c r="AD85" s="58">
        <f t="shared" si="118"/>
        <v>258.5</v>
      </c>
      <c r="AE85" s="58">
        <f t="shared" si="118"/>
        <v>259.36363636363637</v>
      </c>
      <c r="AF85" s="58">
        <f t="shared" si="118"/>
        <v>261.41666666666663</v>
      </c>
      <c r="AG85" s="13" t="str">
        <f t="shared" si="83"/>
        <v>Ok!</v>
      </c>
    </row>
    <row r="86" spans="1:33" ht="15.75" customHeight="1">
      <c r="A86" s="65" t="s">
        <v>159</v>
      </c>
      <c r="B86" s="64"/>
      <c r="C86" s="189">
        <v>158</v>
      </c>
      <c r="D86" s="189">
        <v>161</v>
      </c>
      <c r="E86" s="189">
        <v>159</v>
      </c>
      <c r="F86" s="189">
        <v>161</v>
      </c>
      <c r="G86" s="189">
        <v>161</v>
      </c>
      <c r="H86" s="189">
        <v>162</v>
      </c>
      <c r="I86" s="189">
        <v>153</v>
      </c>
      <c r="J86" s="189">
        <v>157</v>
      </c>
      <c r="K86" s="189">
        <v>160</v>
      </c>
      <c r="L86" s="189">
        <v>161</v>
      </c>
      <c r="M86" s="189">
        <v>165</v>
      </c>
      <c r="N86" s="189">
        <v>164</v>
      </c>
      <c r="O86" s="58">
        <f>IFERROR(AVERAGE(C86:N86),0)</f>
        <v>160.16666666666666</v>
      </c>
      <c r="Q86" s="58">
        <f>'TY Actual-Forecast'!C86</f>
        <v>162</v>
      </c>
      <c r="R86" s="58">
        <f>'TY Actual-Forecast'!D86</f>
        <v>162</v>
      </c>
      <c r="S86" s="58">
        <f>'TY Actual-Forecast'!E86</f>
        <v>163</v>
      </c>
      <c r="U86" s="58">
        <f>C86</f>
        <v>158</v>
      </c>
      <c r="V86" s="58">
        <f>(C86+D86)/2</f>
        <v>159.5</v>
      </c>
      <c r="W86" s="186">
        <f>(C86+D86+E86)/3</f>
        <v>159.33333333333334</v>
      </c>
      <c r="X86" s="186">
        <f>(C86+D86+E86+F86)/4</f>
        <v>159.75</v>
      </c>
      <c r="Y86" s="58">
        <f>(C86+D86+E86+F86+G86)/5</f>
        <v>160</v>
      </c>
      <c r="Z86" s="58">
        <f>(C86+D86+E86+F86+G86+H86)/6</f>
        <v>160.33333333333334</v>
      </c>
      <c r="AA86" s="58">
        <f>(C86+D86+E86+F86+G86+H86+I86)/7</f>
        <v>159.28571428571428</v>
      </c>
      <c r="AB86" s="58">
        <f>(C86+D86+E86+F86+G86+H86+I86+J86)/8</f>
        <v>159</v>
      </c>
      <c r="AC86" s="58">
        <f>(C86+D86+E86+F86+G86+H86+I86+J86+K86)/9</f>
        <v>159.11111111111111</v>
      </c>
      <c r="AD86" s="58">
        <f>(C86+D86+E86+F86+G86+H86+I86+J86+K86+L86)/10</f>
        <v>159.30000000000001</v>
      </c>
      <c r="AE86" s="58">
        <f>(C86+D86+E86+F86+G86+H86+I86+J86+K86+L86+M86)/11</f>
        <v>159.81818181818181</v>
      </c>
      <c r="AF86" s="58">
        <f>(C86+D86+E86+F86+G86+H86+I86+J86+K86+L86+M86+N86)/12</f>
        <v>160.16666666666666</v>
      </c>
      <c r="AG86" s="13" t="str">
        <f t="shared" si="83"/>
        <v>Ok!</v>
      </c>
    </row>
    <row r="87" spans="1:33" ht="15.75" customHeight="1">
      <c r="A87" s="65" t="s">
        <v>201</v>
      </c>
      <c r="B87" s="64"/>
      <c r="C87" s="189">
        <v>117</v>
      </c>
      <c r="D87" s="189">
        <v>124</v>
      </c>
      <c r="E87" s="189">
        <v>120</v>
      </c>
      <c r="F87" s="189">
        <v>134</v>
      </c>
      <c r="G87" s="189">
        <v>130</v>
      </c>
      <c r="H87" s="189">
        <v>103</v>
      </c>
      <c r="I87" s="189">
        <v>57</v>
      </c>
      <c r="J87" s="189">
        <v>42</v>
      </c>
      <c r="K87" s="189">
        <v>78</v>
      </c>
      <c r="L87" s="189">
        <v>87</v>
      </c>
      <c r="M87" s="189">
        <v>103</v>
      </c>
      <c r="N87" s="189">
        <v>120</v>
      </c>
      <c r="O87" s="58">
        <f>IFERROR(AVERAGE(C87:N87),0)</f>
        <v>101.25</v>
      </c>
      <c r="Q87" s="58">
        <f>'TY Actual-Forecast'!C87</f>
        <v>122</v>
      </c>
      <c r="R87" s="58">
        <f>'TY Actual-Forecast'!D87</f>
        <v>107</v>
      </c>
      <c r="S87" s="58">
        <f>'TY Actual-Forecast'!E87</f>
        <v>106</v>
      </c>
      <c r="U87" s="58">
        <f>C87</f>
        <v>117</v>
      </c>
      <c r="V87" s="58">
        <f>(C87+D87)/2</f>
        <v>120.5</v>
      </c>
      <c r="W87" s="186">
        <f>(C87+D87+E87)/3</f>
        <v>120.33333333333333</v>
      </c>
      <c r="X87" s="186">
        <f>(C87+D87+E87+F87)/4</f>
        <v>123.75</v>
      </c>
      <c r="Y87" s="58">
        <f>(C87+D87+E87+F87+G87)/5</f>
        <v>125</v>
      </c>
      <c r="Z87" s="58">
        <f>(C87+D87+E87+F87+G87+H87)/6</f>
        <v>121.33333333333333</v>
      </c>
      <c r="AA87" s="58">
        <f>(C87+D87+E87+F87+G87+H87+I87)/7</f>
        <v>112.14285714285714</v>
      </c>
      <c r="AB87" s="58">
        <f>(C87+D87+E87+F87+G87+H87+I87+J87)/8</f>
        <v>103.375</v>
      </c>
      <c r="AC87" s="58">
        <f>(C87+D87+E87+F87+G87+H87+I87+J87+K87)/9</f>
        <v>100.55555555555556</v>
      </c>
      <c r="AD87" s="58">
        <f>(C87+D87+E87+F87+G87+H87+I87+J87+K87+L87)/10</f>
        <v>99.2</v>
      </c>
      <c r="AE87" s="58">
        <f>(C87+D87+E87+F87+G87+H87+I87+J87+K87+L87+M87)/11</f>
        <v>99.545454545454547</v>
      </c>
      <c r="AF87" s="58">
        <f>(C87+D87+E87+F87+G87+H87+I87+J87+K87+L87+M87+N87)/12</f>
        <v>101.25</v>
      </c>
      <c r="AG87" s="13" t="str">
        <f t="shared" si="83"/>
        <v>Ok!</v>
      </c>
    </row>
    <row r="88" spans="1:33" s="62" customFormat="1" ht="15">
      <c r="A88" s="59" t="s">
        <v>37</v>
      </c>
      <c r="B88" s="60"/>
      <c r="C88" s="32">
        <f>IFERROR(C67/Equity!O9,)</f>
        <v>1.1393731922706237E-2</v>
      </c>
      <c r="D88" s="32">
        <f>IFERROR(D67/Equity!O10,)</f>
        <v>6.4621088384546905E-3</v>
      </c>
      <c r="E88" s="32">
        <f>IFERROR(E67/Equity!O11,)</f>
        <v>9.2715311543711265E-3</v>
      </c>
      <c r="F88" s="32">
        <f>IFERROR(F67/Equity!O12,)</f>
        <v>1.0753268494651339E-2</v>
      </c>
      <c r="G88" s="32">
        <f>IFERROR(G67/Equity!O13,)</f>
        <v>8.4639152197518771E-3</v>
      </c>
      <c r="H88" s="32">
        <f>IFERROR(H67/Equity!O14,)</f>
        <v>3.705911810029619E-3</v>
      </c>
      <c r="I88" s="32">
        <f>IFERROR(I67/Equity!O15,)</f>
        <v>-3.2907647834901008E-3</v>
      </c>
      <c r="J88" s="32">
        <f>IFERROR(J67/Equity!O16,)</f>
        <v>-4.8615704676445099E-3</v>
      </c>
      <c r="K88" s="32">
        <f>IFERROR(K67/Equity!O17,)</f>
        <v>-4.0362909745094207E-3</v>
      </c>
      <c r="L88" s="32">
        <f>IFERROR(L67/Equity!O18,)</f>
        <v>5.5673665520407688E-3</v>
      </c>
      <c r="M88" s="32">
        <f>IFERROR(M67/Equity!O19,)</f>
        <v>1.0437646683930652E-2</v>
      </c>
      <c r="N88" s="32">
        <f>IFERROR(N67/Equity!O20,)</f>
        <v>3.4869246498063183E-3</v>
      </c>
      <c r="O88" s="32">
        <f>IFERROR(O67/Equity!O20,)</f>
        <v>5.5837669885466075E-2</v>
      </c>
      <c r="Q88" s="32">
        <f>'TY Actual-Forecast'!C88</f>
        <v>1.066824315670749E-2</v>
      </c>
      <c r="R88" s="32">
        <f>'TY Actual-Forecast'!D88</f>
        <v>6.7675538970001208E-3</v>
      </c>
      <c r="S88" s="32">
        <f>'TY Actual-Forecast'!E88</f>
        <v>1.8676235279687429E-2</v>
      </c>
      <c r="U88" s="32">
        <f>IFERROR(U67/Equity!O9,)</f>
        <v>1.1393731922706237E-2</v>
      </c>
      <c r="V88" s="32">
        <f>IFERROR(V67/Equity!O10,)</f>
        <v>1.7754694645580306E-2</v>
      </c>
      <c r="W88" s="32">
        <f>IFERROR(W67/Equity!O11,)</f>
        <v>2.6887002650655169E-2</v>
      </c>
      <c r="X88" s="32">
        <f>IFERROR(X67/Equity!O12,)</f>
        <v>3.7372309930063116E-2</v>
      </c>
      <c r="Y88" s="32">
        <f>IFERROR(Y67/Equity!O13,)</f>
        <v>4.5479050275597212E-2</v>
      </c>
      <c r="Z88" s="32">
        <f>IFERROR(Z67/Equity!O14,)</f>
        <v>4.890939219804321E-2</v>
      </c>
      <c r="AA88" s="32">
        <f>IFERROR(AA67/Equity!O15,)</f>
        <v>4.5608493897143595E-2</v>
      </c>
      <c r="AB88" s="32">
        <f>IFERROR(AB67/Equity!O16,)</f>
        <v>4.0933137689437939E-2</v>
      </c>
      <c r="AC88" s="32">
        <f>IFERROR(AC67/Equity!O17,)</f>
        <v>3.7079399154479546E-2</v>
      </c>
      <c r="AD88" s="32">
        <f>IFERROR(AD67/Equity!O18,)</f>
        <v>4.2618322623002206E-2</v>
      </c>
      <c r="AE88" s="32">
        <f>IFERROR(AE67/Equity!O19,)</f>
        <v>5.2715862647315211E-2</v>
      </c>
      <c r="AF88" s="32">
        <f>IFERROR(AF67/Equity!O20,)</f>
        <v>5.5837669885466228E-2</v>
      </c>
      <c r="AG88" s="13" t="str">
        <f t="shared" si="83"/>
        <v>Error!</v>
      </c>
    </row>
    <row r="89" spans="1:33">
      <c r="D89" s="54"/>
      <c r="E89" s="54"/>
      <c r="F89" s="54"/>
      <c r="G89" s="54"/>
      <c r="H89" s="54"/>
      <c r="I89" s="54"/>
      <c r="J89" s="54"/>
      <c r="K89" s="54"/>
      <c r="L89" s="54"/>
      <c r="M89" s="54"/>
      <c r="N89" s="54"/>
      <c r="O89" s="54"/>
      <c r="Q89" s="54"/>
      <c r="R89" s="54"/>
      <c r="S89" s="54"/>
    </row>
    <row r="286" spans="30:32" ht="15">
      <c r="AD286" s="24" t="s">
        <v>55</v>
      </c>
      <c r="AE286" s="24" t="s">
        <v>56</v>
      </c>
    </row>
    <row r="287" spans="30:32" ht="15">
      <c r="AD287" s="24" t="s">
        <v>9</v>
      </c>
      <c r="AE287" s="70" t="s">
        <v>165</v>
      </c>
      <c r="AF287" s="24"/>
    </row>
    <row r="288" spans="30:32" ht="15">
      <c r="AD288" s="24" t="s">
        <v>39</v>
      </c>
      <c r="AE288" s="71" t="s">
        <v>166</v>
      </c>
    </row>
    <row r="289" spans="30:31" ht="15">
      <c r="AD289" s="24" t="s">
        <v>40</v>
      </c>
      <c r="AE289" s="71" t="s">
        <v>167</v>
      </c>
    </row>
    <row r="290" spans="30:31" ht="15">
      <c r="AD290" s="24" t="s">
        <v>42</v>
      </c>
      <c r="AE290" s="71" t="s">
        <v>168</v>
      </c>
    </row>
    <row r="291" spans="30:31" ht="15">
      <c r="AD291" s="24" t="s">
        <v>163</v>
      </c>
      <c r="AE291" s="71" t="s">
        <v>169</v>
      </c>
    </row>
    <row r="292" spans="30:31" ht="15">
      <c r="AD292" s="24" t="s">
        <v>164</v>
      </c>
      <c r="AE292" s="71" t="s">
        <v>170</v>
      </c>
    </row>
    <row r="293" spans="30:31" ht="15">
      <c r="AE293" s="71" t="s">
        <v>171</v>
      </c>
    </row>
    <row r="294" spans="30:31" ht="15">
      <c r="AE294" s="71" t="s">
        <v>172</v>
      </c>
    </row>
    <row r="295" spans="30:31" ht="15">
      <c r="AE295" s="71" t="s">
        <v>173</v>
      </c>
    </row>
    <row r="296" spans="30:31" ht="15">
      <c r="AE296" s="71" t="s">
        <v>174</v>
      </c>
    </row>
    <row r="297" spans="30:31" ht="15">
      <c r="AE297" s="71" t="s">
        <v>175</v>
      </c>
    </row>
    <row r="298" spans="30:31" ht="15">
      <c r="AE298" s="71" t="s">
        <v>176</v>
      </c>
    </row>
  </sheetData>
  <sheetProtection password="CE24" sheet="1" objects="1" scenarios="1"/>
  <protectedRanges>
    <protectedRange sqref="C71:N72 C78:N78 C83:N83 C86:N87" name="Statistics"/>
    <protectedRange sqref="C65:N65" name="Income Taxes"/>
    <protectedRange sqref="C61:N61" name="Depreciation"/>
    <protectedRange sqref="C11:N13 C15:N19" name="Revenue"/>
    <protectedRange sqref="C22:N22 C24:N25 C27:N28" name="Departmental Expense"/>
    <protectedRange sqref="C32:N36" name="Undistributed Expenses"/>
    <protectedRange sqref="C45:N45" name="Management Fees"/>
    <protectedRange sqref="C51:N55" name="NonOperating Expenses"/>
  </protectedRanges>
  <mergeCells count="1">
    <mergeCell ref="Q4:S4"/>
  </mergeCells>
  <dataValidations disablePrompts="1" count="1">
    <dataValidation type="list" allowBlank="1" showInputMessage="1" showErrorMessage="1" promptTitle="Property Name" prompt="Select property name" sqref="A1">
      <formula1>$AD$286:$AD$292</formula1>
    </dataValidation>
  </dataValidations>
  <printOptions horizontalCentered="1"/>
  <pageMargins left="0" right="0" top="0" bottom="0" header="0" footer="0"/>
  <pageSetup paperSize="9" scale="68" fitToHeight="0" orientation="landscape" r:id="rId1"/>
  <headerFooter scaleWithDoc="0"/>
  <rowBreaks count="1" manualBreakCount="1">
    <brk id="68" max="2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0070C0"/>
    <pageSetUpPr fitToPage="1"/>
  </sheetPr>
  <dimension ref="A1:BG515"/>
  <sheetViews>
    <sheetView zoomScaleNormal="100" workbookViewId="0">
      <pane xSplit="2" ySplit="6" topLeftCell="C22" activePane="bottomRight" state="frozen"/>
      <selection activeCell="L65" sqref="L64:L65"/>
      <selection pane="topRight" activeCell="L65" sqref="L64:L65"/>
      <selection pane="bottomLeft" activeCell="L65" sqref="L64:L65"/>
      <selection pane="bottomRight" activeCell="C52" sqref="C52"/>
    </sheetView>
  </sheetViews>
  <sheetFormatPr defaultRowHeight="14.25"/>
  <cols>
    <col min="1" max="1" width="43.5703125" style="13" customWidth="1"/>
    <col min="2" max="2" width="2.85546875" style="13" customWidth="1"/>
    <col min="3" max="6" width="12.7109375" style="99" customWidth="1"/>
    <col min="7" max="7" width="4.42578125" style="100" customWidth="1"/>
    <col min="8" max="10" width="12.7109375" style="99" customWidth="1"/>
    <col min="11" max="11" width="4.42578125" style="100" customWidth="1"/>
    <col min="12" max="16384" width="9.140625" style="13"/>
  </cols>
  <sheetData>
    <row r="1" spans="1:11" ht="15">
      <c r="A1" s="1" t="str">
        <f>'Top Flash'!A1</f>
        <v>TAAL VISTA HOTEL</v>
      </c>
    </row>
    <row r="2" spans="1:11" ht="15">
      <c r="A2" s="4" t="s">
        <v>148</v>
      </c>
    </row>
    <row r="3" spans="1:11" ht="15">
      <c r="A3" s="1" t="str">
        <f>'Top Flash'!A3</f>
        <v>December 2015</v>
      </c>
    </row>
    <row r="4" spans="1:11">
      <c r="A4" s="8" t="s">
        <v>38</v>
      </c>
    </row>
    <row r="5" spans="1:11" ht="15" customHeight="1">
      <c r="C5" s="101"/>
      <c r="D5" s="101"/>
      <c r="E5" s="309" t="s">
        <v>71</v>
      </c>
      <c r="F5" s="309"/>
      <c r="G5" s="17"/>
      <c r="H5" s="101"/>
      <c r="I5" s="309" t="s">
        <v>71</v>
      </c>
      <c r="J5" s="309"/>
      <c r="K5" s="17"/>
    </row>
    <row r="6" spans="1:11" ht="30">
      <c r="C6" s="102" t="s">
        <v>60</v>
      </c>
      <c r="D6" s="102" t="s">
        <v>61</v>
      </c>
      <c r="E6" s="102" t="s">
        <v>72</v>
      </c>
      <c r="F6" s="102" t="s">
        <v>73</v>
      </c>
      <c r="G6" s="17"/>
      <c r="H6" s="103" t="s">
        <v>219</v>
      </c>
      <c r="I6" s="102" t="s">
        <v>72</v>
      </c>
      <c r="J6" s="102" t="s">
        <v>73</v>
      </c>
      <c r="K6" s="17"/>
    </row>
    <row r="7" spans="1:11" ht="15">
      <c r="A7" s="104" t="s">
        <v>87</v>
      </c>
      <c r="C7" s="105"/>
      <c r="D7" s="105"/>
      <c r="E7" s="105"/>
      <c r="F7" s="105"/>
      <c r="G7" s="105"/>
      <c r="H7" s="106"/>
      <c r="I7" s="105"/>
      <c r="J7" s="105"/>
      <c r="K7" s="105"/>
    </row>
    <row r="9" spans="1:11" ht="15">
      <c r="A9" s="107" t="s">
        <v>62</v>
      </c>
    </row>
    <row r="10" spans="1:11" ht="15">
      <c r="A10" s="209" t="s">
        <v>63</v>
      </c>
      <c r="D10" s="196"/>
      <c r="E10" s="196"/>
      <c r="H10" s="196"/>
      <c r="I10" s="196"/>
      <c r="J10" s="196"/>
    </row>
    <row r="11" spans="1:11">
      <c r="A11" s="200" t="s">
        <v>64</v>
      </c>
      <c r="B11" s="200"/>
      <c r="C11" s="201">
        <f>CF!$C$59</f>
        <v>225208928.8200002</v>
      </c>
      <c r="D11" s="201">
        <f>CF!$D$59</f>
        <v>198309764.3500002</v>
      </c>
      <c r="E11" s="201">
        <f>$C11-D11</f>
        <v>26899164.469999999</v>
      </c>
      <c r="F11" s="202">
        <f>IFERROR(E11/$C11,)</f>
        <v>0.11944093251959537</v>
      </c>
      <c r="H11" s="204">
        <f>CF!H59</f>
        <v>139195479</v>
      </c>
      <c r="I11" s="204">
        <f t="shared" ref="I11:I14" si="0">$C11-H11</f>
        <v>86013449.820000201</v>
      </c>
      <c r="J11" s="205">
        <f>IFERROR(I11/$C11,)</f>
        <v>0.38192735195124988</v>
      </c>
    </row>
    <row r="12" spans="1:11">
      <c r="A12" s="203" t="s">
        <v>65</v>
      </c>
      <c r="B12" s="203"/>
      <c r="C12" s="204">
        <f>Receivables!H18</f>
        <v>49791933.159999996</v>
      </c>
      <c r="D12" s="204">
        <f>Receivables!I18</f>
        <v>84850191.570000097</v>
      </c>
      <c r="E12" s="204">
        <f>$C12-D12</f>
        <v>-35058258.410000101</v>
      </c>
      <c r="F12" s="205">
        <f>IFERROR(E12/$C12,)</f>
        <v>-0.70409514523858474</v>
      </c>
      <c r="H12" s="204">
        <f>Receivables!M18</f>
        <v>56713943</v>
      </c>
      <c r="I12" s="204">
        <f t="shared" si="0"/>
        <v>-6922009.8400000036</v>
      </c>
      <c r="J12" s="205">
        <f>IFERROR(I12/$C12,)</f>
        <v>-0.13901870043400427</v>
      </c>
    </row>
    <row r="13" spans="1:11">
      <c r="A13" s="203" t="s">
        <v>66</v>
      </c>
      <c r="B13" s="203"/>
      <c r="C13" s="206">
        <f>5661101.71</f>
        <v>5661101.71</v>
      </c>
      <c r="D13" s="265">
        <f>13229940.75+7611434</f>
        <v>20841374.75</v>
      </c>
      <c r="E13" s="204">
        <f>$C13-D13</f>
        <v>-15180273.039999999</v>
      </c>
      <c r="F13" s="205">
        <f>IFERROR(E13/$C13,)</f>
        <v>-2.6815050881677234</v>
      </c>
      <c r="H13" s="206">
        <v>13274708</v>
      </c>
      <c r="I13" s="204">
        <f t="shared" si="0"/>
        <v>-7613606.29</v>
      </c>
      <c r="J13" s="205">
        <f>IFERROR(I13/$C13,)</f>
        <v>-1.3448983395848579</v>
      </c>
    </row>
    <row r="14" spans="1:11">
      <c r="A14" s="198" t="s">
        <v>248</v>
      </c>
      <c r="B14" s="198"/>
      <c r="C14" s="208">
        <f>32915539.87-345177.7-7597235.07</f>
        <v>24973127.100000001</v>
      </c>
      <c r="D14" s="268">
        <f>26231011.47-7611434</f>
        <v>18619577.469999999</v>
      </c>
      <c r="E14" s="197">
        <f>$C14-D14</f>
        <v>6353549.6300000027</v>
      </c>
      <c r="F14" s="199">
        <f>IFERROR(E14/$C14,)</f>
        <v>0.2544154604490842</v>
      </c>
      <c r="H14" s="192">
        <v>6143982</v>
      </c>
      <c r="I14" s="108">
        <f t="shared" si="0"/>
        <v>18829145.100000001</v>
      </c>
      <c r="J14" s="195">
        <f>IFERROR(I14/$C14,)</f>
        <v>0.75397626515103111</v>
      </c>
    </row>
    <row r="15" spans="1:11" s="24" customFormat="1" ht="15">
      <c r="A15" s="16" t="s">
        <v>69</v>
      </c>
      <c r="B15" s="16"/>
      <c r="C15" s="110">
        <f>SUM(C11:C14)</f>
        <v>305635090.7900002</v>
      </c>
      <c r="D15" s="110">
        <f>SUM(D11:D14)</f>
        <v>322620908.14000034</v>
      </c>
      <c r="E15" s="110">
        <f>$C15-D15</f>
        <v>-16985817.350000143</v>
      </c>
      <c r="F15" s="111">
        <f>IFERROR(E15/$C15,)</f>
        <v>-5.5575481552512511E-2</v>
      </c>
      <c r="G15" s="112"/>
      <c r="H15" s="110">
        <f>SUM(H11:H14)</f>
        <v>215328112</v>
      </c>
      <c r="I15" s="110">
        <f>$C15-H15</f>
        <v>90306978.7900002</v>
      </c>
      <c r="J15" s="111">
        <f>IFERROR(I15/$C15,)</f>
        <v>0.2954732015770058</v>
      </c>
      <c r="K15" s="112"/>
    </row>
    <row r="16" spans="1:11">
      <c r="F16" s="109"/>
      <c r="H16" s="100"/>
      <c r="I16" s="100"/>
      <c r="J16" s="100"/>
    </row>
    <row r="17" spans="1:11" ht="15">
      <c r="A17" s="207" t="s">
        <v>67</v>
      </c>
      <c r="B17" s="203"/>
      <c r="C17" s="196"/>
      <c r="D17" s="196"/>
      <c r="E17" s="196"/>
      <c r="F17" s="205"/>
      <c r="H17" s="196"/>
      <c r="I17" s="196"/>
      <c r="J17" s="196"/>
    </row>
    <row r="18" spans="1:11">
      <c r="A18" s="203" t="s">
        <v>235</v>
      </c>
      <c r="B18" s="203"/>
      <c r="C18" s="206">
        <f>C58</f>
        <v>633079000</v>
      </c>
      <c r="D18" s="206">
        <f>D58</f>
        <v>634999169.33333337</v>
      </c>
      <c r="E18" s="204">
        <f>$C18-D18</f>
        <v>-1920169.3333333731</v>
      </c>
      <c r="F18" s="205">
        <f t="shared" ref="F18:F20" si="1">IFERROR(E18/$C18,)</f>
        <v>-3.0330643305707078E-3</v>
      </c>
      <c r="H18" s="206">
        <f>H58</f>
        <v>644600016</v>
      </c>
      <c r="I18" s="204">
        <f>$C18-H18</f>
        <v>-11521016</v>
      </c>
      <c r="J18" s="205">
        <f t="shared" ref="J18:J20" si="2">IFERROR(I18/$C18,)</f>
        <v>-1.8198385983423871E-2</v>
      </c>
    </row>
    <row r="19" spans="1:11">
      <c r="A19" s="203" t="s">
        <v>68</v>
      </c>
      <c r="B19" s="203"/>
      <c r="C19" s="206">
        <f>263223168.81-165320925.76</f>
        <v>97902243.050000012</v>
      </c>
      <c r="D19" s="265">
        <f>249586733.99-159825508.31</f>
        <v>89761225.680000007</v>
      </c>
      <c r="E19" s="204">
        <f>$C19-D19</f>
        <v>8141017.3700000048</v>
      </c>
      <c r="F19" s="205">
        <f t="shared" si="1"/>
        <v>8.3154554138685832E-2</v>
      </c>
      <c r="H19" s="206">
        <v>92736396</v>
      </c>
      <c r="I19" s="204">
        <f>$C19-H19</f>
        <v>5165847.0500000119</v>
      </c>
      <c r="J19" s="205">
        <f t="shared" si="2"/>
        <v>5.2765359496020368E-2</v>
      </c>
    </row>
    <row r="20" spans="1:11">
      <c r="A20" s="27" t="s">
        <v>249</v>
      </c>
      <c r="B20" s="27"/>
      <c r="C20" s="192">
        <f>7597235.07</f>
        <v>7597235.0700000003</v>
      </c>
      <c r="D20" s="266">
        <f>28926352</f>
        <v>28926352</v>
      </c>
      <c r="E20" s="108">
        <f>$C20-D20</f>
        <v>-21329116.93</v>
      </c>
      <c r="F20" s="195">
        <f t="shared" si="1"/>
        <v>-2.8074841351460247</v>
      </c>
      <c r="H20" s="192">
        <f>3936002+2681373</f>
        <v>6617375</v>
      </c>
      <c r="I20" s="108">
        <f>$C20-H20</f>
        <v>979860.0700000003</v>
      </c>
      <c r="J20" s="195">
        <f t="shared" si="2"/>
        <v>0.12897587885219935</v>
      </c>
    </row>
    <row r="21" spans="1:11" s="24" customFormat="1" ht="15">
      <c r="A21" s="16" t="s">
        <v>70</v>
      </c>
      <c r="B21" s="16"/>
      <c r="C21" s="110">
        <f>SUM(C18:C20)</f>
        <v>738578478.12</v>
      </c>
      <c r="D21" s="110">
        <f>SUM(D18:D20)</f>
        <v>753686747.01333332</v>
      </c>
      <c r="E21" s="110">
        <f>$C21-D21</f>
        <v>-15108268.893333316</v>
      </c>
      <c r="F21" s="111">
        <f>IFERROR(E21/$C21,)</f>
        <v>-2.0455874820222708E-2</v>
      </c>
      <c r="G21" s="112"/>
      <c r="H21" s="110">
        <f>SUM(H18:H20)</f>
        <v>743953787</v>
      </c>
      <c r="I21" s="110">
        <f>$C21-H21</f>
        <v>-5375308.8799999952</v>
      </c>
      <c r="J21" s="111">
        <f>IFERROR(I21/$C21,)</f>
        <v>-7.2779116089091425E-3</v>
      </c>
      <c r="K21" s="112"/>
    </row>
    <row r="22" spans="1:11">
      <c r="A22" s="27"/>
      <c r="B22" s="27"/>
      <c r="C22" s="100"/>
      <c r="D22" s="100"/>
      <c r="E22" s="100"/>
      <c r="F22" s="195"/>
    </row>
    <row r="23" spans="1:11" s="24" customFormat="1" ht="15.75" thickBot="1">
      <c r="A23" s="113" t="s">
        <v>74</v>
      </c>
      <c r="B23" s="113"/>
      <c r="C23" s="114">
        <f>C15+C21</f>
        <v>1044213568.9100002</v>
      </c>
      <c r="D23" s="114">
        <f>D15+D21</f>
        <v>1076307655.1533337</v>
      </c>
      <c r="E23" s="114">
        <f>$C23-D23</f>
        <v>-32094086.243333459</v>
      </c>
      <c r="F23" s="115">
        <f>IFERROR(E23/$C23,)</f>
        <v>-3.073517448814115E-2</v>
      </c>
      <c r="G23" s="112"/>
      <c r="H23" s="114">
        <f>H15+H21</f>
        <v>959281899</v>
      </c>
      <c r="I23" s="114">
        <f>$C23-H23</f>
        <v>84931669.910000205</v>
      </c>
      <c r="J23" s="115">
        <f>IFERROR(I23/$C23,)</f>
        <v>8.1335535601836623E-2</v>
      </c>
      <c r="K23" s="112"/>
    </row>
    <row r="24" spans="1:11" ht="15" thickTop="1">
      <c r="A24" s="27"/>
      <c r="B24" s="27"/>
      <c r="C24" s="100"/>
      <c r="D24" s="100"/>
      <c r="E24" s="100"/>
      <c r="F24" s="195"/>
    </row>
    <row r="25" spans="1:11" ht="15">
      <c r="A25" s="107" t="s">
        <v>75</v>
      </c>
      <c r="B25" s="27"/>
      <c r="C25" s="100"/>
      <c r="D25" s="100"/>
      <c r="E25" s="100"/>
      <c r="F25" s="195"/>
    </row>
    <row r="26" spans="1:11" ht="15">
      <c r="A26" s="207" t="s">
        <v>79</v>
      </c>
      <c r="B26" s="203"/>
      <c r="C26" s="196"/>
      <c r="D26" s="196"/>
      <c r="E26" s="196"/>
      <c r="F26" s="205"/>
      <c r="H26" s="204"/>
      <c r="I26" s="204"/>
      <c r="J26" s="205"/>
    </row>
    <row r="27" spans="1:11">
      <c r="A27" s="203" t="s">
        <v>76</v>
      </c>
      <c r="B27" s="203"/>
      <c r="C27" s="204">
        <f>Payables!H18</f>
        <v>75514948.890000001</v>
      </c>
      <c r="D27" s="204">
        <f>Payables!I18</f>
        <v>108478616.33333349</v>
      </c>
      <c r="E27" s="204">
        <f>$C27-D27</f>
        <v>-32963667.443333492</v>
      </c>
      <c r="F27" s="205">
        <f t="shared" ref="F27:F30" si="3">IFERROR(E27/$C27,)</f>
        <v>-0.43651843678462288</v>
      </c>
      <c r="H27" s="204">
        <f>Payables!M18</f>
        <v>114726785</v>
      </c>
      <c r="I27" s="204">
        <f>$C27-H27</f>
        <v>-39211836.109999999</v>
      </c>
      <c r="J27" s="205">
        <f t="shared" ref="J27:J30" si="4">IFERROR(I27/$C27,)</f>
        <v>-0.51925925510614479</v>
      </c>
    </row>
    <row r="28" spans="1:11">
      <c r="A28" s="203" t="s">
        <v>77</v>
      </c>
      <c r="B28" s="203"/>
      <c r="C28" s="206"/>
      <c r="D28" s="206"/>
      <c r="E28" s="204">
        <f>$C28-D28</f>
        <v>0</v>
      </c>
      <c r="F28" s="205">
        <f t="shared" si="3"/>
        <v>0</v>
      </c>
      <c r="H28" s="206">
        <v>5369221</v>
      </c>
      <c r="I28" s="204">
        <f>$C28-H28</f>
        <v>-5369221</v>
      </c>
      <c r="J28" s="205">
        <f t="shared" si="4"/>
        <v>0</v>
      </c>
    </row>
    <row r="29" spans="1:11">
      <c r="A29" s="203" t="s">
        <v>78</v>
      </c>
      <c r="B29" s="203"/>
      <c r="C29" s="206">
        <v>42000000</v>
      </c>
      <c r="D29" s="206">
        <v>42000000</v>
      </c>
      <c r="E29" s="204">
        <f>$C29-D29</f>
        <v>0</v>
      </c>
      <c r="F29" s="205">
        <f t="shared" si="3"/>
        <v>0</v>
      </c>
      <c r="H29" s="206">
        <v>42000000</v>
      </c>
      <c r="I29" s="204">
        <f>$C29-H29</f>
        <v>0</v>
      </c>
      <c r="J29" s="205">
        <f t="shared" si="4"/>
        <v>0</v>
      </c>
    </row>
    <row r="30" spans="1:11">
      <c r="A30" s="27" t="s">
        <v>80</v>
      </c>
      <c r="B30" s="27"/>
      <c r="C30" s="192">
        <v>1180801</v>
      </c>
      <c r="D30" s="192">
        <v>1180801</v>
      </c>
      <c r="E30" s="108">
        <f>$C30-D30</f>
        <v>0</v>
      </c>
      <c r="F30" s="195">
        <f t="shared" si="3"/>
        <v>0</v>
      </c>
      <c r="H30" s="192">
        <v>1180801</v>
      </c>
      <c r="I30" s="108">
        <f>$C30-H30</f>
        <v>0</v>
      </c>
      <c r="J30" s="195">
        <f t="shared" si="4"/>
        <v>0</v>
      </c>
    </row>
    <row r="31" spans="1:11" ht="15">
      <c r="A31" s="16" t="s">
        <v>81</v>
      </c>
      <c r="B31" s="16"/>
      <c r="C31" s="110">
        <f>SUM(C27:C30)</f>
        <v>118695749.89</v>
      </c>
      <c r="D31" s="110">
        <f>SUM(D27:D30)</f>
        <v>151659417.33333349</v>
      </c>
      <c r="E31" s="110">
        <f>$C31-D31</f>
        <v>-32963667.443333492</v>
      </c>
      <c r="F31" s="111">
        <f>IFERROR(E31/$C31,)</f>
        <v>-0.27771565093006456</v>
      </c>
      <c r="G31" s="112"/>
      <c r="H31" s="110">
        <f>SUM(H27:H30)</f>
        <v>163276807</v>
      </c>
      <c r="I31" s="110">
        <f>$C31-H31</f>
        <v>-44581057.109999999</v>
      </c>
      <c r="J31" s="111">
        <f>IFERROR(I31/$C31,)</f>
        <v>-0.37559101443240395</v>
      </c>
      <c r="K31" s="112"/>
    </row>
    <row r="32" spans="1:11">
      <c r="A32" s="27"/>
      <c r="B32" s="27"/>
      <c r="C32" s="100"/>
      <c r="D32" s="100"/>
      <c r="E32" s="100"/>
      <c r="F32" s="195"/>
      <c r="H32" s="100"/>
      <c r="I32" s="100"/>
      <c r="J32" s="100"/>
    </row>
    <row r="33" spans="1:11" ht="15">
      <c r="A33" s="207" t="s">
        <v>82</v>
      </c>
      <c r="B33" s="203"/>
      <c r="C33" s="196"/>
      <c r="D33" s="196"/>
      <c r="E33" s="196"/>
      <c r="F33" s="205"/>
      <c r="H33" s="196"/>
      <c r="I33" s="196"/>
      <c r="J33" s="196"/>
    </row>
    <row r="34" spans="1:11">
      <c r="A34" s="203" t="s">
        <v>83</v>
      </c>
      <c r="B34" s="203"/>
      <c r="C34" s="204">
        <v>150000000</v>
      </c>
      <c r="D34" s="204">
        <v>150000000</v>
      </c>
      <c r="E34" s="204">
        <f t="shared" ref="E34:E39" si="5">$C34-D34</f>
        <v>0</v>
      </c>
      <c r="F34" s="205">
        <f t="shared" ref="F34:F38" si="6">IFERROR(E34/$C34,)</f>
        <v>0</v>
      </c>
      <c r="H34" s="204">
        <v>150000000</v>
      </c>
      <c r="I34" s="204">
        <f t="shared" ref="I34:I39" si="7">$C34-H34</f>
        <v>0</v>
      </c>
      <c r="J34" s="205">
        <f t="shared" ref="J34:J38" si="8">IFERROR(I34/$C34,)</f>
        <v>0</v>
      </c>
    </row>
    <row r="35" spans="1:11">
      <c r="A35" s="203" t="s">
        <v>236</v>
      </c>
      <c r="B35" s="203"/>
      <c r="C35" s="274">
        <v>419610</v>
      </c>
      <c r="D35" s="274">
        <v>419610</v>
      </c>
      <c r="E35" s="204">
        <f t="shared" ref="E35:E37" si="9">$C35-D35</f>
        <v>0</v>
      </c>
      <c r="F35" s="205">
        <f t="shared" si="6"/>
        <v>0</v>
      </c>
      <c r="H35" s="204">
        <v>419610</v>
      </c>
      <c r="I35" s="204">
        <f t="shared" ref="I35:I37" si="10">$C35-H35</f>
        <v>0</v>
      </c>
      <c r="J35" s="205">
        <f t="shared" si="8"/>
        <v>0</v>
      </c>
    </row>
    <row r="36" spans="1:11">
      <c r="A36" s="203" t="s">
        <v>237</v>
      </c>
      <c r="B36" s="203"/>
      <c r="C36" s="204">
        <f>C48</f>
        <v>673663273</v>
      </c>
      <c r="D36" s="204">
        <f>D48</f>
        <v>673663273</v>
      </c>
      <c r="E36" s="204">
        <f t="shared" si="9"/>
        <v>0</v>
      </c>
      <c r="F36" s="205">
        <f t="shared" si="6"/>
        <v>0</v>
      </c>
      <c r="H36" s="204">
        <f>H48</f>
        <v>673663273</v>
      </c>
      <c r="I36" s="204">
        <f t="shared" si="10"/>
        <v>0</v>
      </c>
      <c r="J36" s="205">
        <f t="shared" si="8"/>
        <v>0</v>
      </c>
    </row>
    <row r="37" spans="1:11">
      <c r="A37" s="203" t="s">
        <v>238</v>
      </c>
      <c r="B37" s="203"/>
      <c r="C37" s="206">
        <v>9558593.75</v>
      </c>
      <c r="D37" s="206">
        <f>44176390.0000001-D53</f>
        <v>5512286.3333334327</v>
      </c>
      <c r="E37" s="204">
        <f t="shared" si="9"/>
        <v>4046307.4166665673</v>
      </c>
      <c r="F37" s="205">
        <f t="shared" si="6"/>
        <v>0.42331618253642878</v>
      </c>
      <c r="H37" s="206">
        <f>-H53</f>
        <v>-29063257</v>
      </c>
      <c r="I37" s="204">
        <f t="shared" si="10"/>
        <v>38621850.75</v>
      </c>
      <c r="J37" s="205">
        <f t="shared" si="8"/>
        <v>4.0405368990600738</v>
      </c>
    </row>
    <row r="38" spans="1:11">
      <c r="A38" s="27" t="s">
        <v>239</v>
      </c>
      <c r="B38" s="27"/>
      <c r="C38" s="275">
        <v>985466</v>
      </c>
      <c r="D38" s="275">
        <v>985466</v>
      </c>
      <c r="E38" s="108">
        <f t="shared" si="5"/>
        <v>0</v>
      </c>
      <c r="F38" s="195">
        <f t="shared" si="6"/>
        <v>0</v>
      </c>
      <c r="H38" s="108">
        <v>985466</v>
      </c>
      <c r="I38" s="108">
        <f t="shared" si="7"/>
        <v>0</v>
      </c>
      <c r="J38" s="195">
        <f t="shared" si="8"/>
        <v>0</v>
      </c>
    </row>
    <row r="39" spans="1:11" ht="15">
      <c r="A39" s="16" t="s">
        <v>84</v>
      </c>
      <c r="B39" s="16"/>
      <c r="C39" s="110">
        <f>SUM(C34:C38)</f>
        <v>834626942.75</v>
      </c>
      <c r="D39" s="110">
        <f>SUM(D34:D38)</f>
        <v>830580635.33333349</v>
      </c>
      <c r="E39" s="110">
        <f t="shared" si="5"/>
        <v>4046307.4166665077</v>
      </c>
      <c r="F39" s="111">
        <f>IFERROR(E39/$C39,)</f>
        <v>4.8480431309039567E-3</v>
      </c>
      <c r="G39" s="112"/>
      <c r="H39" s="110">
        <f>SUM(H34:H38)</f>
        <v>796005092</v>
      </c>
      <c r="I39" s="110">
        <f t="shared" si="7"/>
        <v>38621850.75</v>
      </c>
      <c r="J39" s="111">
        <f>IFERROR(I39/$C39,)</f>
        <v>4.6274387719554597E-2</v>
      </c>
      <c r="K39" s="112"/>
    </row>
    <row r="40" spans="1:11">
      <c r="F40" s="109"/>
    </row>
    <row r="41" spans="1:11" ht="15.75" thickBot="1">
      <c r="A41" s="113" t="s">
        <v>85</v>
      </c>
      <c r="B41" s="113"/>
      <c r="C41" s="114">
        <f>C31+C39</f>
        <v>953322692.63999999</v>
      </c>
      <c r="D41" s="114">
        <f>D31+D39</f>
        <v>982240052.66666698</v>
      </c>
      <c r="E41" s="114">
        <f>$C41-D41</f>
        <v>-28917360.026666999</v>
      </c>
      <c r="F41" s="115">
        <f>IFERROR(E41/$C41,)</f>
        <v>-3.0333233699270563E-2</v>
      </c>
      <c r="G41" s="112"/>
      <c r="H41" s="114">
        <f>H31+H39</f>
        <v>959281899</v>
      </c>
      <c r="I41" s="114">
        <f>$C41-H41</f>
        <v>-5959206.3600000143</v>
      </c>
      <c r="J41" s="115">
        <f>IFERROR(I41/$C41,)</f>
        <v>-6.2509855330280797E-3</v>
      </c>
      <c r="K41" s="112"/>
    </row>
    <row r="42" spans="1:11" ht="15" thickTop="1">
      <c r="A42" s="251" t="s">
        <v>86</v>
      </c>
      <c r="B42" s="117"/>
      <c r="C42" s="247" t="str">
        <f>IF(ABS(C23-C41)&lt;1, "Balanced!", "Error!")</f>
        <v>Error!</v>
      </c>
      <c r="D42" s="247" t="str">
        <f>IF(ABS(D23-D41)&lt;1, "Balanced!", "Error!")</f>
        <v>Error!</v>
      </c>
      <c r="E42" s="248"/>
      <c r="F42" s="249"/>
      <c r="G42" s="250"/>
      <c r="H42" s="247" t="str">
        <f>IF(ABS(H23-H41)&lt;1, "Balanced!", "Error!")</f>
        <v>Balanced!</v>
      </c>
      <c r="I42" s="248"/>
      <c r="J42" s="249"/>
      <c r="K42" s="250"/>
    </row>
    <row r="44" spans="1:11">
      <c r="C44" s="263"/>
      <c r="D44" s="263"/>
    </row>
    <row r="45" spans="1:11" ht="15">
      <c r="A45" s="24" t="s">
        <v>298</v>
      </c>
    </row>
    <row r="46" spans="1:11">
      <c r="A46" s="13" t="s">
        <v>295</v>
      </c>
      <c r="C46" s="263">
        <v>52406421</v>
      </c>
      <c r="D46" s="263">
        <v>52406421</v>
      </c>
      <c r="H46" s="263">
        <v>52406421</v>
      </c>
    </row>
    <row r="47" spans="1:11">
      <c r="A47" s="13" t="s">
        <v>296</v>
      </c>
      <c r="C47" s="263">
        <v>621256852</v>
      </c>
      <c r="D47" s="263">
        <v>621256852</v>
      </c>
      <c r="H47" s="263">
        <v>621256852</v>
      </c>
    </row>
    <row r="48" spans="1:11" ht="15" thickBot="1">
      <c r="A48" s="13" t="s">
        <v>297</v>
      </c>
      <c r="C48" s="271">
        <f>SUM(C46:C47)</f>
        <v>673663273</v>
      </c>
      <c r="D48" s="271">
        <f>SUM(D46:D47)</f>
        <v>673663273</v>
      </c>
      <c r="H48" s="271">
        <f>SUM(H46:H47)</f>
        <v>673663273</v>
      </c>
    </row>
    <row r="49" spans="1:14" ht="15" thickTop="1"/>
    <row r="50" spans="1:14" ht="15">
      <c r="A50" s="24" t="s">
        <v>299</v>
      </c>
    </row>
    <row r="51" spans="1:14">
      <c r="A51" s="13" t="s">
        <v>295</v>
      </c>
      <c r="C51" s="263">
        <v>0</v>
      </c>
      <c r="D51" s="263">
        <v>0</v>
      </c>
      <c r="H51" s="263">
        <v>0</v>
      </c>
    </row>
    <row r="52" spans="1:14">
      <c r="A52" s="13" t="s">
        <v>296</v>
      </c>
      <c r="C52" s="276">
        <v>40584273</v>
      </c>
      <c r="D52" s="276">
        <v>38664103.666666664</v>
      </c>
      <c r="E52" s="263"/>
      <c r="H52" s="263">
        <v>29063257</v>
      </c>
      <c r="M52" s="187"/>
      <c r="N52" s="187"/>
    </row>
    <row r="53" spans="1:14" ht="15" thickBot="1">
      <c r="A53" s="13" t="s">
        <v>297</v>
      </c>
      <c r="C53" s="271">
        <f>SUM(C51:C52)</f>
        <v>40584273</v>
      </c>
      <c r="D53" s="271">
        <f>SUM(D51:D52)</f>
        <v>38664103.666666664</v>
      </c>
      <c r="H53" s="271">
        <f>SUM(H51:H52)</f>
        <v>29063257</v>
      </c>
    </row>
    <row r="54" spans="1:14" ht="15" thickTop="1"/>
    <row r="55" spans="1:14" ht="15">
      <c r="A55" s="24" t="s">
        <v>300</v>
      </c>
    </row>
    <row r="56" spans="1:14">
      <c r="A56" s="13" t="s">
        <v>295</v>
      </c>
      <c r="C56" s="263">
        <f>C46-C51</f>
        <v>52406421</v>
      </c>
      <c r="D56" s="263">
        <f>D46-D51</f>
        <v>52406421</v>
      </c>
      <c r="H56" s="263">
        <f>H46-H51</f>
        <v>52406421</v>
      </c>
    </row>
    <row r="57" spans="1:14">
      <c r="A57" s="13" t="s">
        <v>296</v>
      </c>
      <c r="C57" s="263">
        <f>C47-C52</f>
        <v>580672579</v>
      </c>
      <c r="D57" s="263">
        <f>D47-D52</f>
        <v>582592748.33333337</v>
      </c>
      <c r="H57" s="263">
        <f>H47-H52</f>
        <v>592193595</v>
      </c>
    </row>
    <row r="58" spans="1:14" ht="15" thickBot="1">
      <c r="A58" s="13" t="s">
        <v>297</v>
      </c>
      <c r="C58" s="271">
        <f>SUM(C56:C57)</f>
        <v>633079000</v>
      </c>
      <c r="D58" s="271">
        <f>SUM(D56:D57)</f>
        <v>634999169.33333337</v>
      </c>
      <c r="H58" s="271">
        <f>SUM(H56:H57)</f>
        <v>644600016</v>
      </c>
    </row>
    <row r="59" spans="1:14" ht="15" thickTop="1"/>
    <row r="456" spans="3:59" ht="15">
      <c r="C456" s="13"/>
      <c r="D456" s="13"/>
      <c r="E456" s="13"/>
      <c r="F456" s="13"/>
      <c r="G456" s="13"/>
      <c r="H456" s="13"/>
      <c r="I456" s="13"/>
      <c r="J456" s="13"/>
      <c r="K456" s="13"/>
      <c r="BF456" s="24" t="s">
        <v>55</v>
      </c>
      <c r="BG456" s="24" t="s">
        <v>56</v>
      </c>
    </row>
    <row r="457" spans="3:59" ht="15">
      <c r="C457" s="13"/>
      <c r="D457" s="13"/>
      <c r="E457" s="13"/>
      <c r="F457" s="13"/>
      <c r="G457" s="13"/>
      <c r="H457" s="13"/>
      <c r="I457" s="13"/>
      <c r="J457" s="13"/>
      <c r="K457" s="13"/>
      <c r="BF457" s="24" t="s">
        <v>9</v>
      </c>
      <c r="BG457" s="70" t="s">
        <v>43</v>
      </c>
    </row>
    <row r="458" spans="3:59" ht="15">
      <c r="C458" s="13"/>
      <c r="D458" s="13"/>
      <c r="E458" s="13"/>
      <c r="F458" s="13"/>
      <c r="G458" s="13"/>
      <c r="H458" s="13"/>
      <c r="I458" s="13"/>
      <c r="J458" s="13"/>
      <c r="K458" s="13"/>
      <c r="BF458" s="24" t="s">
        <v>39</v>
      </c>
      <c r="BG458" s="71" t="s">
        <v>44</v>
      </c>
    </row>
    <row r="459" spans="3:59" ht="15">
      <c r="C459" s="13"/>
      <c r="D459" s="13"/>
      <c r="E459" s="13"/>
      <c r="F459" s="13"/>
      <c r="G459" s="13"/>
      <c r="H459" s="13"/>
      <c r="I459" s="13"/>
      <c r="J459" s="13"/>
      <c r="K459" s="13"/>
      <c r="BF459" s="24" t="s">
        <v>40</v>
      </c>
      <c r="BG459" s="71" t="s">
        <v>45</v>
      </c>
    </row>
    <row r="460" spans="3:59" ht="15">
      <c r="C460" s="13"/>
      <c r="D460" s="13"/>
      <c r="E460" s="13"/>
      <c r="F460" s="13"/>
      <c r="G460" s="13"/>
      <c r="H460" s="13"/>
      <c r="I460" s="13"/>
      <c r="J460" s="13"/>
      <c r="K460" s="13"/>
      <c r="BF460" s="24" t="s">
        <v>41</v>
      </c>
      <c r="BG460" s="71" t="s">
        <v>46</v>
      </c>
    </row>
    <row r="461" spans="3:59" ht="15">
      <c r="C461" s="13"/>
      <c r="D461" s="13"/>
      <c r="E461" s="13"/>
      <c r="F461" s="13"/>
      <c r="G461" s="13"/>
      <c r="H461" s="13"/>
      <c r="I461" s="13"/>
      <c r="J461" s="13"/>
      <c r="K461" s="13"/>
      <c r="BF461" s="24" t="s">
        <v>42</v>
      </c>
      <c r="BG461" s="71" t="s">
        <v>47</v>
      </c>
    </row>
    <row r="462" spans="3:59" ht="15">
      <c r="C462" s="13"/>
      <c r="D462" s="13"/>
      <c r="E462" s="13"/>
      <c r="F462" s="13"/>
      <c r="G462" s="13"/>
      <c r="H462" s="13"/>
      <c r="I462" s="13"/>
      <c r="J462" s="13"/>
      <c r="K462" s="13"/>
      <c r="BF462" s="24" t="s">
        <v>57</v>
      </c>
      <c r="BG462" s="71" t="s">
        <v>48</v>
      </c>
    </row>
    <row r="463" spans="3:59" ht="15">
      <c r="C463" s="13"/>
      <c r="D463" s="13"/>
      <c r="E463" s="13"/>
      <c r="F463" s="13"/>
      <c r="G463" s="13"/>
      <c r="H463" s="13"/>
      <c r="I463" s="13"/>
      <c r="J463" s="13"/>
      <c r="K463" s="13"/>
      <c r="BG463" s="71" t="s">
        <v>49</v>
      </c>
    </row>
    <row r="464" spans="3:59" ht="15">
      <c r="C464" s="13"/>
      <c r="D464" s="13"/>
      <c r="E464" s="13"/>
      <c r="F464" s="13"/>
      <c r="G464" s="13"/>
      <c r="H464" s="13"/>
      <c r="I464" s="13"/>
      <c r="J464" s="13"/>
      <c r="K464" s="13"/>
      <c r="BG464" s="71" t="s">
        <v>50</v>
      </c>
    </row>
    <row r="465" spans="3:59" ht="15">
      <c r="C465" s="13"/>
      <c r="D465" s="13"/>
      <c r="E465" s="13"/>
      <c r="F465" s="13"/>
      <c r="G465" s="13"/>
      <c r="H465" s="13"/>
      <c r="I465" s="13"/>
      <c r="J465" s="13"/>
      <c r="K465" s="13"/>
      <c r="BG465" s="71" t="s">
        <v>51</v>
      </c>
    </row>
    <row r="466" spans="3:59" ht="15">
      <c r="C466" s="13"/>
      <c r="D466" s="13"/>
      <c r="E466" s="13"/>
      <c r="F466" s="13"/>
      <c r="G466" s="13"/>
      <c r="H466" s="13"/>
      <c r="I466" s="13"/>
      <c r="J466" s="13"/>
      <c r="K466" s="13"/>
      <c r="BG466" s="71" t="s">
        <v>52</v>
      </c>
    </row>
    <row r="467" spans="3:59" ht="15">
      <c r="C467" s="13"/>
      <c r="D467" s="13"/>
      <c r="E467" s="13"/>
      <c r="F467" s="13"/>
      <c r="G467" s="13"/>
      <c r="H467" s="13"/>
      <c r="I467" s="13"/>
      <c r="J467" s="13"/>
      <c r="K467" s="13"/>
      <c r="BG467" s="71" t="s">
        <v>53</v>
      </c>
    </row>
    <row r="468" spans="3:59" ht="15">
      <c r="C468" s="13"/>
      <c r="D468" s="13"/>
      <c r="E468" s="13"/>
      <c r="F468" s="13"/>
      <c r="G468" s="13"/>
      <c r="H468" s="13"/>
      <c r="I468" s="13"/>
      <c r="J468" s="13"/>
      <c r="K468" s="13"/>
      <c r="BG468" s="71" t="s">
        <v>54</v>
      </c>
    </row>
    <row r="503" spans="3:11">
      <c r="C503" s="13"/>
      <c r="D503" s="13"/>
      <c r="E503" s="13"/>
      <c r="F503" s="13"/>
      <c r="G503" s="13"/>
      <c r="H503" s="13"/>
      <c r="I503" s="13"/>
      <c r="J503" s="13"/>
      <c r="K503" s="13"/>
    </row>
    <row r="504" spans="3:11">
      <c r="C504" s="13"/>
      <c r="D504" s="13"/>
      <c r="E504" s="13"/>
      <c r="F504" s="13"/>
      <c r="G504" s="13"/>
      <c r="H504" s="13"/>
      <c r="I504" s="13"/>
      <c r="J504" s="13"/>
      <c r="K504" s="13"/>
    </row>
    <row r="505" spans="3:11">
      <c r="C505" s="13"/>
      <c r="D505" s="13"/>
      <c r="E505" s="13"/>
      <c r="F505" s="13"/>
      <c r="G505" s="13"/>
      <c r="H505" s="13"/>
      <c r="I505" s="13"/>
      <c r="J505" s="13"/>
      <c r="K505" s="13"/>
    </row>
    <row r="506" spans="3:11">
      <c r="C506" s="13"/>
      <c r="D506" s="13"/>
      <c r="E506" s="13"/>
      <c r="F506" s="13"/>
      <c r="G506" s="13"/>
      <c r="H506" s="13"/>
      <c r="I506" s="13"/>
      <c r="J506" s="13"/>
      <c r="K506" s="13"/>
    </row>
    <row r="507" spans="3:11">
      <c r="C507" s="13"/>
      <c r="D507" s="13"/>
      <c r="E507" s="13"/>
      <c r="F507" s="13"/>
      <c r="G507" s="13"/>
      <c r="H507" s="13"/>
      <c r="I507" s="13"/>
      <c r="J507" s="13"/>
      <c r="K507" s="13"/>
    </row>
    <row r="508" spans="3:11">
      <c r="C508" s="13"/>
      <c r="D508" s="13"/>
      <c r="E508" s="13"/>
      <c r="F508" s="13"/>
      <c r="G508" s="13"/>
      <c r="H508" s="13"/>
      <c r="I508" s="13"/>
      <c r="J508" s="13"/>
      <c r="K508" s="13"/>
    </row>
    <row r="509" spans="3:11">
      <c r="C509" s="13"/>
      <c r="D509" s="13"/>
      <c r="E509" s="13"/>
      <c r="F509" s="13"/>
      <c r="G509" s="13"/>
      <c r="H509" s="13"/>
      <c r="I509" s="13"/>
      <c r="J509" s="13"/>
      <c r="K509" s="13"/>
    </row>
    <row r="510" spans="3:11">
      <c r="C510" s="13"/>
      <c r="D510" s="13"/>
      <c r="E510" s="13"/>
      <c r="F510" s="13"/>
      <c r="G510" s="13"/>
      <c r="H510" s="13"/>
      <c r="I510" s="13"/>
      <c r="J510" s="13"/>
      <c r="K510" s="13"/>
    </row>
    <row r="511" spans="3:11">
      <c r="C511" s="13"/>
      <c r="D511" s="13"/>
      <c r="E511" s="13"/>
      <c r="F511" s="13"/>
      <c r="G511" s="13"/>
      <c r="H511" s="13"/>
      <c r="I511" s="13"/>
      <c r="J511" s="13"/>
      <c r="K511" s="13"/>
    </row>
    <row r="512" spans="3:11">
      <c r="C512" s="13"/>
      <c r="D512" s="13"/>
      <c r="E512" s="13"/>
      <c r="F512" s="13"/>
      <c r="G512" s="13"/>
      <c r="H512" s="13"/>
      <c r="I512" s="13"/>
      <c r="J512" s="13"/>
      <c r="K512" s="13"/>
    </row>
    <row r="513" spans="3:11">
      <c r="C513" s="13"/>
      <c r="D513" s="13"/>
      <c r="E513" s="13"/>
      <c r="F513" s="13"/>
      <c r="G513" s="13"/>
      <c r="H513" s="13"/>
      <c r="I513" s="13"/>
      <c r="J513" s="13"/>
      <c r="K513" s="13"/>
    </row>
    <row r="514" spans="3:11">
      <c r="C514" s="13"/>
      <c r="D514" s="13"/>
      <c r="E514" s="13"/>
      <c r="F514" s="13"/>
      <c r="G514" s="13"/>
      <c r="H514" s="13"/>
      <c r="I514" s="13"/>
      <c r="J514" s="13"/>
      <c r="K514" s="13"/>
    </row>
    <row r="515" spans="3:11">
      <c r="C515" s="13"/>
      <c r="D515" s="13"/>
      <c r="E515" s="13"/>
      <c r="F515" s="13"/>
      <c r="G515" s="13"/>
      <c r="H515" s="13"/>
      <c r="I515" s="13"/>
      <c r="J515" s="13"/>
      <c r="K515" s="13"/>
    </row>
  </sheetData>
  <protectedRanges>
    <protectedRange sqref="C13:D14 C28:D30 H13:H14 H18:H20 H28:H30 H37 C18:D20 C37:D37" name="Range1"/>
    <protectedRange sqref="A45:J58" name="Range2"/>
  </protectedRanges>
  <mergeCells count="2">
    <mergeCell ref="E5:F5"/>
    <mergeCell ref="I5:J5"/>
  </mergeCells>
  <pageMargins left="0.7" right="0.7" top="0.75" bottom="0.75" header="0.3" footer="0.3"/>
  <pageSetup paperSize="9" scale="79" orientation="landscape"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0070C0"/>
    <pageSetUpPr fitToPage="1"/>
  </sheetPr>
  <dimension ref="A1:BI509"/>
  <sheetViews>
    <sheetView workbookViewId="0">
      <pane xSplit="2" ySplit="7" topLeftCell="J8" activePane="bottomRight" state="frozen"/>
      <selection pane="topRight" activeCell="C1" sqref="C1"/>
      <selection pane="bottomLeft" activeCell="A8" sqref="A8"/>
      <selection pane="bottomRight" activeCell="T18" sqref="T18"/>
    </sheetView>
  </sheetViews>
  <sheetFormatPr defaultRowHeight="14.25"/>
  <cols>
    <col min="1" max="1" width="51.42578125" style="13" bestFit="1" customWidth="1"/>
    <col min="2" max="2" width="2.85546875" style="13" customWidth="1"/>
    <col min="3" max="4" width="16" style="13" customWidth="1"/>
    <col min="5" max="6" width="13" style="13" customWidth="1"/>
    <col min="7" max="7" width="2.85546875" style="27" customWidth="1"/>
    <col min="8" max="13" width="12.85546875" style="99" customWidth="1"/>
    <col min="14" max="14" width="13.5703125" style="99" customWidth="1"/>
    <col min="15" max="20" width="12.85546875" style="99" customWidth="1"/>
    <col min="21" max="22" width="12.7109375" style="99" customWidth="1"/>
    <col min="23" max="16384" width="9.140625" style="13"/>
  </cols>
  <sheetData>
    <row r="1" spans="1:22" ht="15">
      <c r="A1" s="1" t="str">
        <f>'Top Flash'!A1</f>
        <v>TAAL VISTA HOTEL</v>
      </c>
    </row>
    <row r="2" spans="1:22" ht="15">
      <c r="A2" s="4" t="s">
        <v>88</v>
      </c>
      <c r="N2" s="272"/>
    </row>
    <row r="3" spans="1:22" ht="15">
      <c r="A3" s="1" t="str">
        <f>'Top Flash'!A3</f>
        <v>December 2015</v>
      </c>
      <c r="N3" s="273"/>
    </row>
    <row r="4" spans="1:22">
      <c r="A4" s="8" t="s">
        <v>38</v>
      </c>
      <c r="N4" s="273"/>
    </row>
    <row r="5" spans="1:22" ht="15">
      <c r="A5" s="27"/>
      <c r="C5" s="306" t="s">
        <v>109</v>
      </c>
      <c r="D5" s="307"/>
      <c r="E5" s="307"/>
      <c r="F5" s="308"/>
      <c r="H5" s="119"/>
      <c r="I5" s="119"/>
      <c r="J5" s="120"/>
      <c r="K5" s="120"/>
      <c r="L5" s="120"/>
      <c r="M5" s="120"/>
      <c r="N5" s="121" t="s">
        <v>110</v>
      </c>
      <c r="O5" s="120"/>
      <c r="P5" s="120"/>
      <c r="Q5" s="120"/>
      <c r="R5" s="120"/>
      <c r="S5" s="120"/>
      <c r="T5" s="120"/>
      <c r="U5" s="122"/>
    </row>
    <row r="6" spans="1:22" ht="15">
      <c r="A6" s="27"/>
      <c r="C6" s="123"/>
      <c r="D6" s="124"/>
      <c r="E6" s="310" t="s">
        <v>58</v>
      </c>
      <c r="F6" s="311"/>
      <c r="H6" s="97" t="s">
        <v>6</v>
      </c>
      <c r="I6" s="97" t="s">
        <v>6</v>
      </c>
      <c r="J6" s="97" t="s">
        <v>6</v>
      </c>
      <c r="K6" s="97" t="s">
        <v>6</v>
      </c>
      <c r="L6" s="97" t="s">
        <v>6</v>
      </c>
      <c r="M6" s="269" t="s">
        <v>6</v>
      </c>
      <c r="N6" s="269" t="s">
        <v>6</v>
      </c>
      <c r="O6" s="97" t="s">
        <v>5</v>
      </c>
      <c r="P6" s="97" t="s">
        <v>5</v>
      </c>
      <c r="Q6" s="97" t="s">
        <v>5</v>
      </c>
      <c r="R6" s="97" t="s">
        <v>5</v>
      </c>
      <c r="S6" s="97" t="s">
        <v>5</v>
      </c>
      <c r="T6" s="97" t="s">
        <v>5</v>
      </c>
      <c r="U6" s="97" t="s">
        <v>5</v>
      </c>
    </row>
    <row r="7" spans="1:22" ht="15">
      <c r="A7" s="125" t="s">
        <v>88</v>
      </c>
      <c r="C7" s="126" t="s">
        <v>60</v>
      </c>
      <c r="D7" s="127" t="s">
        <v>61</v>
      </c>
      <c r="E7" s="128" t="s">
        <v>59</v>
      </c>
      <c r="F7" s="127" t="s">
        <v>12</v>
      </c>
      <c r="H7" s="129">
        <v>41974</v>
      </c>
      <c r="I7" s="129">
        <v>42005</v>
      </c>
      <c r="J7" s="129">
        <v>42036</v>
      </c>
      <c r="K7" s="129">
        <v>42064</v>
      </c>
      <c r="L7" s="129">
        <v>42095</v>
      </c>
      <c r="M7" s="129">
        <v>42125</v>
      </c>
      <c r="N7" s="129">
        <v>42156</v>
      </c>
      <c r="O7" s="129">
        <v>42186</v>
      </c>
      <c r="P7" s="129">
        <v>42217</v>
      </c>
      <c r="Q7" s="129">
        <v>42248</v>
      </c>
      <c r="R7" s="129">
        <v>42278</v>
      </c>
      <c r="S7" s="129">
        <v>42309</v>
      </c>
      <c r="T7" s="129">
        <v>42339</v>
      </c>
      <c r="U7" s="129" t="s">
        <v>228</v>
      </c>
      <c r="V7" s="130"/>
    </row>
    <row r="8" spans="1:22" ht="15">
      <c r="A8" s="104"/>
    </row>
    <row r="9" spans="1:22" ht="15">
      <c r="A9" s="24" t="s">
        <v>90</v>
      </c>
    </row>
    <row r="10" spans="1:22" s="24" customFormat="1" ht="15">
      <c r="A10" s="24" t="s">
        <v>128</v>
      </c>
      <c r="C10" s="22">
        <f>SUM(C11:C14)</f>
        <v>55000000</v>
      </c>
      <c r="D10" s="22">
        <f>SUM(D11:D14)</f>
        <v>52000000</v>
      </c>
      <c r="E10" s="22">
        <f>C10-D10</f>
        <v>3000000</v>
      </c>
      <c r="F10" s="23">
        <f>IFERROR(E10/D10,)</f>
        <v>5.7692307692307696E-2</v>
      </c>
      <c r="G10" s="37"/>
      <c r="H10" s="22">
        <f t="shared" ref="H10" si="0">SUM(H11:H14)</f>
        <v>54929288.43</v>
      </c>
      <c r="I10" s="22">
        <f t="shared" ref="I10:U10" si="1">SUM(I11:I14)</f>
        <v>41183317.009999998</v>
      </c>
      <c r="J10" s="22">
        <f t="shared" si="1"/>
        <v>48396654.829999998</v>
      </c>
      <c r="K10" s="22">
        <f t="shared" si="1"/>
        <v>54745965.640000001</v>
      </c>
      <c r="L10" s="22">
        <f t="shared" si="1"/>
        <v>46653891.369999997</v>
      </c>
      <c r="M10" s="22">
        <f t="shared" si="1"/>
        <v>48920658.609999999</v>
      </c>
      <c r="N10" s="22">
        <f t="shared" si="1"/>
        <v>36374847</v>
      </c>
      <c r="O10" s="22">
        <f t="shared" si="1"/>
        <v>31000000</v>
      </c>
      <c r="P10" s="22">
        <f t="shared" si="1"/>
        <v>51006768</v>
      </c>
      <c r="Q10" s="22">
        <f t="shared" si="1"/>
        <v>32000000</v>
      </c>
      <c r="R10" s="22">
        <f t="shared" si="1"/>
        <v>43000000</v>
      </c>
      <c r="S10" s="22">
        <f t="shared" si="1"/>
        <v>52000000</v>
      </c>
      <c r="T10" s="22">
        <f t="shared" si="1"/>
        <v>55000000</v>
      </c>
      <c r="U10" s="22">
        <f t="shared" si="1"/>
        <v>540282102.46000004</v>
      </c>
      <c r="V10" s="134"/>
    </row>
    <row r="11" spans="1:22">
      <c r="A11" s="131" t="s">
        <v>124</v>
      </c>
      <c r="C11" s="214">
        <f>IF($A$3="January 2015",I11,IF($A$3="February 2015",J11,IF($A$3="March 2015",K11,IF($A$3="April 2015",L11,IF($A$3="May 2015",M11,IF($A$3="June 2015",N11,IF($A$3="July 2015",O11,IF($A$3="August 2015",P11,IF($A$3="September 2015",Q11,IF($A$3="October 2015",R11,IF($A$3="November 2015",S11,IF($A$3="December 2015",T11,0))))))))))))</f>
        <v>55000000</v>
      </c>
      <c r="D11" s="210">
        <f>IF($A$3="January 2015",H11,IF($A$3="February 2015",I11,IF($A$3="March 2015",J11,IF($A$3="April 2015",K11,IF($A$3="May 2015",L11,IF($A$3="June 2015",M11,IF($A$3="July 2015",N11,IF($A$3="August 2015",O11,IF($A$3="September 2015",P11,IF($A$3="October 2015",Q11,IF($A$3="November 2015",R11,IF($A$3="December 2015",S11,0))))))))))))</f>
        <v>52000000</v>
      </c>
      <c r="E11" s="210">
        <f>C11-D11</f>
        <v>3000000</v>
      </c>
      <c r="F11" s="215">
        <f>IFERROR(E11/D11,)</f>
        <v>5.7692307692307696E-2</v>
      </c>
      <c r="H11" s="221">
        <v>54929288.43</v>
      </c>
      <c r="I11" s="211">
        <v>41183317.009999998</v>
      </c>
      <c r="J11" s="211">
        <v>48396654.829999998</v>
      </c>
      <c r="K11" s="211">
        <v>54745965.640000001</v>
      </c>
      <c r="L11" s="211">
        <v>46653891.369999997</v>
      </c>
      <c r="M11" s="211">
        <v>48920658.609999999</v>
      </c>
      <c r="N11" s="211">
        <v>36374847</v>
      </c>
      <c r="O11" s="211">
        <v>31000000</v>
      </c>
      <c r="P11" s="211">
        <f>51006768</f>
        <v>51006768</v>
      </c>
      <c r="Q11" s="211">
        <v>32000000</v>
      </c>
      <c r="R11" s="211">
        <v>43000000</v>
      </c>
      <c r="S11" s="211">
        <v>52000000</v>
      </c>
      <c r="T11" s="211">
        <v>55000000</v>
      </c>
      <c r="U11" s="222">
        <f>SUM(I11:T11)</f>
        <v>540282102.46000004</v>
      </c>
    </row>
    <row r="12" spans="1:22">
      <c r="A12" s="131" t="s">
        <v>125</v>
      </c>
      <c r="C12" s="216">
        <f t="shared" ref="C12:C14" si="2">IF($A$3="January 2015",I12,IF($A$3="February 2015",J12,IF($A$3="March 2015",K12,IF($A$3="April 2015",L12,IF($A$3="May 2015",M12,IF($A$3="June 2015",N12,IF($A$3="July 2015",O12,IF($A$3="August 2015",P12,IF($A$3="September 2015",Q12,IF($A$3="October 2015",R12,IF($A$3="November 2015",S12,IF($A$3="December 2015",T12,0))))))))))))</f>
        <v>0</v>
      </c>
      <c r="D12" s="193">
        <f t="shared" ref="D12:D14" si="3">IF($A$3="January 2015",H12,IF($A$3="February 2015",I12,IF($A$3="March 2015",J12,IF($A$3="April 2015",K12,IF($A$3="May 2015",L12,IF($A$3="June 2015",M12,IF($A$3="July 2015",N12,IF($A$3="August 2015",O12,IF($A$3="September 2015",P12,IF($A$3="October 2015",Q12,IF($A$3="November 2015",R12,IF($A$3="December 2015",S12,0))))))))))))</f>
        <v>0</v>
      </c>
      <c r="E12" s="193">
        <f>C12-D12</f>
        <v>0</v>
      </c>
      <c r="F12" s="217">
        <f>IFERROR(E12/D12,)</f>
        <v>0</v>
      </c>
      <c r="H12" s="223"/>
      <c r="I12" s="194"/>
      <c r="J12" s="194"/>
      <c r="K12" s="194"/>
      <c r="L12" s="194"/>
      <c r="M12" s="194"/>
      <c r="N12" s="194"/>
      <c r="O12" s="194"/>
      <c r="P12" s="194"/>
      <c r="Q12" s="194"/>
      <c r="R12" s="194"/>
      <c r="S12" s="194"/>
      <c r="T12" s="194"/>
      <c r="U12" s="224">
        <f>SUM(I12:T12)</f>
        <v>0</v>
      </c>
    </row>
    <row r="13" spans="1:22">
      <c r="A13" s="131" t="s">
        <v>252</v>
      </c>
      <c r="C13" s="216">
        <f t="shared" si="2"/>
        <v>0</v>
      </c>
      <c r="D13" s="193">
        <f>IF($A$3="January 2015",H13,IF($A$3="February 2015",I13,IF($A$3="March 2015",J13,IF($A$3="April 2015",K13,IF($A$3="May 2015",L13,IF($A$3="June 2015",M13,IF($A$3="July 2015",N13,IF($A$3="August 2015",O13,IF($A$3="September 2015",P13,IF($A$3="October 2015",Q13,IF($A$3="November 2015",R13,IF($A$3="December 2015",S13,0))))))))))))</f>
        <v>0</v>
      </c>
      <c r="E13" s="193">
        <f>C13-D13</f>
        <v>0</v>
      </c>
      <c r="F13" s="217"/>
      <c r="H13" s="223"/>
      <c r="I13" s="194"/>
      <c r="J13" s="194"/>
      <c r="K13" s="194"/>
      <c r="L13" s="194"/>
      <c r="M13" s="194"/>
      <c r="N13" s="194"/>
      <c r="O13" s="194"/>
      <c r="P13" s="194"/>
      <c r="Q13" s="194"/>
      <c r="R13" s="194"/>
      <c r="S13" s="194"/>
      <c r="T13" s="194"/>
      <c r="U13" s="224">
        <f>SUM(I13:T13)</f>
        <v>0</v>
      </c>
    </row>
    <row r="14" spans="1:22">
      <c r="A14" s="131" t="s">
        <v>253</v>
      </c>
      <c r="C14" s="218">
        <f t="shared" si="2"/>
        <v>0</v>
      </c>
      <c r="D14" s="219">
        <f t="shared" si="3"/>
        <v>0</v>
      </c>
      <c r="E14" s="219">
        <f>C14-D14</f>
        <v>0</v>
      </c>
      <c r="F14" s="220">
        <f>IFERROR(E14/D14,)</f>
        <v>0</v>
      </c>
      <c r="H14" s="225"/>
      <c r="I14" s="226"/>
      <c r="J14" s="226"/>
      <c r="K14" s="226"/>
      <c r="L14" s="226"/>
      <c r="M14" s="226"/>
      <c r="N14" s="226"/>
      <c r="O14" s="226"/>
      <c r="P14" s="226"/>
      <c r="Q14" s="226"/>
      <c r="R14" s="226"/>
      <c r="S14" s="226"/>
      <c r="T14" s="226"/>
      <c r="U14" s="227">
        <f>SUM(I14:T14)</f>
        <v>0</v>
      </c>
    </row>
    <row r="15" spans="1:22">
      <c r="A15" s="131"/>
      <c r="C15" s="27"/>
      <c r="D15" s="27"/>
      <c r="E15" s="27"/>
      <c r="F15" s="27"/>
      <c r="H15" s="27"/>
      <c r="I15" s="27"/>
      <c r="J15" s="27"/>
      <c r="K15" s="27"/>
      <c r="L15" s="27"/>
      <c r="M15" s="27"/>
      <c r="N15" s="27"/>
      <c r="O15" s="27"/>
      <c r="P15" s="27"/>
      <c r="Q15" s="27"/>
      <c r="R15" s="27"/>
      <c r="S15" s="27"/>
      <c r="T15" s="27"/>
      <c r="U15" s="27"/>
    </row>
    <row r="16" spans="1:22" s="24" customFormat="1" ht="15">
      <c r="A16" s="24" t="s">
        <v>129</v>
      </c>
      <c r="C16" s="22">
        <f>SUM(C17:C32)</f>
        <v>28100835.530000001</v>
      </c>
      <c r="D16" s="22">
        <f>SUM(D17:D32)</f>
        <v>24000835.530000001</v>
      </c>
      <c r="E16" s="22">
        <f>C16-D16</f>
        <v>4100000</v>
      </c>
      <c r="F16" s="23">
        <f>IFERROR(E16/D16,)</f>
        <v>0.1708273861914173</v>
      </c>
      <c r="G16" s="37"/>
      <c r="H16" s="22">
        <f t="shared" ref="H16:U16" si="4">SUM(H17:H32)</f>
        <v>50795097.800000004</v>
      </c>
      <c r="I16" s="22">
        <f t="shared" si="4"/>
        <v>56360626.03593123</v>
      </c>
      <c r="J16" s="22">
        <f t="shared" si="4"/>
        <v>54145615.533333302</v>
      </c>
      <c r="K16" s="22">
        <f t="shared" si="4"/>
        <v>48887996.622960813</v>
      </c>
      <c r="L16" s="22">
        <f t="shared" si="4"/>
        <v>63709080.522203386</v>
      </c>
      <c r="M16" s="22">
        <f t="shared" si="4"/>
        <v>51750485.882237762</v>
      </c>
      <c r="N16" s="22">
        <f t="shared" si="4"/>
        <v>52703834.8633333</v>
      </c>
      <c r="O16" s="22">
        <f t="shared" si="4"/>
        <v>18100835.530000001</v>
      </c>
      <c r="P16" s="22">
        <f t="shared" si="4"/>
        <v>17500835.530000001</v>
      </c>
      <c r="Q16" s="22">
        <f t="shared" si="4"/>
        <v>17706835.530000001</v>
      </c>
      <c r="R16" s="22">
        <f t="shared" si="4"/>
        <v>21300835.530000001</v>
      </c>
      <c r="S16" s="22">
        <f t="shared" si="4"/>
        <v>24000835.530000001</v>
      </c>
      <c r="T16" s="22">
        <f t="shared" si="4"/>
        <v>28100835.530000001</v>
      </c>
      <c r="U16" s="22">
        <f t="shared" si="4"/>
        <v>454268652.63999975</v>
      </c>
      <c r="V16" s="134"/>
    </row>
    <row r="17" spans="1:59">
      <c r="A17" s="132" t="s">
        <v>254</v>
      </c>
      <c r="B17" s="27"/>
      <c r="C17" s="214">
        <f t="shared" ref="C17:C32" si="5">IF($A$3="January 2015",I17,IF($A$3="February 2015",J17,IF($A$3="March 2015",K17,IF($A$3="April 2015",L17,IF($A$3="May 2015",M17,IF($A$3="June 2015",N17,IF($A$3="July 2015",O17,IF($A$3="August 2015",P17,IF($A$3="September 2015",Q17,IF($A$3="October 2015",R17,IF($A$3="November 2015",S17,IF($A$3="December 2015",T17,0))))))))))))</f>
        <v>0</v>
      </c>
      <c r="D17" s="210">
        <f t="shared" ref="D17:D32" si="6">IF($A$3="January 2015",H17,IF($A$3="February 2015",I17,IF($A$3="March 2015",J17,IF($A$3="April 2015",K17,IF($A$3="May 2015",L17,IF($A$3="June 2015",M17,IF($A$3="July 2015",N17,IF($A$3="August 2015",O17,IF($A$3="September 2015",P17,IF($A$3="October 2015",Q17,IF($A$3="November 2015",R17,IF($A$3="December 2015",S17,0))))))))))))</f>
        <v>0</v>
      </c>
      <c r="E17" s="210">
        <f t="shared" ref="E17:E32" si="7">C17-D17</f>
        <v>0</v>
      </c>
      <c r="F17" s="215">
        <f t="shared" ref="F17:F32" si="8">IFERROR(E17/D17,)</f>
        <v>0</v>
      </c>
      <c r="H17" s="221"/>
      <c r="I17" s="211"/>
      <c r="J17" s="211"/>
      <c r="K17" s="211"/>
      <c r="L17" s="211"/>
      <c r="M17" s="211"/>
      <c r="N17" s="211"/>
      <c r="O17" s="211"/>
      <c r="P17" s="211"/>
      <c r="Q17" s="211"/>
      <c r="R17" s="211"/>
      <c r="S17" s="211"/>
      <c r="T17" s="211"/>
      <c r="U17" s="222">
        <f t="shared" ref="U17:U32" si="9">SUM(I17:T17)</f>
        <v>0</v>
      </c>
    </row>
    <row r="18" spans="1:59">
      <c r="A18" s="132" t="s">
        <v>112</v>
      </c>
      <c r="B18" s="27"/>
      <c r="C18" s="216">
        <f t="shared" si="5"/>
        <v>6400000</v>
      </c>
      <c r="D18" s="193">
        <f t="shared" si="6"/>
        <v>4000000</v>
      </c>
      <c r="E18" s="193">
        <f t="shared" si="7"/>
        <v>2400000</v>
      </c>
      <c r="F18" s="217">
        <f t="shared" si="8"/>
        <v>0.6</v>
      </c>
      <c r="H18" s="223">
        <f>8576024+2420000</f>
        <v>10996024</v>
      </c>
      <c r="I18" s="194">
        <f>5731834</f>
        <v>5731834</v>
      </c>
      <c r="J18" s="194">
        <f>6370067</f>
        <v>6370067</v>
      </c>
      <c r="K18" s="194">
        <v>6264401</v>
      </c>
      <c r="L18" s="194">
        <v>5558911.6200000001</v>
      </c>
      <c r="M18" s="194">
        <v>4302710.84</v>
      </c>
      <c r="N18" s="194">
        <v>4848190</v>
      </c>
      <c r="O18" s="194">
        <v>4000000</v>
      </c>
      <c r="P18" s="267">
        <v>4000000</v>
      </c>
      <c r="Q18" s="267">
        <v>4000000</v>
      </c>
      <c r="R18" s="267">
        <v>4000000</v>
      </c>
      <c r="S18" s="267">
        <v>4000000</v>
      </c>
      <c r="T18" s="194">
        <v>6400000</v>
      </c>
      <c r="U18" s="224">
        <f t="shared" si="9"/>
        <v>59476114.460000001</v>
      </c>
    </row>
    <row r="19" spans="1:59">
      <c r="A19" s="132" t="s">
        <v>114</v>
      </c>
      <c r="B19" s="27"/>
      <c r="C19" s="216">
        <f t="shared" si="5"/>
        <v>1500000</v>
      </c>
      <c r="D19" s="193">
        <f t="shared" si="6"/>
        <v>1500000</v>
      </c>
      <c r="E19" s="193">
        <f t="shared" si="7"/>
        <v>0</v>
      </c>
      <c r="F19" s="217">
        <f t="shared" si="8"/>
        <v>0</v>
      </c>
      <c r="H19" s="223">
        <v>1301800.67</v>
      </c>
      <c r="I19" s="194">
        <f>5310.07+6748.24+193396.3+2605.35+2301.57+4699.69+630263.42+3406.5+3521.25+3521.25+438924.86+6729.37+4332.75+5963.62+6729.37+549.5+200+5690.38+4332.75+5963.62</f>
        <v>1335189.8600000003</v>
      </c>
      <c r="J19" s="194">
        <f>1155.05+301065.3+512234.63+3985.15+2979.19+8514+1967.85+554748.13+143901.48+1+193396.3+3722722.05</f>
        <v>5446670.1299999999</v>
      </c>
      <c r="K19" s="194">
        <v>5171476.79</v>
      </c>
      <c r="L19" s="194">
        <f>170800.18+5797.94+5158.18+3615.22+2762.82+96900+3000+40919.75+3028+45717.99+193396.3+5935.79+6757.53+585024.63+1368.95+162592.51</f>
        <v>1332775.79</v>
      </c>
      <c r="M19" s="194">
        <v>756037</v>
      </c>
      <c r="N19" s="194">
        <v>1637730</v>
      </c>
      <c r="O19" s="194">
        <v>1100000</v>
      </c>
      <c r="P19" s="194">
        <v>1000000</v>
      </c>
      <c r="Q19" s="194">
        <v>1000000</v>
      </c>
      <c r="R19" s="194">
        <v>1500000</v>
      </c>
      <c r="S19" s="194">
        <v>1500000</v>
      </c>
      <c r="T19" s="194">
        <v>1500000</v>
      </c>
      <c r="U19" s="224">
        <f t="shared" si="9"/>
        <v>23279879.57</v>
      </c>
    </row>
    <row r="20" spans="1:59">
      <c r="A20" s="132" t="s">
        <v>118</v>
      </c>
      <c r="B20" s="27"/>
      <c r="C20" s="216">
        <f t="shared" si="5"/>
        <v>3800000</v>
      </c>
      <c r="D20" s="193">
        <f t="shared" si="6"/>
        <v>3700000</v>
      </c>
      <c r="E20" s="193">
        <f t="shared" si="7"/>
        <v>100000</v>
      </c>
      <c r="F20" s="217">
        <f t="shared" si="8"/>
        <v>2.7027027027027029E-2</v>
      </c>
      <c r="H20" s="223">
        <v>4245180.12</v>
      </c>
      <c r="I20" s="194">
        <f>670054+2118998+980217</f>
        <v>3769269</v>
      </c>
      <c r="J20" s="194">
        <f>711110.6+76265.53+95415.18+27958.66+1217.92+129250+55566.42</f>
        <v>1096784.31</v>
      </c>
      <c r="K20" s="194">
        <v>139272.62</v>
      </c>
      <c r="L20" s="194">
        <f>49107.14+34340.81+62611.38+28433.25</f>
        <v>174492.58</v>
      </c>
      <c r="M20" s="194">
        <v>4623139</v>
      </c>
      <c r="N20" s="194">
        <v>4359669</v>
      </c>
      <c r="O20" s="194">
        <v>2800000</v>
      </c>
      <c r="P20" s="194">
        <v>2900000</v>
      </c>
      <c r="Q20" s="194">
        <v>3000000</v>
      </c>
      <c r="R20" s="194">
        <v>3600000</v>
      </c>
      <c r="S20" s="194">
        <v>3700000</v>
      </c>
      <c r="T20" s="194">
        <v>3800000</v>
      </c>
      <c r="U20" s="224">
        <f t="shared" si="9"/>
        <v>33962626.510000005</v>
      </c>
      <c r="V20" s="100"/>
    </row>
    <row r="21" spans="1:59" ht="15">
      <c r="A21" s="132" t="s">
        <v>119</v>
      </c>
      <c r="B21" s="27"/>
      <c r="C21" s="216">
        <f t="shared" si="5"/>
        <v>400000</v>
      </c>
      <c r="D21" s="193">
        <f t="shared" si="6"/>
        <v>400000</v>
      </c>
      <c r="E21" s="193">
        <f t="shared" si="7"/>
        <v>0</v>
      </c>
      <c r="F21" s="217">
        <f t="shared" si="8"/>
        <v>0</v>
      </c>
      <c r="H21" s="223">
        <v>18952.36</v>
      </c>
      <c r="I21" s="194">
        <f>129250+1458.66+15950+10916.97+1030.05+2952.96+21447.29+1030.05+1160.79+1030.05+20494.77+66830.75+157634.67</f>
        <v>431187.01</v>
      </c>
      <c r="J21" s="194">
        <f>4063.5+115436.16+1253+550.5+53021.12+26866.97+319615.11+55056.97</f>
        <v>575863.32999999996</v>
      </c>
      <c r="K21" s="194">
        <v>665612.02</v>
      </c>
      <c r="L21" s="194">
        <f>505446.43+33406.58+39513+81869.03+28433.25+123195.69+108011.51+129250+1701.6+145800.96+123749.07+34498.88</f>
        <v>1354876</v>
      </c>
      <c r="M21" s="194">
        <f>140947+21082</f>
        <v>162029</v>
      </c>
      <c r="N21" s="194">
        <v>300650</v>
      </c>
      <c r="O21" s="194">
        <v>400000</v>
      </c>
      <c r="P21" s="194">
        <v>400000</v>
      </c>
      <c r="Q21" s="194">
        <v>400000</v>
      </c>
      <c r="R21" s="194">
        <v>400000</v>
      </c>
      <c r="S21" s="194">
        <v>400000</v>
      </c>
      <c r="T21" s="194">
        <v>400000</v>
      </c>
      <c r="U21" s="224">
        <f t="shared" si="9"/>
        <v>5890217.3599999994</v>
      </c>
      <c r="BG21" s="71"/>
    </row>
    <row r="22" spans="1:59" ht="15">
      <c r="A22" s="132" t="s">
        <v>117</v>
      </c>
      <c r="B22" s="27"/>
      <c r="C22" s="216">
        <f t="shared" si="5"/>
        <v>8200000</v>
      </c>
      <c r="D22" s="193">
        <f t="shared" si="6"/>
        <v>6800000</v>
      </c>
      <c r="E22" s="193">
        <f t="shared" si="7"/>
        <v>1400000</v>
      </c>
      <c r="F22" s="217">
        <f t="shared" si="8"/>
        <v>0.20588235294117646</v>
      </c>
      <c r="H22" s="223">
        <f>13527228.35+12730000</f>
        <v>26257228.350000001</v>
      </c>
      <c r="I22" s="194">
        <f>5940+5940+30120.64+16699.55+8503.39+8622.32+23760+58550.58+75834+3231.36+5057.91+15825.15+2477.68+18120.75+4955.36+16467.64+9324.99+28760.89+20020.77+37187.32+2913.75+2004.51+35212.85+322.1+1355.79+257.68+53200.71+50551.58+24632.09+3964.29+16695+2081.25+1982.14+1982.14+40039.29+40039.29+2252.41+12004.34+22200+(17523*4)+9563.84+2973.21+41007.57+38115+2479.95+7296.3+2666.76+2605.68+2343.82+2262.15+1126.62+2061.18+3116.52+431.74+3639.4+5726.16+2031.48+6800.31+4501.53+5126.22+4233.24+7036.92+2393.82+7518.06+8038.6+3763.98+3447.08+7352.64+43628.71+12388.39+32506.45+35052.14+6175.37+4757.14+499.5+(13875*6)+2750.22+21301.89+22229.11+1982.14+30723.21+30723.21+13131.7+46362.32+4459.82+29236.61+45886.61+3865.18+4876.07+38313+42088.56+67872.82+3378.62+1689.31+33232.32+37818+4459.82+5946.43+129235.71+11982.05+25212.86+4876.07+38313+42088.56+67872.82+3378.62+1689.31+33232.32+37818+4459.82+5946.43+129235.71+11982.05+25212.86+4876.07+38313+157481.25+42088.56+67872.82+10317.05+8597.54+2477.68+4051.08+11280.06+6342.86+6342.86+746.78+10883.99+14334.22+22299.11+24925.45+2775+15262.5+2319.11+2675.89+26610.27+2675.89+26263.39+26610.27+3378.62+1689.31+666+1545.08+1605.4+28612.23+(17523*5)+30754.93+60921.16+13855.18+49058.63+33232.32+37818+78269.4+78269.4+33374.33+60108.48+3290.362597933+25047.56+29642.95+4459.82+5946.43+129235.71+11982.05+25212.86+13528.12+33374.33+60108.48+3290.36+13449.09+31575.54+146343.1+5154900</f>
        <v>9082547.0825979337</v>
      </c>
      <c r="J22" s="194">
        <f>322950.97+261444.64+242484.26+10317.05+23809.5+17987.12+4598.58+13320+138300.85+16531.07+54756.7+344440.88+316857.42+98504.01+6613.12+70858.27+54489.11+45219.99+130592.78+27064+46193.84+260889.65+5847.32+144918.42+14931.75+10535.12+87363.15+6994.61+30691.96+15096+100000+10249.6+2574017.19</f>
        <v>5508868.9299999997</v>
      </c>
      <c r="K22" s="194">
        <v>7171150.6835678602</v>
      </c>
      <c r="L22" s="194">
        <f>52378.48+29700+140994.81+44756.2+88502.68+148837.09+22517.26+13280.36+4455+76659.24+86044.82+222209.89+15698.57+173477.14+13280.36+29137.5+3691.74+8661.97+1126.2+18495.37+78760.31+11090.09+18751.07+104159.88+119620.21+158645.24+101535.27+74021.68+43135.82+4480+15596.96+30951.16+76659.24+31995.81+83134.05+24330.8+38052.18+71746.1+109520.95+16360.25+189706.93+221383.8+42710+23817.67+105593.72+587169.74+8075.62+238818.48+10000+238818.48+30970.98+39285.71+167184.47+41708.25+109587.89+234391.28+2077.29+45490.18+54351+54756.7+20416.07+81395.3+4158+16922.05+55902.33+39092.81+326134.19+95415.18+26600+44000+13082.14+4566.86+772+49107.14+1848440.93+11785.72+4578.75+3779+63557.42887009+12334.32+11781+249001.24+55500+94290.61+37065.7+516644+109246.58+29117.68+124875+398013.33+190160.19+63248.62+28193.81+141682.86+52569+18775.85+81814.88+183013.23+140811.34+5154000</f>
        <v>15254195.07887009</v>
      </c>
      <c r="M22" s="194">
        <v>2950652</v>
      </c>
      <c r="N22" s="194">
        <v>6115186</v>
      </c>
      <c r="O22" s="194">
        <v>4900000</v>
      </c>
      <c r="P22" s="194">
        <v>3900000</v>
      </c>
      <c r="Q22" s="194">
        <v>3800000</v>
      </c>
      <c r="R22" s="194">
        <v>5800000</v>
      </c>
      <c r="S22" s="194">
        <v>6800000</v>
      </c>
      <c r="T22" s="194">
        <v>8200000</v>
      </c>
      <c r="U22" s="224">
        <f t="shared" si="9"/>
        <v>79482599.775035888</v>
      </c>
      <c r="BG22" s="71"/>
    </row>
    <row r="23" spans="1:59" ht="15">
      <c r="A23" s="132" t="s">
        <v>123</v>
      </c>
      <c r="B23" s="27"/>
      <c r="C23" s="216">
        <f t="shared" si="5"/>
        <v>1500000</v>
      </c>
      <c r="D23" s="193">
        <f t="shared" si="6"/>
        <v>1500000</v>
      </c>
      <c r="E23" s="193">
        <f t="shared" si="7"/>
        <v>0</v>
      </c>
      <c r="F23" s="217">
        <f t="shared" si="8"/>
        <v>0</v>
      </c>
      <c r="H23" s="223">
        <v>995808.86</v>
      </c>
      <c r="I23" s="194">
        <v>3128984.37</v>
      </c>
      <c r="J23" s="194">
        <f>20911.61+705620.7</f>
        <v>726532.30999999994</v>
      </c>
      <c r="K23" s="194">
        <v>638962.36100965401</v>
      </c>
      <c r="L23" s="194">
        <f>4807.69+50678.57+43339.54+66000+14097.6+9325.97+6000+11312.08+1522321.43+1862+16650+56875.5+28886.76+115899.93+589793.7+73804.5+742.06+21802.58+1189.05+3101.81+22200+53086.23+53518.75+32576.3</f>
        <v>2799872.0499999993</v>
      </c>
      <c r="M23" s="194">
        <v>554869</v>
      </c>
      <c r="N23" s="194">
        <v>1195873</v>
      </c>
      <c r="O23" s="194">
        <v>1000000</v>
      </c>
      <c r="P23" s="194">
        <v>1500000</v>
      </c>
      <c r="Q23" s="194">
        <v>1500000</v>
      </c>
      <c r="R23" s="194">
        <v>1500000</v>
      </c>
      <c r="S23" s="194">
        <v>1500000</v>
      </c>
      <c r="T23" s="194">
        <v>1500000</v>
      </c>
      <c r="U23" s="224">
        <f t="shared" si="9"/>
        <v>17545093.091009654</v>
      </c>
      <c r="BG23" s="71"/>
    </row>
    <row r="24" spans="1:59" ht="15">
      <c r="A24" s="132" t="s">
        <v>121</v>
      </c>
      <c r="B24" s="27"/>
      <c r="C24" s="216">
        <f t="shared" si="5"/>
        <v>0</v>
      </c>
      <c r="D24" s="193">
        <f t="shared" si="6"/>
        <v>0</v>
      </c>
      <c r="E24" s="193">
        <f t="shared" si="7"/>
        <v>0</v>
      </c>
      <c r="F24" s="217">
        <f t="shared" si="8"/>
        <v>0</v>
      </c>
      <c r="H24" s="223"/>
      <c r="I24" s="194"/>
      <c r="J24" s="194"/>
      <c r="K24" s="194"/>
      <c r="L24" s="194"/>
      <c r="M24" s="194">
        <v>176478</v>
      </c>
      <c r="N24" s="194"/>
      <c r="O24" s="194"/>
      <c r="P24" s="194"/>
      <c r="Q24" s="194"/>
      <c r="R24" s="194"/>
      <c r="S24" s="194"/>
      <c r="T24" s="194"/>
      <c r="U24" s="224">
        <f t="shared" si="9"/>
        <v>176478</v>
      </c>
      <c r="BG24" s="71"/>
    </row>
    <row r="25" spans="1:59" ht="15">
      <c r="A25" s="132" t="s">
        <v>120</v>
      </c>
      <c r="B25" s="27"/>
      <c r="C25" s="216">
        <f t="shared" si="5"/>
        <v>95000</v>
      </c>
      <c r="D25" s="193">
        <f t="shared" si="6"/>
        <v>95000</v>
      </c>
      <c r="E25" s="193">
        <f t="shared" si="7"/>
        <v>0</v>
      </c>
      <c r="F25" s="217">
        <f t="shared" si="8"/>
        <v>0</v>
      </c>
      <c r="H25" s="223">
        <v>198414.13</v>
      </c>
      <c r="I25" s="194">
        <f>7920+3369.64+90000</f>
        <v>101289.64</v>
      </c>
      <c r="J25" s="194">
        <f>71490.15+83250+44000+49107.15+54000</f>
        <v>301847.3</v>
      </c>
      <c r="K25" s="194">
        <v>64535.12</v>
      </c>
      <c r="L25" s="194">
        <v>102000</v>
      </c>
      <c r="M25" s="194">
        <f>255941-M24</f>
        <v>79463</v>
      </c>
      <c r="N25" s="194">
        <v>95000</v>
      </c>
      <c r="O25" s="194">
        <v>95000</v>
      </c>
      <c r="P25" s="194">
        <v>95000</v>
      </c>
      <c r="Q25" s="194">
        <v>101000</v>
      </c>
      <c r="R25" s="194">
        <v>95000</v>
      </c>
      <c r="S25" s="194">
        <v>95000</v>
      </c>
      <c r="T25" s="194">
        <v>95000</v>
      </c>
      <c r="U25" s="224">
        <f t="shared" si="9"/>
        <v>1320135.06</v>
      </c>
      <c r="BG25" s="71"/>
    </row>
    <row r="26" spans="1:59" ht="15">
      <c r="A26" s="132" t="s">
        <v>122</v>
      </c>
      <c r="B26" s="27"/>
      <c r="C26" s="216">
        <f t="shared" si="5"/>
        <v>0</v>
      </c>
      <c r="D26" s="193">
        <f t="shared" si="6"/>
        <v>0</v>
      </c>
      <c r="E26" s="193">
        <f t="shared" si="7"/>
        <v>0</v>
      </c>
      <c r="F26" s="217">
        <f t="shared" si="8"/>
        <v>0</v>
      </c>
      <c r="H26" s="223"/>
      <c r="I26" s="194"/>
      <c r="J26" s="194"/>
      <c r="K26" s="194"/>
      <c r="L26" s="194"/>
      <c r="M26" s="194"/>
      <c r="N26" s="194"/>
      <c r="O26" s="194"/>
      <c r="P26" s="194"/>
      <c r="Q26" s="194"/>
      <c r="R26" s="194"/>
      <c r="S26" s="194"/>
      <c r="T26" s="194"/>
      <c r="U26" s="224">
        <f t="shared" si="9"/>
        <v>0</v>
      </c>
      <c r="BG26" s="71"/>
    </row>
    <row r="27" spans="1:59" ht="15">
      <c r="A27" s="132" t="s">
        <v>113</v>
      </c>
      <c r="B27" s="27"/>
      <c r="C27" s="216">
        <f t="shared" si="5"/>
        <v>5000000</v>
      </c>
      <c r="D27" s="193">
        <f t="shared" si="6"/>
        <v>4800000</v>
      </c>
      <c r="E27" s="193">
        <f t="shared" si="7"/>
        <v>200000</v>
      </c>
      <c r="F27" s="217">
        <f t="shared" si="8"/>
        <v>4.1666666666666664E-2</v>
      </c>
      <c r="H27" s="223">
        <v>3596654</v>
      </c>
      <c r="I27" s="194">
        <v>7146158</v>
      </c>
      <c r="J27" s="194">
        <f>2500000+6256529</f>
        <v>8756529</v>
      </c>
      <c r="K27" s="194">
        <v>2514945.14</v>
      </c>
      <c r="L27" s="194">
        <f>32546.58+85654.36+69725+291925+96807.11+5369221+1156180.65+2280718.65+27223.21</f>
        <v>9410001.5600000005</v>
      </c>
      <c r="M27" s="194">
        <f>33096.97+2071705.14+457241.86+274031.82+3188987.65+566114.98</f>
        <v>6591178.4199999999</v>
      </c>
      <c r="N27" s="194">
        <f>2512945+394402</f>
        <v>2907347</v>
      </c>
      <c r="O27" s="194">
        <v>2600000</v>
      </c>
      <c r="P27" s="194">
        <v>2500000</v>
      </c>
      <c r="Q27" s="194">
        <v>2700000</v>
      </c>
      <c r="R27" s="194">
        <v>3200000</v>
      </c>
      <c r="S27" s="194">
        <v>4800000</v>
      </c>
      <c r="T27" s="194">
        <v>5000000</v>
      </c>
      <c r="U27" s="224">
        <f t="shared" si="9"/>
        <v>58126159.120000005</v>
      </c>
      <c r="BG27" s="71"/>
    </row>
    <row r="28" spans="1:59" ht="15">
      <c r="A28" s="132" t="s">
        <v>115</v>
      </c>
      <c r="B28" s="27"/>
      <c r="C28" s="216">
        <f t="shared" si="5"/>
        <v>0</v>
      </c>
      <c r="D28" s="193">
        <f t="shared" si="6"/>
        <v>0</v>
      </c>
      <c r="E28" s="193">
        <f t="shared" si="7"/>
        <v>0</v>
      </c>
      <c r="F28" s="217">
        <f t="shared" si="8"/>
        <v>0</v>
      </c>
      <c r="H28" s="223">
        <v>1945931.53</v>
      </c>
      <c r="I28" s="194"/>
      <c r="J28" s="194"/>
      <c r="K28" s="194"/>
      <c r="L28" s="194"/>
      <c r="M28" s="194">
        <v>2854337.59</v>
      </c>
      <c r="N28" s="194"/>
      <c r="O28" s="194"/>
      <c r="P28" s="194"/>
      <c r="Q28" s="194"/>
      <c r="R28" s="194"/>
      <c r="S28" s="194"/>
      <c r="T28" s="194"/>
      <c r="U28" s="224">
        <f t="shared" si="9"/>
        <v>2854337.59</v>
      </c>
      <c r="BG28" s="71"/>
    </row>
    <row r="29" spans="1:59" ht="15">
      <c r="A29" s="132" t="s">
        <v>116</v>
      </c>
      <c r="B29" s="27"/>
      <c r="C29" s="216">
        <f t="shared" si="5"/>
        <v>0</v>
      </c>
      <c r="D29" s="193">
        <f t="shared" si="6"/>
        <v>0</v>
      </c>
      <c r="E29" s="193">
        <f t="shared" si="7"/>
        <v>0</v>
      </c>
      <c r="F29" s="217">
        <f t="shared" si="8"/>
        <v>0</v>
      </c>
      <c r="H29" s="223"/>
      <c r="I29" s="194"/>
      <c r="J29" s="194"/>
      <c r="K29" s="194"/>
      <c r="L29" s="194"/>
      <c r="M29" s="194"/>
      <c r="N29" s="194"/>
      <c r="O29" s="194"/>
      <c r="P29" s="194"/>
      <c r="Q29" s="194"/>
      <c r="R29" s="194"/>
      <c r="S29" s="194"/>
      <c r="T29" s="194"/>
      <c r="U29" s="224">
        <f t="shared" si="9"/>
        <v>0</v>
      </c>
      <c r="BG29" s="71"/>
    </row>
    <row r="30" spans="1:59">
      <c r="A30" s="132" t="s">
        <v>111</v>
      </c>
      <c r="B30" s="27"/>
      <c r="C30" s="216">
        <f t="shared" si="5"/>
        <v>0</v>
      </c>
      <c r="D30" s="193">
        <f t="shared" si="6"/>
        <v>0</v>
      </c>
      <c r="E30" s="193">
        <f t="shared" si="7"/>
        <v>0</v>
      </c>
      <c r="F30" s="217">
        <f t="shared" si="8"/>
        <v>0</v>
      </c>
      <c r="H30" s="223"/>
      <c r="I30" s="194"/>
      <c r="J30" s="194"/>
      <c r="K30" s="194"/>
      <c r="L30" s="194">
        <v>214725</v>
      </c>
      <c r="M30" s="194"/>
      <c r="N30" s="194">
        <v>4970494</v>
      </c>
      <c r="O30" s="194"/>
      <c r="P30" s="194"/>
      <c r="Q30" s="194"/>
      <c r="R30" s="194"/>
      <c r="S30" s="194"/>
      <c r="T30" s="194"/>
      <c r="U30" s="224">
        <f t="shared" si="9"/>
        <v>5185219</v>
      </c>
    </row>
    <row r="31" spans="1:59">
      <c r="A31" s="132" t="s">
        <v>255</v>
      </c>
      <c r="B31" s="27"/>
      <c r="C31" s="216">
        <f t="shared" si="5"/>
        <v>105835.53</v>
      </c>
      <c r="D31" s="193">
        <f t="shared" si="6"/>
        <v>105835.53</v>
      </c>
      <c r="E31" s="193">
        <f t="shared" si="7"/>
        <v>0</v>
      </c>
      <c r="F31" s="217">
        <f t="shared" si="8"/>
        <v>0</v>
      </c>
      <c r="H31" s="223"/>
      <c r="I31" s="194">
        <v>105835.53</v>
      </c>
      <c r="J31" s="194">
        <v>124272.32000000001</v>
      </c>
      <c r="K31" s="194">
        <v>124277.32</v>
      </c>
      <c r="L31" s="194">
        <v>68599.98</v>
      </c>
      <c r="M31" s="194">
        <v>99322.82</v>
      </c>
      <c r="N31" s="194">
        <v>105835.53</v>
      </c>
      <c r="O31" s="194">
        <v>105835.53</v>
      </c>
      <c r="P31" s="194">
        <v>105835.53</v>
      </c>
      <c r="Q31" s="194">
        <v>105835.53</v>
      </c>
      <c r="R31" s="194">
        <v>105835.53</v>
      </c>
      <c r="S31" s="194">
        <v>105835.53</v>
      </c>
      <c r="T31" s="194">
        <v>105835.53</v>
      </c>
      <c r="U31" s="224">
        <f t="shared" si="9"/>
        <v>1263156.6800000002</v>
      </c>
    </row>
    <row r="32" spans="1:59">
      <c r="A32" s="132" t="s">
        <v>24</v>
      </c>
      <c r="B32" s="27"/>
      <c r="C32" s="218">
        <f t="shared" si="5"/>
        <v>1100000</v>
      </c>
      <c r="D32" s="219">
        <f t="shared" si="6"/>
        <v>1100000</v>
      </c>
      <c r="E32" s="219">
        <f t="shared" si="7"/>
        <v>0</v>
      </c>
      <c r="F32" s="220">
        <f t="shared" si="8"/>
        <v>0</v>
      </c>
      <c r="H32" s="225">
        <v>1239103.78</v>
      </c>
      <c r="I32" s="226">
        <f>(3928.57*7)+1964.29+22422.4+1873.12+32000+8800+37379.39+62214.64+38000+4910.71+4910.71+12400+13000+73660.7+320+1422+1660.5+26600+26600+33428.78+108314.5+169435.14+101157.56+9504+8622.32+1422+1660.5+26600+26600+33428.78+108314.5+169435.14+101157.56+9504+8622.32+4030.96+1422+1660.5+26600+39600+33428.78+108314.5+169435.14+101157.56+26517.86+9504+18600+21902.68+2775+11397.32+33300+29087.95+8671.87+1094+70000+8973.84+8622.32+1629.64+1135+685+15788.5+5670.48+22215+3000+281+3800+3800+38000+225+11583+49600+18600+225+496+1000+200+2429.06+2429.06+4700+25906.59+549.5+12000+500+1000+25531.15+10000+26600+14933.4+23040+16665.87+50000+64000+18600+11741.1+12391.19+26301+17200+4878+13635.86+200+281+3800+3800+38000+2686.6+225+90000+11583+49600+18600+225+496+171172.5+1000+10540.24+281+13528.12+3800+3800+38000+2686.6+225+20494.77+66830.75+157634.67+11583+49600+18600+225+496+171172.5+1000+10540.24+26600+26600+800+266844.46-1095000-50000-46-414.47-1463000+24229333.3333333</f>
        <v>25528331.543333299</v>
      </c>
      <c r="J32" s="226">
        <f>15817.2+27932.14+26600+6300+12400+12400+124277.32+7350.61+53860.8+66000+37820.95+13478.55+2252.41+26600+377251+198506.59+24229333.3333333</f>
        <v>25238180.903333299</v>
      </c>
      <c r="K32" s="226">
        <f>1904030.23505+24229333.3333333</f>
        <v>26133363.568383299</v>
      </c>
      <c r="L32" s="226">
        <f>173477.14+46060+13280.36+3150+9998.92+2326+105263.27+5000+38000+41666.17+156589.29+1415.24+3092.14+5794.79+86837.68+8856.47+77476.01+22299.11+52395+90446.15+58000+202606.66+152218+83190.67+66549.93+74293.8+831.5+38050+10197+119066.08+6300+54+19871.8+8791+3000+975+21892+3250.89+3449.64+200+499+399+13173.16+26600+15871.43+24808+13442+3000+1608.5+22398.75+11498.93+1090.18+26164.29+6336+1119.91+10901.79+539.2+7556.92+19821.43+6037.79+5390+62635.72+19623.21+20931.43+110537.06+8514.28+44451+118928.57+82669+16055.36+11273.44+70805.35+28600+28178.67+124875+2946.43+14870.52+2734.2+4557+4603.5+2892.96+49147.39+246330.8+124403.12+68599.98+76265.53-102000-68599.98+24229333.3333333</f>
        <v>27438630.8633333</v>
      </c>
      <c r="M32" s="226">
        <f>1544697+2826238.87890446+24229333.3333333</f>
        <v>28600269.21223776</v>
      </c>
      <c r="N32" s="226">
        <f>1938527+24229333.3333333</f>
        <v>26167860.333333299</v>
      </c>
      <c r="O32" s="226">
        <v>1100000</v>
      </c>
      <c r="P32" s="226">
        <v>1100000</v>
      </c>
      <c r="Q32" s="226">
        <v>1100000</v>
      </c>
      <c r="R32" s="226">
        <v>1100000</v>
      </c>
      <c r="S32" s="226">
        <v>1100000</v>
      </c>
      <c r="T32" s="226">
        <v>1100000</v>
      </c>
      <c r="U32" s="227">
        <f t="shared" si="9"/>
        <v>165706636.42395425</v>
      </c>
      <c r="V32" s="100"/>
    </row>
    <row r="33" spans="1:22">
      <c r="A33" s="132"/>
      <c r="B33" s="27"/>
      <c r="C33" s="132"/>
      <c r="D33" s="132"/>
      <c r="E33" s="132"/>
      <c r="F33" s="132"/>
      <c r="H33" s="133"/>
      <c r="I33" s="133"/>
      <c r="J33" s="133"/>
      <c r="K33" s="133"/>
      <c r="L33" s="132"/>
      <c r="M33" s="132"/>
      <c r="N33" s="132"/>
      <c r="O33" s="132"/>
      <c r="P33" s="132"/>
      <c r="Q33" s="132"/>
      <c r="R33" s="132"/>
      <c r="S33" s="132"/>
      <c r="T33" s="132"/>
      <c r="U33" s="132"/>
      <c r="V33" s="100"/>
    </row>
    <row r="34" spans="1:22" s="24" customFormat="1" ht="15">
      <c r="A34" s="37" t="s">
        <v>89</v>
      </c>
      <c r="B34" s="37"/>
      <c r="C34" s="22">
        <f>C10-C16</f>
        <v>26899164.469999999</v>
      </c>
      <c r="D34" s="22">
        <f>D10-D16</f>
        <v>27999164.469999999</v>
      </c>
      <c r="E34" s="22">
        <f>C34-D34</f>
        <v>-1100000</v>
      </c>
      <c r="F34" s="23">
        <f>IFERROR(E34/D34,)</f>
        <v>-3.9286886620442073E-2</v>
      </c>
      <c r="G34" s="37"/>
      <c r="H34" s="22">
        <f t="shared" ref="H34:U34" si="10">H10-H16</f>
        <v>4134190.6299999952</v>
      </c>
      <c r="I34" s="22">
        <f t="shared" si="10"/>
        <v>-15177309.025931232</v>
      </c>
      <c r="J34" s="22">
        <f t="shared" si="10"/>
        <v>-5748960.7033333033</v>
      </c>
      <c r="K34" s="22">
        <f t="shared" si="10"/>
        <v>5857969.0170391873</v>
      </c>
      <c r="L34" s="22">
        <f t="shared" si="10"/>
        <v>-17055189.152203389</v>
      </c>
      <c r="M34" s="22">
        <f t="shared" si="10"/>
        <v>-2829827.2722377628</v>
      </c>
      <c r="N34" s="22">
        <f t="shared" si="10"/>
        <v>-16328987.8633333</v>
      </c>
      <c r="O34" s="22">
        <f t="shared" si="10"/>
        <v>12899164.469999999</v>
      </c>
      <c r="P34" s="22">
        <f t="shared" si="10"/>
        <v>33505932.469999999</v>
      </c>
      <c r="Q34" s="22">
        <f t="shared" si="10"/>
        <v>14293164.469999999</v>
      </c>
      <c r="R34" s="22">
        <f t="shared" si="10"/>
        <v>21699164.469999999</v>
      </c>
      <c r="S34" s="22">
        <f t="shared" si="10"/>
        <v>27999164.469999999</v>
      </c>
      <c r="T34" s="22">
        <f t="shared" si="10"/>
        <v>26899164.469999999</v>
      </c>
      <c r="U34" s="22">
        <f t="shared" si="10"/>
        <v>86013449.820000291</v>
      </c>
      <c r="V34" s="112"/>
    </row>
    <row r="35" spans="1:22">
      <c r="A35" s="27"/>
      <c r="B35" s="27"/>
      <c r="C35" s="27"/>
      <c r="D35" s="27"/>
      <c r="E35" s="27"/>
      <c r="F35" s="27"/>
      <c r="H35" s="27"/>
      <c r="I35" s="27"/>
      <c r="J35" s="27"/>
      <c r="K35" s="27"/>
      <c r="L35" s="27"/>
      <c r="M35" s="27"/>
      <c r="N35" s="27"/>
      <c r="O35" s="27"/>
      <c r="P35" s="27"/>
      <c r="Q35" s="27"/>
      <c r="R35" s="27"/>
      <c r="S35" s="27"/>
      <c r="T35" s="27"/>
      <c r="U35" s="27"/>
    </row>
    <row r="36" spans="1:22" ht="15">
      <c r="A36" s="37" t="s">
        <v>91</v>
      </c>
      <c r="B36" s="27"/>
      <c r="C36" s="27"/>
      <c r="D36" s="27"/>
      <c r="E36" s="27"/>
      <c r="F36" s="27"/>
      <c r="H36" s="27"/>
      <c r="I36" s="27"/>
      <c r="J36" s="27"/>
      <c r="K36" s="27"/>
      <c r="L36" s="27"/>
      <c r="M36" s="27"/>
      <c r="N36" s="27"/>
      <c r="O36" s="27"/>
      <c r="P36" s="27"/>
      <c r="Q36" s="27"/>
      <c r="R36" s="27"/>
      <c r="S36" s="27"/>
      <c r="T36" s="27"/>
      <c r="U36" s="27"/>
    </row>
    <row r="37" spans="1:22">
      <c r="A37" s="27" t="s">
        <v>92</v>
      </c>
      <c r="B37" s="27"/>
      <c r="C37" s="228">
        <f t="shared" ref="C37:C39" si="11">IF($A$3="January 2015",I37,IF($A$3="February 2015",J37,IF($A$3="March 2015",K37,IF($A$3="April 2015",L37,IF($A$3="May 2015",M37,IF($A$3="June 2015",N37,IF($A$3="July 2015",O37,IF($A$3="August 2015",P37,IF($A$3="September 2015",Q37,IF($A$3="October 2015",R37,IF($A$3="November 2015",S37,IF($A$3="December 2015",T37,0))))))))))))</f>
        <v>0</v>
      </c>
      <c r="D37" s="229">
        <f t="shared" ref="D37:D39" si="12">IF($A$3="January 2015",H37,IF($A$3="February 2015",I37,IF($A$3="March 2015",J37,IF($A$3="April 2015",K37,IF($A$3="May 2015",L37,IF($A$3="June 2015",M37,IF($A$3="July 2015",N37,IF($A$3="August 2015",O37,IF($A$3="September 2015",P37,IF($A$3="October 2015",Q37,IF($A$3="November 2015",R37,IF($A$3="December 2015",S37,0))))))))))))</f>
        <v>0</v>
      </c>
      <c r="E37" s="229">
        <f>C37-D37</f>
        <v>0</v>
      </c>
      <c r="F37" s="230">
        <f t="shared" ref="F37:F39" si="13">IFERROR(E37/D37,)</f>
        <v>0</v>
      </c>
      <c r="H37" s="233"/>
      <c r="I37" s="234"/>
      <c r="J37" s="234"/>
      <c r="K37" s="234"/>
      <c r="L37" s="234"/>
      <c r="M37" s="234"/>
      <c r="N37" s="234"/>
      <c r="O37" s="234"/>
      <c r="P37" s="234"/>
      <c r="Q37" s="234"/>
      <c r="R37" s="234"/>
      <c r="S37" s="234"/>
      <c r="T37" s="234"/>
      <c r="U37" s="235">
        <f>SUM(I37:T37)</f>
        <v>0</v>
      </c>
    </row>
    <row r="38" spans="1:22">
      <c r="A38" s="27" t="s">
        <v>93</v>
      </c>
      <c r="B38" s="27"/>
      <c r="C38" s="216">
        <f t="shared" si="11"/>
        <v>0</v>
      </c>
      <c r="D38" s="193">
        <f t="shared" si="12"/>
        <v>0</v>
      </c>
      <c r="E38" s="193">
        <f>C38-D38</f>
        <v>0</v>
      </c>
      <c r="F38" s="217">
        <f t="shared" si="13"/>
        <v>0</v>
      </c>
      <c r="H38" s="223"/>
      <c r="I38" s="194"/>
      <c r="J38" s="194"/>
      <c r="K38" s="194"/>
      <c r="L38" s="194"/>
      <c r="M38" s="194"/>
      <c r="N38" s="194"/>
      <c r="O38" s="194"/>
      <c r="P38" s="194"/>
      <c r="Q38" s="194"/>
      <c r="R38" s="194"/>
      <c r="S38" s="194"/>
      <c r="T38" s="194"/>
      <c r="U38" s="224">
        <f>SUM(I38:T38)</f>
        <v>0</v>
      </c>
    </row>
    <row r="39" spans="1:22">
      <c r="A39" s="27" t="s">
        <v>94</v>
      </c>
      <c r="B39" s="27"/>
      <c r="C39" s="231">
        <f t="shared" si="11"/>
        <v>0</v>
      </c>
      <c r="D39" s="212">
        <f t="shared" si="12"/>
        <v>0</v>
      </c>
      <c r="E39" s="212">
        <f>C39-D39</f>
        <v>0</v>
      </c>
      <c r="F39" s="232">
        <f t="shared" si="13"/>
        <v>0</v>
      </c>
      <c r="H39" s="236"/>
      <c r="I39" s="213"/>
      <c r="J39" s="213"/>
      <c r="K39" s="213"/>
      <c r="L39" s="213"/>
      <c r="M39" s="213"/>
      <c r="N39" s="213"/>
      <c r="O39" s="213"/>
      <c r="P39" s="213"/>
      <c r="Q39" s="213"/>
      <c r="R39" s="213"/>
      <c r="S39" s="213"/>
      <c r="T39" s="213"/>
      <c r="U39" s="237">
        <f>SUM(I39:T39)</f>
        <v>0</v>
      </c>
    </row>
    <row r="40" spans="1:22" s="24" customFormat="1" ht="15">
      <c r="A40" s="37" t="s">
        <v>95</v>
      </c>
      <c r="B40" s="37"/>
      <c r="C40" s="22">
        <f>SUM(C37:C39)</f>
        <v>0</v>
      </c>
      <c r="D40" s="22">
        <f>SUM(D37:D39)</f>
        <v>0</v>
      </c>
      <c r="E40" s="22">
        <f>C40-D40</f>
        <v>0</v>
      </c>
      <c r="F40" s="23">
        <f>IFERROR(E40/D40,)</f>
        <v>0</v>
      </c>
      <c r="G40" s="37"/>
      <c r="H40" s="22">
        <f t="shared" ref="H40" si="14">SUM(H37:H39)</f>
        <v>0</v>
      </c>
      <c r="I40" s="22">
        <f t="shared" ref="I40:U40" si="15">SUM(I37:I39)</f>
        <v>0</v>
      </c>
      <c r="J40" s="22">
        <f t="shared" si="15"/>
        <v>0</v>
      </c>
      <c r="K40" s="22">
        <f t="shared" si="15"/>
        <v>0</v>
      </c>
      <c r="L40" s="22">
        <f t="shared" si="15"/>
        <v>0</v>
      </c>
      <c r="M40" s="22">
        <f t="shared" si="15"/>
        <v>0</v>
      </c>
      <c r="N40" s="22">
        <f t="shared" si="15"/>
        <v>0</v>
      </c>
      <c r="O40" s="22">
        <f t="shared" si="15"/>
        <v>0</v>
      </c>
      <c r="P40" s="22">
        <f t="shared" si="15"/>
        <v>0</v>
      </c>
      <c r="Q40" s="22">
        <f t="shared" si="15"/>
        <v>0</v>
      </c>
      <c r="R40" s="22">
        <f t="shared" si="15"/>
        <v>0</v>
      </c>
      <c r="S40" s="22">
        <f t="shared" si="15"/>
        <v>0</v>
      </c>
      <c r="T40" s="22">
        <f t="shared" si="15"/>
        <v>0</v>
      </c>
      <c r="U40" s="22">
        <f t="shared" si="15"/>
        <v>0</v>
      </c>
      <c r="V40" s="112"/>
    </row>
    <row r="41" spans="1:22">
      <c r="A41" s="27"/>
      <c r="B41" s="27"/>
      <c r="C41" s="27"/>
      <c r="D41" s="27"/>
      <c r="E41" s="27"/>
      <c r="F41" s="27"/>
      <c r="H41" s="27"/>
      <c r="I41" s="27"/>
      <c r="J41" s="27"/>
      <c r="K41" s="27"/>
      <c r="L41" s="27"/>
      <c r="M41" s="27"/>
      <c r="N41" s="27"/>
      <c r="O41" s="27"/>
      <c r="P41" s="27"/>
      <c r="Q41" s="27"/>
      <c r="R41" s="27"/>
      <c r="S41" s="27"/>
      <c r="T41" s="27"/>
      <c r="U41" s="27"/>
    </row>
    <row r="42" spans="1:22" ht="15">
      <c r="A42" s="37" t="s">
        <v>96</v>
      </c>
      <c r="B42" s="27"/>
      <c r="C42" s="27"/>
      <c r="D42" s="27"/>
      <c r="E42" s="27"/>
      <c r="F42" s="27"/>
      <c r="H42" s="27"/>
      <c r="I42" s="27"/>
      <c r="J42" s="27"/>
      <c r="K42" s="27"/>
      <c r="L42" s="27"/>
      <c r="M42" s="27"/>
      <c r="N42" s="27"/>
      <c r="O42" s="27"/>
      <c r="P42" s="27"/>
      <c r="Q42" s="27"/>
      <c r="R42" s="27"/>
      <c r="S42" s="27"/>
      <c r="T42" s="27"/>
      <c r="U42" s="27"/>
    </row>
    <row r="43" spans="1:22" ht="15">
      <c r="A43" s="27" t="s">
        <v>97</v>
      </c>
      <c r="B43" s="27"/>
      <c r="C43" s="228"/>
      <c r="D43" s="229"/>
      <c r="E43" s="229"/>
      <c r="F43" s="238"/>
      <c r="H43" s="228"/>
      <c r="I43" s="229"/>
      <c r="J43" s="229"/>
      <c r="K43" s="229"/>
      <c r="L43" s="229"/>
      <c r="M43" s="229"/>
      <c r="N43" s="229"/>
      <c r="O43" s="229"/>
      <c r="P43" s="229"/>
      <c r="Q43" s="229"/>
      <c r="R43" s="229"/>
      <c r="S43" s="229"/>
      <c r="T43" s="229"/>
      <c r="U43" s="235"/>
    </row>
    <row r="44" spans="1:22">
      <c r="A44" s="135" t="s">
        <v>98</v>
      </c>
      <c r="B44" s="135"/>
      <c r="C44" s="216">
        <f t="shared" ref="C44:C45" si="16">IF($A$3="January 2015",I44,IF($A$3="February 2015",J44,IF($A$3="March 2015",K44,IF($A$3="April 2015",L44,IF($A$3="May 2015",M44,IF($A$3="June 2015",N44,IF($A$3="July 2015",O44,IF($A$3="August 2015",P44,IF($A$3="September 2015",Q44,IF($A$3="October 2015",R44,IF($A$3="November 2015",S44,IF($A$3="December 2015",T44,0))))))))))))</f>
        <v>0</v>
      </c>
      <c r="D44" s="193">
        <f t="shared" ref="D44:D45" si="17">IF($A$3="January 2015",H44,IF($A$3="February 2015",I44,IF($A$3="March 2015",J44,IF($A$3="April 2015",K44,IF($A$3="May 2015",L44,IF($A$3="June 2015",M44,IF($A$3="July 2015",N44,IF($A$3="August 2015",O44,IF($A$3="September 2015",P44,IF($A$3="October 2015",Q44,IF($A$3="November 2015",R44,IF($A$3="December 2015",S44,0))))))))))))</f>
        <v>0</v>
      </c>
      <c r="E44" s="193">
        <f>C44-D44</f>
        <v>0</v>
      </c>
      <c r="F44" s="217">
        <f t="shared" ref="F44:F45" si="18">IFERROR(E44/D44,)</f>
        <v>0</v>
      </c>
      <c r="G44" s="135"/>
      <c r="H44" s="223"/>
      <c r="I44" s="194"/>
      <c r="J44" s="194"/>
      <c r="K44" s="194"/>
      <c r="L44" s="194"/>
      <c r="M44" s="194"/>
      <c r="N44" s="194"/>
      <c r="O44" s="194"/>
      <c r="P44" s="194"/>
      <c r="Q44" s="194"/>
      <c r="R44" s="194"/>
      <c r="S44" s="194"/>
      <c r="T44" s="194"/>
      <c r="U44" s="224">
        <f>SUM(I44:T44)</f>
        <v>0</v>
      </c>
    </row>
    <row r="45" spans="1:22">
      <c r="A45" s="135" t="s">
        <v>99</v>
      </c>
      <c r="B45" s="135"/>
      <c r="C45" s="216">
        <f t="shared" si="16"/>
        <v>0</v>
      </c>
      <c r="D45" s="193">
        <f t="shared" si="17"/>
        <v>0</v>
      </c>
      <c r="E45" s="193">
        <f>C45-D45</f>
        <v>0</v>
      </c>
      <c r="F45" s="217">
        <f t="shared" si="18"/>
        <v>0</v>
      </c>
      <c r="G45" s="135"/>
      <c r="H45" s="223"/>
      <c r="I45" s="194"/>
      <c r="J45" s="194"/>
      <c r="K45" s="194"/>
      <c r="L45" s="194"/>
      <c r="M45" s="194"/>
      <c r="N45" s="194"/>
      <c r="O45" s="194"/>
      <c r="P45" s="194"/>
      <c r="Q45" s="194"/>
      <c r="R45" s="194"/>
      <c r="S45" s="194"/>
      <c r="T45" s="194"/>
      <c r="U45" s="224">
        <f>SUM(I45:T45)</f>
        <v>0</v>
      </c>
    </row>
    <row r="46" spans="1:22" ht="15">
      <c r="A46" s="27" t="s">
        <v>100</v>
      </c>
      <c r="B46" s="27"/>
      <c r="C46" s="216"/>
      <c r="D46" s="193"/>
      <c r="E46" s="193"/>
      <c r="F46" s="239"/>
      <c r="H46" s="216"/>
      <c r="I46" s="193"/>
      <c r="J46" s="193"/>
      <c r="K46" s="193"/>
      <c r="L46" s="193"/>
      <c r="M46" s="193"/>
      <c r="N46" s="193"/>
      <c r="O46" s="193"/>
      <c r="P46" s="193"/>
      <c r="Q46" s="193"/>
      <c r="R46" s="193"/>
      <c r="S46" s="193"/>
      <c r="T46" s="193"/>
      <c r="U46" s="224"/>
    </row>
    <row r="47" spans="1:22">
      <c r="A47" s="135" t="s">
        <v>101</v>
      </c>
      <c r="B47" s="27"/>
      <c r="C47" s="216">
        <f t="shared" ref="C47:C54" si="19">IF($A$3="January 2015",I47,IF($A$3="February 2015",J47,IF($A$3="March 2015",K47,IF($A$3="April 2015",L47,IF($A$3="May 2015",M47,IF($A$3="June 2015",N47,IF($A$3="July 2015",O47,IF($A$3="August 2015",P47,IF($A$3="September 2015",Q47,IF($A$3="October 2015",R47,IF($A$3="November 2015",S47,IF($A$3="December 2015",T47,0))))))))))))</f>
        <v>0</v>
      </c>
      <c r="D47" s="193">
        <f t="shared" ref="D47:D54" si="20">IF($A$3="January 2015",H47,IF($A$3="February 2015",I47,IF($A$3="March 2015",J47,IF($A$3="April 2015",K47,IF($A$3="May 2015",L47,IF($A$3="June 2015",M47,IF($A$3="July 2015",N47,IF($A$3="August 2015",O47,IF($A$3="September 2015",P47,IF($A$3="October 2015",Q47,IF($A$3="November 2015",R47,IF($A$3="December 2015",S47,0))))))))))))</f>
        <v>0</v>
      </c>
      <c r="E47" s="193">
        <f t="shared" ref="E47:E54" si="21">C47-D47</f>
        <v>0</v>
      </c>
      <c r="F47" s="217">
        <f t="shared" ref="F47:F54" si="22">IFERROR(E47/D47,)</f>
        <v>0</v>
      </c>
      <c r="H47" s="223"/>
      <c r="I47" s="194"/>
      <c r="J47" s="194"/>
      <c r="K47" s="194"/>
      <c r="L47" s="194"/>
      <c r="M47" s="194"/>
      <c r="N47" s="194"/>
      <c r="O47" s="194"/>
      <c r="P47" s="194"/>
      <c r="Q47" s="194"/>
      <c r="R47" s="194"/>
      <c r="S47" s="194"/>
      <c r="T47" s="194"/>
      <c r="U47" s="224">
        <f t="shared" ref="U47:U54" si="23">SUM(I47:T47)</f>
        <v>0</v>
      </c>
    </row>
    <row r="48" spans="1:22">
      <c r="A48" s="135" t="s">
        <v>98</v>
      </c>
      <c r="B48" s="27"/>
      <c r="C48" s="216">
        <f t="shared" si="19"/>
        <v>0</v>
      </c>
      <c r="D48" s="193">
        <f t="shared" si="20"/>
        <v>0</v>
      </c>
      <c r="E48" s="193">
        <f t="shared" si="21"/>
        <v>0</v>
      </c>
      <c r="F48" s="217">
        <f t="shared" si="22"/>
        <v>0</v>
      </c>
      <c r="H48" s="223"/>
      <c r="I48" s="194"/>
      <c r="J48" s="194"/>
      <c r="K48" s="194"/>
      <c r="L48" s="194"/>
      <c r="M48" s="194"/>
      <c r="N48" s="194"/>
      <c r="O48" s="194"/>
      <c r="P48" s="194"/>
      <c r="Q48" s="194"/>
      <c r="R48" s="194"/>
      <c r="S48" s="194"/>
      <c r="T48" s="194"/>
      <c r="U48" s="224">
        <f t="shared" si="23"/>
        <v>0</v>
      </c>
    </row>
    <row r="49" spans="1:22">
      <c r="A49" s="135" t="s">
        <v>99</v>
      </c>
      <c r="B49" s="27"/>
      <c r="C49" s="216">
        <f t="shared" si="19"/>
        <v>0</v>
      </c>
      <c r="D49" s="193">
        <f t="shared" si="20"/>
        <v>0</v>
      </c>
      <c r="E49" s="193">
        <f t="shared" si="21"/>
        <v>0</v>
      </c>
      <c r="F49" s="217">
        <f t="shared" si="22"/>
        <v>0</v>
      </c>
      <c r="H49" s="223"/>
      <c r="I49" s="194"/>
      <c r="J49" s="194"/>
      <c r="K49" s="194"/>
      <c r="L49" s="194"/>
      <c r="M49" s="194"/>
      <c r="N49" s="194"/>
      <c r="O49" s="194"/>
      <c r="P49" s="194"/>
      <c r="Q49" s="194"/>
      <c r="R49" s="194"/>
      <c r="S49" s="194"/>
      <c r="T49" s="194"/>
      <c r="U49" s="224">
        <f t="shared" si="23"/>
        <v>0</v>
      </c>
    </row>
    <row r="50" spans="1:22">
      <c r="A50" s="135" t="s">
        <v>102</v>
      </c>
      <c r="B50" s="27"/>
      <c r="C50" s="216">
        <f t="shared" si="19"/>
        <v>0</v>
      </c>
      <c r="D50" s="193">
        <f t="shared" si="20"/>
        <v>0</v>
      </c>
      <c r="E50" s="193">
        <f t="shared" si="21"/>
        <v>0</v>
      </c>
      <c r="F50" s="217">
        <f t="shared" si="22"/>
        <v>0</v>
      </c>
      <c r="H50" s="223"/>
      <c r="I50" s="194"/>
      <c r="J50" s="194"/>
      <c r="K50" s="194"/>
      <c r="L50" s="194"/>
      <c r="M50" s="194"/>
      <c r="N50" s="194"/>
      <c r="O50" s="194"/>
      <c r="P50" s="194"/>
      <c r="Q50" s="194"/>
      <c r="R50" s="194"/>
      <c r="S50" s="194"/>
      <c r="T50" s="194"/>
      <c r="U50" s="224">
        <f t="shared" si="23"/>
        <v>0</v>
      </c>
    </row>
    <row r="51" spans="1:22">
      <c r="A51" s="27" t="s">
        <v>103</v>
      </c>
      <c r="B51" s="27"/>
      <c r="C51" s="216">
        <f t="shared" si="19"/>
        <v>0</v>
      </c>
      <c r="D51" s="193">
        <f t="shared" si="20"/>
        <v>0</v>
      </c>
      <c r="E51" s="193">
        <f t="shared" si="21"/>
        <v>0</v>
      </c>
      <c r="F51" s="217">
        <f t="shared" si="22"/>
        <v>0</v>
      </c>
      <c r="H51" s="223"/>
      <c r="I51" s="194"/>
      <c r="J51" s="194"/>
      <c r="K51" s="194"/>
      <c r="L51" s="194"/>
      <c r="M51" s="194"/>
      <c r="N51" s="194"/>
      <c r="O51" s="194"/>
      <c r="P51" s="194"/>
      <c r="Q51" s="194"/>
      <c r="R51" s="194"/>
      <c r="S51" s="194"/>
      <c r="T51" s="194"/>
      <c r="U51" s="224">
        <f t="shared" si="23"/>
        <v>0</v>
      </c>
    </row>
    <row r="52" spans="1:22">
      <c r="A52" s="27" t="s">
        <v>130</v>
      </c>
      <c r="B52" s="27"/>
      <c r="C52" s="216">
        <f t="shared" si="19"/>
        <v>0</v>
      </c>
      <c r="D52" s="193">
        <f t="shared" si="20"/>
        <v>0</v>
      </c>
      <c r="E52" s="193"/>
      <c r="F52" s="217">
        <f t="shared" si="22"/>
        <v>0</v>
      </c>
      <c r="H52" s="223"/>
      <c r="I52" s="194"/>
      <c r="J52" s="194"/>
      <c r="K52" s="194"/>
      <c r="L52" s="194"/>
      <c r="M52" s="194"/>
      <c r="N52" s="194"/>
      <c r="O52" s="194"/>
      <c r="P52" s="194"/>
      <c r="Q52" s="194"/>
      <c r="R52" s="194"/>
      <c r="S52" s="194"/>
      <c r="T52" s="194"/>
      <c r="U52" s="224">
        <f t="shared" si="23"/>
        <v>0</v>
      </c>
    </row>
    <row r="53" spans="1:22">
      <c r="A53" s="27" t="s">
        <v>240</v>
      </c>
      <c r="B53" s="27"/>
      <c r="C53" s="216">
        <f t="shared" si="19"/>
        <v>0</v>
      </c>
      <c r="D53" s="193">
        <f t="shared" si="20"/>
        <v>0</v>
      </c>
      <c r="E53" s="193">
        <f t="shared" si="21"/>
        <v>0</v>
      </c>
      <c r="F53" s="217">
        <f t="shared" si="22"/>
        <v>0</v>
      </c>
      <c r="H53" s="223"/>
      <c r="I53" s="194"/>
      <c r="J53" s="194"/>
      <c r="K53" s="194"/>
      <c r="L53" s="194"/>
      <c r="M53" s="194"/>
      <c r="N53" s="194"/>
      <c r="O53" s="194"/>
      <c r="P53" s="194"/>
      <c r="Q53" s="194"/>
      <c r="R53" s="194"/>
      <c r="S53" s="194"/>
      <c r="T53" s="194"/>
      <c r="U53" s="224">
        <f t="shared" si="23"/>
        <v>0</v>
      </c>
    </row>
    <row r="54" spans="1:22">
      <c r="A54" s="27" t="s">
        <v>104</v>
      </c>
      <c r="B54" s="27"/>
      <c r="C54" s="231">
        <f t="shared" si="19"/>
        <v>0</v>
      </c>
      <c r="D54" s="212">
        <f t="shared" si="20"/>
        <v>0</v>
      </c>
      <c r="E54" s="212">
        <f t="shared" si="21"/>
        <v>0</v>
      </c>
      <c r="F54" s="232">
        <f t="shared" si="22"/>
        <v>0</v>
      </c>
      <c r="H54" s="236"/>
      <c r="I54" s="213"/>
      <c r="J54" s="213"/>
      <c r="K54" s="213"/>
      <c r="L54" s="213"/>
      <c r="M54" s="213"/>
      <c r="N54" s="213"/>
      <c r="O54" s="213"/>
      <c r="P54" s="213"/>
      <c r="Q54" s="213"/>
      <c r="R54" s="213"/>
      <c r="S54" s="213"/>
      <c r="T54" s="213"/>
      <c r="U54" s="237">
        <f t="shared" si="23"/>
        <v>0</v>
      </c>
    </row>
    <row r="55" spans="1:22" s="24" customFormat="1" ht="15">
      <c r="A55" s="37" t="s">
        <v>105</v>
      </c>
      <c r="B55" s="37"/>
      <c r="C55" s="22">
        <f>SUM(C43:C54)</f>
        <v>0</v>
      </c>
      <c r="D55" s="22">
        <f>SUM(D43:D54)</f>
        <v>0</v>
      </c>
      <c r="E55" s="22">
        <f>C55-D55</f>
        <v>0</v>
      </c>
      <c r="F55" s="23">
        <f>IFERROR(E55/D55,)</f>
        <v>0</v>
      </c>
      <c r="G55" s="37"/>
      <c r="H55" s="22">
        <f t="shared" ref="H55" si="24">SUM(H43:H54)</f>
        <v>0</v>
      </c>
      <c r="I55" s="22">
        <f t="shared" ref="I55:U55" si="25">SUM(I43:I54)</f>
        <v>0</v>
      </c>
      <c r="J55" s="22">
        <f t="shared" si="25"/>
        <v>0</v>
      </c>
      <c r="K55" s="22">
        <f t="shared" si="25"/>
        <v>0</v>
      </c>
      <c r="L55" s="22">
        <f t="shared" si="25"/>
        <v>0</v>
      </c>
      <c r="M55" s="22">
        <f t="shared" si="25"/>
        <v>0</v>
      </c>
      <c r="N55" s="22">
        <f t="shared" si="25"/>
        <v>0</v>
      </c>
      <c r="O55" s="22">
        <f t="shared" si="25"/>
        <v>0</v>
      </c>
      <c r="P55" s="22">
        <f t="shared" si="25"/>
        <v>0</v>
      </c>
      <c r="Q55" s="22">
        <f t="shared" si="25"/>
        <v>0</v>
      </c>
      <c r="R55" s="22">
        <f t="shared" si="25"/>
        <v>0</v>
      </c>
      <c r="S55" s="22">
        <f t="shared" si="25"/>
        <v>0</v>
      </c>
      <c r="T55" s="22">
        <f t="shared" si="25"/>
        <v>0</v>
      </c>
      <c r="U55" s="22">
        <f t="shared" si="25"/>
        <v>0</v>
      </c>
      <c r="V55" s="112"/>
    </row>
    <row r="56" spans="1:22">
      <c r="H56" s="13"/>
      <c r="I56" s="13"/>
      <c r="J56" s="13"/>
      <c r="K56" s="13"/>
      <c r="L56" s="13"/>
      <c r="M56" s="13"/>
      <c r="N56" s="13"/>
      <c r="O56" s="13"/>
      <c r="P56" s="13"/>
      <c r="Q56" s="13"/>
      <c r="R56" s="13"/>
      <c r="S56" s="13"/>
      <c r="T56" s="13"/>
      <c r="U56" s="13"/>
    </row>
    <row r="57" spans="1:22" s="24" customFormat="1" ht="15">
      <c r="A57" s="24" t="s">
        <v>106</v>
      </c>
      <c r="C57" s="22">
        <f>C34+C40+C55</f>
        <v>26899164.469999999</v>
      </c>
      <c r="D57" s="22">
        <f>D34+D40+D55</f>
        <v>27999164.469999999</v>
      </c>
      <c r="E57" s="22">
        <f>C57-D57</f>
        <v>-1100000</v>
      </c>
      <c r="F57" s="23">
        <f t="shared" ref="F57:F58" si="26">IFERROR(E57/D57,)</f>
        <v>-3.9286886620442073E-2</v>
      </c>
      <c r="G57" s="37"/>
      <c r="H57" s="22">
        <f t="shared" ref="H57" si="27">H34+H40+H55</f>
        <v>4134190.6299999952</v>
      </c>
      <c r="I57" s="22">
        <f t="shared" ref="I57:T57" si="28">I34+I40+I55</f>
        <v>-15177309.025931232</v>
      </c>
      <c r="J57" s="22">
        <f t="shared" si="28"/>
        <v>-5748960.7033333033</v>
      </c>
      <c r="K57" s="22">
        <f t="shared" si="28"/>
        <v>5857969.0170391873</v>
      </c>
      <c r="L57" s="22">
        <f t="shared" si="28"/>
        <v>-17055189.152203389</v>
      </c>
      <c r="M57" s="22">
        <f t="shared" si="28"/>
        <v>-2829827.2722377628</v>
      </c>
      <c r="N57" s="22">
        <f t="shared" si="28"/>
        <v>-16328987.8633333</v>
      </c>
      <c r="O57" s="22">
        <f t="shared" si="28"/>
        <v>12899164.469999999</v>
      </c>
      <c r="P57" s="22">
        <f t="shared" si="28"/>
        <v>33505932.469999999</v>
      </c>
      <c r="Q57" s="22">
        <f t="shared" si="28"/>
        <v>14293164.469999999</v>
      </c>
      <c r="R57" s="22">
        <f t="shared" si="28"/>
        <v>21699164.469999999</v>
      </c>
      <c r="S57" s="22">
        <f t="shared" si="28"/>
        <v>27999164.469999999</v>
      </c>
      <c r="T57" s="22">
        <f t="shared" si="28"/>
        <v>26899164.469999999</v>
      </c>
      <c r="U57" s="22">
        <f>U34+U40+U55</f>
        <v>86013449.820000291</v>
      </c>
      <c r="V57" s="134"/>
    </row>
    <row r="58" spans="1:22" s="24" customFormat="1" ht="15">
      <c r="A58" s="24" t="s">
        <v>107</v>
      </c>
      <c r="C58" s="22">
        <f t="shared" ref="C58" si="29">IF($A$3="January 2015",I58,IF($A$3="February 2015",J58,IF($A$3="March 2015",K58,IF($A$3="April 2015",L58,IF($A$3="May 2015",M58,IF($A$3="June 2015",N58,IF($A$3="July 2015",O58,IF($A$3="August 2015",P58,IF($A$3="September 2015",Q58,IF($A$3="October 2015",R58,IF($A$3="November 2015",S58,IF($A$3="December 2015",T58,0))))))))))))</f>
        <v>198309764.3500002</v>
      </c>
      <c r="D58" s="22">
        <f t="shared" ref="D58" si="30">IF($A$3="January 2015",H58,IF($A$3="February 2015",I58,IF($A$3="March 2015",J58,IF($A$3="April 2015",K58,IF($A$3="May 2015",L58,IF($A$3="June 2015",M58,IF($A$3="July 2015",N58,IF($A$3="August 2015",O58,IF($A$3="September 2015",P58,IF($A$3="October 2015",Q58,IF($A$3="November 2015",R58,IF($A$3="December 2015",S58,0))))))))))))</f>
        <v>170310599.8800002</v>
      </c>
      <c r="E58" s="22">
        <f>C58-D58</f>
        <v>27999164.469999999</v>
      </c>
      <c r="F58" s="23">
        <f t="shared" si="26"/>
        <v>0.1644005980234233</v>
      </c>
      <c r="G58" s="37"/>
      <c r="H58" s="254">
        <v>135061288.37</v>
      </c>
      <c r="I58" s="22">
        <f>H59</f>
        <v>139195479</v>
      </c>
      <c r="J58" s="22">
        <f>I59</f>
        <v>124018169.97406876</v>
      </c>
      <c r="K58" s="22">
        <f t="shared" ref="K58:T58" si="31">J59</f>
        <v>118269209.27073546</v>
      </c>
      <c r="L58" s="22">
        <f t="shared" si="31"/>
        <v>124127178.28777465</v>
      </c>
      <c r="M58" s="22">
        <f t="shared" si="31"/>
        <v>107071989.13557127</v>
      </c>
      <c r="N58" s="22">
        <f t="shared" si="31"/>
        <v>104242161.86333351</v>
      </c>
      <c r="O58" s="22">
        <f t="shared" si="31"/>
        <v>87913174.000000209</v>
      </c>
      <c r="P58" s="22">
        <f t="shared" si="31"/>
        <v>100812338.47000021</v>
      </c>
      <c r="Q58" s="22">
        <f t="shared" si="31"/>
        <v>134318270.94000021</v>
      </c>
      <c r="R58" s="22">
        <f t="shared" si="31"/>
        <v>148611435.41000021</v>
      </c>
      <c r="S58" s="22">
        <f t="shared" si="31"/>
        <v>170310599.8800002</v>
      </c>
      <c r="T58" s="22">
        <f t="shared" si="31"/>
        <v>198309764.3500002</v>
      </c>
      <c r="U58" s="22">
        <f>I58</f>
        <v>139195479</v>
      </c>
      <c r="V58" s="134"/>
    </row>
    <row r="59" spans="1:22" s="24" customFormat="1" ht="15.75" thickBot="1">
      <c r="A59" s="37" t="s">
        <v>108</v>
      </c>
      <c r="B59" s="37"/>
      <c r="C59" s="136">
        <f>C57+C58</f>
        <v>225208928.8200002</v>
      </c>
      <c r="D59" s="136">
        <f>D57+D58</f>
        <v>198309764.3500002</v>
      </c>
      <c r="E59" s="136">
        <f>C59-D59</f>
        <v>26899164.469999999</v>
      </c>
      <c r="F59" s="173">
        <f>IFERROR(E59/D59,)</f>
        <v>0.13564215840892846</v>
      </c>
      <c r="G59" s="137"/>
      <c r="H59" s="136">
        <f>H57+H58</f>
        <v>139195479</v>
      </c>
      <c r="I59" s="136">
        <f t="shared" ref="I59:T59" si="32">I57+I58</f>
        <v>124018169.97406876</v>
      </c>
      <c r="J59" s="136">
        <f t="shared" si="32"/>
        <v>118269209.27073546</v>
      </c>
      <c r="K59" s="136">
        <f t="shared" si="32"/>
        <v>124127178.28777465</v>
      </c>
      <c r="L59" s="136">
        <f t="shared" si="32"/>
        <v>107071989.13557127</v>
      </c>
      <c r="M59" s="136">
        <f t="shared" si="32"/>
        <v>104242161.86333351</v>
      </c>
      <c r="N59" s="136">
        <f>N57+N58</f>
        <v>87913174.000000209</v>
      </c>
      <c r="O59" s="136">
        <f t="shared" si="32"/>
        <v>100812338.47000021</v>
      </c>
      <c r="P59" s="136">
        <f t="shared" si="32"/>
        <v>134318270.94000021</v>
      </c>
      <c r="Q59" s="136">
        <f t="shared" si="32"/>
        <v>148611435.41000021</v>
      </c>
      <c r="R59" s="136">
        <f t="shared" si="32"/>
        <v>170310599.8800002</v>
      </c>
      <c r="S59" s="136">
        <f t="shared" si="32"/>
        <v>198309764.3500002</v>
      </c>
      <c r="T59" s="136">
        <f t="shared" si="32"/>
        <v>225208928.8200002</v>
      </c>
      <c r="U59" s="136">
        <f>U57+U58</f>
        <v>225208928.82000029</v>
      </c>
      <c r="V59" s="112"/>
    </row>
    <row r="60" spans="1:22">
      <c r="C60" s="246" t="str">
        <f>IF(ABS(C59-BS!C11)&lt;1, "Balanced!", "Error!")</f>
        <v>Balanced!</v>
      </c>
      <c r="D60" s="246" t="str">
        <f>IF(ABS(D59-BS!D11)&lt;1, "Balanced!", "Error!")</f>
        <v>Balanced!</v>
      </c>
      <c r="H60" s="246" t="str">
        <f>IF(ABS(H59-BS!H11)&lt;1, "Balanced!", "Error!")</f>
        <v>Balanced!</v>
      </c>
      <c r="I60" s="138"/>
      <c r="J60" s="13"/>
      <c r="K60" s="13"/>
      <c r="L60" s="13"/>
      <c r="M60" s="13"/>
      <c r="N60" s="187"/>
      <c r="O60" s="13"/>
      <c r="P60" s="13"/>
      <c r="Q60" s="13"/>
      <c r="R60" s="13"/>
      <c r="S60" s="13"/>
      <c r="T60" s="13"/>
      <c r="U60" s="13"/>
    </row>
    <row r="61" spans="1:22">
      <c r="C61" s="139"/>
      <c r="D61" s="53"/>
      <c r="E61" s="139"/>
      <c r="H61" s="53"/>
      <c r="I61" s="53"/>
      <c r="J61" s="13"/>
      <c r="K61" s="13"/>
      <c r="L61" s="13"/>
      <c r="M61" s="13"/>
      <c r="N61" s="13"/>
      <c r="O61" s="13"/>
      <c r="P61" s="13"/>
      <c r="Q61" s="13"/>
      <c r="R61" s="13"/>
      <c r="S61" s="13"/>
      <c r="T61" s="13"/>
      <c r="U61" s="13"/>
    </row>
    <row r="62" spans="1:22" s="24" customFormat="1" ht="15">
      <c r="A62" s="37" t="s">
        <v>126</v>
      </c>
      <c r="C62" s="22">
        <f>C59</f>
        <v>225208928.8200002</v>
      </c>
      <c r="D62" s="22">
        <f>D59</f>
        <v>198309764.3500002</v>
      </c>
      <c r="E62" s="22">
        <f>C62-D62</f>
        <v>26899164.469999999</v>
      </c>
      <c r="F62" s="23">
        <f t="shared" ref="F62:F63" si="33">IFERROR(E62/D62,)</f>
        <v>0.13564215840892846</v>
      </c>
      <c r="G62" s="37"/>
      <c r="H62" s="22">
        <f t="shared" ref="H62" si="34">H59</f>
        <v>139195479</v>
      </c>
      <c r="I62" s="22">
        <f t="shared" ref="I62:T62" si="35">I59</f>
        <v>124018169.97406876</v>
      </c>
      <c r="J62" s="22">
        <f t="shared" si="35"/>
        <v>118269209.27073546</v>
      </c>
      <c r="K62" s="22">
        <f t="shared" si="35"/>
        <v>124127178.28777465</v>
      </c>
      <c r="L62" s="22">
        <f t="shared" si="35"/>
        <v>107071989.13557127</v>
      </c>
      <c r="M62" s="22">
        <f t="shared" si="35"/>
        <v>104242161.86333351</v>
      </c>
      <c r="N62" s="22">
        <f t="shared" si="35"/>
        <v>87913174.000000209</v>
      </c>
      <c r="O62" s="22">
        <f t="shared" si="35"/>
        <v>100812338.47000021</v>
      </c>
      <c r="P62" s="22">
        <f t="shared" si="35"/>
        <v>134318270.94000021</v>
      </c>
      <c r="Q62" s="22">
        <f t="shared" si="35"/>
        <v>148611435.41000021</v>
      </c>
      <c r="R62" s="22">
        <f t="shared" si="35"/>
        <v>170310599.8800002</v>
      </c>
      <c r="S62" s="22">
        <f t="shared" si="35"/>
        <v>198309764.3500002</v>
      </c>
      <c r="T62" s="22">
        <f t="shared" si="35"/>
        <v>225208928.8200002</v>
      </c>
      <c r="U62" s="22">
        <f>U59</f>
        <v>225208928.82000029</v>
      </c>
      <c r="V62" s="134"/>
    </row>
    <row r="63" spans="1:22" s="24" customFormat="1" ht="15">
      <c r="A63" s="37" t="s">
        <v>229</v>
      </c>
      <c r="C63" s="31">
        <f t="shared" ref="C63" si="36">IF($A$3="January 2015",I63,IF($A$3="February 2015",J63,IF($A$3="March 2015",K63,IF($A$3="April 2015",L63,IF($A$3="May 2015",M63,IF($A$3="June 2015",N63,IF($A$3="July 2015",O63,IF($A$3="August 2015",P63,IF($A$3="September 2015",Q63,IF($A$3="October 2015",R63,IF($A$3="November 2015",S63,IF($A$3="December 2015",T63,0))))))))))))</f>
        <v>0</v>
      </c>
      <c r="D63" s="31">
        <f t="shared" ref="D63" si="37">IF($A$3="January 2015",H63,IF($A$3="February 2015",I63,IF($A$3="March 2015",J63,IF($A$3="April 2015",K63,IF($A$3="May 2015",L63,IF($A$3="June 2015",M63,IF($A$3="July 2015",N63,IF($A$3="August 2015",O63,IF($A$3="September 2015",P63,IF($A$3="October 2015",Q63,IF($A$3="November 2015",R63,IF($A$3="December 2015",S63,0))))))))))))</f>
        <v>0</v>
      </c>
      <c r="E63" s="31">
        <f>C63-D63</f>
        <v>0</v>
      </c>
      <c r="F63" s="23">
        <f t="shared" si="33"/>
        <v>0</v>
      </c>
      <c r="G63" s="37"/>
      <c r="H63" s="188"/>
      <c r="I63" s="188"/>
      <c r="J63" s="188"/>
      <c r="K63" s="188"/>
      <c r="L63" s="188"/>
      <c r="M63" s="188"/>
      <c r="N63" s="188"/>
      <c r="O63" s="188"/>
      <c r="P63" s="188"/>
      <c r="Q63" s="188"/>
      <c r="R63" s="188"/>
      <c r="S63" s="188"/>
      <c r="T63" s="188"/>
      <c r="U63" s="31">
        <f>T63</f>
        <v>0</v>
      </c>
      <c r="V63" s="134"/>
    </row>
    <row r="64" spans="1:22" s="24" customFormat="1" ht="15.75" thickBot="1">
      <c r="A64" s="37" t="s">
        <v>127</v>
      </c>
      <c r="B64" s="37"/>
      <c r="C64" s="136">
        <f>C62-C63</f>
        <v>225208928.8200002</v>
      </c>
      <c r="D64" s="136">
        <f>D62-D63</f>
        <v>198309764.3500002</v>
      </c>
      <c r="E64" s="136">
        <f>C64-D64</f>
        <v>26899164.469999999</v>
      </c>
      <c r="F64" s="173">
        <f>IFERROR(E64/D64,)</f>
        <v>0.13564215840892846</v>
      </c>
      <c r="G64" s="37"/>
      <c r="H64" s="136">
        <f t="shared" ref="H64" si="38">H62-H63</f>
        <v>139195479</v>
      </c>
      <c r="I64" s="136">
        <f t="shared" ref="I64:T64" si="39">I62-I63</f>
        <v>124018169.97406876</v>
      </c>
      <c r="J64" s="136">
        <f t="shared" si="39"/>
        <v>118269209.27073546</v>
      </c>
      <c r="K64" s="136">
        <f t="shared" si="39"/>
        <v>124127178.28777465</v>
      </c>
      <c r="L64" s="136">
        <f t="shared" si="39"/>
        <v>107071989.13557127</v>
      </c>
      <c r="M64" s="136">
        <f t="shared" si="39"/>
        <v>104242161.86333351</v>
      </c>
      <c r="N64" s="136">
        <f t="shared" si="39"/>
        <v>87913174.000000209</v>
      </c>
      <c r="O64" s="136">
        <f t="shared" si="39"/>
        <v>100812338.47000021</v>
      </c>
      <c r="P64" s="136">
        <f t="shared" si="39"/>
        <v>134318270.94000021</v>
      </c>
      <c r="Q64" s="136">
        <f t="shared" si="39"/>
        <v>148611435.41000021</v>
      </c>
      <c r="R64" s="136">
        <f t="shared" si="39"/>
        <v>170310599.8800002</v>
      </c>
      <c r="S64" s="136">
        <f t="shared" si="39"/>
        <v>198309764.3500002</v>
      </c>
      <c r="T64" s="136">
        <f t="shared" si="39"/>
        <v>225208928.8200002</v>
      </c>
      <c r="U64" s="136">
        <f>U62-U63</f>
        <v>225208928.82000029</v>
      </c>
      <c r="V64" s="134"/>
    </row>
    <row r="65" spans="1:21">
      <c r="H65" s="13"/>
      <c r="I65" s="13"/>
      <c r="J65" s="13"/>
      <c r="K65" s="13"/>
      <c r="L65" s="13"/>
      <c r="M65" s="13"/>
      <c r="N65" s="13"/>
      <c r="O65" s="13"/>
      <c r="P65" s="13"/>
      <c r="Q65" s="13"/>
      <c r="R65" s="13"/>
      <c r="S65" s="13"/>
      <c r="T65" s="13"/>
      <c r="U65" s="13"/>
    </row>
    <row r="66" spans="1:21">
      <c r="C66" s="138"/>
      <c r="D66" s="138"/>
      <c r="E66" s="138"/>
      <c r="H66" s="13"/>
      <c r="I66" s="13"/>
      <c r="J66" s="13"/>
      <c r="K66" s="13"/>
      <c r="L66" s="13"/>
      <c r="M66" s="13"/>
      <c r="N66" s="13"/>
      <c r="O66" s="13"/>
      <c r="P66" s="13"/>
      <c r="Q66" s="13"/>
      <c r="R66" s="13"/>
      <c r="S66" s="13"/>
      <c r="T66" s="13"/>
      <c r="U66" s="13"/>
    </row>
    <row r="67" spans="1:21">
      <c r="A67" s="132"/>
    </row>
    <row r="68" spans="1:21">
      <c r="C68" s="138"/>
    </row>
    <row r="69" spans="1:21">
      <c r="C69" s="33"/>
    </row>
    <row r="70" spans="1:21">
      <c r="C70" s="140"/>
    </row>
    <row r="71" spans="1:21">
      <c r="C71" s="140"/>
    </row>
    <row r="497" spans="59:61" ht="15">
      <c r="BG497" s="24" t="s">
        <v>55</v>
      </c>
      <c r="BH497" s="24" t="s">
        <v>56</v>
      </c>
    </row>
    <row r="498" spans="59:61" ht="15">
      <c r="BG498" s="24" t="s">
        <v>9</v>
      </c>
      <c r="BH498" s="70" t="s">
        <v>43</v>
      </c>
      <c r="BI498" s="24" t="s">
        <v>6</v>
      </c>
    </row>
    <row r="499" spans="59:61" ht="15">
      <c r="BG499" s="24" t="s">
        <v>39</v>
      </c>
      <c r="BH499" s="71" t="s">
        <v>44</v>
      </c>
      <c r="BI499" s="24" t="s">
        <v>5</v>
      </c>
    </row>
    <row r="500" spans="59:61" ht="15">
      <c r="BG500" s="24" t="s">
        <v>40</v>
      </c>
      <c r="BH500" s="71" t="s">
        <v>45</v>
      </c>
      <c r="BI500" s="24"/>
    </row>
    <row r="501" spans="59:61" ht="15">
      <c r="BG501" s="24" t="s">
        <v>41</v>
      </c>
      <c r="BH501" s="71" t="s">
        <v>46</v>
      </c>
    </row>
    <row r="502" spans="59:61" ht="15">
      <c r="BG502" s="24" t="s">
        <v>42</v>
      </c>
      <c r="BH502" s="71" t="s">
        <v>47</v>
      </c>
    </row>
    <row r="503" spans="59:61" ht="15">
      <c r="BG503" s="24" t="s">
        <v>57</v>
      </c>
      <c r="BH503" s="71" t="s">
        <v>48</v>
      </c>
    </row>
    <row r="504" spans="59:61" ht="15">
      <c r="BH504" s="71" t="s">
        <v>49</v>
      </c>
    </row>
    <row r="505" spans="59:61" ht="15">
      <c r="BH505" s="71" t="s">
        <v>50</v>
      </c>
      <c r="BI505" s="24"/>
    </row>
    <row r="506" spans="59:61" ht="15">
      <c r="BG506" s="24"/>
      <c r="BH506" s="71" t="s">
        <v>51</v>
      </c>
    </row>
    <row r="507" spans="59:61" ht="15">
      <c r="BG507" s="24"/>
      <c r="BH507" s="71" t="s">
        <v>52</v>
      </c>
    </row>
    <row r="508" spans="59:61" ht="15">
      <c r="BH508" s="71" t="s">
        <v>53</v>
      </c>
    </row>
    <row r="509" spans="59:61" ht="15">
      <c r="BH509" s="71" t="s">
        <v>54</v>
      </c>
    </row>
  </sheetData>
  <sheetProtection password="CE24" sheet="1" objects="1" scenarios="1"/>
  <protectedRanges>
    <protectedRange sqref="H58" name="Range3"/>
    <protectedRange sqref="H11:T14 H17:T32 H37:T39 H44:T45 H47:T54 H63:T63" name="Range1"/>
    <protectedRange sqref="H6:U6" name="Range2"/>
  </protectedRanges>
  <mergeCells count="2">
    <mergeCell ref="E6:F6"/>
    <mergeCell ref="C5:F5"/>
  </mergeCells>
  <dataValidations count="1">
    <dataValidation type="list" allowBlank="1" showInputMessage="1" showErrorMessage="1" prompt="Indicate whether the figures on this column is actual or forecast" sqref="H6:U6">
      <formula1>$BI$497:$BI$499</formula1>
    </dataValidation>
  </dataValidations>
  <pageMargins left="0.7" right="0.7" top="0.75" bottom="0.75" header="0.3" footer="0.3"/>
  <pageSetup paperSize="246" scale="44" orientation="landscape"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14</vt:i4>
      </vt:variant>
    </vt:vector>
  </HeadingPairs>
  <TitlesOfParts>
    <vt:vector size="27" baseType="lpstr">
      <vt:lpstr>Guidelines</vt:lpstr>
      <vt:lpstr>Top Flash</vt:lpstr>
      <vt:lpstr>Next 3-Months</vt:lpstr>
      <vt:lpstr>Variance Analysis</vt:lpstr>
      <vt:lpstr>TY Actual-Forecast</vt:lpstr>
      <vt:lpstr>TY Budget</vt:lpstr>
      <vt:lpstr>LY Actual</vt:lpstr>
      <vt:lpstr>BS</vt:lpstr>
      <vt:lpstr>CF</vt:lpstr>
      <vt:lpstr>Receivables</vt:lpstr>
      <vt:lpstr>Payables</vt:lpstr>
      <vt:lpstr>Equity</vt:lpstr>
      <vt:lpstr>Sheet1</vt:lpstr>
      <vt:lpstr>BS!Print_Area</vt:lpstr>
      <vt:lpstr>CF!Print_Area</vt:lpstr>
      <vt:lpstr>'LY Actual'!Print_Area</vt:lpstr>
      <vt:lpstr>'Next 3-Months'!Print_Area</vt:lpstr>
      <vt:lpstr>'Top Flash'!Print_Area</vt:lpstr>
      <vt:lpstr>'TY Actual-Forecast'!Print_Area</vt:lpstr>
      <vt:lpstr>'TY Budget'!Print_Area</vt:lpstr>
      <vt:lpstr>'Variance Analysis'!Print_Area</vt:lpstr>
      <vt:lpstr>'LY Actual'!Print_Titles</vt:lpstr>
      <vt:lpstr>'Next 3-Months'!Print_Titles</vt:lpstr>
      <vt:lpstr>'Top Flash'!Print_Titles</vt:lpstr>
      <vt:lpstr>'TY Actual-Forecast'!Print_Titles</vt:lpstr>
      <vt:lpstr>'TY Budget'!Print_Titles</vt:lpstr>
      <vt:lpstr>'Variance Analysis'!Print_Titles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Angelo Mario C. Calma</dc:creator>
  <cp:lastModifiedBy>Edith Recio</cp:lastModifiedBy>
  <cp:lastPrinted>2016-01-06T02:32:24Z</cp:lastPrinted>
  <dcterms:created xsi:type="dcterms:W3CDTF">2013-08-05T06:21:35Z</dcterms:created>
  <dcterms:modified xsi:type="dcterms:W3CDTF">2016-02-15T02:38:52Z</dcterms:modified>
</cp:coreProperties>
</file>