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filterPrivacy="1" defaultThemeVersion="124226"/>
  <bookViews>
    <workbookView xWindow="0" yWindow="0" windowWidth="20490" windowHeight="7530" firstSheet="4" activeTab="4"/>
  </bookViews>
  <sheets>
    <sheet name="RoomSeg" sheetId="1" state="hidden" r:id="rId1"/>
    <sheet name="Rooms FS" sheetId="2" state="hidden" r:id="rId2"/>
    <sheet name="onbooks" sheetId="4" state="hidden" r:id="rId3"/>
    <sheet name="RoomSeg (new forecast)" sheetId="5" state="hidden" r:id="rId4"/>
    <sheet name="YR2015" sheetId="6" r:id="rId5"/>
  </sheets>
  <externalReferences>
    <externalReference r:id="rId6"/>
    <externalReference r:id="rId7"/>
  </externalReferences>
  <definedNames>
    <definedName name="_xlnm.Print_Area" localSheetId="2">onbooks!$B$1:$BW$62</definedName>
    <definedName name="_xlnm.Print_Area" localSheetId="0">RoomSeg!$B$1:$BW$62</definedName>
    <definedName name="_xlnm.Print_Area" localSheetId="3">'RoomSeg (new forecast)'!$B$1:$BW$62</definedName>
    <definedName name="_xlnm.Print_Area" localSheetId="4">'YR2015'!$B$1:$BQ$62</definedName>
    <definedName name="_xlnm.Print_Titles" localSheetId="2">onbooks!$B:$C</definedName>
    <definedName name="_xlnm.Print_Titles" localSheetId="0">RoomSeg!$B:$C</definedName>
    <definedName name="_xlnm.Print_Titles" localSheetId="3">'RoomSeg (new forecast)'!$B:$C</definedName>
    <definedName name="_xlnm.Print_Titles" localSheetId="4">'YR2015'!$B:$C</definedName>
  </definedNames>
  <calcPr calcId="171027" iterate="1" iterateCount="1" iterateDelta="0"/>
</workbook>
</file>

<file path=xl/calcChain.xml><?xml version="1.0" encoding="utf-8"?>
<calcChain xmlns="http://schemas.openxmlformats.org/spreadsheetml/2006/main">
  <c r="G25" i="6" l="1"/>
  <c r="Z51" i="6" l="1"/>
  <c r="AV48" i="6"/>
  <c r="AB48" i="6"/>
  <c r="AD48" i="6"/>
  <c r="AC48" i="6" l="1"/>
  <c r="AQ58" i="6"/>
  <c r="AQ57" i="6"/>
  <c r="AQ56" i="6"/>
  <c r="AN58" i="6"/>
  <c r="AN57" i="6"/>
  <c r="AK58" i="6"/>
  <c r="AK57" i="6"/>
  <c r="AH58" i="6"/>
  <c r="AH57" i="6"/>
  <c r="AE58" i="6"/>
  <c r="AE57" i="6"/>
  <c r="Y58" i="6"/>
  <c r="Y57" i="6"/>
  <c r="V58" i="6"/>
  <c r="V57" i="6"/>
  <c r="S58" i="6"/>
  <c r="S57" i="6"/>
  <c r="S56" i="6"/>
  <c r="P57" i="6"/>
  <c r="M57" i="6"/>
  <c r="D58" i="6"/>
  <c r="D57" i="6"/>
  <c r="D56" i="6"/>
  <c r="AS52" i="6"/>
  <c r="AP52" i="6"/>
  <c r="AM52" i="6"/>
  <c r="AJ52" i="6"/>
  <c r="AG52" i="6"/>
  <c r="X52" i="6"/>
  <c r="U52" i="6"/>
  <c r="R52" i="6"/>
  <c r="O52" i="6"/>
  <c r="L52" i="6"/>
  <c r="J53" i="6"/>
  <c r="I52" i="6"/>
  <c r="F52" i="6"/>
  <c r="AN56" i="6" l="1"/>
  <c r="Y56" i="6" l="1"/>
  <c r="AB52" i="6" l="1"/>
  <c r="D60" i="6"/>
  <c r="M54" i="6" l="1"/>
  <c r="J54" i="6"/>
  <c r="G46" i="6"/>
  <c r="J46" i="6"/>
  <c r="M46" i="6"/>
  <c r="M42" i="6"/>
  <c r="J42" i="6"/>
  <c r="G42" i="6"/>
  <c r="M38" i="6"/>
  <c r="J38" i="6"/>
  <c r="G38" i="6"/>
  <c r="G34" i="6"/>
  <c r="J34" i="6"/>
  <c r="M34" i="6"/>
  <c r="J30" i="6"/>
  <c r="G30" i="6"/>
  <c r="M30" i="6"/>
  <c r="M26" i="6"/>
  <c r="J26" i="6"/>
  <c r="G26" i="6"/>
  <c r="G22" i="6" l="1"/>
  <c r="M22" i="6"/>
  <c r="M18" i="6"/>
  <c r="P18" i="6"/>
  <c r="J18" i="6"/>
  <c r="H18" i="6"/>
  <c r="G18" i="6"/>
  <c r="M14" i="6"/>
  <c r="P14" i="6"/>
  <c r="H14" i="6"/>
  <c r="G14" i="6"/>
  <c r="M10" i="6"/>
  <c r="P10" i="6"/>
  <c r="J10" i="6"/>
  <c r="M58" i="6" l="1"/>
  <c r="P58" i="6"/>
  <c r="G10" i="6"/>
  <c r="M36" i="6" l="1"/>
  <c r="P36" i="6"/>
  <c r="M32" i="6"/>
  <c r="P32" i="6"/>
  <c r="AH32" i="6"/>
  <c r="AE32" i="6"/>
  <c r="G54" i="6"/>
  <c r="J50" i="6"/>
  <c r="G50" i="6"/>
  <c r="J14" i="6"/>
  <c r="G53" i="6"/>
  <c r="J49" i="6"/>
  <c r="G49" i="6"/>
  <c r="J45" i="6"/>
  <c r="G45" i="6"/>
  <c r="J41" i="6"/>
  <c r="G41" i="6"/>
  <c r="J37" i="6"/>
  <c r="G37" i="6"/>
  <c r="J33" i="6"/>
  <c r="G33" i="6"/>
  <c r="J29" i="6"/>
  <c r="G29" i="6"/>
  <c r="J25" i="6"/>
  <c r="J21" i="6"/>
  <c r="G21" i="6"/>
  <c r="J17" i="6"/>
  <c r="G17" i="6"/>
  <c r="J13" i="6"/>
  <c r="G13" i="6"/>
  <c r="J9" i="6"/>
  <c r="G9" i="6"/>
  <c r="P28" i="6"/>
  <c r="M28" i="6"/>
  <c r="AK28" i="6"/>
  <c r="H24" i="6"/>
  <c r="M20" i="6"/>
  <c r="G20" i="6"/>
  <c r="M16" i="6"/>
  <c r="P16" i="6"/>
  <c r="J16" i="6"/>
  <c r="G16" i="6"/>
  <c r="N12" i="6"/>
  <c r="M12" i="6"/>
  <c r="Q12" i="6"/>
  <c r="P12" i="6"/>
  <c r="Q8" i="6"/>
  <c r="P8" i="6"/>
  <c r="N8" i="6"/>
  <c r="M8" i="6"/>
  <c r="J12" i="6"/>
  <c r="H12" i="6"/>
  <c r="G12" i="6"/>
  <c r="P56" i="6" l="1"/>
  <c r="J56" i="6"/>
  <c r="G57" i="6"/>
  <c r="J58" i="6"/>
  <c r="G58" i="6"/>
  <c r="M56" i="6"/>
  <c r="J57" i="6"/>
  <c r="G56" i="6"/>
  <c r="V36" i="6"/>
  <c r="V56" i="6" s="1"/>
  <c r="AE36" i="6"/>
  <c r="AE56" i="6" s="1"/>
  <c r="AK36" i="6"/>
  <c r="AK56" i="6" s="1"/>
  <c r="AH36" i="6"/>
  <c r="AH56" i="6" s="1"/>
  <c r="BF62" i="6" l="1"/>
  <c r="BG62" i="6" s="1"/>
  <c r="BC62" i="6"/>
  <c r="BD62" i="6" s="1"/>
  <c r="AZ62" i="6"/>
  <c r="BA62" i="6" s="1"/>
  <c r="AW62" i="6"/>
  <c r="AX62" i="6" s="1"/>
  <c r="AT62" i="6"/>
  <c r="AU62" i="6" s="1"/>
  <c r="AQ62" i="6"/>
  <c r="AN62" i="6"/>
  <c r="AK62" i="6"/>
  <c r="AH62" i="6"/>
  <c r="AE62" i="6"/>
  <c r="Y62" i="6"/>
  <c r="V62" i="6"/>
  <c r="S62" i="6"/>
  <c r="P62" i="6"/>
  <c r="M62" i="6"/>
  <c r="J62" i="6"/>
  <c r="G62" i="6"/>
  <c r="D62" i="6"/>
  <c r="BF61" i="6"/>
  <c r="BG61" i="6" s="1"/>
  <c r="BC61" i="6"/>
  <c r="BD61" i="6" s="1"/>
  <c r="AZ61" i="6"/>
  <c r="BA61" i="6" s="1"/>
  <c r="AW61" i="6"/>
  <c r="AX61" i="6" s="1"/>
  <c r="AT61" i="6"/>
  <c r="AU61" i="6" s="1"/>
  <c r="AQ61" i="6"/>
  <c r="AN61" i="6"/>
  <c r="AK61" i="6"/>
  <c r="AH61" i="6"/>
  <c r="AE61" i="6"/>
  <c r="Y61" i="6"/>
  <c r="V61" i="6"/>
  <c r="S61" i="6"/>
  <c r="P61" i="6"/>
  <c r="M61" i="6"/>
  <c r="J61" i="6"/>
  <c r="G61" i="6"/>
  <c r="D61" i="6"/>
  <c r="BF60" i="6"/>
  <c r="BG60" i="6" s="1"/>
  <c r="BC60" i="6"/>
  <c r="BD60" i="6" s="1"/>
  <c r="AZ60" i="6"/>
  <c r="BA60" i="6" s="1"/>
  <c r="AW60" i="6"/>
  <c r="AX60" i="6" s="1"/>
  <c r="AT60" i="6"/>
  <c r="AU60" i="6" s="1"/>
  <c r="AN60" i="6"/>
  <c r="AK60" i="6"/>
  <c r="AH60" i="6"/>
  <c r="AE60" i="6"/>
  <c r="Y60" i="6"/>
  <c r="V60" i="6"/>
  <c r="S60" i="6"/>
  <c r="P60" i="6"/>
  <c r="M60" i="6"/>
  <c r="J60" i="6"/>
  <c r="G60" i="6"/>
  <c r="BF58" i="6"/>
  <c r="BC58" i="6"/>
  <c r="AZ58" i="6"/>
  <c r="AW58" i="6"/>
  <c r="AT58" i="6"/>
  <c r="BF57" i="6"/>
  <c r="BC57" i="6"/>
  <c r="AZ57" i="6"/>
  <c r="AW57" i="6"/>
  <c r="AT57" i="6"/>
  <c r="G55" i="6"/>
  <c r="BF56" i="6"/>
  <c r="BC56" i="6"/>
  <c r="AZ56" i="6"/>
  <c r="AW56" i="6"/>
  <c r="AT56" i="6"/>
  <c r="AN55" i="6"/>
  <c r="AH55" i="6"/>
  <c r="D55" i="6"/>
  <c r="AQ55" i="6"/>
  <c r="AK55" i="6"/>
  <c r="AE55" i="6"/>
  <c r="Y55" i="6"/>
  <c r="V55" i="6"/>
  <c r="S55" i="6"/>
  <c r="P55" i="6"/>
  <c r="BP54" i="6"/>
  <c r="BI54" i="6"/>
  <c r="BH54" i="6"/>
  <c r="BE54" i="6"/>
  <c r="BB54" i="6"/>
  <c r="AY54" i="6"/>
  <c r="AV54" i="6"/>
  <c r="AS54" i="6"/>
  <c r="AP54" i="6"/>
  <c r="AM54" i="6"/>
  <c r="AJ54" i="6"/>
  <c r="AG54" i="6"/>
  <c r="AA54" i="6"/>
  <c r="X54" i="6"/>
  <c r="U54" i="6"/>
  <c r="R54" i="6"/>
  <c r="O54" i="6"/>
  <c r="L54" i="6"/>
  <c r="I54" i="6"/>
  <c r="AB54" i="6"/>
  <c r="F54" i="6"/>
  <c r="BP53" i="6"/>
  <c r="BI53" i="6"/>
  <c r="BH53" i="6"/>
  <c r="BE53" i="6"/>
  <c r="BB53" i="6"/>
  <c r="AY53" i="6"/>
  <c r="AV53" i="6"/>
  <c r="AS53" i="6"/>
  <c r="AP53" i="6"/>
  <c r="AP51" i="6" s="1"/>
  <c r="AM53" i="6"/>
  <c r="AJ53" i="6"/>
  <c r="AG53" i="6"/>
  <c r="AB53" i="6"/>
  <c r="AA53" i="6"/>
  <c r="AA51" i="6" s="1"/>
  <c r="X53" i="6"/>
  <c r="U53" i="6"/>
  <c r="R53" i="6"/>
  <c r="R51" i="6" s="1"/>
  <c r="O53" i="6"/>
  <c r="O51" i="6" s="1"/>
  <c r="L53" i="6"/>
  <c r="I53" i="6"/>
  <c r="F53" i="6"/>
  <c r="BP52" i="6"/>
  <c r="BI52" i="6"/>
  <c r="BH52" i="6"/>
  <c r="BE52" i="6"/>
  <c r="BB52" i="6"/>
  <c r="AY52" i="6"/>
  <c r="AV52" i="6"/>
  <c r="AM51" i="6"/>
  <c r="AO51" i="6"/>
  <c r="AN51" i="6"/>
  <c r="AL51" i="6"/>
  <c r="AK51" i="6"/>
  <c r="AI51" i="6"/>
  <c r="AH51" i="6"/>
  <c r="AF51" i="6"/>
  <c r="AE51" i="6"/>
  <c r="Y51" i="6"/>
  <c r="W51" i="6"/>
  <c r="V51" i="6"/>
  <c r="T51" i="6"/>
  <c r="S51" i="6"/>
  <c r="Q51" i="6"/>
  <c r="P51" i="6"/>
  <c r="N51" i="6"/>
  <c r="M51" i="6"/>
  <c r="H51" i="6"/>
  <c r="G51" i="6"/>
  <c r="D51" i="6"/>
  <c r="BP50" i="6"/>
  <c r="BI50" i="6"/>
  <c r="BH50" i="6"/>
  <c r="BE50" i="6"/>
  <c r="BB50" i="6"/>
  <c r="AY50" i="6"/>
  <c r="AV50" i="6"/>
  <c r="AS50" i="6"/>
  <c r="AP50" i="6"/>
  <c r="AM50" i="6"/>
  <c r="AJ50" i="6"/>
  <c r="AG50" i="6"/>
  <c r="AA50" i="6"/>
  <c r="X50" i="6"/>
  <c r="U50" i="6"/>
  <c r="R50" i="6"/>
  <c r="O50" i="6"/>
  <c r="L50" i="6"/>
  <c r="I50" i="6"/>
  <c r="F50" i="6"/>
  <c r="BP49" i="6"/>
  <c r="BI49" i="6"/>
  <c r="BH49" i="6"/>
  <c r="BE49" i="6"/>
  <c r="BB49" i="6"/>
  <c r="AY49" i="6"/>
  <c r="AV49" i="6"/>
  <c r="AS49" i="6"/>
  <c r="AP49" i="6"/>
  <c r="AM49" i="6"/>
  <c r="AJ49" i="6"/>
  <c r="AJ47" i="6" s="1"/>
  <c r="AG49" i="6"/>
  <c r="AB49" i="6"/>
  <c r="AA49" i="6"/>
  <c r="X49" i="6"/>
  <c r="U49" i="6"/>
  <c r="R49" i="6"/>
  <c r="O49" i="6"/>
  <c r="L49" i="6"/>
  <c r="I49" i="6"/>
  <c r="F49" i="6"/>
  <c r="BP48" i="6"/>
  <c r="BI48" i="6"/>
  <c r="BH48" i="6"/>
  <c r="BE48" i="6"/>
  <c r="BB48" i="6"/>
  <c r="AY48" i="6"/>
  <c r="AR47" i="6"/>
  <c r="AQ47" i="6"/>
  <c r="AO47" i="6"/>
  <c r="AN47" i="6"/>
  <c r="AL47" i="6"/>
  <c r="AK47" i="6"/>
  <c r="AI47" i="6"/>
  <c r="AH47" i="6"/>
  <c r="AE47" i="6"/>
  <c r="Z47" i="6"/>
  <c r="Y47" i="6"/>
  <c r="W47" i="6"/>
  <c r="V47" i="6"/>
  <c r="T47" i="6"/>
  <c r="S47" i="6"/>
  <c r="Q47" i="6"/>
  <c r="P47" i="6"/>
  <c r="N47" i="6"/>
  <c r="M47" i="6"/>
  <c r="G47" i="6"/>
  <c r="D47" i="6"/>
  <c r="BP46" i="6"/>
  <c r="BI46" i="6"/>
  <c r="BH46" i="6"/>
  <c r="BE46" i="6"/>
  <c r="BB46" i="6"/>
  <c r="AY46" i="6"/>
  <c r="AV46" i="6"/>
  <c r="AS46" i="6"/>
  <c r="AP46" i="6"/>
  <c r="AM46" i="6"/>
  <c r="AJ46" i="6"/>
  <c r="AG46" i="6"/>
  <c r="AA46" i="6"/>
  <c r="X46" i="6"/>
  <c r="U46" i="6"/>
  <c r="R46" i="6"/>
  <c r="O46" i="6"/>
  <c r="L46" i="6"/>
  <c r="I46" i="6"/>
  <c r="AB46" i="6"/>
  <c r="F46" i="6"/>
  <c r="BP45" i="6"/>
  <c r="BI45" i="6"/>
  <c r="BH45" i="6"/>
  <c r="BE45" i="6"/>
  <c r="BB45" i="6"/>
  <c r="AY45" i="6"/>
  <c r="AV45" i="6"/>
  <c r="AS45" i="6"/>
  <c r="AP45" i="6"/>
  <c r="AM45" i="6"/>
  <c r="AJ45" i="6"/>
  <c r="AG45" i="6"/>
  <c r="AB45" i="6"/>
  <c r="AA45" i="6"/>
  <c r="X45" i="6"/>
  <c r="U45" i="6"/>
  <c r="R45" i="6"/>
  <c r="O45" i="6"/>
  <c r="L45" i="6"/>
  <c r="I45" i="6"/>
  <c r="F45" i="6"/>
  <c r="BP44" i="6"/>
  <c r="BI44" i="6"/>
  <c r="BH44" i="6"/>
  <c r="BE44" i="6"/>
  <c r="BB44" i="6"/>
  <c r="AY44" i="6"/>
  <c r="AV44" i="6"/>
  <c r="AS44" i="6"/>
  <c r="AP44" i="6"/>
  <c r="AM44" i="6"/>
  <c r="AJ44" i="6"/>
  <c r="AG44" i="6"/>
  <c r="AB44" i="6"/>
  <c r="AA44" i="6"/>
  <c r="X44" i="6"/>
  <c r="U44" i="6"/>
  <c r="R44" i="6"/>
  <c r="O44" i="6"/>
  <c r="L44" i="6"/>
  <c r="I44" i="6"/>
  <c r="F44" i="6"/>
  <c r="AR43" i="6"/>
  <c r="AQ43" i="6"/>
  <c r="AO43" i="6"/>
  <c r="AN43" i="6"/>
  <c r="AL43" i="6"/>
  <c r="AK43" i="6"/>
  <c r="AI43" i="6"/>
  <c r="AH43" i="6"/>
  <c r="AF43" i="6"/>
  <c r="AE43" i="6"/>
  <c r="Z43" i="6"/>
  <c r="Y43" i="6"/>
  <c r="W43" i="6"/>
  <c r="V43" i="6"/>
  <c r="T43" i="6"/>
  <c r="S43" i="6"/>
  <c r="Q43" i="6"/>
  <c r="P43" i="6"/>
  <c r="N43" i="6"/>
  <c r="M43" i="6"/>
  <c r="H43" i="6"/>
  <c r="G43" i="6"/>
  <c r="E43" i="6"/>
  <c r="D43" i="6"/>
  <c r="BP42" i="6"/>
  <c r="BI42" i="6"/>
  <c r="BH42" i="6"/>
  <c r="BE42" i="6"/>
  <c r="BB42" i="6"/>
  <c r="AY42" i="6"/>
  <c r="AV42" i="6"/>
  <c r="AS42" i="6"/>
  <c r="AP42" i="6"/>
  <c r="AM42" i="6"/>
  <c r="AJ42" i="6"/>
  <c r="AG42" i="6"/>
  <c r="AA42" i="6"/>
  <c r="X42" i="6"/>
  <c r="U42" i="6"/>
  <c r="R42" i="6"/>
  <c r="O42" i="6"/>
  <c r="L42" i="6"/>
  <c r="I42" i="6"/>
  <c r="F42" i="6"/>
  <c r="BP41" i="6"/>
  <c r="BI41" i="6"/>
  <c r="BH41" i="6"/>
  <c r="BE41" i="6"/>
  <c r="BB41" i="6"/>
  <c r="AY41" i="6"/>
  <c r="AV41" i="6"/>
  <c r="AS41" i="6"/>
  <c r="AP41" i="6"/>
  <c r="AM41" i="6"/>
  <c r="AJ41" i="6"/>
  <c r="AG41" i="6"/>
  <c r="AB41" i="6"/>
  <c r="AA41" i="6"/>
  <c r="X41" i="6"/>
  <c r="U41" i="6"/>
  <c r="R41" i="6"/>
  <c r="O41" i="6"/>
  <c r="L41" i="6"/>
  <c r="I41" i="6"/>
  <c r="F41" i="6"/>
  <c r="BP40" i="6"/>
  <c r="BI40" i="6"/>
  <c r="BH40" i="6"/>
  <c r="BE40" i="6"/>
  <c r="BB40" i="6"/>
  <c r="AY40" i="6"/>
  <c r="AV40" i="6"/>
  <c r="AS40" i="6"/>
  <c r="AP40" i="6"/>
  <c r="AM40" i="6"/>
  <c r="AJ40" i="6"/>
  <c r="AG40" i="6"/>
  <c r="AB40" i="6"/>
  <c r="AA40" i="6"/>
  <c r="X40" i="6"/>
  <c r="U40" i="6"/>
  <c r="R40" i="6"/>
  <c r="O40" i="6"/>
  <c r="L40" i="6"/>
  <c r="I40" i="6"/>
  <c r="F40" i="6"/>
  <c r="AR39" i="6"/>
  <c r="AQ39" i="6"/>
  <c r="AO39" i="6"/>
  <c r="AN39" i="6"/>
  <c r="AL39" i="6"/>
  <c r="AK39" i="6"/>
  <c r="AI39" i="6"/>
  <c r="AH39" i="6"/>
  <c r="AF39" i="6"/>
  <c r="AE39" i="6"/>
  <c r="Z39" i="6"/>
  <c r="Y39" i="6"/>
  <c r="W39" i="6"/>
  <c r="V39" i="6"/>
  <c r="T39" i="6"/>
  <c r="S39" i="6"/>
  <c r="Q39" i="6"/>
  <c r="P39" i="6"/>
  <c r="N39" i="6"/>
  <c r="M39" i="6"/>
  <c r="H39" i="6"/>
  <c r="G39" i="6"/>
  <c r="E39" i="6"/>
  <c r="D39" i="6"/>
  <c r="BP38" i="6"/>
  <c r="BI38" i="6"/>
  <c r="BH38" i="6"/>
  <c r="BE38" i="6"/>
  <c r="BB38" i="6"/>
  <c r="AY38" i="6"/>
  <c r="AV38" i="6"/>
  <c r="AS38" i="6"/>
  <c r="AP38" i="6"/>
  <c r="AM38" i="6"/>
  <c r="AJ38" i="6"/>
  <c r="AG38" i="6"/>
  <c r="AA38" i="6"/>
  <c r="X38" i="6"/>
  <c r="U38" i="6"/>
  <c r="R38" i="6"/>
  <c r="O38" i="6"/>
  <c r="L38" i="6"/>
  <c r="I38" i="6"/>
  <c r="AB38" i="6"/>
  <c r="F38" i="6"/>
  <c r="BP37" i="6"/>
  <c r="BI37" i="6"/>
  <c r="BH37" i="6"/>
  <c r="BE37" i="6"/>
  <c r="BB37" i="6"/>
  <c r="AY37" i="6"/>
  <c r="AV37" i="6"/>
  <c r="AS37" i="6"/>
  <c r="AP37" i="6"/>
  <c r="AM37" i="6"/>
  <c r="AJ37" i="6"/>
  <c r="AG37" i="6"/>
  <c r="AB37" i="6"/>
  <c r="AA37" i="6"/>
  <c r="X37" i="6"/>
  <c r="U37" i="6"/>
  <c r="R37" i="6"/>
  <c r="O37" i="6"/>
  <c r="L37" i="6"/>
  <c r="I37" i="6"/>
  <c r="F37" i="6"/>
  <c r="BP36" i="6"/>
  <c r="BI36" i="6"/>
  <c r="BH36" i="6"/>
  <c r="BE36" i="6"/>
  <c r="BB36" i="6"/>
  <c r="AY36" i="6"/>
  <c r="AV36" i="6"/>
  <c r="AS36" i="6"/>
  <c r="AP36" i="6"/>
  <c r="AM36" i="6"/>
  <c r="AJ36" i="6"/>
  <c r="AG36" i="6"/>
  <c r="AB36" i="6"/>
  <c r="AA36" i="6"/>
  <c r="X36" i="6"/>
  <c r="U36" i="6"/>
  <c r="R36" i="6"/>
  <c r="O36" i="6"/>
  <c r="L36" i="6"/>
  <c r="I36" i="6"/>
  <c r="F36" i="6"/>
  <c r="AR35" i="6"/>
  <c r="AQ35" i="6"/>
  <c r="AO35" i="6"/>
  <c r="AN35" i="6"/>
  <c r="AL35" i="6"/>
  <c r="AK35" i="6"/>
  <c r="AF35" i="6"/>
  <c r="AE35" i="6"/>
  <c r="Z35" i="6"/>
  <c r="Y35" i="6"/>
  <c r="W35" i="6"/>
  <c r="V35" i="6"/>
  <c r="T35" i="6"/>
  <c r="S35" i="6"/>
  <c r="Q35" i="6"/>
  <c r="P35" i="6"/>
  <c r="N35" i="6"/>
  <c r="M35" i="6"/>
  <c r="H35" i="6"/>
  <c r="G35" i="6"/>
  <c r="E35" i="6"/>
  <c r="D35" i="6"/>
  <c r="BP34" i="6"/>
  <c r="BI34" i="6"/>
  <c r="BH34" i="6"/>
  <c r="BE34" i="6"/>
  <c r="BB34" i="6"/>
  <c r="AY34" i="6"/>
  <c r="AV34" i="6"/>
  <c r="AS34" i="6"/>
  <c r="AP34" i="6"/>
  <c r="AM34" i="6"/>
  <c r="AJ34" i="6"/>
  <c r="AG34" i="6"/>
  <c r="AA34" i="6"/>
  <c r="X34" i="6"/>
  <c r="U34" i="6"/>
  <c r="R34" i="6"/>
  <c r="O34" i="6"/>
  <c r="L34" i="6"/>
  <c r="I34" i="6"/>
  <c r="AB34" i="6"/>
  <c r="F34" i="6"/>
  <c r="BP33" i="6"/>
  <c r="BI33" i="6"/>
  <c r="BH33" i="6"/>
  <c r="BE33" i="6"/>
  <c r="BB33" i="6"/>
  <c r="AY33" i="6"/>
  <c r="AV33" i="6"/>
  <c r="AS33" i="6"/>
  <c r="AP33" i="6"/>
  <c r="AM33" i="6"/>
  <c r="AJ33" i="6"/>
  <c r="AG33" i="6"/>
  <c r="AB33" i="6"/>
  <c r="AA33" i="6"/>
  <c r="X33" i="6"/>
  <c r="U33" i="6"/>
  <c r="R33" i="6"/>
  <c r="O33" i="6"/>
  <c r="L33" i="6"/>
  <c r="I33" i="6"/>
  <c r="F33" i="6"/>
  <c r="BP32" i="6"/>
  <c r="BI32" i="6"/>
  <c r="BH32" i="6"/>
  <c r="BE32" i="6"/>
  <c r="BB32" i="6"/>
  <c r="AY32" i="6"/>
  <c r="AV32" i="6"/>
  <c r="AS32" i="6"/>
  <c r="AP32" i="6"/>
  <c r="AM32" i="6"/>
  <c r="AJ32" i="6"/>
  <c r="AG32" i="6"/>
  <c r="AB32" i="6"/>
  <c r="AA32" i="6"/>
  <c r="X32" i="6"/>
  <c r="U32" i="6"/>
  <c r="R32" i="6"/>
  <c r="O32" i="6"/>
  <c r="L32" i="6"/>
  <c r="I32" i="6"/>
  <c r="F32" i="6"/>
  <c r="AO31" i="6"/>
  <c r="AN31" i="6"/>
  <c r="AL31" i="6"/>
  <c r="AK31" i="6"/>
  <c r="AF31" i="6"/>
  <c r="AE31" i="6"/>
  <c r="Z31" i="6"/>
  <c r="Y31" i="6"/>
  <c r="W31" i="6"/>
  <c r="V31" i="6"/>
  <c r="T31" i="6"/>
  <c r="S31" i="6"/>
  <c r="Q31" i="6"/>
  <c r="P31" i="6"/>
  <c r="N31" i="6"/>
  <c r="M31" i="6"/>
  <c r="H31" i="6"/>
  <c r="G31" i="6"/>
  <c r="E31" i="6"/>
  <c r="D31" i="6"/>
  <c r="BP30" i="6"/>
  <c r="BI30" i="6"/>
  <c r="BH30" i="6"/>
  <c r="BE30" i="6"/>
  <c r="BB30" i="6"/>
  <c r="AY30" i="6"/>
  <c r="AV30" i="6"/>
  <c r="AS30" i="6"/>
  <c r="AP30" i="6"/>
  <c r="AM30" i="6"/>
  <c r="AJ30" i="6"/>
  <c r="AG30" i="6"/>
  <c r="AA30" i="6"/>
  <c r="X30" i="6"/>
  <c r="U30" i="6"/>
  <c r="R30" i="6"/>
  <c r="O30" i="6"/>
  <c r="L30" i="6"/>
  <c r="I30" i="6"/>
  <c r="F30" i="6"/>
  <c r="BP29" i="6"/>
  <c r="BI29" i="6"/>
  <c r="BH29" i="6"/>
  <c r="BE29" i="6"/>
  <c r="BB29" i="6"/>
  <c r="AY29" i="6"/>
  <c r="AV29" i="6"/>
  <c r="AS29" i="6"/>
  <c r="AP29" i="6"/>
  <c r="AM29" i="6"/>
  <c r="AJ29" i="6"/>
  <c r="AG29" i="6"/>
  <c r="AB29" i="6"/>
  <c r="AA29" i="6"/>
  <c r="X29" i="6"/>
  <c r="U29" i="6"/>
  <c r="R29" i="6"/>
  <c r="O29" i="6"/>
  <c r="L29" i="6"/>
  <c r="I29" i="6"/>
  <c r="F29" i="6"/>
  <c r="BP28" i="6"/>
  <c r="BI28" i="6"/>
  <c r="BH28" i="6"/>
  <c r="BE28" i="6"/>
  <c r="BB28" i="6"/>
  <c r="AY28" i="6"/>
  <c r="AV28" i="6"/>
  <c r="AS28" i="6"/>
  <c r="AP28" i="6"/>
  <c r="AM28" i="6"/>
  <c r="AJ28" i="6"/>
  <c r="AG28" i="6"/>
  <c r="AB28" i="6"/>
  <c r="AA28" i="6"/>
  <c r="X28" i="6"/>
  <c r="U28" i="6"/>
  <c r="R28" i="6"/>
  <c r="O28" i="6"/>
  <c r="L28" i="6"/>
  <c r="I28" i="6"/>
  <c r="F28" i="6"/>
  <c r="AR27" i="6"/>
  <c r="AQ27" i="6"/>
  <c r="AO27" i="6"/>
  <c r="AN27" i="6"/>
  <c r="AL27" i="6"/>
  <c r="AK27" i="6"/>
  <c r="AF27" i="6"/>
  <c r="AE27" i="6"/>
  <c r="Z27" i="6"/>
  <c r="Y27" i="6"/>
  <c r="W27" i="6"/>
  <c r="V27" i="6"/>
  <c r="T27" i="6"/>
  <c r="S27" i="6"/>
  <c r="Q27" i="6"/>
  <c r="P27" i="6"/>
  <c r="N27" i="6"/>
  <c r="M27" i="6"/>
  <c r="H27" i="6"/>
  <c r="G27" i="6"/>
  <c r="E27" i="6"/>
  <c r="D27" i="6"/>
  <c r="BP26" i="6"/>
  <c r="BI26" i="6"/>
  <c r="BH26" i="6"/>
  <c r="BE26" i="6"/>
  <c r="BB26" i="6"/>
  <c r="AY26" i="6"/>
  <c r="AV26" i="6"/>
  <c r="AS26" i="6"/>
  <c r="AP26" i="6"/>
  <c r="AM26" i="6"/>
  <c r="AJ26" i="6"/>
  <c r="AG26" i="6"/>
  <c r="AA26" i="6"/>
  <c r="X26" i="6"/>
  <c r="U26" i="6"/>
  <c r="R26" i="6"/>
  <c r="O26" i="6"/>
  <c r="L26" i="6"/>
  <c r="I26" i="6"/>
  <c r="F26" i="6"/>
  <c r="BP25" i="6"/>
  <c r="BI25" i="6"/>
  <c r="BH25" i="6"/>
  <c r="BE25" i="6"/>
  <c r="BB25" i="6"/>
  <c r="AY25" i="6"/>
  <c r="AV25" i="6"/>
  <c r="AS25" i="6"/>
  <c r="AP25" i="6"/>
  <c r="AM25" i="6"/>
  <c r="AJ25" i="6"/>
  <c r="AG25" i="6"/>
  <c r="AB25" i="6"/>
  <c r="AA25" i="6"/>
  <c r="X25" i="6"/>
  <c r="U25" i="6"/>
  <c r="R25" i="6"/>
  <c r="O25" i="6"/>
  <c r="L25" i="6"/>
  <c r="I25" i="6"/>
  <c r="F25" i="6"/>
  <c r="BP24" i="6"/>
  <c r="BI24" i="6"/>
  <c r="BH24" i="6"/>
  <c r="BE24" i="6"/>
  <c r="BB24" i="6"/>
  <c r="AY24" i="6"/>
  <c r="AV24" i="6"/>
  <c r="AS24" i="6"/>
  <c r="AQ60" i="6"/>
  <c r="AP24" i="6"/>
  <c r="AM24" i="6"/>
  <c r="AJ24" i="6"/>
  <c r="AG24" i="6"/>
  <c r="AB24" i="6"/>
  <c r="AA24" i="6"/>
  <c r="X24" i="6"/>
  <c r="U24" i="6"/>
  <c r="R24" i="6"/>
  <c r="O24" i="6"/>
  <c r="L24" i="6"/>
  <c r="I24" i="6"/>
  <c r="F24" i="6"/>
  <c r="AR23" i="6"/>
  <c r="AQ23" i="6"/>
  <c r="AO23" i="6"/>
  <c r="AN23" i="6"/>
  <c r="AL23" i="6"/>
  <c r="AK23" i="6"/>
  <c r="AI23" i="6"/>
  <c r="AH23" i="6"/>
  <c r="AF23" i="6"/>
  <c r="AE23" i="6"/>
  <c r="Z23" i="6"/>
  <c r="Y23" i="6"/>
  <c r="W23" i="6"/>
  <c r="V23" i="6"/>
  <c r="T23" i="6"/>
  <c r="S23" i="6"/>
  <c r="Q23" i="6"/>
  <c r="P23" i="6"/>
  <c r="N23" i="6"/>
  <c r="M23" i="6"/>
  <c r="H23" i="6"/>
  <c r="G23" i="6"/>
  <c r="E23" i="6"/>
  <c r="D23" i="6"/>
  <c r="BP22" i="6"/>
  <c r="BI22" i="6"/>
  <c r="BH22" i="6"/>
  <c r="BE22" i="6"/>
  <c r="BB22" i="6"/>
  <c r="AY22" i="6"/>
  <c r="AV22" i="6"/>
  <c r="AS22" i="6"/>
  <c r="AP22" i="6"/>
  <c r="AM22" i="6"/>
  <c r="AJ22" i="6"/>
  <c r="AG22" i="6"/>
  <c r="AA22" i="6"/>
  <c r="X22" i="6"/>
  <c r="U22" i="6"/>
  <c r="R22" i="6"/>
  <c r="O22" i="6"/>
  <c r="L22" i="6"/>
  <c r="I22" i="6"/>
  <c r="AB22" i="6"/>
  <c r="F22" i="6"/>
  <c r="BP21" i="6"/>
  <c r="BI21" i="6"/>
  <c r="BH21" i="6"/>
  <c r="BE21" i="6"/>
  <c r="BB21" i="6"/>
  <c r="AY21" i="6"/>
  <c r="AV21" i="6"/>
  <c r="AS21" i="6"/>
  <c r="AP21" i="6"/>
  <c r="AM21" i="6"/>
  <c r="AJ21" i="6"/>
  <c r="AG21" i="6"/>
  <c r="AB21" i="6"/>
  <c r="AA21" i="6"/>
  <c r="X21" i="6"/>
  <c r="U21" i="6"/>
  <c r="R21" i="6"/>
  <c r="O21" i="6"/>
  <c r="L21" i="6"/>
  <c r="I21" i="6"/>
  <c r="F21" i="6"/>
  <c r="BP20" i="6"/>
  <c r="BI20" i="6"/>
  <c r="BH20" i="6"/>
  <c r="BE20" i="6"/>
  <c r="BB20" i="6"/>
  <c r="AY20" i="6"/>
  <c r="AV20" i="6"/>
  <c r="AS20" i="6"/>
  <c r="AP20" i="6"/>
  <c r="AM20" i="6"/>
  <c r="AJ20" i="6"/>
  <c r="AG20" i="6"/>
  <c r="AB20" i="6"/>
  <c r="AA20" i="6"/>
  <c r="X20" i="6"/>
  <c r="U20" i="6"/>
  <c r="R20" i="6"/>
  <c r="O20" i="6"/>
  <c r="L20" i="6"/>
  <c r="I20" i="6"/>
  <c r="F20" i="6"/>
  <c r="AR19" i="6"/>
  <c r="AQ19" i="6"/>
  <c r="AO19" i="6"/>
  <c r="AN19" i="6"/>
  <c r="AL19" i="6"/>
  <c r="AK19" i="6"/>
  <c r="AI19" i="6"/>
  <c r="AH19" i="6"/>
  <c r="AF19" i="6"/>
  <c r="AE19" i="6"/>
  <c r="Z19" i="6"/>
  <c r="Y19" i="6"/>
  <c r="W19" i="6"/>
  <c r="V19" i="6"/>
  <c r="T19" i="6"/>
  <c r="S19" i="6"/>
  <c r="Q19" i="6"/>
  <c r="P19" i="6"/>
  <c r="N19" i="6"/>
  <c r="M19" i="6"/>
  <c r="H19" i="6"/>
  <c r="G19" i="6"/>
  <c r="E19" i="6"/>
  <c r="D19" i="6"/>
  <c r="BP18" i="6"/>
  <c r="BI18" i="6"/>
  <c r="BH18" i="6"/>
  <c r="BE18" i="6"/>
  <c r="BB18" i="6"/>
  <c r="AY18" i="6"/>
  <c r="AV18" i="6"/>
  <c r="AS18" i="6"/>
  <c r="AP18" i="6"/>
  <c r="AM18" i="6"/>
  <c r="AJ18" i="6"/>
  <c r="AG18" i="6"/>
  <c r="AA18" i="6"/>
  <c r="X18" i="6"/>
  <c r="U18" i="6"/>
  <c r="R18" i="6"/>
  <c r="O18" i="6"/>
  <c r="L18" i="6"/>
  <c r="I18" i="6"/>
  <c r="AB18" i="6"/>
  <c r="F18" i="6"/>
  <c r="BP17" i="6"/>
  <c r="BI17" i="6"/>
  <c r="BH17" i="6"/>
  <c r="BE17" i="6"/>
  <c r="BB17" i="6"/>
  <c r="AY17" i="6"/>
  <c r="AV17" i="6"/>
  <c r="AS17" i="6"/>
  <c r="AP17" i="6"/>
  <c r="AM17" i="6"/>
  <c r="AJ17" i="6"/>
  <c r="AG17" i="6"/>
  <c r="AB17" i="6"/>
  <c r="AA17" i="6"/>
  <c r="X17" i="6"/>
  <c r="U17" i="6"/>
  <c r="R17" i="6"/>
  <c r="O17" i="6"/>
  <c r="L17" i="6"/>
  <c r="I17" i="6"/>
  <c r="F17" i="6"/>
  <c r="BP16" i="6"/>
  <c r="BI16" i="6"/>
  <c r="BH16" i="6"/>
  <c r="BE16" i="6"/>
  <c r="BB16" i="6"/>
  <c r="AY16" i="6"/>
  <c r="AV16" i="6"/>
  <c r="AS16" i="6"/>
  <c r="AP16" i="6"/>
  <c r="AM16" i="6"/>
  <c r="AJ16" i="6"/>
  <c r="AG16" i="6"/>
  <c r="AB16" i="6"/>
  <c r="AA16" i="6"/>
  <c r="X16" i="6"/>
  <c r="U16" i="6"/>
  <c r="R16" i="6"/>
  <c r="O16" i="6"/>
  <c r="L16" i="6"/>
  <c r="I16" i="6"/>
  <c r="F16" i="6"/>
  <c r="AR15" i="6"/>
  <c r="AQ15" i="6"/>
  <c r="AO15" i="6"/>
  <c r="AN15" i="6"/>
  <c r="AL15" i="6"/>
  <c r="AK15" i="6"/>
  <c r="AI15" i="6"/>
  <c r="AH15" i="6"/>
  <c r="AF15" i="6"/>
  <c r="AE15" i="6"/>
  <c r="Z15" i="6"/>
  <c r="Y15" i="6"/>
  <c r="W15" i="6"/>
  <c r="V15" i="6"/>
  <c r="T15" i="6"/>
  <c r="S15" i="6"/>
  <c r="Q15" i="6"/>
  <c r="P15" i="6"/>
  <c r="N15" i="6"/>
  <c r="M15" i="6"/>
  <c r="H15" i="6"/>
  <c r="G15" i="6"/>
  <c r="E15" i="6"/>
  <c r="D15" i="6"/>
  <c r="BP14" i="6"/>
  <c r="BI14" i="6"/>
  <c r="BH14" i="6"/>
  <c r="BE14" i="6"/>
  <c r="BB14" i="6"/>
  <c r="AY14" i="6"/>
  <c r="AS14" i="6"/>
  <c r="AP14" i="6"/>
  <c r="AM14" i="6"/>
  <c r="AJ14" i="6"/>
  <c r="AG14" i="6"/>
  <c r="AA14" i="6"/>
  <c r="X14" i="6"/>
  <c r="U14" i="6"/>
  <c r="R14" i="6"/>
  <c r="O14" i="6"/>
  <c r="L14" i="6"/>
  <c r="I14" i="6"/>
  <c r="AB14" i="6"/>
  <c r="F14" i="6"/>
  <c r="BP13" i="6"/>
  <c r="BI13" i="6"/>
  <c r="BH13" i="6"/>
  <c r="BE13" i="6"/>
  <c r="BB13" i="6"/>
  <c r="AY13" i="6"/>
  <c r="AV13" i="6"/>
  <c r="AS13" i="6"/>
  <c r="AP13" i="6"/>
  <c r="AM13" i="6"/>
  <c r="AJ13" i="6"/>
  <c r="AG13" i="6"/>
  <c r="AB13" i="6"/>
  <c r="AA13" i="6"/>
  <c r="X13" i="6"/>
  <c r="U13" i="6"/>
  <c r="R13" i="6"/>
  <c r="O13" i="6"/>
  <c r="L13" i="6"/>
  <c r="I13" i="6"/>
  <c r="F13" i="6"/>
  <c r="BP12" i="6"/>
  <c r="BI12" i="6"/>
  <c r="BH12" i="6"/>
  <c r="BE12" i="6"/>
  <c r="BB12" i="6"/>
  <c r="AY12" i="6"/>
  <c r="AV12" i="6"/>
  <c r="AS12" i="6"/>
  <c r="AP12" i="6"/>
  <c r="AM12" i="6"/>
  <c r="AJ12" i="6"/>
  <c r="AG12" i="6"/>
  <c r="AB12" i="6"/>
  <c r="AA12" i="6"/>
  <c r="X12" i="6"/>
  <c r="U12" i="6"/>
  <c r="R12" i="6"/>
  <c r="O12" i="6"/>
  <c r="L12" i="6"/>
  <c r="I12" i="6"/>
  <c r="F12" i="6"/>
  <c r="AR11" i="6"/>
  <c r="AQ11" i="6"/>
  <c r="AO11" i="6"/>
  <c r="AN11" i="6"/>
  <c r="AL11" i="6"/>
  <c r="AK11" i="6"/>
  <c r="AI11" i="6"/>
  <c r="AH11" i="6"/>
  <c r="AF11" i="6"/>
  <c r="AE11" i="6"/>
  <c r="Z11" i="6"/>
  <c r="Y11" i="6"/>
  <c r="W11" i="6"/>
  <c r="V11" i="6"/>
  <c r="T11" i="6"/>
  <c r="S11" i="6"/>
  <c r="Q11" i="6"/>
  <c r="P11" i="6"/>
  <c r="N11" i="6"/>
  <c r="M11" i="6"/>
  <c r="H11" i="6"/>
  <c r="G11" i="6"/>
  <c r="E11" i="6"/>
  <c r="D11" i="6"/>
  <c r="BP10" i="6"/>
  <c r="BI10" i="6"/>
  <c r="BH10" i="6"/>
  <c r="BE10" i="6"/>
  <c r="BB10" i="6"/>
  <c r="AY10" i="6"/>
  <c r="AV10" i="6"/>
  <c r="AS10" i="6"/>
  <c r="AP10" i="6"/>
  <c r="AM10" i="6"/>
  <c r="AJ10" i="6"/>
  <c r="AG10" i="6"/>
  <c r="AA10" i="6"/>
  <c r="X10" i="6"/>
  <c r="U10" i="6"/>
  <c r="R10" i="6"/>
  <c r="O10" i="6"/>
  <c r="L10" i="6"/>
  <c r="I10" i="6"/>
  <c r="F10" i="6"/>
  <c r="BP9" i="6"/>
  <c r="BI9" i="6"/>
  <c r="BH9" i="6"/>
  <c r="BE9" i="6"/>
  <c r="BB9" i="6"/>
  <c r="AY9" i="6"/>
  <c r="AV9" i="6"/>
  <c r="AS9" i="6"/>
  <c r="AP9" i="6"/>
  <c r="AM9" i="6"/>
  <c r="AJ9" i="6"/>
  <c r="AG9" i="6"/>
  <c r="AB9" i="6"/>
  <c r="AA9" i="6"/>
  <c r="X9" i="6"/>
  <c r="U9" i="6"/>
  <c r="R9" i="6"/>
  <c r="O9" i="6"/>
  <c r="L9" i="6"/>
  <c r="I9" i="6"/>
  <c r="F9" i="6"/>
  <c r="BP8" i="6"/>
  <c r="BI8" i="6"/>
  <c r="BH8" i="6"/>
  <c r="BE8" i="6"/>
  <c r="BB8" i="6"/>
  <c r="AY8" i="6"/>
  <c r="AV8" i="6"/>
  <c r="AS8" i="6"/>
  <c r="AP8" i="6"/>
  <c r="AM8" i="6"/>
  <c r="AJ8" i="6"/>
  <c r="AG8" i="6"/>
  <c r="AB8" i="6"/>
  <c r="AA8" i="6"/>
  <c r="X8" i="6"/>
  <c r="U8" i="6"/>
  <c r="R8" i="6"/>
  <c r="O8" i="6"/>
  <c r="L8" i="6"/>
  <c r="I8" i="6"/>
  <c r="F8" i="6"/>
  <c r="A8" i="6"/>
  <c r="A12" i="6" s="1"/>
  <c r="A16" i="6" s="1"/>
  <c r="A20" i="6" s="1"/>
  <c r="A24" i="6" s="1"/>
  <c r="A28" i="6" s="1"/>
  <c r="A32" i="6" s="1"/>
  <c r="A36" i="6" s="1"/>
  <c r="A40" i="6" s="1"/>
  <c r="A44" i="6" s="1"/>
  <c r="A48" i="6" s="1"/>
  <c r="A52" i="6" s="1"/>
  <c r="AR7" i="6"/>
  <c r="AQ7" i="6"/>
  <c r="AO7" i="6"/>
  <c r="AN7" i="6"/>
  <c r="AL7" i="6"/>
  <c r="AK7" i="6"/>
  <c r="AI7" i="6"/>
  <c r="AH7" i="6"/>
  <c r="AF7" i="6"/>
  <c r="AE7" i="6"/>
  <c r="Z7" i="6"/>
  <c r="Y7" i="6"/>
  <c r="W7" i="6"/>
  <c r="V7" i="6"/>
  <c r="T7" i="6"/>
  <c r="S7" i="6"/>
  <c r="Q7" i="6"/>
  <c r="P7" i="6"/>
  <c r="N7" i="6"/>
  <c r="M7" i="6"/>
  <c r="H7" i="6"/>
  <c r="G7" i="6"/>
  <c r="E7" i="6"/>
  <c r="D7" i="6"/>
  <c r="B7" i="6"/>
  <c r="B11" i="6" s="1"/>
  <c r="B15" i="6" s="1"/>
  <c r="B19" i="6" s="1"/>
  <c r="B23" i="6" s="1"/>
  <c r="B27" i="6" s="1"/>
  <c r="B31" i="6" s="1"/>
  <c r="B35" i="6" s="1"/>
  <c r="B39" i="6" s="1"/>
  <c r="B43" i="6" s="1"/>
  <c r="B47" i="6" s="1"/>
  <c r="B51" i="6" s="1"/>
  <c r="BB60" i="6" l="1"/>
  <c r="AY60" i="6"/>
  <c r="BE60" i="6"/>
  <c r="BH60" i="6"/>
  <c r="O56" i="6"/>
  <c r="N56" i="6" s="1"/>
  <c r="AA56" i="6"/>
  <c r="Z56" i="6" s="1"/>
  <c r="AM56" i="6"/>
  <c r="L57" i="6"/>
  <c r="X57" i="6"/>
  <c r="W57" i="6" s="1"/>
  <c r="AG57" i="6"/>
  <c r="AS57" i="6"/>
  <c r="AR57" i="6" s="1"/>
  <c r="F58" i="6"/>
  <c r="E58" i="6" s="1"/>
  <c r="L58" i="6"/>
  <c r="K58" i="6" s="1"/>
  <c r="X58" i="6"/>
  <c r="W58" i="6" s="1"/>
  <c r="AJ58" i="6"/>
  <c r="AI58" i="6" s="1"/>
  <c r="AJ15" i="6"/>
  <c r="U27" i="6"/>
  <c r="AP27" i="6"/>
  <c r="O35" i="6"/>
  <c r="BI56" i="6"/>
  <c r="U56" i="6"/>
  <c r="T56" i="6" s="1"/>
  <c r="AG56" i="6"/>
  <c r="F57" i="6"/>
  <c r="E57" i="6" s="1"/>
  <c r="R57" i="6"/>
  <c r="Q57" i="6" s="1"/>
  <c r="AA57" i="6"/>
  <c r="AM57" i="6"/>
  <c r="AL57" i="6" s="1"/>
  <c r="AA58" i="6"/>
  <c r="Z58" i="6" s="1"/>
  <c r="BP58" i="6"/>
  <c r="O11" i="6"/>
  <c r="AJ11" i="6"/>
  <c r="U11" i="6"/>
  <c r="U19" i="6"/>
  <c r="AP19" i="6"/>
  <c r="AJ19" i="6"/>
  <c r="AA35" i="6"/>
  <c r="X43" i="6"/>
  <c r="AS43" i="6"/>
  <c r="F56" i="6"/>
  <c r="E56" i="6" s="1"/>
  <c r="R56" i="6"/>
  <c r="Q56" i="6" s="1"/>
  <c r="AB56" i="6"/>
  <c r="AP56" i="6"/>
  <c r="BP56" i="6"/>
  <c r="O57" i="6"/>
  <c r="N57" i="6" s="1"/>
  <c r="AJ57" i="6"/>
  <c r="AI57" i="6" s="1"/>
  <c r="O58" i="6"/>
  <c r="N58" i="6" s="1"/>
  <c r="AM58" i="6"/>
  <c r="AL58" i="6" s="1"/>
  <c r="BI58" i="6"/>
  <c r="I56" i="6"/>
  <c r="H56" i="6" s="1"/>
  <c r="AS56" i="6"/>
  <c r="BI57" i="6"/>
  <c r="R58" i="6"/>
  <c r="Q58" i="6" s="1"/>
  <c r="AP58" i="6"/>
  <c r="AO58" i="6" s="1"/>
  <c r="AP11" i="6"/>
  <c r="L56" i="6"/>
  <c r="K56" i="6" s="1"/>
  <c r="X56" i="6"/>
  <c r="W56" i="6" s="1"/>
  <c r="AJ56" i="6"/>
  <c r="I57" i="6"/>
  <c r="H57" i="6" s="1"/>
  <c r="U57" i="6"/>
  <c r="T57" i="6" s="1"/>
  <c r="AB57" i="6"/>
  <c r="AP57" i="6"/>
  <c r="AO57" i="6" s="1"/>
  <c r="BP57" i="6"/>
  <c r="I58" i="6"/>
  <c r="H58" i="6" s="1"/>
  <c r="U58" i="6"/>
  <c r="T58" i="6" s="1"/>
  <c r="AG58" i="6"/>
  <c r="AF58" i="6" s="1"/>
  <c r="AS58" i="6"/>
  <c r="AR58" i="6" s="1"/>
  <c r="AP35" i="6"/>
  <c r="Z57" i="6"/>
  <c r="BI51" i="6"/>
  <c r="BI7" i="6"/>
  <c r="BI19" i="6"/>
  <c r="AT55" i="6"/>
  <c r="AG23" i="6"/>
  <c r="BH56" i="6"/>
  <c r="BG56" i="6" s="1"/>
  <c r="BI11" i="6"/>
  <c r="U15" i="6"/>
  <c r="X39" i="6"/>
  <c r="AS39" i="6"/>
  <c r="AJ43" i="6"/>
  <c r="O7" i="6"/>
  <c r="AY56" i="6"/>
  <c r="AX56" i="6" s="1"/>
  <c r="X15" i="6"/>
  <c r="AG15" i="6"/>
  <c r="AS15" i="6"/>
  <c r="AM15" i="6"/>
  <c r="F23" i="6"/>
  <c r="R23" i="6"/>
  <c r="AA23" i="6"/>
  <c r="AM23" i="6"/>
  <c r="AM27" i="6"/>
  <c r="BK29" i="6"/>
  <c r="BJ29" i="6" s="1"/>
  <c r="U47" i="6"/>
  <c r="AD50" i="6"/>
  <c r="AM39" i="6"/>
  <c r="R35" i="6"/>
  <c r="AD45" i="6"/>
  <c r="BL45" i="6"/>
  <c r="BQ45" i="6" s="1"/>
  <c r="BL29" i="6"/>
  <c r="BQ29" i="6" s="1"/>
  <c r="I27" i="6"/>
  <c r="I19" i="6"/>
  <c r="AB19" i="6"/>
  <c r="I15" i="6"/>
  <c r="AB15" i="6"/>
  <c r="BL17" i="6"/>
  <c r="BQ17" i="6" s="1"/>
  <c r="I11" i="6"/>
  <c r="O19" i="6"/>
  <c r="O15" i="6"/>
  <c r="U7" i="6"/>
  <c r="AP7" i="6"/>
  <c r="BK53" i="6"/>
  <c r="BJ53" i="6" s="1"/>
  <c r="BK54" i="6"/>
  <c r="BJ54" i="6" s="1"/>
  <c r="AG19" i="6"/>
  <c r="X23" i="6"/>
  <c r="BK38" i="6"/>
  <c r="BJ38" i="6" s="1"/>
  <c r="BL41" i="6"/>
  <c r="BB56" i="6"/>
  <c r="BA56" i="6" s="1"/>
  <c r="AB11" i="6"/>
  <c r="X19" i="6"/>
  <c r="AS19" i="6"/>
  <c r="AD26" i="6"/>
  <c r="AD34" i="6"/>
  <c r="AC34" i="6" s="1"/>
  <c r="O47" i="6"/>
  <c r="AB50" i="6"/>
  <c r="BL50" i="6" s="1"/>
  <c r="BQ50" i="6" s="1"/>
  <c r="I51" i="6"/>
  <c r="U51" i="6"/>
  <c r="I7" i="6"/>
  <c r="BE56" i="6"/>
  <c r="BD56" i="6" s="1"/>
  <c r="AD10" i="6"/>
  <c r="X11" i="6"/>
  <c r="AG11" i="6"/>
  <c r="AS11" i="6"/>
  <c r="AD14" i="6"/>
  <c r="F15" i="6"/>
  <c r="R15" i="6"/>
  <c r="AA15" i="6"/>
  <c r="AS23" i="6"/>
  <c r="I39" i="6"/>
  <c r="U39" i="6"/>
  <c r="AP39" i="6"/>
  <c r="I43" i="6"/>
  <c r="U43" i="6"/>
  <c r="R47" i="6"/>
  <c r="AA47" i="6"/>
  <c r="AM47" i="6"/>
  <c r="BK49" i="6"/>
  <c r="BJ49" i="6" s="1"/>
  <c r="BL53" i="6"/>
  <c r="BQ53" i="6" s="1"/>
  <c r="BL49" i="6"/>
  <c r="AB47" i="6"/>
  <c r="AD8" i="6"/>
  <c r="BK44" i="6"/>
  <c r="BJ44" i="6" s="1"/>
  <c r="AA43" i="6"/>
  <c r="X31" i="6"/>
  <c r="O31" i="6"/>
  <c r="U35" i="6"/>
  <c r="U31" i="6"/>
  <c r="BL9" i="6"/>
  <c r="AD12" i="6"/>
  <c r="AC12" i="6" s="1"/>
  <c r="R11" i="6"/>
  <c r="AA11" i="6"/>
  <c r="AM11" i="6"/>
  <c r="AJ7" i="6"/>
  <c r="AD13" i="6"/>
  <c r="AC13" i="6" s="1"/>
  <c r="BK14" i="6"/>
  <c r="BJ14" i="6" s="1"/>
  <c r="AP15" i="6"/>
  <c r="R19" i="6"/>
  <c r="AA19" i="6"/>
  <c r="AM19" i="6"/>
  <c r="U23" i="6"/>
  <c r="AP23" i="6"/>
  <c r="BK25" i="6"/>
  <c r="BJ25" i="6" s="1"/>
  <c r="BK26" i="6"/>
  <c r="BJ26" i="6" s="1"/>
  <c r="BK30" i="6"/>
  <c r="BJ30" i="6" s="1"/>
  <c r="I31" i="6"/>
  <c r="AB31" i="6"/>
  <c r="AD33" i="6"/>
  <c r="AC33" i="6" s="1"/>
  <c r="X35" i="6"/>
  <c r="AG35" i="6"/>
  <c r="AS35" i="6"/>
  <c r="AD38" i="6"/>
  <c r="AC38" i="6" s="1"/>
  <c r="F39" i="6"/>
  <c r="R39" i="6"/>
  <c r="AA39" i="6"/>
  <c r="BI39" i="6"/>
  <c r="BK41" i="6"/>
  <c r="BJ41" i="6" s="1"/>
  <c r="AB43" i="6"/>
  <c r="AP43" i="6"/>
  <c r="AJ51" i="6"/>
  <c r="BK18" i="6"/>
  <c r="BJ18" i="6" s="1"/>
  <c r="AD22" i="6"/>
  <c r="O23" i="6"/>
  <c r="AJ23" i="6"/>
  <c r="AD30" i="6"/>
  <c r="BL33" i="6"/>
  <c r="BQ33" i="6" s="1"/>
  <c r="BK40" i="6"/>
  <c r="BJ40" i="6" s="1"/>
  <c r="AD41" i="6"/>
  <c r="AC41" i="6" s="1"/>
  <c r="BK46" i="6"/>
  <c r="BJ46" i="6" s="1"/>
  <c r="AD49" i="6"/>
  <c r="AC49" i="6" s="1"/>
  <c r="BK50" i="6"/>
  <c r="BJ50" i="6" s="1"/>
  <c r="AM7" i="6"/>
  <c r="BK10" i="6"/>
  <c r="BK13" i="6"/>
  <c r="BJ13" i="6" s="1"/>
  <c r="AD16" i="6"/>
  <c r="AC16" i="6" s="1"/>
  <c r="BK17" i="6"/>
  <c r="BJ17" i="6" s="1"/>
  <c r="AD18" i="6"/>
  <c r="AC18" i="6" s="1"/>
  <c r="AD21" i="6"/>
  <c r="AC21" i="6" s="1"/>
  <c r="AD25" i="6"/>
  <c r="AB26" i="6"/>
  <c r="BL26" i="6" s="1"/>
  <c r="BQ26" i="6" s="1"/>
  <c r="X27" i="6"/>
  <c r="AS27" i="6"/>
  <c r="R31" i="6"/>
  <c r="AA31" i="6"/>
  <c r="AM31" i="6"/>
  <c r="BI31" i="6"/>
  <c r="BK33" i="6"/>
  <c r="BK34" i="6"/>
  <c r="BJ34" i="6" s="1"/>
  <c r="O39" i="6"/>
  <c r="AM43" i="6"/>
  <c r="BK45" i="6"/>
  <c r="BJ45" i="6" s="1"/>
  <c r="X47" i="6"/>
  <c r="AS47" i="6"/>
  <c r="BK52" i="6"/>
  <c r="AD53" i="6"/>
  <c r="AC53" i="6" s="1"/>
  <c r="BK28" i="6"/>
  <c r="BI27" i="6"/>
  <c r="M59" i="6"/>
  <c r="AH59" i="6"/>
  <c r="AP47" i="6"/>
  <c r="AM35" i="6"/>
  <c r="BL52" i="6"/>
  <c r="AJ39" i="6"/>
  <c r="AG43" i="6"/>
  <c r="AG39" i="6"/>
  <c r="AE59" i="6"/>
  <c r="BL36" i="6"/>
  <c r="X51" i="6"/>
  <c r="R43" i="6"/>
  <c r="P59" i="6"/>
  <c r="BL48" i="6"/>
  <c r="BQ48" i="6" s="1"/>
  <c r="BL44" i="6"/>
  <c r="BQ44" i="6" s="1"/>
  <c r="AD40" i="6"/>
  <c r="BL40" i="6"/>
  <c r="BQ40" i="6" s="1"/>
  <c r="BK32" i="6"/>
  <c r="AP31" i="6"/>
  <c r="G59" i="6"/>
  <c r="F27" i="6"/>
  <c r="AA27" i="6"/>
  <c r="Y59" i="6"/>
  <c r="S59" i="6"/>
  <c r="AG27" i="6"/>
  <c r="AK59" i="6"/>
  <c r="BL28" i="6"/>
  <c r="V59" i="6"/>
  <c r="R27" i="6"/>
  <c r="I35" i="6"/>
  <c r="AD36" i="6"/>
  <c r="AD32" i="6"/>
  <c r="AD28" i="6"/>
  <c r="F35" i="6"/>
  <c r="BL24" i="6"/>
  <c r="X60" i="6"/>
  <c r="W60" i="6" s="1"/>
  <c r="F61" i="6"/>
  <c r="E61" i="6" s="1"/>
  <c r="AA61" i="6"/>
  <c r="Z61" i="6" s="1"/>
  <c r="AG61" i="6"/>
  <c r="AF61" i="6" s="1"/>
  <c r="AF57" i="6"/>
  <c r="BE61" i="6"/>
  <c r="BE57" i="6"/>
  <c r="BD57" i="6" s="1"/>
  <c r="BK9" i="6"/>
  <c r="BP61" i="6"/>
  <c r="L62" i="6"/>
  <c r="K62" i="6" s="1"/>
  <c r="X62" i="6"/>
  <c r="W62" i="6" s="1"/>
  <c r="AM62" i="6"/>
  <c r="AL62" i="6" s="1"/>
  <c r="AY62" i="6"/>
  <c r="AY58" i="6"/>
  <c r="AX58" i="6" s="1"/>
  <c r="BI62" i="6"/>
  <c r="BK12" i="6"/>
  <c r="BJ12" i="6" s="1"/>
  <c r="BL13" i="6"/>
  <c r="BI15" i="6"/>
  <c r="BK20" i="6"/>
  <c r="BJ20" i="6" s="1"/>
  <c r="AP60" i="6"/>
  <c r="AO60" i="6" s="1"/>
  <c r="R61" i="6"/>
  <c r="Q61" i="6" s="1"/>
  <c r="AS61" i="6"/>
  <c r="AR61" i="6" s="1"/>
  <c r="F7" i="6"/>
  <c r="R7" i="6"/>
  <c r="AA7" i="6"/>
  <c r="O60" i="6"/>
  <c r="N60" i="6" s="1"/>
  <c r="AA60" i="6"/>
  <c r="AS60" i="6"/>
  <c r="AR60" i="6" s="1"/>
  <c r="BK8" i="6"/>
  <c r="I61" i="6"/>
  <c r="H61" i="6" s="1"/>
  <c r="U61" i="6"/>
  <c r="T61" i="6" s="1"/>
  <c r="AB61" i="6"/>
  <c r="AJ61" i="6"/>
  <c r="AI61" i="6" s="1"/>
  <c r="AV61" i="6"/>
  <c r="AV57" i="6"/>
  <c r="AU57" i="6" s="1"/>
  <c r="BH57" i="6"/>
  <c r="BG57" i="6" s="1"/>
  <c r="BH61" i="6"/>
  <c r="O62" i="6"/>
  <c r="N62" i="6" s="1"/>
  <c r="AP62" i="6"/>
  <c r="AO62" i="6" s="1"/>
  <c r="BB62" i="6"/>
  <c r="BB58" i="6"/>
  <c r="BA58" i="6" s="1"/>
  <c r="BL12" i="6"/>
  <c r="BL14" i="6"/>
  <c r="L60" i="6"/>
  <c r="K60" i="6" s="1"/>
  <c r="AB60" i="6"/>
  <c r="AJ60" i="6"/>
  <c r="AI60" i="6" s="1"/>
  <c r="AV60" i="6"/>
  <c r="AV56" i="6"/>
  <c r="BL8" i="6"/>
  <c r="BI61" i="6"/>
  <c r="R62" i="6"/>
  <c r="Q62" i="6" s="1"/>
  <c r="AA62" i="6"/>
  <c r="Z62" i="6" s="1"/>
  <c r="AS62" i="6"/>
  <c r="AR62" i="6" s="1"/>
  <c r="BE58" i="6"/>
  <c r="BD58" i="6" s="1"/>
  <c r="BE62" i="6"/>
  <c r="BP62" i="6"/>
  <c r="BK16" i="6"/>
  <c r="BL18" i="6"/>
  <c r="AD20" i="6"/>
  <c r="F19" i="6"/>
  <c r="BL22" i="6"/>
  <c r="AD24" i="6"/>
  <c r="I23" i="6"/>
  <c r="AB7" i="6"/>
  <c r="R60" i="6"/>
  <c r="L61" i="6"/>
  <c r="K61" i="6" s="1"/>
  <c r="X61" i="6"/>
  <c r="W61" i="6" s="1"/>
  <c r="AM61" i="6"/>
  <c r="AL61" i="6" s="1"/>
  <c r="AY61" i="6"/>
  <c r="AY57" i="6"/>
  <c r="AX57" i="6" s="1"/>
  <c r="AG62" i="6"/>
  <c r="AF62" i="6" s="1"/>
  <c r="X7" i="6"/>
  <c r="AG7" i="6"/>
  <c r="AS7" i="6"/>
  <c r="U60" i="6"/>
  <c r="T60" i="6" s="1"/>
  <c r="AM60" i="6"/>
  <c r="BI60" i="6"/>
  <c r="A9" i="6"/>
  <c r="O61" i="6"/>
  <c r="N61" i="6" s="1"/>
  <c r="AD9" i="6"/>
  <c r="AP61" i="6"/>
  <c r="AO61" i="6" s="1"/>
  <c r="BB61" i="6"/>
  <c r="BB57" i="6"/>
  <c r="BA57" i="6" s="1"/>
  <c r="F62" i="6"/>
  <c r="E62" i="6" s="1"/>
  <c r="I62" i="6"/>
  <c r="H62" i="6" s="1"/>
  <c r="U62" i="6"/>
  <c r="T62" i="6" s="1"/>
  <c r="AB10" i="6"/>
  <c r="AJ62" i="6"/>
  <c r="AI62" i="6" s="1"/>
  <c r="AV62" i="6"/>
  <c r="AV58" i="6"/>
  <c r="AU58" i="6" s="1"/>
  <c r="BH62" i="6"/>
  <c r="BH58" i="6"/>
  <c r="BG58" i="6" s="1"/>
  <c r="F11" i="6"/>
  <c r="BL16" i="6"/>
  <c r="AD17" i="6"/>
  <c r="BL20" i="6"/>
  <c r="BK21" i="6"/>
  <c r="BL21" i="6"/>
  <c r="BK22" i="6"/>
  <c r="BI23" i="6"/>
  <c r="AQ59" i="6"/>
  <c r="O27" i="6"/>
  <c r="AB27" i="6"/>
  <c r="AD29" i="6"/>
  <c r="AC29" i="6" s="1"/>
  <c r="AB30" i="6"/>
  <c r="F31" i="6"/>
  <c r="BL32" i="6"/>
  <c r="BK36" i="6"/>
  <c r="AD37" i="6"/>
  <c r="AC37" i="6" s="1"/>
  <c r="BL46" i="6"/>
  <c r="BK24" i="6"/>
  <c r="BL25" i="6"/>
  <c r="BL34" i="6"/>
  <c r="BI35" i="6"/>
  <c r="BL54" i="6"/>
  <c r="AB23" i="6"/>
  <c r="AG31" i="6"/>
  <c r="AB35" i="6"/>
  <c r="BL37" i="6"/>
  <c r="BL38" i="6"/>
  <c r="AD44" i="6"/>
  <c r="O43" i="6"/>
  <c r="BK37" i="6"/>
  <c r="AB42" i="6"/>
  <c r="AD42" i="6"/>
  <c r="BK42" i="6"/>
  <c r="BI43" i="6"/>
  <c r="AB51" i="6"/>
  <c r="AB39" i="6"/>
  <c r="F43" i="6"/>
  <c r="AD46" i="6"/>
  <c r="BI47" i="6"/>
  <c r="AG51" i="6"/>
  <c r="AD54" i="6"/>
  <c r="AC54" i="6" s="1"/>
  <c r="M55" i="6"/>
  <c r="D59" i="6"/>
  <c r="AN59" i="6"/>
  <c r="C64" i="5"/>
  <c r="D64" i="5" s="1"/>
  <c r="E64" i="5" s="1"/>
  <c r="F64" i="5" s="1"/>
  <c r="G64" i="5" s="1"/>
  <c r="H64" i="5" s="1"/>
  <c r="I64" i="5" s="1"/>
  <c r="J64" i="5" s="1"/>
  <c r="K64" i="5" s="1"/>
  <c r="L64" i="5" s="1"/>
  <c r="M64" i="5" s="1"/>
  <c r="N64" i="5" s="1"/>
  <c r="O64" i="5" s="1"/>
  <c r="P64" i="5" s="1"/>
  <c r="Q64" i="5" s="1"/>
  <c r="R64" i="5" s="1"/>
  <c r="S64" i="5" s="1"/>
  <c r="T64" i="5" s="1"/>
  <c r="U64" i="5" s="1"/>
  <c r="V64" i="5" s="1"/>
  <c r="W64" i="5" s="1"/>
  <c r="X64" i="5" s="1"/>
  <c r="Y64" i="5" s="1"/>
  <c r="Z64" i="5" s="1"/>
  <c r="AA64" i="5" s="1"/>
  <c r="AB64" i="5" s="1"/>
  <c r="AC64" i="5" s="1"/>
  <c r="AD64" i="5" s="1"/>
  <c r="AE64" i="5" s="1"/>
  <c r="AF64" i="5" s="1"/>
  <c r="AG64" i="5" s="1"/>
  <c r="AH64" i="5" s="1"/>
  <c r="AI64" i="5" s="1"/>
  <c r="AJ64" i="5" s="1"/>
  <c r="AK64" i="5" s="1"/>
  <c r="AL64" i="5" s="1"/>
  <c r="AM64" i="5" s="1"/>
  <c r="AN64" i="5" s="1"/>
  <c r="AO64" i="5" s="1"/>
  <c r="AP64" i="5" s="1"/>
  <c r="AQ64" i="5" s="1"/>
  <c r="AR64" i="5" s="1"/>
  <c r="AS64" i="5" s="1"/>
  <c r="AT64" i="5" s="1"/>
  <c r="AU64" i="5" s="1"/>
  <c r="AV64" i="5" s="1"/>
  <c r="AW64" i="5" s="1"/>
  <c r="AX64" i="5" s="1"/>
  <c r="AY64" i="5" s="1"/>
  <c r="AZ64" i="5" s="1"/>
  <c r="BA64" i="5" s="1"/>
  <c r="BB64" i="5" s="1"/>
  <c r="BC64" i="5" s="1"/>
  <c r="BD64" i="5" s="1"/>
  <c r="BE64" i="5" s="1"/>
  <c r="BF64" i="5" s="1"/>
  <c r="BG64" i="5" s="1"/>
  <c r="BH64" i="5" s="1"/>
  <c r="BI64" i="5" s="1"/>
  <c r="BJ64" i="5" s="1"/>
  <c r="BK64" i="5" s="1"/>
  <c r="BL64" i="5" s="1"/>
  <c r="BM64" i="5" s="1"/>
  <c r="BN64" i="5" s="1"/>
  <c r="BO64" i="5" s="1"/>
  <c r="BP64" i="5" s="1"/>
  <c r="BQ64" i="5" s="1"/>
  <c r="BR64" i="5" s="1"/>
  <c r="BS64" i="5" s="1"/>
  <c r="BT64" i="5" s="1"/>
  <c r="BL62" i="5"/>
  <c r="BM62" i="5" s="1"/>
  <c r="BI62" i="5"/>
  <c r="BJ62" i="5" s="1"/>
  <c r="BF62" i="5"/>
  <c r="BG62" i="5" s="1"/>
  <c r="BC62" i="5"/>
  <c r="BD62" i="5" s="1"/>
  <c r="AZ62" i="5"/>
  <c r="BA62" i="5" s="1"/>
  <c r="AW62" i="5"/>
  <c r="AT62" i="5"/>
  <c r="AQ62" i="5"/>
  <c r="AN62" i="5"/>
  <c r="AK62" i="5"/>
  <c r="AE62" i="5"/>
  <c r="AB62" i="5"/>
  <c r="AC62" i="5" s="1"/>
  <c r="Y62" i="5"/>
  <c r="V62" i="5"/>
  <c r="S62" i="5"/>
  <c r="P62" i="5"/>
  <c r="M62" i="5"/>
  <c r="J62" i="5"/>
  <c r="D62" i="5"/>
  <c r="BL61" i="5"/>
  <c r="BM61" i="5" s="1"/>
  <c r="BI61" i="5"/>
  <c r="BJ61" i="5" s="1"/>
  <c r="BF61" i="5"/>
  <c r="BG61" i="5" s="1"/>
  <c r="BC61" i="5"/>
  <c r="BD61" i="5" s="1"/>
  <c r="AZ61" i="5"/>
  <c r="BA61" i="5" s="1"/>
  <c r="AW61" i="5"/>
  <c r="AT61" i="5"/>
  <c r="AQ61" i="5"/>
  <c r="AN61" i="5"/>
  <c r="AK61" i="5"/>
  <c r="AE61" i="5"/>
  <c r="AB61" i="5"/>
  <c r="AC61" i="5" s="1"/>
  <c r="Y61" i="5"/>
  <c r="V61" i="5"/>
  <c r="S61" i="5"/>
  <c r="P61" i="5"/>
  <c r="M61" i="5"/>
  <c r="J61" i="5"/>
  <c r="I61" i="5"/>
  <c r="G61" i="5"/>
  <c r="H61" i="5" s="1"/>
  <c r="D61" i="5"/>
  <c r="BN60" i="5"/>
  <c r="BL60" i="5"/>
  <c r="BM60" i="5" s="1"/>
  <c r="BK60" i="5"/>
  <c r="BI60" i="5"/>
  <c r="BJ60" i="5" s="1"/>
  <c r="BH60" i="5"/>
  <c r="BF60" i="5"/>
  <c r="BG60" i="5" s="1"/>
  <c r="BE60" i="5"/>
  <c r="BC60" i="5"/>
  <c r="BD60" i="5" s="1"/>
  <c r="AZ60" i="5"/>
  <c r="BA60" i="5" s="1"/>
  <c r="AT60" i="5"/>
  <c r="AT59" i="5" s="1"/>
  <c r="AQ60" i="5"/>
  <c r="AN60" i="5"/>
  <c r="AN59" i="5" s="1"/>
  <c r="AK60" i="5"/>
  <c r="AK59" i="5" s="1"/>
  <c r="AE60" i="5"/>
  <c r="AE59" i="5" s="1"/>
  <c r="AB60" i="5"/>
  <c r="AC60" i="5" s="1"/>
  <c r="Y60" i="5"/>
  <c r="Y59" i="5" s="1"/>
  <c r="V60" i="5"/>
  <c r="S60" i="5"/>
  <c r="P60" i="5"/>
  <c r="M60" i="5"/>
  <c r="M59" i="5" s="1"/>
  <c r="J60" i="5"/>
  <c r="I60" i="5"/>
  <c r="G60" i="5"/>
  <c r="H60" i="5" s="1"/>
  <c r="D60" i="5"/>
  <c r="BL58" i="5"/>
  <c r="BI58" i="5"/>
  <c r="BF58" i="5"/>
  <c r="BC58" i="5"/>
  <c r="AZ58" i="5"/>
  <c r="AW58" i="5"/>
  <c r="AT58" i="5"/>
  <c r="AQ58" i="5"/>
  <c r="AN58" i="5"/>
  <c r="AK58" i="5"/>
  <c r="AE58" i="5"/>
  <c r="AB58" i="5"/>
  <c r="Y58" i="5"/>
  <c r="V58" i="5"/>
  <c r="S58" i="5"/>
  <c r="P58" i="5"/>
  <c r="M58" i="5"/>
  <c r="J58" i="5"/>
  <c r="D58" i="5"/>
  <c r="BL57" i="5"/>
  <c r="BI57" i="5"/>
  <c r="BF57" i="5"/>
  <c r="BC57" i="5"/>
  <c r="AZ57" i="5"/>
  <c r="AW57" i="5"/>
  <c r="AT57" i="5"/>
  <c r="AQ57" i="5"/>
  <c r="AN57" i="5"/>
  <c r="AK57" i="5"/>
  <c r="AE57" i="5"/>
  <c r="AB57" i="5"/>
  <c r="Y57" i="5"/>
  <c r="V57" i="5"/>
  <c r="S57" i="5"/>
  <c r="P57" i="5"/>
  <c r="M57" i="5"/>
  <c r="J57" i="5"/>
  <c r="D57" i="5"/>
  <c r="BL56" i="5"/>
  <c r="BI56" i="5"/>
  <c r="BF56" i="5"/>
  <c r="BC56" i="5"/>
  <c r="AZ56" i="5"/>
  <c r="AZ55" i="5" s="1"/>
  <c r="AW56" i="5"/>
  <c r="AT56" i="5"/>
  <c r="AQ56" i="5"/>
  <c r="AN56" i="5"/>
  <c r="AK56" i="5"/>
  <c r="AE56" i="5"/>
  <c r="AB56" i="5"/>
  <c r="Y56" i="5"/>
  <c r="V56" i="5"/>
  <c r="S56" i="5"/>
  <c r="P56" i="5"/>
  <c r="M56" i="5"/>
  <c r="J56" i="5"/>
  <c r="D56" i="5"/>
  <c r="BV54" i="5"/>
  <c r="BO54" i="5"/>
  <c r="BN54" i="5"/>
  <c r="BK54" i="5"/>
  <c r="BH54" i="5"/>
  <c r="BE54" i="5"/>
  <c r="BB54" i="5"/>
  <c r="AY54" i="5"/>
  <c r="AV54" i="5"/>
  <c r="AS54" i="5"/>
  <c r="AP54" i="5"/>
  <c r="AM54" i="5"/>
  <c r="AG54" i="5"/>
  <c r="AD54" i="5"/>
  <c r="AA54" i="5"/>
  <c r="X54" i="5"/>
  <c r="U54" i="5"/>
  <c r="R54" i="5"/>
  <c r="O54" i="5"/>
  <c r="L54" i="5"/>
  <c r="H54" i="5"/>
  <c r="G54" i="5"/>
  <c r="F54" i="5"/>
  <c r="BV53" i="5"/>
  <c r="BO53" i="5"/>
  <c r="BN53" i="5"/>
  <c r="BK53" i="5"/>
  <c r="BH53" i="5"/>
  <c r="BE53" i="5"/>
  <c r="BB53" i="5"/>
  <c r="AY53" i="5"/>
  <c r="AV53" i="5"/>
  <c r="AS53" i="5"/>
  <c r="AP53" i="5"/>
  <c r="AM53" i="5"/>
  <c r="AH53" i="5"/>
  <c r="AG53" i="5"/>
  <c r="AD53" i="5"/>
  <c r="AA53" i="5"/>
  <c r="X53" i="5"/>
  <c r="U53" i="5"/>
  <c r="R53" i="5"/>
  <c r="O53" i="5"/>
  <c r="L53" i="5"/>
  <c r="F53" i="5"/>
  <c r="BV52" i="5"/>
  <c r="BO52" i="5"/>
  <c r="BN52" i="5"/>
  <c r="BK52" i="5"/>
  <c r="BH52" i="5"/>
  <c r="BE52" i="5"/>
  <c r="BB52" i="5"/>
  <c r="AY52" i="5"/>
  <c r="AV52" i="5"/>
  <c r="AS52" i="5"/>
  <c r="AP52" i="5"/>
  <c r="AM52" i="5"/>
  <c r="AH52" i="5"/>
  <c r="AG52" i="5"/>
  <c r="AD52" i="5"/>
  <c r="AA52" i="5"/>
  <c r="X52" i="5"/>
  <c r="U52" i="5"/>
  <c r="R52" i="5"/>
  <c r="O52" i="5"/>
  <c r="L52" i="5"/>
  <c r="F52" i="5"/>
  <c r="AX51" i="5"/>
  <c r="AW51" i="5"/>
  <c r="AU51" i="5"/>
  <c r="AT51" i="5"/>
  <c r="AR51" i="5"/>
  <c r="AQ51" i="5"/>
  <c r="AO51" i="5"/>
  <c r="AN51" i="5"/>
  <c r="AL51" i="5"/>
  <c r="AK51" i="5"/>
  <c r="AF51" i="5"/>
  <c r="AE51" i="5"/>
  <c r="AC51" i="5"/>
  <c r="AB51" i="5"/>
  <c r="Z51" i="5"/>
  <c r="Y51" i="5"/>
  <c r="W51" i="5"/>
  <c r="V51" i="5"/>
  <c r="U51" i="5"/>
  <c r="T51" i="5"/>
  <c r="S51" i="5"/>
  <c r="Q51" i="5"/>
  <c r="P51" i="5"/>
  <c r="N51" i="5"/>
  <c r="M51" i="5"/>
  <c r="K51" i="5"/>
  <c r="J51" i="5"/>
  <c r="E51" i="5"/>
  <c r="D51" i="5"/>
  <c r="BV50" i="5"/>
  <c r="BO50" i="5"/>
  <c r="BN50" i="5"/>
  <c r="BK50" i="5"/>
  <c r="BH50" i="5"/>
  <c r="BE50" i="5"/>
  <c r="BB50" i="5"/>
  <c r="AY50" i="5"/>
  <c r="AV50" i="5"/>
  <c r="AS50" i="5"/>
  <c r="AP50" i="5"/>
  <c r="AM50" i="5"/>
  <c r="AG50" i="5"/>
  <c r="AD50" i="5"/>
  <c r="AA50" i="5"/>
  <c r="X50" i="5"/>
  <c r="U50" i="5"/>
  <c r="R50" i="5"/>
  <c r="O50" i="5"/>
  <c r="L50" i="5"/>
  <c r="H50" i="5"/>
  <c r="G50" i="5"/>
  <c r="AH50" i="5" s="1"/>
  <c r="F50" i="5"/>
  <c r="BV49" i="5"/>
  <c r="BO49" i="5"/>
  <c r="BN49" i="5"/>
  <c r="BK49" i="5"/>
  <c r="BH49" i="5"/>
  <c r="BE49" i="5"/>
  <c r="BB49" i="5"/>
  <c r="AY49" i="5"/>
  <c r="AV49" i="5"/>
  <c r="AS49" i="5"/>
  <c r="AP49" i="5"/>
  <c r="AM49" i="5"/>
  <c r="AH49" i="5"/>
  <c r="AG49" i="5"/>
  <c r="AD49" i="5"/>
  <c r="AA49" i="5"/>
  <c r="X49" i="5"/>
  <c r="U49" i="5"/>
  <c r="R49" i="5"/>
  <c r="O49" i="5"/>
  <c r="L49" i="5"/>
  <c r="F49" i="5"/>
  <c r="BV48" i="5"/>
  <c r="BO48" i="5"/>
  <c r="BN48" i="5"/>
  <c r="BK48" i="5"/>
  <c r="BH48" i="5"/>
  <c r="BE48" i="5"/>
  <c r="BB48" i="5"/>
  <c r="AY48" i="5"/>
  <c r="AV48" i="5"/>
  <c r="AS48" i="5"/>
  <c r="AP48" i="5"/>
  <c r="AM48" i="5"/>
  <c r="AH48" i="5"/>
  <c r="AG48" i="5"/>
  <c r="AD48" i="5"/>
  <c r="AA48" i="5"/>
  <c r="X48" i="5"/>
  <c r="U48" i="5"/>
  <c r="R48" i="5"/>
  <c r="O48" i="5"/>
  <c r="L48" i="5"/>
  <c r="F48" i="5"/>
  <c r="AX47" i="5"/>
  <c r="AW47" i="5"/>
  <c r="AU47" i="5"/>
  <c r="AT47" i="5"/>
  <c r="AR47" i="5"/>
  <c r="AQ47" i="5"/>
  <c r="AO47" i="5"/>
  <c r="AN47" i="5"/>
  <c r="AL47" i="5"/>
  <c r="AK47" i="5"/>
  <c r="AF47" i="5"/>
  <c r="AE47" i="5"/>
  <c r="AC47" i="5"/>
  <c r="AB47" i="5"/>
  <c r="Z47" i="5"/>
  <c r="Y47" i="5"/>
  <c r="W47" i="5"/>
  <c r="V47" i="5"/>
  <c r="T47" i="5"/>
  <c r="S47" i="5"/>
  <c r="Q47" i="5"/>
  <c r="P47" i="5"/>
  <c r="N47" i="5"/>
  <c r="M47" i="5"/>
  <c r="K47" i="5"/>
  <c r="J47" i="5"/>
  <c r="E47" i="5"/>
  <c r="D47" i="5"/>
  <c r="BV46" i="5"/>
  <c r="BO46" i="5"/>
  <c r="BN46" i="5"/>
  <c r="BK46" i="5"/>
  <c r="BH46" i="5"/>
  <c r="BE46" i="5"/>
  <c r="BB46" i="5"/>
  <c r="AY46" i="5"/>
  <c r="AV46" i="5"/>
  <c r="AS46" i="5"/>
  <c r="AP46" i="5"/>
  <c r="AM46" i="5"/>
  <c r="AG46" i="5"/>
  <c r="AD46" i="5"/>
  <c r="AA46" i="5"/>
  <c r="X46" i="5"/>
  <c r="U46" i="5"/>
  <c r="R46" i="5"/>
  <c r="O46" i="5"/>
  <c r="L46" i="5"/>
  <c r="H46" i="5"/>
  <c r="G46" i="5"/>
  <c r="AH46" i="5" s="1"/>
  <c r="F46" i="5"/>
  <c r="BV45" i="5"/>
  <c r="BO45" i="5"/>
  <c r="BN45" i="5"/>
  <c r="BK45" i="5"/>
  <c r="BH45" i="5"/>
  <c r="BE45" i="5"/>
  <c r="BB45" i="5"/>
  <c r="AY45" i="5"/>
  <c r="AV45" i="5"/>
  <c r="AS45" i="5"/>
  <c r="AP45" i="5"/>
  <c r="AM45" i="5"/>
  <c r="AH45" i="5"/>
  <c r="AG45" i="5"/>
  <c r="AD45" i="5"/>
  <c r="AA45" i="5"/>
  <c r="X45" i="5"/>
  <c r="U45" i="5"/>
  <c r="R45" i="5"/>
  <c r="O45" i="5"/>
  <c r="L45" i="5"/>
  <c r="F45" i="5"/>
  <c r="BV44" i="5"/>
  <c r="BO44" i="5"/>
  <c r="BN44" i="5"/>
  <c r="BK44" i="5"/>
  <c r="BH44" i="5"/>
  <c r="BE44" i="5"/>
  <c r="BB44" i="5"/>
  <c r="AY44" i="5"/>
  <c r="AV44" i="5"/>
  <c r="AS44" i="5"/>
  <c r="AP44" i="5"/>
  <c r="AM44" i="5"/>
  <c r="AH44" i="5"/>
  <c r="AG44" i="5"/>
  <c r="AD44" i="5"/>
  <c r="AA44" i="5"/>
  <c r="X44" i="5"/>
  <c r="U44" i="5"/>
  <c r="R44" i="5"/>
  <c r="O44" i="5"/>
  <c r="L44" i="5"/>
  <c r="F44" i="5"/>
  <c r="AX43" i="5"/>
  <c r="AW43" i="5"/>
  <c r="AU43" i="5"/>
  <c r="AT43" i="5"/>
  <c r="AR43" i="5"/>
  <c r="AQ43" i="5"/>
  <c r="AO43" i="5"/>
  <c r="AN43" i="5"/>
  <c r="AL43" i="5"/>
  <c r="AK43" i="5"/>
  <c r="AF43" i="5"/>
  <c r="AE43" i="5"/>
  <c r="AC43" i="5"/>
  <c r="AB43" i="5"/>
  <c r="Z43" i="5"/>
  <c r="Y43" i="5"/>
  <c r="W43" i="5"/>
  <c r="V43" i="5"/>
  <c r="T43" i="5"/>
  <c r="S43" i="5"/>
  <c r="Q43" i="5"/>
  <c r="P43" i="5"/>
  <c r="N43" i="5"/>
  <c r="M43" i="5"/>
  <c r="K43" i="5"/>
  <c r="J43" i="5"/>
  <c r="E43" i="5"/>
  <c r="D43" i="5"/>
  <c r="BV42" i="5"/>
  <c r="BO42" i="5"/>
  <c r="BN42" i="5"/>
  <c r="BK42" i="5"/>
  <c r="BH42" i="5"/>
  <c r="BE42" i="5"/>
  <c r="BB42" i="5"/>
  <c r="AY42" i="5"/>
  <c r="AV42" i="5"/>
  <c r="AS42" i="5"/>
  <c r="AP42" i="5"/>
  <c r="AM42" i="5"/>
  <c r="AG42" i="5"/>
  <c r="AD42" i="5"/>
  <c r="AA42" i="5"/>
  <c r="X42" i="5"/>
  <c r="U42" i="5"/>
  <c r="R42" i="5"/>
  <c r="O42" i="5"/>
  <c r="L42" i="5"/>
  <c r="H42" i="5"/>
  <c r="G42" i="5"/>
  <c r="AH42" i="5" s="1"/>
  <c r="F42" i="5"/>
  <c r="BV41" i="5"/>
  <c r="BO41" i="5"/>
  <c r="BN41" i="5"/>
  <c r="BK41" i="5"/>
  <c r="BH41" i="5"/>
  <c r="BE41" i="5"/>
  <c r="BB41" i="5"/>
  <c r="AY41" i="5"/>
  <c r="AV41" i="5"/>
  <c r="AS41" i="5"/>
  <c r="AP41" i="5"/>
  <c r="AM41" i="5"/>
  <c r="AH41" i="5"/>
  <c r="AG41" i="5"/>
  <c r="AD41" i="5"/>
  <c r="AA41" i="5"/>
  <c r="X41" i="5"/>
  <c r="U41" i="5"/>
  <c r="R41" i="5"/>
  <c r="O41" i="5"/>
  <c r="L41" i="5"/>
  <c r="F41" i="5"/>
  <c r="BV40" i="5"/>
  <c r="BO40" i="5"/>
  <c r="BN40" i="5"/>
  <c r="BK40" i="5"/>
  <c r="BH40" i="5"/>
  <c r="BE40" i="5"/>
  <c r="BB40" i="5"/>
  <c r="AY40" i="5"/>
  <c r="AV40" i="5"/>
  <c r="AS40" i="5"/>
  <c r="AP40" i="5"/>
  <c r="AM40" i="5"/>
  <c r="AH40" i="5"/>
  <c r="AG40" i="5"/>
  <c r="AD40" i="5"/>
  <c r="AA40" i="5"/>
  <c r="X40" i="5"/>
  <c r="U40" i="5"/>
  <c r="R40" i="5"/>
  <c r="O40" i="5"/>
  <c r="L40" i="5"/>
  <c r="F40" i="5"/>
  <c r="AX39" i="5"/>
  <c r="AW39" i="5"/>
  <c r="AU39" i="5"/>
  <c r="AT39" i="5"/>
  <c r="AR39" i="5"/>
  <c r="AQ39" i="5"/>
  <c r="AO39" i="5"/>
  <c r="AN39" i="5"/>
  <c r="AL39" i="5"/>
  <c r="AK39" i="5"/>
  <c r="AF39" i="5"/>
  <c r="AE39" i="5"/>
  <c r="AC39" i="5"/>
  <c r="AB39" i="5"/>
  <c r="Z39" i="5"/>
  <c r="Y39" i="5"/>
  <c r="W39" i="5"/>
  <c r="V39" i="5"/>
  <c r="T39" i="5"/>
  <c r="S39" i="5"/>
  <c r="Q39" i="5"/>
  <c r="P39" i="5"/>
  <c r="N39" i="5"/>
  <c r="M39" i="5"/>
  <c r="K39" i="5"/>
  <c r="J39" i="5"/>
  <c r="E39" i="5"/>
  <c r="D39" i="5"/>
  <c r="BV38" i="5"/>
  <c r="BO38" i="5"/>
  <c r="BN38" i="5"/>
  <c r="BK38" i="5"/>
  <c r="BH38" i="5"/>
  <c r="BE38" i="5"/>
  <c r="BB38" i="5"/>
  <c r="AY38" i="5"/>
  <c r="AV38" i="5"/>
  <c r="AS38" i="5"/>
  <c r="AP38" i="5"/>
  <c r="AM38" i="5"/>
  <c r="AG38" i="5"/>
  <c r="AD38" i="5"/>
  <c r="AA38" i="5"/>
  <c r="X38" i="5"/>
  <c r="U38" i="5"/>
  <c r="R38" i="5"/>
  <c r="O38" i="5"/>
  <c r="L38" i="5"/>
  <c r="H38" i="5"/>
  <c r="G38" i="5"/>
  <c r="AH38" i="5" s="1"/>
  <c r="F38" i="5"/>
  <c r="BV37" i="5"/>
  <c r="BO37" i="5"/>
  <c r="BN37" i="5"/>
  <c r="BK37" i="5"/>
  <c r="BH37" i="5"/>
  <c r="BE37" i="5"/>
  <c r="BB37" i="5"/>
  <c r="AY37" i="5"/>
  <c r="AV37" i="5"/>
  <c r="AS37" i="5"/>
  <c r="AP37" i="5"/>
  <c r="AM37" i="5"/>
  <c r="AH37" i="5"/>
  <c r="AG37" i="5"/>
  <c r="AD37" i="5"/>
  <c r="AA37" i="5"/>
  <c r="X37" i="5"/>
  <c r="U37" i="5"/>
  <c r="R37" i="5"/>
  <c r="O37" i="5"/>
  <c r="L37" i="5"/>
  <c r="F37" i="5"/>
  <c r="BV36" i="5"/>
  <c r="BO36" i="5"/>
  <c r="BN36" i="5"/>
  <c r="BK36" i="5"/>
  <c r="BH36" i="5"/>
  <c r="BE36" i="5"/>
  <c r="BB36" i="5"/>
  <c r="AY36" i="5"/>
  <c r="AV36" i="5"/>
  <c r="AS36" i="5"/>
  <c r="AP36" i="5"/>
  <c r="AM36" i="5"/>
  <c r="AH36" i="5"/>
  <c r="AG36" i="5"/>
  <c r="AD36" i="5"/>
  <c r="AA36" i="5"/>
  <c r="X36" i="5"/>
  <c r="U36" i="5"/>
  <c r="R36" i="5"/>
  <c r="O36" i="5"/>
  <c r="L36" i="5"/>
  <c r="F36" i="5"/>
  <c r="AX35" i="5"/>
  <c r="AW35" i="5"/>
  <c r="AU35" i="5"/>
  <c r="AT35" i="5"/>
  <c r="AR35" i="5"/>
  <c r="AQ35" i="5"/>
  <c r="AO35" i="5"/>
  <c r="AN35" i="5"/>
  <c r="AL35" i="5"/>
  <c r="AK35" i="5"/>
  <c r="AF35" i="5"/>
  <c r="AE35" i="5"/>
  <c r="AC35" i="5"/>
  <c r="AB35" i="5"/>
  <c r="Z35" i="5"/>
  <c r="Y35" i="5"/>
  <c r="W35" i="5"/>
  <c r="V35" i="5"/>
  <c r="T35" i="5"/>
  <c r="S35" i="5"/>
  <c r="Q35" i="5"/>
  <c r="P35" i="5"/>
  <c r="N35" i="5"/>
  <c r="M35" i="5"/>
  <c r="K35" i="5"/>
  <c r="J35" i="5"/>
  <c r="E35" i="5"/>
  <c r="D35" i="5"/>
  <c r="BV34" i="5"/>
  <c r="BO34" i="5"/>
  <c r="BN34" i="5"/>
  <c r="BK34" i="5"/>
  <c r="BH34" i="5"/>
  <c r="BE34" i="5"/>
  <c r="BB34" i="5"/>
  <c r="AY34" i="5"/>
  <c r="AV34" i="5"/>
  <c r="AS34" i="5"/>
  <c r="AP34" i="5"/>
  <c r="AM34" i="5"/>
  <c r="AG34" i="5"/>
  <c r="AD34" i="5"/>
  <c r="AA34" i="5"/>
  <c r="X34" i="5"/>
  <c r="U34" i="5"/>
  <c r="R34" i="5"/>
  <c r="O34" i="5"/>
  <c r="L34" i="5"/>
  <c r="H34" i="5"/>
  <c r="G34" i="5"/>
  <c r="F34" i="5"/>
  <c r="BV33" i="5"/>
  <c r="BO33" i="5"/>
  <c r="BN33" i="5"/>
  <c r="BK33" i="5"/>
  <c r="BH33" i="5"/>
  <c r="BE33" i="5"/>
  <c r="BB33" i="5"/>
  <c r="AY33" i="5"/>
  <c r="AV33" i="5"/>
  <c r="AS33" i="5"/>
  <c r="AP33" i="5"/>
  <c r="AM33" i="5"/>
  <c r="AH33" i="5"/>
  <c r="AG33" i="5"/>
  <c r="AD33" i="5"/>
  <c r="AA33" i="5"/>
  <c r="X33" i="5"/>
  <c r="U33" i="5"/>
  <c r="R33" i="5"/>
  <c r="O33" i="5"/>
  <c r="L33" i="5"/>
  <c r="F33" i="5"/>
  <c r="BV32" i="5"/>
  <c r="BO32" i="5"/>
  <c r="BN32" i="5"/>
  <c r="BK32" i="5"/>
  <c r="BH32" i="5"/>
  <c r="BE32" i="5"/>
  <c r="BB32" i="5"/>
  <c r="AY32" i="5"/>
  <c r="AV32" i="5"/>
  <c r="AS32" i="5"/>
  <c r="AP32" i="5"/>
  <c r="AM32" i="5"/>
  <c r="AH32" i="5"/>
  <c r="AG32" i="5"/>
  <c r="AD32" i="5"/>
  <c r="AA32" i="5"/>
  <c r="X32" i="5"/>
  <c r="U32" i="5"/>
  <c r="R32" i="5"/>
  <c r="O32" i="5"/>
  <c r="L32" i="5"/>
  <c r="F32" i="5"/>
  <c r="AX31" i="5"/>
  <c r="AW31" i="5"/>
  <c r="AU31" i="5"/>
  <c r="AT31" i="5"/>
  <c r="AR31" i="5"/>
  <c r="AQ31" i="5"/>
  <c r="AO31" i="5"/>
  <c r="AN31" i="5"/>
  <c r="AL31" i="5"/>
  <c r="AK31" i="5"/>
  <c r="AF31" i="5"/>
  <c r="AE31" i="5"/>
  <c r="AC31" i="5"/>
  <c r="AB31" i="5"/>
  <c r="Z31" i="5"/>
  <c r="Y31" i="5"/>
  <c r="W31" i="5"/>
  <c r="V31" i="5"/>
  <c r="T31" i="5"/>
  <c r="S31" i="5"/>
  <c r="Q31" i="5"/>
  <c r="P31" i="5"/>
  <c r="O31" i="5"/>
  <c r="N31" i="5"/>
  <c r="M31" i="5"/>
  <c r="K31" i="5"/>
  <c r="J31" i="5"/>
  <c r="E31" i="5"/>
  <c r="D31" i="5"/>
  <c r="BV30" i="5"/>
  <c r="BO30" i="5"/>
  <c r="BN30" i="5"/>
  <c r="BK30" i="5"/>
  <c r="BH30" i="5"/>
  <c r="BE30" i="5"/>
  <c r="BB30" i="5"/>
  <c r="AY30" i="5"/>
  <c r="AV30" i="5"/>
  <c r="AS30" i="5"/>
  <c r="AP30" i="5"/>
  <c r="AM30" i="5"/>
  <c r="AG30" i="5"/>
  <c r="AD30" i="5"/>
  <c r="AA30" i="5"/>
  <c r="X30" i="5"/>
  <c r="U30" i="5"/>
  <c r="R30" i="5"/>
  <c r="O30" i="5"/>
  <c r="L30" i="5"/>
  <c r="H30" i="5"/>
  <c r="G30" i="5"/>
  <c r="AH30" i="5" s="1"/>
  <c r="F30" i="5"/>
  <c r="BV29" i="5"/>
  <c r="BO29" i="5"/>
  <c r="BN29" i="5"/>
  <c r="BK29" i="5"/>
  <c r="BH29" i="5"/>
  <c r="BE29" i="5"/>
  <c r="BB29" i="5"/>
  <c r="AY29" i="5"/>
  <c r="AV29" i="5"/>
  <c r="AS29" i="5"/>
  <c r="AP29" i="5"/>
  <c r="AM29" i="5"/>
  <c r="AH29" i="5"/>
  <c r="AG29" i="5"/>
  <c r="AD29" i="5"/>
  <c r="AA29" i="5"/>
  <c r="X29" i="5"/>
  <c r="U29" i="5"/>
  <c r="R29" i="5"/>
  <c r="O29" i="5"/>
  <c r="L29" i="5"/>
  <c r="F29" i="5"/>
  <c r="BV28" i="5"/>
  <c r="BO28" i="5"/>
  <c r="BN28" i="5"/>
  <c r="BK28" i="5"/>
  <c r="BH28" i="5"/>
  <c r="BE28" i="5"/>
  <c r="BB28" i="5"/>
  <c r="AY28" i="5"/>
  <c r="AV28" i="5"/>
  <c r="AS28" i="5"/>
  <c r="AP28" i="5"/>
  <c r="AM28" i="5"/>
  <c r="AH28" i="5"/>
  <c r="AG28" i="5"/>
  <c r="AD28" i="5"/>
  <c r="AA28" i="5"/>
  <c r="X28" i="5"/>
  <c r="U28" i="5"/>
  <c r="R28" i="5"/>
  <c r="O28" i="5"/>
  <c r="L28" i="5"/>
  <c r="F28" i="5"/>
  <c r="AX27" i="5"/>
  <c r="AW27" i="5"/>
  <c r="AU27" i="5"/>
  <c r="AT27" i="5"/>
  <c r="AR27" i="5"/>
  <c r="AQ27" i="5"/>
  <c r="AO27" i="5"/>
  <c r="AN27" i="5"/>
  <c r="AL27" i="5"/>
  <c r="AK27" i="5"/>
  <c r="AF27" i="5"/>
  <c r="AE27" i="5"/>
  <c r="AC27" i="5"/>
  <c r="AB27" i="5"/>
  <c r="Z27" i="5"/>
  <c r="Y27" i="5"/>
  <c r="W27" i="5"/>
  <c r="V27" i="5"/>
  <c r="T27" i="5"/>
  <c r="S27" i="5"/>
  <c r="Q27" i="5"/>
  <c r="P27" i="5"/>
  <c r="N27" i="5"/>
  <c r="M27" i="5"/>
  <c r="K27" i="5"/>
  <c r="J27" i="5"/>
  <c r="E27" i="5"/>
  <c r="D27" i="5"/>
  <c r="BV26" i="5"/>
  <c r="BO26" i="5"/>
  <c r="BN26" i="5"/>
  <c r="BK26" i="5"/>
  <c r="BH26" i="5"/>
  <c r="BE26" i="5"/>
  <c r="BB26" i="5"/>
  <c r="AY26" i="5"/>
  <c r="AV26" i="5"/>
  <c r="AS26" i="5"/>
  <c r="AP26" i="5"/>
  <c r="AM26" i="5"/>
  <c r="AG26" i="5"/>
  <c r="AD26" i="5"/>
  <c r="AA26" i="5"/>
  <c r="X26" i="5"/>
  <c r="U26" i="5"/>
  <c r="R26" i="5"/>
  <c r="O26" i="5"/>
  <c r="L26" i="5"/>
  <c r="H26" i="5"/>
  <c r="G26" i="5"/>
  <c r="AH26" i="5" s="1"/>
  <c r="F26" i="5"/>
  <c r="BV25" i="5"/>
  <c r="BO25" i="5"/>
  <c r="BN25" i="5"/>
  <c r="BK25" i="5"/>
  <c r="BH25" i="5"/>
  <c r="BE25" i="5"/>
  <c r="BB25" i="5"/>
  <c r="AY25" i="5"/>
  <c r="AV25" i="5"/>
  <c r="AS25" i="5"/>
  <c r="AP25" i="5"/>
  <c r="AM25" i="5"/>
  <c r="AH25" i="5"/>
  <c r="AG25" i="5"/>
  <c r="AD25" i="5"/>
  <c r="AA25" i="5"/>
  <c r="X25" i="5"/>
  <c r="U25" i="5"/>
  <c r="R25" i="5"/>
  <c r="O25" i="5"/>
  <c r="L25" i="5"/>
  <c r="F25" i="5"/>
  <c r="BV24" i="5"/>
  <c r="BN24" i="5"/>
  <c r="BK24" i="5"/>
  <c r="BH24" i="5"/>
  <c r="BE24" i="5"/>
  <c r="BB24" i="5"/>
  <c r="AW24" i="5"/>
  <c r="AW60" i="5" s="1"/>
  <c r="AV24" i="5"/>
  <c r="AS24" i="5"/>
  <c r="AP24" i="5"/>
  <c r="AP23" i="5" s="1"/>
  <c r="AM24" i="5"/>
  <c r="AH24" i="5"/>
  <c r="AG24" i="5"/>
  <c r="AD24" i="5"/>
  <c r="AA24" i="5"/>
  <c r="X24" i="5"/>
  <c r="U24" i="5"/>
  <c r="R24" i="5"/>
  <c r="O24" i="5"/>
  <c r="L24" i="5"/>
  <c r="F24" i="5"/>
  <c r="AX23" i="5"/>
  <c r="AU23" i="5"/>
  <c r="AT23" i="5"/>
  <c r="AR23" i="5"/>
  <c r="AQ23" i="5"/>
  <c r="AO23" i="5"/>
  <c r="AN23" i="5"/>
  <c r="AL23" i="5"/>
  <c r="AK23" i="5"/>
  <c r="AF23" i="5"/>
  <c r="AE23" i="5"/>
  <c r="AC23" i="5"/>
  <c r="AB23" i="5"/>
  <c r="Z23" i="5"/>
  <c r="Y23" i="5"/>
  <c r="W23" i="5"/>
  <c r="V23" i="5"/>
  <c r="T23" i="5"/>
  <c r="S23" i="5"/>
  <c r="Q23" i="5"/>
  <c r="P23" i="5"/>
  <c r="N23" i="5"/>
  <c r="M23" i="5"/>
  <c r="K23" i="5"/>
  <c r="J23" i="5"/>
  <c r="E23" i="5"/>
  <c r="D23" i="5"/>
  <c r="BV22" i="5"/>
  <c r="BO22" i="5"/>
  <c r="BN22" i="5"/>
  <c r="BK22" i="5"/>
  <c r="BH22" i="5"/>
  <c r="BE22" i="5"/>
  <c r="BB22" i="5"/>
  <c r="AY22" i="5"/>
  <c r="AV22" i="5"/>
  <c r="AS22" i="5"/>
  <c r="AP22" i="5"/>
  <c r="AM22" i="5"/>
  <c r="AG22" i="5"/>
  <c r="AD22" i="5"/>
  <c r="AA22" i="5"/>
  <c r="X22" i="5"/>
  <c r="U22" i="5"/>
  <c r="R22" i="5"/>
  <c r="O22" i="5"/>
  <c r="L22" i="5"/>
  <c r="H22" i="5"/>
  <c r="G22" i="5"/>
  <c r="F22" i="5"/>
  <c r="BV21" i="5"/>
  <c r="BO21" i="5"/>
  <c r="BN21" i="5"/>
  <c r="BK21" i="5"/>
  <c r="BH21" i="5"/>
  <c r="BE21" i="5"/>
  <c r="BB21" i="5"/>
  <c r="AY21" i="5"/>
  <c r="AV21" i="5"/>
  <c r="AS21" i="5"/>
  <c r="AP21" i="5"/>
  <c r="AM21" i="5"/>
  <c r="AH21" i="5"/>
  <c r="AG21" i="5"/>
  <c r="AD21" i="5"/>
  <c r="AA21" i="5"/>
  <c r="X21" i="5"/>
  <c r="U21" i="5"/>
  <c r="R21" i="5"/>
  <c r="O21" i="5"/>
  <c r="L21" i="5"/>
  <c r="F21" i="5"/>
  <c r="BV20" i="5"/>
  <c r="BO20" i="5"/>
  <c r="BN20" i="5"/>
  <c r="BK20" i="5"/>
  <c r="BH20" i="5"/>
  <c r="BE20" i="5"/>
  <c r="BB20" i="5"/>
  <c r="AY20" i="5"/>
  <c r="AV20" i="5"/>
  <c r="AS20" i="5"/>
  <c r="AP20" i="5"/>
  <c r="AM20" i="5"/>
  <c r="AH20" i="5"/>
  <c r="BR20" i="5" s="1"/>
  <c r="AG20" i="5"/>
  <c r="AD20" i="5"/>
  <c r="AA20" i="5"/>
  <c r="X20" i="5"/>
  <c r="U20" i="5"/>
  <c r="R20" i="5"/>
  <c r="O20" i="5"/>
  <c r="L20" i="5"/>
  <c r="F20" i="5"/>
  <c r="AX19" i="5"/>
  <c r="AW19" i="5"/>
  <c r="AU19" i="5"/>
  <c r="AT19" i="5"/>
  <c r="AR19" i="5"/>
  <c r="AQ19" i="5"/>
  <c r="AO19" i="5"/>
  <c r="AN19" i="5"/>
  <c r="AL19" i="5"/>
  <c r="AK19" i="5"/>
  <c r="AF19" i="5"/>
  <c r="AE19" i="5"/>
  <c r="AC19" i="5"/>
  <c r="AB19" i="5"/>
  <c r="Z19" i="5"/>
  <c r="Y19" i="5"/>
  <c r="W19" i="5"/>
  <c r="V19" i="5"/>
  <c r="T19" i="5"/>
  <c r="S19" i="5"/>
  <c r="Q19" i="5"/>
  <c r="P19" i="5"/>
  <c r="N19" i="5"/>
  <c r="M19" i="5"/>
  <c r="K19" i="5"/>
  <c r="J19" i="5"/>
  <c r="E19" i="5"/>
  <c r="D19" i="5"/>
  <c r="BV18" i="5"/>
  <c r="BO18" i="5"/>
  <c r="BN18" i="5"/>
  <c r="BK18" i="5"/>
  <c r="BH18" i="5"/>
  <c r="BE18" i="5"/>
  <c r="BB18" i="5"/>
  <c r="AY18" i="5"/>
  <c r="AV18" i="5"/>
  <c r="AS18" i="5"/>
  <c r="AP18" i="5"/>
  <c r="AM18" i="5"/>
  <c r="AG18" i="5"/>
  <c r="AD18" i="5"/>
  <c r="AA18" i="5"/>
  <c r="X18" i="5"/>
  <c r="U18" i="5"/>
  <c r="R18" i="5"/>
  <c r="O18" i="5"/>
  <c r="L18" i="5"/>
  <c r="H18" i="5"/>
  <c r="G18" i="5"/>
  <c r="AH18" i="5" s="1"/>
  <c r="F18" i="5"/>
  <c r="BV17" i="5"/>
  <c r="BO17" i="5"/>
  <c r="BN17" i="5"/>
  <c r="BK17" i="5"/>
  <c r="BH17" i="5"/>
  <c r="BE17" i="5"/>
  <c r="BB17" i="5"/>
  <c r="AY17" i="5"/>
  <c r="AV17" i="5"/>
  <c r="AS17" i="5"/>
  <c r="AP17" i="5"/>
  <c r="AM17" i="5"/>
  <c r="AH17" i="5"/>
  <c r="AG17" i="5"/>
  <c r="AD17" i="5"/>
  <c r="AA17" i="5"/>
  <c r="X17" i="5"/>
  <c r="U17" i="5"/>
  <c r="R17" i="5"/>
  <c r="O17" i="5"/>
  <c r="L17" i="5"/>
  <c r="F17" i="5"/>
  <c r="BV16" i="5"/>
  <c r="BO16" i="5"/>
  <c r="BN16" i="5"/>
  <c r="BK16" i="5"/>
  <c r="BH16" i="5"/>
  <c r="BE16" i="5"/>
  <c r="BB16" i="5"/>
  <c r="AY16" i="5"/>
  <c r="AV16" i="5"/>
  <c r="AS16" i="5"/>
  <c r="AP16" i="5"/>
  <c r="AM16" i="5"/>
  <c r="AH16" i="5"/>
  <c r="AG16" i="5"/>
  <c r="AD16" i="5"/>
  <c r="AA16" i="5"/>
  <c r="X16" i="5"/>
  <c r="U16" i="5"/>
  <c r="R16" i="5"/>
  <c r="O16" i="5"/>
  <c r="L16" i="5"/>
  <c r="F16" i="5"/>
  <c r="AX15" i="5"/>
  <c r="AW15" i="5"/>
  <c r="AU15" i="5"/>
  <c r="AT15" i="5"/>
  <c r="AR15" i="5"/>
  <c r="AQ15" i="5"/>
  <c r="AO15" i="5"/>
  <c r="AN15" i="5"/>
  <c r="AL15" i="5"/>
  <c r="AK15" i="5"/>
  <c r="AF15" i="5"/>
  <c r="AE15" i="5"/>
  <c r="AC15" i="5"/>
  <c r="AB15" i="5"/>
  <c r="Z15" i="5"/>
  <c r="Y15" i="5"/>
  <c r="W15" i="5"/>
  <c r="V15" i="5"/>
  <c r="T15" i="5"/>
  <c r="S15" i="5"/>
  <c r="Q15" i="5"/>
  <c r="P15" i="5"/>
  <c r="N15" i="5"/>
  <c r="M15" i="5"/>
  <c r="K15" i="5"/>
  <c r="J15" i="5"/>
  <c r="E15" i="5"/>
  <c r="D15" i="5"/>
  <c r="BV14" i="5"/>
  <c r="BO14" i="5"/>
  <c r="BN14" i="5"/>
  <c r="BK14" i="5"/>
  <c r="BH14" i="5"/>
  <c r="BE14" i="5"/>
  <c r="AY14" i="5"/>
  <c r="AV14" i="5"/>
  <c r="AS14" i="5"/>
  <c r="AP14" i="5"/>
  <c r="AM14" i="5"/>
  <c r="AG14" i="5"/>
  <c r="AD14" i="5"/>
  <c r="AA14" i="5"/>
  <c r="X14" i="5"/>
  <c r="U14" i="5"/>
  <c r="R14" i="5"/>
  <c r="O14" i="5"/>
  <c r="L14" i="5"/>
  <c r="H14" i="5"/>
  <c r="G14" i="5"/>
  <c r="AH14" i="5" s="1"/>
  <c r="F14" i="5"/>
  <c r="BV13" i="5"/>
  <c r="BO13" i="5"/>
  <c r="BN13" i="5"/>
  <c r="BK13" i="5"/>
  <c r="BH13" i="5"/>
  <c r="BE13" i="5"/>
  <c r="BB13" i="5"/>
  <c r="AY13" i="5"/>
  <c r="AV13" i="5"/>
  <c r="AS13" i="5"/>
  <c r="AP13" i="5"/>
  <c r="AM13" i="5"/>
  <c r="AH13" i="5"/>
  <c r="AG13" i="5"/>
  <c r="AD13" i="5"/>
  <c r="AA13" i="5"/>
  <c r="X13" i="5"/>
  <c r="U13" i="5"/>
  <c r="R13" i="5"/>
  <c r="O13" i="5"/>
  <c r="L13" i="5"/>
  <c r="F13" i="5"/>
  <c r="BV12" i="5"/>
  <c r="BO12" i="5"/>
  <c r="BN12" i="5"/>
  <c r="BK12" i="5"/>
  <c r="BH12" i="5"/>
  <c r="BE12" i="5"/>
  <c r="BB12" i="5"/>
  <c r="AY12" i="5"/>
  <c r="AV12" i="5"/>
  <c r="AS12" i="5"/>
  <c r="AP12" i="5"/>
  <c r="AM12" i="5"/>
  <c r="AH12" i="5"/>
  <c r="AG12" i="5"/>
  <c r="AD12" i="5"/>
  <c r="AA12" i="5"/>
  <c r="X12" i="5"/>
  <c r="U12" i="5"/>
  <c r="R12" i="5"/>
  <c r="O12" i="5"/>
  <c r="L12" i="5"/>
  <c r="F12" i="5"/>
  <c r="AX11" i="5"/>
  <c r="AW11" i="5"/>
  <c r="AU11" i="5"/>
  <c r="AT11" i="5"/>
  <c r="AR11" i="5"/>
  <c r="AQ11" i="5"/>
  <c r="AO11" i="5"/>
  <c r="AN11" i="5"/>
  <c r="AL11" i="5"/>
  <c r="AK11" i="5"/>
  <c r="AF11" i="5"/>
  <c r="AE11" i="5"/>
  <c r="AC11" i="5"/>
  <c r="AB11" i="5"/>
  <c r="Z11" i="5"/>
  <c r="Y11" i="5"/>
  <c r="W11" i="5"/>
  <c r="V11" i="5"/>
  <c r="T11" i="5"/>
  <c r="S11" i="5"/>
  <c r="Q11" i="5"/>
  <c r="P11" i="5"/>
  <c r="N11" i="5"/>
  <c r="M11" i="5"/>
  <c r="K11" i="5"/>
  <c r="J11" i="5"/>
  <c r="E11" i="5"/>
  <c r="D11" i="5"/>
  <c r="BV10" i="5"/>
  <c r="BO10" i="5"/>
  <c r="BN10" i="5"/>
  <c r="BK10" i="5"/>
  <c r="BH10" i="5"/>
  <c r="BE10" i="5"/>
  <c r="BB10" i="5"/>
  <c r="AY10" i="5"/>
  <c r="AV10" i="5"/>
  <c r="AS10" i="5"/>
  <c r="AP10" i="5"/>
  <c r="AM10" i="5"/>
  <c r="AG10" i="5"/>
  <c r="AD10" i="5"/>
  <c r="AA10" i="5"/>
  <c r="X10" i="5"/>
  <c r="U10" i="5"/>
  <c r="R10" i="5"/>
  <c r="O10" i="5"/>
  <c r="L10" i="5"/>
  <c r="H10" i="5"/>
  <c r="G10" i="5"/>
  <c r="AH10" i="5" s="1"/>
  <c r="F10" i="5"/>
  <c r="BV9" i="5"/>
  <c r="BO9" i="5"/>
  <c r="BN9" i="5"/>
  <c r="BK9" i="5"/>
  <c r="BH9" i="5"/>
  <c r="BE9" i="5"/>
  <c r="BB9" i="5"/>
  <c r="AY9" i="5"/>
  <c r="AV9" i="5"/>
  <c r="AS9" i="5"/>
  <c r="AP9" i="5"/>
  <c r="AM9" i="5"/>
  <c r="AH9" i="5"/>
  <c r="AG9" i="5"/>
  <c r="AD9" i="5"/>
  <c r="AD7" i="5" s="1"/>
  <c r="AA9" i="5"/>
  <c r="X9" i="5"/>
  <c r="U9" i="5"/>
  <c r="R9" i="5"/>
  <c r="O9" i="5"/>
  <c r="L9" i="5"/>
  <c r="F9" i="5"/>
  <c r="BV8" i="5"/>
  <c r="BO8" i="5"/>
  <c r="BN8" i="5"/>
  <c r="BK8" i="5"/>
  <c r="BH8" i="5"/>
  <c r="BE8" i="5"/>
  <c r="BB8" i="5"/>
  <c r="AY8" i="5"/>
  <c r="AV8" i="5"/>
  <c r="AS8" i="5"/>
  <c r="AP8" i="5"/>
  <c r="AM8" i="5"/>
  <c r="AH8" i="5"/>
  <c r="AG8" i="5"/>
  <c r="AA8" i="5"/>
  <c r="X8" i="5"/>
  <c r="U8" i="5"/>
  <c r="R8" i="5"/>
  <c r="O8" i="5"/>
  <c r="L8" i="5"/>
  <c r="F8" i="5"/>
  <c r="A8" i="5"/>
  <c r="A12" i="5" s="1"/>
  <c r="A16" i="5" s="1"/>
  <c r="A20" i="5" s="1"/>
  <c r="A24" i="5" s="1"/>
  <c r="A28" i="5" s="1"/>
  <c r="A32" i="5" s="1"/>
  <c r="A36" i="5" s="1"/>
  <c r="A40" i="5" s="1"/>
  <c r="A44" i="5" s="1"/>
  <c r="A48" i="5" s="1"/>
  <c r="A52" i="5" s="1"/>
  <c r="AX7" i="5"/>
  <c r="AW7" i="5"/>
  <c r="AU7" i="5"/>
  <c r="AT7" i="5"/>
  <c r="AR7" i="5"/>
  <c r="AQ7" i="5"/>
  <c r="AO7" i="5"/>
  <c r="AN7" i="5"/>
  <c r="AL7" i="5"/>
  <c r="AK7" i="5"/>
  <c r="AF7" i="5"/>
  <c r="AE7" i="5"/>
  <c r="AC7" i="5"/>
  <c r="AB7" i="5"/>
  <c r="Z7" i="5"/>
  <c r="Y7" i="5"/>
  <c r="W7" i="5"/>
  <c r="V7" i="5"/>
  <c r="T7" i="5"/>
  <c r="S7" i="5"/>
  <c r="Q7" i="5"/>
  <c r="P7" i="5"/>
  <c r="N7" i="5"/>
  <c r="M7" i="5"/>
  <c r="K7" i="5"/>
  <c r="J7" i="5"/>
  <c r="E7" i="5"/>
  <c r="D7" i="5"/>
  <c r="B7" i="5"/>
  <c r="B11" i="5" s="1"/>
  <c r="B15" i="5" s="1"/>
  <c r="B19" i="5" s="1"/>
  <c r="B23" i="5" s="1"/>
  <c r="B27" i="5" s="1"/>
  <c r="B31" i="5" s="1"/>
  <c r="B35" i="5" s="1"/>
  <c r="B39" i="5" s="1"/>
  <c r="B43" i="5" s="1"/>
  <c r="B47" i="5" s="1"/>
  <c r="B51" i="5" s="1"/>
  <c r="Y55" i="5" l="1"/>
  <c r="O11" i="5"/>
  <c r="F15" i="5"/>
  <c r="U15" i="5"/>
  <c r="AG15" i="5"/>
  <c r="AS15" i="5"/>
  <c r="L19" i="5"/>
  <c r="X19" i="5"/>
  <c r="AV19" i="5"/>
  <c r="AV27" i="5"/>
  <c r="AD27" i="5"/>
  <c r="AP27" i="5"/>
  <c r="AP39" i="5"/>
  <c r="L47" i="5"/>
  <c r="X47" i="5"/>
  <c r="AH47" i="5"/>
  <c r="AD51" i="5"/>
  <c r="BJ52" i="6"/>
  <c r="BK64" i="6"/>
  <c r="BN14" i="6"/>
  <c r="BM14" i="6" s="1"/>
  <c r="AD57" i="6"/>
  <c r="AC57" i="6" s="1"/>
  <c r="BL57" i="6"/>
  <c r="BQ57" i="6" s="1"/>
  <c r="AD58" i="6"/>
  <c r="AB58" i="6"/>
  <c r="BK57" i="6"/>
  <c r="BJ57" i="6" s="1"/>
  <c r="BL56" i="6"/>
  <c r="BK27" i="6"/>
  <c r="BK58" i="6"/>
  <c r="BJ58" i="6" s="1"/>
  <c r="R43" i="5"/>
  <c r="BJ9" i="6"/>
  <c r="O43" i="5"/>
  <c r="AA43" i="5"/>
  <c r="AS43" i="5"/>
  <c r="P55" i="5"/>
  <c r="AB55" i="5"/>
  <c r="AQ55" i="5"/>
  <c r="BR18" i="5"/>
  <c r="BW18" i="5" s="1"/>
  <c r="BR17" i="5"/>
  <c r="BW17" i="5" s="1"/>
  <c r="AS19" i="5"/>
  <c r="O19" i="5"/>
  <c r="AM19" i="5"/>
  <c r="AM31" i="5"/>
  <c r="L39" i="5"/>
  <c r="X39" i="5"/>
  <c r="BR40" i="5"/>
  <c r="BW40" i="5" s="1"/>
  <c r="AV39" i="5"/>
  <c r="R39" i="5"/>
  <c r="AD39" i="5"/>
  <c r="L51" i="5"/>
  <c r="BN30" i="6"/>
  <c r="U11" i="5"/>
  <c r="U39" i="5"/>
  <c r="AG39" i="5"/>
  <c r="BL10" i="6"/>
  <c r="AC8" i="6"/>
  <c r="BN25" i="6"/>
  <c r="BM25" i="6" s="1"/>
  <c r="BN50" i="6"/>
  <c r="BM50" i="6" s="1"/>
  <c r="BJ11" i="6"/>
  <c r="BL27" i="6"/>
  <c r="BL7" i="6"/>
  <c r="BL35" i="6"/>
  <c r="F7" i="5"/>
  <c r="F11" i="5"/>
  <c r="AG11" i="5"/>
  <c r="AM11" i="5"/>
  <c r="AA27" i="5"/>
  <c r="AY27" i="5"/>
  <c r="L31" i="5"/>
  <c r="X31" i="5"/>
  <c r="AV31" i="5"/>
  <c r="I42" i="5"/>
  <c r="AJ42" i="5" s="1"/>
  <c r="X51" i="5"/>
  <c r="AH51" i="5"/>
  <c r="AV51" i="5"/>
  <c r="BN13" i="6"/>
  <c r="BM13" i="6" s="1"/>
  <c r="BI55" i="6"/>
  <c r="BN45" i="6"/>
  <c r="BM45" i="6" s="1"/>
  <c r="AG7" i="5"/>
  <c r="AA11" i="5"/>
  <c r="L15" i="5"/>
  <c r="X15" i="5"/>
  <c r="BR16" i="5"/>
  <c r="BW16" i="5" s="1"/>
  <c r="AV15" i="5"/>
  <c r="AD23" i="5"/>
  <c r="O27" i="5"/>
  <c r="AM27" i="5"/>
  <c r="BO27" i="5"/>
  <c r="AY35" i="5"/>
  <c r="F35" i="5"/>
  <c r="U35" i="5"/>
  <c r="AG35" i="5"/>
  <c r="AS35" i="5"/>
  <c r="O7" i="5"/>
  <c r="AJ12" i="5"/>
  <c r="X11" i="5"/>
  <c r="AH11" i="5"/>
  <c r="AV11" i="5"/>
  <c r="L23" i="5"/>
  <c r="X23" i="5"/>
  <c r="AH23" i="5"/>
  <c r="AV23" i="5"/>
  <c r="AJ41" i="5"/>
  <c r="AI41" i="5" s="1"/>
  <c r="BR48" i="5"/>
  <c r="BW48" i="5" s="1"/>
  <c r="AM51" i="5"/>
  <c r="AG51" i="5"/>
  <c r="M55" i="5"/>
  <c r="BN26" i="6"/>
  <c r="BM26" i="6" s="1"/>
  <c r="BQ18" i="5"/>
  <c r="BP18" i="5" s="1"/>
  <c r="I59" i="5"/>
  <c r="S59" i="5"/>
  <c r="BN38" i="6"/>
  <c r="BM38" i="6" s="1"/>
  <c r="AC14" i="6"/>
  <c r="BL43" i="6"/>
  <c r="BL31" i="6"/>
  <c r="AC50" i="6"/>
  <c r="BN34" i="6"/>
  <c r="BM34" i="6" s="1"/>
  <c r="AC26" i="6"/>
  <c r="BQ49" i="6"/>
  <c r="BL47" i="6"/>
  <c r="AC45" i="6"/>
  <c r="BQ41" i="6"/>
  <c r="BL39" i="6"/>
  <c r="BN33" i="6"/>
  <c r="BM33" i="6" s="1"/>
  <c r="BL19" i="6"/>
  <c r="BL15" i="6"/>
  <c r="AB55" i="6"/>
  <c r="BL11" i="6"/>
  <c r="BQ24" i="6"/>
  <c r="BL23" i="6"/>
  <c r="BQ52" i="6"/>
  <c r="BL51" i="6"/>
  <c r="R7" i="5"/>
  <c r="AS7" i="5"/>
  <c r="BE56" i="5"/>
  <c r="BD56" i="5" s="1"/>
  <c r="BR8" i="5"/>
  <c r="BW8" i="5" s="1"/>
  <c r="AA7" i="5"/>
  <c r="AY11" i="5"/>
  <c r="BR13" i="5"/>
  <c r="BW13" i="5" s="1"/>
  <c r="O15" i="5"/>
  <c r="AA15" i="5"/>
  <c r="AM15" i="5"/>
  <c r="AY15" i="5"/>
  <c r="I18" i="5"/>
  <c r="AJ18" i="5" s="1"/>
  <c r="AA19" i="5"/>
  <c r="BQ20" i="5"/>
  <c r="BP20" i="5" s="1"/>
  <c r="U19" i="5"/>
  <c r="AG19" i="5"/>
  <c r="O23" i="5"/>
  <c r="AA23" i="5"/>
  <c r="R27" i="5"/>
  <c r="AA31" i="5"/>
  <c r="BQ32" i="5"/>
  <c r="BP32" i="5" s="1"/>
  <c r="AG31" i="5"/>
  <c r="AS31" i="5"/>
  <c r="R35" i="5"/>
  <c r="AD35" i="5"/>
  <c r="AP35" i="5"/>
  <c r="AV35" i="5"/>
  <c r="I38" i="5"/>
  <c r="AJ38" i="5" s="1"/>
  <c r="AI38" i="5" s="1"/>
  <c r="AY39" i="5"/>
  <c r="U43" i="5"/>
  <c r="AG43" i="5"/>
  <c r="BO43" i="5"/>
  <c r="AD47" i="5"/>
  <c r="AP47" i="5"/>
  <c r="D55" i="5"/>
  <c r="S55" i="5"/>
  <c r="AE55" i="5"/>
  <c r="AT55" i="5"/>
  <c r="J55" i="5"/>
  <c r="V55" i="5"/>
  <c r="AK55" i="5"/>
  <c r="AW55" i="5"/>
  <c r="AD23" i="6"/>
  <c r="U7" i="5"/>
  <c r="I10" i="5"/>
  <c r="AJ10" i="5" s="1"/>
  <c r="AI10" i="5" s="1"/>
  <c r="L43" i="5"/>
  <c r="X43" i="5"/>
  <c r="AV43" i="5"/>
  <c r="AD43" i="5"/>
  <c r="AP43" i="5"/>
  <c r="AG47" i="5"/>
  <c r="AS47" i="5"/>
  <c r="O47" i="5"/>
  <c r="AA47" i="5"/>
  <c r="BQ49" i="5"/>
  <c r="BP49" i="5" s="1"/>
  <c r="AY47" i="5"/>
  <c r="F51" i="5"/>
  <c r="AS51" i="5"/>
  <c r="AY51" i="5"/>
  <c r="AC59" i="5"/>
  <c r="AQ59" i="5"/>
  <c r="AD11" i="6"/>
  <c r="AH15" i="5"/>
  <c r="AJ17" i="5"/>
  <c r="AI17" i="5" s="1"/>
  <c r="BQ17" i="5"/>
  <c r="BQ21" i="5"/>
  <c r="BQ19" i="5" s="1"/>
  <c r="AS39" i="5"/>
  <c r="BO39" i="5"/>
  <c r="AJ53" i="5"/>
  <c r="AI53" i="5" s="1"/>
  <c r="AP51" i="5"/>
  <c r="I54" i="5"/>
  <c r="J59" i="5"/>
  <c r="V59" i="5"/>
  <c r="AD62" i="6"/>
  <c r="BK43" i="6"/>
  <c r="BN44" i="6"/>
  <c r="BM44" i="6" s="1"/>
  <c r="BQ9" i="6"/>
  <c r="BN49" i="6"/>
  <c r="BN53" i="6"/>
  <c r="BM53" i="6" s="1"/>
  <c r="AC36" i="6"/>
  <c r="AC35" i="6" s="1"/>
  <c r="BJ36" i="6"/>
  <c r="BQ36" i="6"/>
  <c r="BK39" i="6"/>
  <c r="BN40" i="6"/>
  <c r="BM40" i="6" s="1"/>
  <c r="BJ28" i="6"/>
  <c r="BJ27" i="6" s="1"/>
  <c r="BJ32" i="6"/>
  <c r="BN32" i="6"/>
  <c r="BM32" i="6" s="1"/>
  <c r="AB62" i="6"/>
  <c r="BH56" i="5"/>
  <c r="BG56" i="5" s="1"/>
  <c r="BQ12" i="5"/>
  <c r="BP12" i="5" s="1"/>
  <c r="AJ13" i="5"/>
  <c r="AI13" i="5" s="1"/>
  <c r="AS11" i="5"/>
  <c r="BQ16" i="5"/>
  <c r="BQ15" i="5" s="1"/>
  <c r="R15" i="5"/>
  <c r="AD15" i="5"/>
  <c r="R19" i="5"/>
  <c r="AD19" i="5"/>
  <c r="AP19" i="5"/>
  <c r="AJ21" i="5"/>
  <c r="AI21" i="5" s="1"/>
  <c r="I26" i="5"/>
  <c r="AJ26" i="5" s="1"/>
  <c r="AI26" i="5" s="1"/>
  <c r="AJ29" i="5"/>
  <c r="R31" i="5"/>
  <c r="AD31" i="5"/>
  <c r="AP31" i="5"/>
  <c r="BQ34" i="5"/>
  <c r="BP34" i="5" s="1"/>
  <c r="O35" i="5"/>
  <c r="AA35" i="5"/>
  <c r="BQ38" i="5"/>
  <c r="AH39" i="5"/>
  <c r="O39" i="5"/>
  <c r="AA39" i="5"/>
  <c r="BQ44" i="5"/>
  <c r="AY43" i="5"/>
  <c r="AJ45" i="5"/>
  <c r="AI45" i="5" s="1"/>
  <c r="I46" i="5"/>
  <c r="AJ46" i="5" s="1"/>
  <c r="AI46" i="5" s="1"/>
  <c r="AV47" i="5"/>
  <c r="R51" i="5"/>
  <c r="AJ52" i="5"/>
  <c r="AI52" i="5" s="1"/>
  <c r="AA51" i="5"/>
  <c r="BQ52" i="5"/>
  <c r="BR53" i="5"/>
  <c r="BW53" i="5" s="1"/>
  <c r="AN55" i="5"/>
  <c r="G59" i="5"/>
  <c r="AC42" i="6"/>
  <c r="AC30" i="6"/>
  <c r="AC25" i="6"/>
  <c r="BJ33" i="6"/>
  <c r="BN10" i="6"/>
  <c r="AD39" i="6"/>
  <c r="BN18" i="6"/>
  <c r="BM18" i="6" s="1"/>
  <c r="BV56" i="5"/>
  <c r="AP7" i="5"/>
  <c r="BK56" i="5"/>
  <c r="BJ56" i="5" s="1"/>
  <c r="R11" i="5"/>
  <c r="AP11" i="5"/>
  <c r="I14" i="5"/>
  <c r="AJ14" i="5" s="1"/>
  <c r="AJ16" i="5"/>
  <c r="AI16" i="5" s="1"/>
  <c r="AI15" i="5" s="1"/>
  <c r="BP17" i="5"/>
  <c r="R23" i="5"/>
  <c r="BQ25" i="5"/>
  <c r="BP25" i="5" s="1"/>
  <c r="BQ26" i="5"/>
  <c r="BP26" i="5" s="1"/>
  <c r="U27" i="5"/>
  <c r="AG27" i="5"/>
  <c r="AS27" i="5"/>
  <c r="BQ30" i="5"/>
  <c r="BO31" i="5"/>
  <c r="BQ33" i="5"/>
  <c r="AY31" i="5"/>
  <c r="X35" i="5"/>
  <c r="BQ42" i="5"/>
  <c r="BP42" i="5" s="1"/>
  <c r="BR45" i="5"/>
  <c r="BW45" i="5" s="1"/>
  <c r="BQ46" i="5"/>
  <c r="BT46" i="5" s="1"/>
  <c r="BQ48" i="5"/>
  <c r="BP48" i="5" s="1"/>
  <c r="AJ49" i="5"/>
  <c r="AI49" i="5" s="1"/>
  <c r="U47" i="5"/>
  <c r="AH54" i="5"/>
  <c r="BR54" i="5" s="1"/>
  <c r="BW54" i="5" s="1"/>
  <c r="P59" i="5"/>
  <c r="BK51" i="6"/>
  <c r="AD7" i="6"/>
  <c r="BJ10" i="6"/>
  <c r="BN41" i="6"/>
  <c r="BN54" i="6"/>
  <c r="BM54" i="6" s="1"/>
  <c r="BQ13" i="5"/>
  <c r="BP13" i="5" s="1"/>
  <c r="BQ14" i="5"/>
  <c r="AY19" i="5"/>
  <c r="BQ22" i="5"/>
  <c r="BP22" i="5" s="1"/>
  <c r="F23" i="5"/>
  <c r="U23" i="5"/>
  <c r="AG23" i="5"/>
  <c r="AS23" i="5"/>
  <c r="I30" i="5"/>
  <c r="AJ30" i="5" s="1"/>
  <c r="AI30" i="5" s="1"/>
  <c r="BR41" i="5"/>
  <c r="BW41" i="5" s="1"/>
  <c r="AJ44" i="5"/>
  <c r="AJ43" i="5" s="1"/>
  <c r="BQ45" i="5"/>
  <c r="BP45" i="5" s="1"/>
  <c r="AM47" i="5"/>
  <c r="BO47" i="5"/>
  <c r="AJ48" i="5"/>
  <c r="AJ47" i="5" s="1"/>
  <c r="BQ50" i="5"/>
  <c r="BP50" i="5" s="1"/>
  <c r="BR52" i="5"/>
  <c r="BQ53" i="5"/>
  <c r="AJ54" i="5"/>
  <c r="AI54" i="5" s="1"/>
  <c r="BQ54" i="5"/>
  <c r="BP54" i="5" s="1"/>
  <c r="AB59" i="5"/>
  <c r="BN37" i="6"/>
  <c r="AD15" i="6"/>
  <c r="AC32" i="6"/>
  <c r="AC31" i="6" s="1"/>
  <c r="BK31" i="6"/>
  <c r="BN28" i="6"/>
  <c r="BQ28" i="6"/>
  <c r="T59" i="6"/>
  <c r="AR59" i="6"/>
  <c r="AC40" i="6"/>
  <c r="AC39" i="6" s="1"/>
  <c r="AI59" i="6"/>
  <c r="AD35" i="6"/>
  <c r="W59" i="6"/>
  <c r="U59" i="6"/>
  <c r="AD31" i="6"/>
  <c r="AC28" i="6"/>
  <c r="AC27" i="6" s="1"/>
  <c r="BN46" i="6"/>
  <c r="BM46" i="6" s="1"/>
  <c r="AC46" i="6"/>
  <c r="BQ54" i="6"/>
  <c r="BQ34" i="6"/>
  <c r="AO59" i="6"/>
  <c r="BQ38" i="6"/>
  <c r="BJ43" i="6"/>
  <c r="BJ37" i="6"/>
  <c r="BQ25" i="6"/>
  <c r="BQ46" i="6"/>
  <c r="BN22" i="6"/>
  <c r="BM22" i="6" s="1"/>
  <c r="BJ22" i="6"/>
  <c r="A13" i="6"/>
  <c r="A17" i="6" s="1"/>
  <c r="A21" i="6" s="1"/>
  <c r="A25" i="6" s="1"/>
  <c r="A29" i="6" s="1"/>
  <c r="A33" i="6" s="1"/>
  <c r="A37" i="6" s="1"/>
  <c r="A41" i="6" s="1"/>
  <c r="A45" i="6" s="1"/>
  <c r="A49" i="6" s="1"/>
  <c r="A53" i="6" s="1"/>
  <c r="A10" i="6"/>
  <c r="A14" i="6" s="1"/>
  <c r="A18" i="6" s="1"/>
  <c r="A22" i="6" s="1"/>
  <c r="A26" i="6" s="1"/>
  <c r="A30" i="6" s="1"/>
  <c r="A34" i="6" s="1"/>
  <c r="A38" i="6" s="1"/>
  <c r="A42" i="6" s="1"/>
  <c r="A46" i="6" s="1"/>
  <c r="A50" i="6" s="1"/>
  <c r="A54" i="6" s="1"/>
  <c r="AM59" i="6"/>
  <c r="AL60" i="6"/>
  <c r="AL59" i="6" s="1"/>
  <c r="I55" i="6"/>
  <c r="H55" i="6"/>
  <c r="E55" i="6"/>
  <c r="F55" i="6"/>
  <c r="AC24" i="6"/>
  <c r="AC22" i="6"/>
  <c r="AU56" i="6"/>
  <c r="AU55" i="6" s="1"/>
  <c r="AV55" i="6"/>
  <c r="BQ32" i="6"/>
  <c r="AF56" i="6"/>
  <c r="AF55" i="6" s="1"/>
  <c r="AG55" i="6"/>
  <c r="N55" i="6"/>
  <c r="O55" i="6"/>
  <c r="BN20" i="6"/>
  <c r="BM20" i="6" s="1"/>
  <c r="BK19" i="6"/>
  <c r="BQ13" i="6"/>
  <c r="X59" i="6"/>
  <c r="BN17" i="6"/>
  <c r="BM17" i="6" s="1"/>
  <c r="BN42" i="6"/>
  <c r="BJ42" i="6"/>
  <c r="BK23" i="6"/>
  <c r="BN24" i="6"/>
  <c r="BN36" i="6"/>
  <c r="BK35" i="6"/>
  <c r="R55" i="6"/>
  <c r="Q55" i="6"/>
  <c r="BQ20" i="6"/>
  <c r="AB59" i="6"/>
  <c r="BK7" i="6"/>
  <c r="BN8" i="6"/>
  <c r="BJ8" i="6"/>
  <c r="O59" i="6"/>
  <c r="AO56" i="6"/>
  <c r="AO55" i="6" s="1"/>
  <c r="AP55" i="6"/>
  <c r="BJ39" i="6"/>
  <c r="BN12" i="6"/>
  <c r="BK11" i="6"/>
  <c r="BQ14" i="6"/>
  <c r="AC17" i="6"/>
  <c r="AC15" i="6" s="1"/>
  <c r="N59" i="6"/>
  <c r="AC44" i="6"/>
  <c r="AD43" i="6"/>
  <c r="BQ37" i="6"/>
  <c r="BL42" i="6"/>
  <c r="BJ51" i="6"/>
  <c r="BL30" i="6"/>
  <c r="BJ24" i="6"/>
  <c r="BJ23" i="6" s="1"/>
  <c r="BN29" i="6"/>
  <c r="BM29" i="6" s="1"/>
  <c r="BQ21" i="6"/>
  <c r="BI59" i="6"/>
  <c r="U55" i="6"/>
  <c r="T55" i="6"/>
  <c r="Q60" i="6"/>
  <c r="Q59" i="6" s="1"/>
  <c r="R59" i="6"/>
  <c r="AD27" i="6"/>
  <c r="BJ16" i="6"/>
  <c r="BJ15" i="6" s="1"/>
  <c r="BN16" i="6"/>
  <c r="BM16" i="6" s="1"/>
  <c r="BK15" i="6"/>
  <c r="AI56" i="6"/>
  <c r="AI55" i="6" s="1"/>
  <c r="AJ55" i="6"/>
  <c r="BQ18" i="6"/>
  <c r="AR56" i="6"/>
  <c r="AR55" i="6" s="1"/>
  <c r="AS55" i="6"/>
  <c r="AA55" i="6"/>
  <c r="Z55" i="6"/>
  <c r="AP59" i="6"/>
  <c r="BK61" i="6"/>
  <c r="BJ61" i="6" s="1"/>
  <c r="BN9" i="6"/>
  <c r="BK62" i="6"/>
  <c r="BJ62" i="6" s="1"/>
  <c r="BJ21" i="6"/>
  <c r="BJ19" i="6" s="1"/>
  <c r="BN21" i="6"/>
  <c r="BM21" i="6" s="1"/>
  <c r="BQ16" i="6"/>
  <c r="AC10" i="6"/>
  <c r="AD61" i="6"/>
  <c r="AC9" i="6"/>
  <c r="AL56" i="6"/>
  <c r="AL55" i="6" s="1"/>
  <c r="AM55" i="6"/>
  <c r="BQ22" i="6"/>
  <c r="AD19" i="6"/>
  <c r="AC20" i="6"/>
  <c r="AC19" i="6" s="1"/>
  <c r="BL60" i="6"/>
  <c r="BQ8" i="6"/>
  <c r="AJ59" i="6"/>
  <c r="AS59" i="6"/>
  <c r="Z60" i="6"/>
  <c r="Z59" i="6" s="1"/>
  <c r="AA59" i="6"/>
  <c r="X55" i="6"/>
  <c r="W55" i="6"/>
  <c r="BL61" i="6"/>
  <c r="BQ12" i="6"/>
  <c r="AC11" i="6"/>
  <c r="X27" i="5"/>
  <c r="U31" i="5"/>
  <c r="AH65" i="5"/>
  <c r="D59" i="5"/>
  <c r="BP14" i="5"/>
  <c r="BR14" i="5"/>
  <c r="BT12" i="5"/>
  <c r="AH61" i="5"/>
  <c r="AH57" i="5"/>
  <c r="BB61" i="5"/>
  <c r="BB57" i="5"/>
  <c r="BA57" i="5" s="1"/>
  <c r="BR9" i="5"/>
  <c r="R62" i="5"/>
  <c r="Q62" i="5" s="1"/>
  <c r="R58" i="5"/>
  <c r="Q58" i="5" s="1"/>
  <c r="BR12" i="5"/>
  <c r="BR36" i="5"/>
  <c r="AJ40" i="5"/>
  <c r="F39" i="5"/>
  <c r="BR50" i="5"/>
  <c r="AH7" i="5"/>
  <c r="F60" i="5"/>
  <c r="F56" i="5"/>
  <c r="U60" i="5"/>
  <c r="T60" i="5" s="1"/>
  <c r="U56" i="5"/>
  <c r="AH60" i="5"/>
  <c r="AH56" i="5"/>
  <c r="AP60" i="5"/>
  <c r="AP56" i="5"/>
  <c r="BB60" i="5"/>
  <c r="BB56" i="5"/>
  <c r="BN56" i="5"/>
  <c r="BM56" i="5" s="1"/>
  <c r="O61" i="5"/>
  <c r="N61" i="5" s="1"/>
  <c r="O57" i="5"/>
  <c r="N57" i="5" s="1"/>
  <c r="AA61" i="5"/>
  <c r="Z61" i="5" s="1"/>
  <c r="AA57" i="5"/>
  <c r="Z57" i="5" s="1"/>
  <c r="AS61" i="5"/>
  <c r="AS57" i="5"/>
  <c r="AR57" i="5" s="1"/>
  <c r="BE61" i="5"/>
  <c r="BE57" i="5"/>
  <c r="BD57" i="5" s="1"/>
  <c r="BO61" i="5"/>
  <c r="BO57" i="5"/>
  <c r="U62" i="5"/>
  <c r="T62" i="5" s="1"/>
  <c r="U58" i="5"/>
  <c r="T58" i="5" s="1"/>
  <c r="AG62" i="5"/>
  <c r="AG58" i="5"/>
  <c r="AF58" i="5" s="1"/>
  <c r="AM62" i="5"/>
  <c r="AL62" i="5" s="1"/>
  <c r="AM58" i="5"/>
  <c r="AL58" i="5" s="1"/>
  <c r="AY62" i="5"/>
  <c r="AY58" i="5"/>
  <c r="AX58" i="5" s="1"/>
  <c r="BK62" i="5"/>
  <c r="BK58" i="5"/>
  <c r="BJ58" i="5" s="1"/>
  <c r="BQ10" i="5"/>
  <c r="BV62" i="5"/>
  <c r="BV58" i="5"/>
  <c r="L11" i="5"/>
  <c r="BO11" i="5"/>
  <c r="AI12" i="5"/>
  <c r="AI11" i="5" s="1"/>
  <c r="AP15" i="5"/>
  <c r="AH22" i="5"/>
  <c r="BR22" i="5" s="1"/>
  <c r="BW22" i="5" s="1"/>
  <c r="I22" i="5"/>
  <c r="AJ22" i="5" s="1"/>
  <c r="BT22" i="5" s="1"/>
  <c r="AJ25" i="5"/>
  <c r="AI25" i="5" s="1"/>
  <c r="AJ32" i="5"/>
  <c r="AI32" i="5" s="1"/>
  <c r="AH35" i="5"/>
  <c r="BQ36" i="5"/>
  <c r="R60" i="5"/>
  <c r="R56" i="5"/>
  <c r="AM60" i="5"/>
  <c r="AM56" i="5"/>
  <c r="AY56" i="5"/>
  <c r="L61" i="5"/>
  <c r="K61" i="5" s="1"/>
  <c r="L57" i="5"/>
  <c r="K57" i="5" s="1"/>
  <c r="X61" i="5"/>
  <c r="W61" i="5" s="1"/>
  <c r="X57" i="5"/>
  <c r="W57" i="5" s="1"/>
  <c r="AP61" i="5"/>
  <c r="AO61" i="5" s="1"/>
  <c r="AP57" i="5"/>
  <c r="AO57" i="5" s="1"/>
  <c r="BN61" i="5"/>
  <c r="BN57" i="5"/>
  <c r="BM57" i="5" s="1"/>
  <c r="AD62" i="5"/>
  <c r="AD58" i="5"/>
  <c r="AC58" i="5" s="1"/>
  <c r="AV62" i="5"/>
  <c r="AU62" i="5" s="1"/>
  <c r="AV58" i="5"/>
  <c r="AU58" i="5" s="1"/>
  <c r="AJ33" i="5"/>
  <c r="AI33" i="5" s="1"/>
  <c r="F31" i="5"/>
  <c r="BR37" i="5"/>
  <c r="BW37" i="5" s="1"/>
  <c r="BO35" i="5"/>
  <c r="AM7" i="5"/>
  <c r="BO56" i="5"/>
  <c r="A9" i="5"/>
  <c r="R61" i="5"/>
  <c r="R57" i="5"/>
  <c r="Q57" i="5" s="1"/>
  <c r="AD61" i="5"/>
  <c r="AD57" i="5"/>
  <c r="AC57" i="5" s="1"/>
  <c r="AV61" i="5"/>
  <c r="AU61" i="5" s="1"/>
  <c r="AV57" i="5"/>
  <c r="AU57" i="5" s="1"/>
  <c r="BH61" i="5"/>
  <c r="BH57" i="5"/>
  <c r="BG57" i="5" s="1"/>
  <c r="L62" i="5"/>
  <c r="K62" i="5" s="1"/>
  <c r="L58" i="5"/>
  <c r="K58" i="5" s="1"/>
  <c r="AP62" i="5"/>
  <c r="AO62" i="5" s="1"/>
  <c r="AP58" i="5"/>
  <c r="AO58" i="5" s="1"/>
  <c r="BB62" i="5"/>
  <c r="BB58" i="5"/>
  <c r="BA58" i="5" s="1"/>
  <c r="BN62" i="5"/>
  <c r="BN58" i="5"/>
  <c r="BM58" i="5" s="1"/>
  <c r="BR10" i="5"/>
  <c r="AD60" i="5"/>
  <c r="AD56" i="5"/>
  <c r="AH19" i="5"/>
  <c r="BR25" i="5"/>
  <c r="AJ28" i="5"/>
  <c r="F27" i="5"/>
  <c r="AH27" i="5"/>
  <c r="AI29" i="5"/>
  <c r="BR29" i="5"/>
  <c r="BQ31" i="5"/>
  <c r="BQ37" i="5"/>
  <c r="BQ40" i="5"/>
  <c r="BP40" i="5" s="1"/>
  <c r="AM39" i="5"/>
  <c r="AG60" i="5"/>
  <c r="AF60" i="5" s="1"/>
  <c r="AG56" i="5"/>
  <c r="BQ8" i="5"/>
  <c r="BP8" i="5" s="1"/>
  <c r="BH62" i="5"/>
  <c r="BH58" i="5"/>
  <c r="BG58" i="5" s="1"/>
  <c r="BT25" i="5"/>
  <c r="BP33" i="5"/>
  <c r="BP31" i="5" s="1"/>
  <c r="AH34" i="5"/>
  <c r="BR34" i="5" s="1"/>
  <c r="I34" i="5"/>
  <c r="AJ36" i="5"/>
  <c r="L35" i="5"/>
  <c r="AY7" i="5"/>
  <c r="L60" i="5"/>
  <c r="K60" i="5" s="1"/>
  <c r="L56" i="5"/>
  <c r="X60" i="5"/>
  <c r="W60" i="5" s="1"/>
  <c r="W59" i="5" s="1"/>
  <c r="X56" i="5"/>
  <c r="AS60" i="5"/>
  <c r="AS59" i="5" s="1"/>
  <c r="AS56" i="5"/>
  <c r="AJ9" i="5"/>
  <c r="AI9" i="5" s="1"/>
  <c r="F62" i="5"/>
  <c r="E62" i="5" s="1"/>
  <c r="F58" i="5"/>
  <c r="E58" i="5" s="1"/>
  <c r="X62" i="5"/>
  <c r="W62" i="5" s="1"/>
  <c r="X58" i="5"/>
  <c r="W58" i="5" s="1"/>
  <c r="L7" i="5"/>
  <c r="X7" i="5"/>
  <c r="AV7" i="5"/>
  <c r="BO7" i="5"/>
  <c r="O60" i="5"/>
  <c r="O56" i="5"/>
  <c r="AA60" i="5"/>
  <c r="AA56" i="5"/>
  <c r="AJ8" i="5"/>
  <c r="AV60" i="5"/>
  <c r="AU60" i="5" s="1"/>
  <c r="AV56" i="5"/>
  <c r="F61" i="5"/>
  <c r="E61" i="5" s="1"/>
  <c r="F57" i="5"/>
  <c r="E57" i="5" s="1"/>
  <c r="U61" i="5"/>
  <c r="T61" i="5" s="1"/>
  <c r="U57" i="5"/>
  <c r="T57" i="5" s="1"/>
  <c r="AG61" i="5"/>
  <c r="AF61" i="5" s="1"/>
  <c r="AG57" i="5"/>
  <c r="AF57" i="5" s="1"/>
  <c r="AM61" i="5"/>
  <c r="AL61" i="5" s="1"/>
  <c r="AM57" i="5"/>
  <c r="AL57" i="5" s="1"/>
  <c r="AY61" i="5"/>
  <c r="AX61" i="5" s="1"/>
  <c r="AY57" i="5"/>
  <c r="AX57" i="5" s="1"/>
  <c r="BK61" i="5"/>
  <c r="BK57" i="5"/>
  <c r="BJ57" i="5" s="1"/>
  <c r="BQ9" i="5"/>
  <c r="BV61" i="5"/>
  <c r="BV57" i="5"/>
  <c r="G62" i="5"/>
  <c r="H62" i="5" s="1"/>
  <c r="O62" i="5"/>
  <c r="N62" i="5" s="1"/>
  <c r="O58" i="5"/>
  <c r="N58" i="5" s="1"/>
  <c r="AA62" i="5"/>
  <c r="Z62" i="5" s="1"/>
  <c r="AA58" i="5"/>
  <c r="Z58" i="5" s="1"/>
  <c r="AS62" i="5"/>
  <c r="AR62" i="5" s="1"/>
  <c r="AS58" i="5"/>
  <c r="AR58" i="5" s="1"/>
  <c r="BE62" i="5"/>
  <c r="BE58" i="5"/>
  <c r="BD58" i="5" s="1"/>
  <c r="BO62" i="5"/>
  <c r="BO58" i="5"/>
  <c r="AD11" i="5"/>
  <c r="BO15" i="5"/>
  <c r="F19" i="5"/>
  <c r="AJ20" i="5"/>
  <c r="AJ19" i="5" s="1"/>
  <c r="BW20" i="5"/>
  <c r="L27" i="5"/>
  <c r="BQ28" i="5"/>
  <c r="BQ29" i="5"/>
  <c r="AJ34" i="5"/>
  <c r="BT34" i="5" s="1"/>
  <c r="BR21" i="5"/>
  <c r="AM23" i="5"/>
  <c r="AJ24" i="5"/>
  <c r="BO24" i="5"/>
  <c r="BR26" i="5"/>
  <c r="BR28" i="5"/>
  <c r="BR33" i="5"/>
  <c r="AM35" i="5"/>
  <c r="AJ37" i="5"/>
  <c r="AI37" i="5" s="1"/>
  <c r="BR38" i="5"/>
  <c r="BQ41" i="5"/>
  <c r="BP46" i="5"/>
  <c r="AW59" i="5"/>
  <c r="BR30" i="5"/>
  <c r="BR32" i="5"/>
  <c r="BP44" i="5"/>
  <c r="BW52" i="5"/>
  <c r="BP53" i="5"/>
  <c r="BO19" i="5"/>
  <c r="AW23" i="5"/>
  <c r="AY24" i="5"/>
  <c r="AY23" i="5" s="1"/>
  <c r="AH31" i="5"/>
  <c r="AI44" i="5"/>
  <c r="BR46" i="5"/>
  <c r="BR42" i="5"/>
  <c r="F43" i="5"/>
  <c r="BR44" i="5"/>
  <c r="BR49" i="5"/>
  <c r="O51" i="5"/>
  <c r="BP52" i="5"/>
  <c r="H59" i="5"/>
  <c r="AX62" i="5"/>
  <c r="AH43" i="5"/>
  <c r="F47" i="5"/>
  <c r="I50" i="5"/>
  <c r="AJ50" i="5" s="1"/>
  <c r="AI50" i="5" s="1"/>
  <c r="BO51" i="5"/>
  <c r="AM43" i="5"/>
  <c r="R47" i="5"/>
  <c r="Q61" i="5"/>
  <c r="AR61" i="5"/>
  <c r="N60" i="5"/>
  <c r="BO65" i="5"/>
  <c r="BR65" i="5" s="1"/>
  <c r="AF62" i="5"/>
  <c r="AY20" i="1"/>
  <c r="AV20" i="1"/>
  <c r="AS20" i="1"/>
  <c r="AP20" i="1"/>
  <c r="AM20" i="1"/>
  <c r="AH20" i="1"/>
  <c r="AG20" i="1"/>
  <c r="AD20" i="1"/>
  <c r="AA20" i="1"/>
  <c r="X20" i="1"/>
  <c r="U20" i="1"/>
  <c r="R20" i="1"/>
  <c r="O20" i="1"/>
  <c r="L20" i="1"/>
  <c r="F20" i="1"/>
  <c r="AW58" i="1"/>
  <c r="AT58" i="1"/>
  <c r="AQ58" i="1"/>
  <c r="AN58" i="1"/>
  <c r="AK58" i="1"/>
  <c r="AW57" i="1"/>
  <c r="AT57" i="1"/>
  <c r="AQ57" i="1"/>
  <c r="AN57" i="1"/>
  <c r="AK57" i="1"/>
  <c r="AW56" i="1"/>
  <c r="AT56" i="1"/>
  <c r="AQ56" i="1"/>
  <c r="AN56" i="1"/>
  <c r="AK56" i="1"/>
  <c r="AE58" i="1"/>
  <c r="AE57" i="1"/>
  <c r="AE56" i="1"/>
  <c r="AB58" i="1"/>
  <c r="AB57" i="1"/>
  <c r="AB56" i="1"/>
  <c r="Y58" i="1"/>
  <c r="Y57" i="1"/>
  <c r="Y56" i="1"/>
  <c r="V58" i="1"/>
  <c r="V57" i="1"/>
  <c r="V56" i="1"/>
  <c r="S58" i="1"/>
  <c r="S57" i="1"/>
  <c r="S56" i="1"/>
  <c r="P58" i="1"/>
  <c r="P57" i="1"/>
  <c r="P56" i="1"/>
  <c r="M58" i="1"/>
  <c r="M57" i="1"/>
  <c r="M56" i="1"/>
  <c r="J58" i="1"/>
  <c r="J57" i="1"/>
  <c r="J56" i="1"/>
  <c r="D58" i="1"/>
  <c r="D57" i="1"/>
  <c r="D56" i="1"/>
  <c r="BT17" i="5" l="1"/>
  <c r="BS17" i="5" s="1"/>
  <c r="BN11" i="6"/>
  <c r="AC58" i="6"/>
  <c r="BN58" i="6"/>
  <c r="BJ7" i="6"/>
  <c r="BL58" i="6"/>
  <c r="BQ58" i="6" s="1"/>
  <c r="BN57" i="6"/>
  <c r="BM57" i="6" s="1"/>
  <c r="AR60" i="5"/>
  <c r="BT44" i="5"/>
  <c r="BS44" i="5" s="1"/>
  <c r="AC7" i="6"/>
  <c r="BQ43" i="5"/>
  <c r="AA59" i="5"/>
  <c r="BT48" i="5"/>
  <c r="BS48" i="5" s="1"/>
  <c r="BQ10" i="6"/>
  <c r="AI42" i="5"/>
  <c r="BT42" i="5"/>
  <c r="BS42" i="5" s="1"/>
  <c r="BT54" i="5"/>
  <c r="BS54" i="5" s="1"/>
  <c r="BT45" i="5"/>
  <c r="BS45" i="5" s="1"/>
  <c r="BT21" i="5"/>
  <c r="BQ11" i="5"/>
  <c r="BT13" i="5"/>
  <c r="BS13" i="5" s="1"/>
  <c r="BT53" i="5"/>
  <c r="BS53" i="5" s="1"/>
  <c r="BO55" i="5"/>
  <c r="BT14" i="5"/>
  <c r="BS14" i="5" s="1"/>
  <c r="AI51" i="5"/>
  <c r="BT38" i="5"/>
  <c r="BM8" i="6"/>
  <c r="BM15" i="6"/>
  <c r="BM10" i="6"/>
  <c r="AI18" i="5"/>
  <c r="BT18" i="5"/>
  <c r="BS18" i="5" s="1"/>
  <c r="BP38" i="5"/>
  <c r="BR56" i="5"/>
  <c r="BW56" i="5" s="1"/>
  <c r="AI14" i="5"/>
  <c r="BT49" i="5"/>
  <c r="BS49" i="5" s="1"/>
  <c r="BS38" i="5"/>
  <c r="AD59" i="5"/>
  <c r="BS21" i="5"/>
  <c r="AJ51" i="5"/>
  <c r="AI31" i="5"/>
  <c r="BP21" i="5"/>
  <c r="BP19" i="5" s="1"/>
  <c r="AH66" i="5"/>
  <c r="BT16" i="5"/>
  <c r="BT15" i="5" s="1"/>
  <c r="BQ47" i="5"/>
  <c r="BT26" i="5"/>
  <c r="BS26" i="5" s="1"/>
  <c r="BN43" i="6"/>
  <c r="BM43" i="6"/>
  <c r="BN35" i="6"/>
  <c r="BM31" i="6"/>
  <c r="BN31" i="6"/>
  <c r="BM49" i="6"/>
  <c r="AC43" i="6"/>
  <c r="BM41" i="6"/>
  <c r="BM39" i="6" s="1"/>
  <c r="BN39" i="6"/>
  <c r="BM37" i="6"/>
  <c r="AC23" i="6"/>
  <c r="BM19" i="6"/>
  <c r="BL59" i="6"/>
  <c r="BM28" i="6"/>
  <c r="BM27" i="6" s="1"/>
  <c r="BN27" i="6"/>
  <c r="BM24" i="6"/>
  <c r="BM23" i="6" s="1"/>
  <c r="BN23" i="6"/>
  <c r="BQ56" i="6"/>
  <c r="BL55" i="6"/>
  <c r="BS25" i="5"/>
  <c r="BN62" i="6"/>
  <c r="AC62" i="6"/>
  <c r="BP43" i="5"/>
  <c r="BP47" i="5"/>
  <c r="BT30" i="5"/>
  <c r="BQ51" i="5"/>
  <c r="BJ35" i="6"/>
  <c r="BJ31" i="6"/>
  <c r="BT37" i="5"/>
  <c r="AH62" i="5"/>
  <c r="AH58" i="5"/>
  <c r="BP30" i="5"/>
  <c r="BT52" i="5"/>
  <c r="BS52" i="5" s="1"/>
  <c r="AJ15" i="5"/>
  <c r="BW21" i="5"/>
  <c r="L59" i="5"/>
  <c r="BP16" i="5"/>
  <c r="BP15" i="5" s="1"/>
  <c r="AH55" i="5"/>
  <c r="AI48" i="5"/>
  <c r="AI47" i="5" s="1"/>
  <c r="AJ11" i="5"/>
  <c r="BQ24" i="5"/>
  <c r="BT24" i="5" s="1"/>
  <c r="K59" i="5"/>
  <c r="BP51" i="5"/>
  <c r="I62" i="5"/>
  <c r="AC61" i="6"/>
  <c r="BQ60" i="6"/>
  <c r="BM30" i="6"/>
  <c r="BQ30" i="6"/>
  <c r="BM42" i="6"/>
  <c r="BQ42" i="6"/>
  <c r="BN7" i="6"/>
  <c r="BM12" i="6"/>
  <c r="BM11" i="6" s="1"/>
  <c r="BN19" i="6"/>
  <c r="BL62" i="6"/>
  <c r="BN61" i="6"/>
  <c r="BM61" i="6" s="1"/>
  <c r="BM9" i="6"/>
  <c r="BM36" i="6"/>
  <c r="BN15" i="6"/>
  <c r="BQ61" i="6"/>
  <c r="X59" i="5"/>
  <c r="BT32" i="5"/>
  <c r="BS32" i="5" s="1"/>
  <c r="BS34" i="5"/>
  <c r="BW34" i="5"/>
  <c r="BW32" i="5"/>
  <c r="AM59" i="5"/>
  <c r="AV59" i="5"/>
  <c r="N56" i="5"/>
  <c r="N55" i="5" s="1"/>
  <c r="O55" i="5"/>
  <c r="AJ35" i="5"/>
  <c r="BQ56" i="5"/>
  <c r="BT8" i="5"/>
  <c r="BQ7" i="5"/>
  <c r="BT40" i="5"/>
  <c r="BS40" i="5" s="1"/>
  <c r="BQ39" i="5"/>
  <c r="BW33" i="5"/>
  <c r="AI28" i="5"/>
  <c r="AI27" i="5" s="1"/>
  <c r="AJ27" i="5"/>
  <c r="AI20" i="5"/>
  <c r="AI19" i="5" s="1"/>
  <c r="AD55" i="5"/>
  <c r="AC56" i="5"/>
  <c r="AC55" i="5" s="1"/>
  <c r="A13" i="5"/>
  <c r="A17" i="5" s="1"/>
  <c r="A21" i="5" s="1"/>
  <c r="A25" i="5" s="1"/>
  <c r="A29" i="5" s="1"/>
  <c r="A33" i="5" s="1"/>
  <c r="A37" i="5" s="1"/>
  <c r="A41" i="5" s="1"/>
  <c r="A45" i="5" s="1"/>
  <c r="A49" i="5" s="1"/>
  <c r="A53" i="5" s="1"/>
  <c r="A10" i="5"/>
  <c r="A14" i="5" s="1"/>
  <c r="A18" i="5" s="1"/>
  <c r="A22" i="5" s="1"/>
  <c r="A26" i="5" s="1"/>
  <c r="A30" i="5" s="1"/>
  <c r="A34" i="5" s="1"/>
  <c r="A38" i="5" s="1"/>
  <c r="A42" i="5" s="1"/>
  <c r="A46" i="5" s="1"/>
  <c r="A50" i="5" s="1"/>
  <c r="A54" i="5" s="1"/>
  <c r="BP37" i="5"/>
  <c r="AX56" i="5"/>
  <c r="AX55" i="5" s="1"/>
  <c r="AY55" i="5"/>
  <c r="R55" i="5"/>
  <c r="Q56" i="5"/>
  <c r="Q55" i="5" s="1"/>
  <c r="BT20" i="5"/>
  <c r="AP55" i="5"/>
  <c r="AO56" i="5"/>
  <c r="AO55" i="5" s="1"/>
  <c r="U55" i="5"/>
  <c r="T56" i="5"/>
  <c r="T55" i="5" s="1"/>
  <c r="BW50" i="5"/>
  <c r="AI36" i="5"/>
  <c r="AI35" i="5" s="1"/>
  <c r="BW12" i="5"/>
  <c r="BS12" i="5"/>
  <c r="BT33" i="5"/>
  <c r="BS33" i="5" s="1"/>
  <c r="BW14" i="5"/>
  <c r="BT41" i="5"/>
  <c r="BS41" i="5" s="1"/>
  <c r="BP41" i="5"/>
  <c r="BP39" i="5" s="1"/>
  <c r="AU56" i="5"/>
  <c r="AU55" i="5" s="1"/>
  <c r="AV55" i="5"/>
  <c r="BW29" i="5"/>
  <c r="BQ23" i="5"/>
  <c r="BR61" i="5"/>
  <c r="BR57" i="5"/>
  <c r="BW57" i="5" s="1"/>
  <c r="BW9" i="5"/>
  <c r="AU59" i="5"/>
  <c r="AL60" i="5"/>
  <c r="AL59" i="5" s="1"/>
  <c r="Z60" i="5"/>
  <c r="Z59" i="5" s="1"/>
  <c r="AF59" i="5"/>
  <c r="AR59" i="5"/>
  <c r="BT50" i="5"/>
  <c r="BS50" i="5" s="1"/>
  <c r="BT29" i="5"/>
  <c r="BS29" i="5" s="1"/>
  <c r="BP29" i="5"/>
  <c r="BQ61" i="5"/>
  <c r="BP61" i="5" s="1"/>
  <c r="BQ57" i="5"/>
  <c r="BP57" i="5" s="1"/>
  <c r="BP9" i="5"/>
  <c r="BP7" i="5" s="1"/>
  <c r="BT9" i="5"/>
  <c r="AJ60" i="5"/>
  <c r="AJ56" i="5"/>
  <c r="AJ7" i="5"/>
  <c r="AI8" i="5"/>
  <c r="AI7" i="5" s="1"/>
  <c r="O59" i="5"/>
  <c r="W56" i="5"/>
  <c r="W55" i="5" s="1"/>
  <c r="X55" i="5"/>
  <c r="AG55" i="5"/>
  <c r="AF56" i="5"/>
  <c r="AF55" i="5" s="1"/>
  <c r="BW26" i="5"/>
  <c r="BS22" i="5"/>
  <c r="AY60" i="5"/>
  <c r="BQ65" i="5" s="1"/>
  <c r="Q60" i="5"/>
  <c r="Q59" i="5" s="1"/>
  <c r="R59" i="5"/>
  <c r="AO60" i="5"/>
  <c r="AO59" i="5" s="1"/>
  <c r="AP59" i="5"/>
  <c r="U59" i="5"/>
  <c r="AI40" i="5"/>
  <c r="AI39" i="5" s="1"/>
  <c r="AJ39" i="5"/>
  <c r="BW28" i="5"/>
  <c r="BP11" i="5"/>
  <c r="AJ62" i="5"/>
  <c r="AJ58" i="5"/>
  <c r="AI58" i="5" s="1"/>
  <c r="AI43" i="5"/>
  <c r="AJ23" i="5"/>
  <c r="AI24" i="5"/>
  <c r="AI23" i="5" s="1"/>
  <c r="AS55" i="5"/>
  <c r="AR56" i="5"/>
  <c r="AR55" i="5" s="1"/>
  <c r="K56" i="5"/>
  <c r="K55" i="5" s="1"/>
  <c r="L55" i="5"/>
  <c r="AH59" i="5"/>
  <c r="E60" i="5"/>
  <c r="E59" i="5" s="1"/>
  <c r="F59" i="5"/>
  <c r="BW36" i="5"/>
  <c r="BS46" i="5"/>
  <c r="BS30" i="5"/>
  <c r="BW30" i="5"/>
  <c r="N59" i="5"/>
  <c r="T59" i="5"/>
  <c r="BW44" i="5"/>
  <c r="BW49" i="5"/>
  <c r="BO23" i="5"/>
  <c r="BR24" i="5"/>
  <c r="BT28" i="5"/>
  <c r="BS28" i="5" s="1"/>
  <c r="BQ27" i="5"/>
  <c r="Z56" i="5"/>
  <c r="Z55" i="5" s="1"/>
  <c r="AA55" i="5"/>
  <c r="AJ61" i="5"/>
  <c r="AI61" i="5" s="1"/>
  <c r="AJ57" i="5"/>
  <c r="AI57" i="5" s="1"/>
  <c r="BW42" i="5"/>
  <c r="AI34" i="5"/>
  <c r="AG59" i="5"/>
  <c r="AJ65" i="5"/>
  <c r="BP28" i="5"/>
  <c r="BR62" i="5"/>
  <c r="BW62" i="5" s="1"/>
  <c r="BR58" i="5"/>
  <c r="BW58" i="5" s="1"/>
  <c r="BW10" i="5"/>
  <c r="BO60" i="5"/>
  <c r="BS37" i="5"/>
  <c r="AL56" i="5"/>
  <c r="AL55" i="5" s="1"/>
  <c r="AM55" i="5"/>
  <c r="BT36" i="5"/>
  <c r="BT35" i="5" s="1"/>
  <c r="BP36" i="5"/>
  <c r="BQ35" i="5"/>
  <c r="AJ31" i="5"/>
  <c r="AI22" i="5"/>
  <c r="BQ62" i="5"/>
  <c r="BP62" i="5" s="1"/>
  <c r="BQ58" i="5"/>
  <c r="BP58" i="5" s="1"/>
  <c r="BT10" i="5"/>
  <c r="BP10" i="5"/>
  <c r="BB55" i="5"/>
  <c r="BA56" i="5"/>
  <c r="BA55" i="5" s="1"/>
  <c r="F55" i="5"/>
  <c r="E56" i="5"/>
  <c r="E55" i="5" s="1"/>
  <c r="BW46" i="5"/>
  <c r="BW38" i="5"/>
  <c r="BW25" i="5"/>
  <c r="AJ20" i="1"/>
  <c r="AY16" i="1"/>
  <c r="AV16" i="1"/>
  <c r="AS16" i="1"/>
  <c r="AP16" i="1"/>
  <c r="AM16" i="1"/>
  <c r="AH16" i="1"/>
  <c r="AG16" i="1"/>
  <c r="AD16" i="1"/>
  <c r="AA16" i="1"/>
  <c r="X16" i="1"/>
  <c r="U16" i="1"/>
  <c r="R16" i="1"/>
  <c r="O16" i="1"/>
  <c r="L16" i="1"/>
  <c r="F16" i="1"/>
  <c r="BS11" i="5" l="1"/>
  <c r="BT11" i="5"/>
  <c r="BM7" i="6"/>
  <c r="BS16" i="5"/>
  <c r="BS15" i="5" s="1"/>
  <c r="BP35" i="5"/>
  <c r="AI62" i="5"/>
  <c r="BP24" i="5"/>
  <c r="BP23" i="5" s="1"/>
  <c r="BP27" i="5"/>
  <c r="BM35" i="6"/>
  <c r="BM58" i="6"/>
  <c r="AJ16" i="1"/>
  <c r="AI16" i="1" s="1"/>
  <c r="BQ60" i="5"/>
  <c r="BM62" i="6"/>
  <c r="BQ62" i="6"/>
  <c r="BT65" i="5"/>
  <c r="BT60" i="5"/>
  <c r="BT56" i="5"/>
  <c r="BS56" i="5" s="1"/>
  <c r="BT7" i="5"/>
  <c r="BS8" i="5"/>
  <c r="BP60" i="5"/>
  <c r="BP59" i="5" s="1"/>
  <c r="BO59" i="5"/>
  <c r="AI56" i="5"/>
  <c r="AI55" i="5" s="1"/>
  <c r="AJ55" i="5"/>
  <c r="BQ55" i="5"/>
  <c r="BP56" i="5"/>
  <c r="BP55" i="5" s="1"/>
  <c r="BT62" i="5"/>
  <c r="BS62" i="5" s="1"/>
  <c r="BT58" i="5"/>
  <c r="BS58" i="5" s="1"/>
  <c r="BQ59" i="5"/>
  <c r="AJ66" i="5"/>
  <c r="AJ59" i="5"/>
  <c r="BS10" i="5"/>
  <c r="BS24" i="5"/>
  <c r="BW24" i="5"/>
  <c r="BR60" i="5"/>
  <c r="BS36" i="5"/>
  <c r="AI60" i="5"/>
  <c r="AI59" i="5" s="1"/>
  <c r="AY59" i="5"/>
  <c r="AX60" i="5"/>
  <c r="AX59" i="5" s="1"/>
  <c r="BT61" i="5"/>
  <c r="BS61" i="5" s="1"/>
  <c r="BT57" i="5"/>
  <c r="BS57" i="5" s="1"/>
  <c r="BS9" i="5"/>
  <c r="BT19" i="5"/>
  <c r="BS20" i="5"/>
  <c r="BS19" i="5" s="1"/>
  <c r="BW61" i="5"/>
  <c r="AI20" i="1"/>
  <c r="AY12" i="1"/>
  <c r="AV12" i="1"/>
  <c r="AS12" i="1"/>
  <c r="AP12" i="1"/>
  <c r="AM12" i="1"/>
  <c r="AH12" i="1"/>
  <c r="AG12" i="1"/>
  <c r="AD12" i="1"/>
  <c r="AD56" i="1" s="1"/>
  <c r="AC56" i="1" s="1"/>
  <c r="AA12" i="1"/>
  <c r="X12" i="1"/>
  <c r="U12" i="1"/>
  <c r="R12" i="1"/>
  <c r="O12" i="1"/>
  <c r="L12" i="1"/>
  <c r="F12" i="1"/>
  <c r="AY8" i="1"/>
  <c r="AV8" i="1"/>
  <c r="AS8" i="1"/>
  <c r="AP8" i="1"/>
  <c r="AM8" i="1"/>
  <c r="AH8" i="1"/>
  <c r="AG8" i="1"/>
  <c r="AA8" i="1"/>
  <c r="X8" i="1"/>
  <c r="U8" i="1"/>
  <c r="R8" i="1"/>
  <c r="O8" i="1"/>
  <c r="L8" i="1"/>
  <c r="F8" i="1"/>
  <c r="R56" i="1" l="1"/>
  <c r="Q56" i="1" s="1"/>
  <c r="AG56" i="1"/>
  <c r="AF56" i="1" s="1"/>
  <c r="AS56" i="1"/>
  <c r="AR56" i="1" s="1"/>
  <c r="U56" i="1"/>
  <c r="T56" i="1" s="1"/>
  <c r="X56" i="1"/>
  <c r="W56" i="1" s="1"/>
  <c r="L56" i="1"/>
  <c r="K56" i="1" s="1"/>
  <c r="AY56" i="1"/>
  <c r="AX56" i="1" s="1"/>
  <c r="AM56" i="1"/>
  <c r="AL56" i="1" s="1"/>
  <c r="O56" i="1"/>
  <c r="N56" i="1" s="1"/>
  <c r="AA56" i="1"/>
  <c r="Z56" i="1" s="1"/>
  <c r="AH56" i="1"/>
  <c r="AV56" i="1"/>
  <c r="AU56" i="1" s="1"/>
  <c r="AP56" i="1"/>
  <c r="AO56" i="1" s="1"/>
  <c r="BS7" i="5"/>
  <c r="BW60" i="5"/>
  <c r="BS60" i="5"/>
  <c r="BR59" i="5"/>
  <c r="AJ8" i="1"/>
  <c r="AI8" i="1" s="1"/>
  <c r="F56" i="1"/>
  <c r="AJ12" i="1"/>
  <c r="AI12" i="1" s="1"/>
  <c r="BL58" i="1"/>
  <c r="BI58" i="1"/>
  <c r="BF58" i="1"/>
  <c r="BC58" i="1"/>
  <c r="AZ58" i="1"/>
  <c r="BL57" i="1"/>
  <c r="BI57" i="1"/>
  <c r="BF57" i="1"/>
  <c r="BC57" i="1"/>
  <c r="AZ57" i="1"/>
  <c r="BL56" i="1"/>
  <c r="BI56" i="1"/>
  <c r="BF56" i="1"/>
  <c r="BC56" i="1"/>
  <c r="AZ56" i="1"/>
  <c r="AJ56" i="1" l="1"/>
  <c r="AI56" i="1" s="1"/>
  <c r="AY52" i="1"/>
  <c r="AV52" i="1"/>
  <c r="AS52" i="1"/>
  <c r="AP52" i="1"/>
  <c r="AM52" i="1"/>
  <c r="AY48" i="1"/>
  <c r="AV48" i="1"/>
  <c r="AS48" i="1"/>
  <c r="AP48" i="1"/>
  <c r="AM48" i="1"/>
  <c r="AY44" i="1"/>
  <c r="AV44" i="1"/>
  <c r="AS44" i="1"/>
  <c r="AP44" i="1"/>
  <c r="AM44" i="1"/>
  <c r="AY40" i="1"/>
  <c r="AV40" i="1"/>
  <c r="AS40" i="1"/>
  <c r="AP40" i="1"/>
  <c r="AM40" i="1"/>
  <c r="AY36" i="1"/>
  <c r="AV36" i="1"/>
  <c r="AS36" i="1"/>
  <c r="AP36" i="1"/>
  <c r="AM36" i="1"/>
  <c r="AY32" i="1"/>
  <c r="AV32" i="1"/>
  <c r="AS32" i="1"/>
  <c r="AP32" i="1"/>
  <c r="AM32" i="1"/>
  <c r="AY28" i="1"/>
  <c r="AV28" i="1"/>
  <c r="AS28" i="1"/>
  <c r="AP28" i="1"/>
  <c r="AM28" i="1"/>
  <c r="AW24" i="1"/>
  <c r="AY24" i="1" s="1"/>
  <c r="AV24" i="1"/>
  <c r="AS24" i="1"/>
  <c r="AP24" i="1"/>
  <c r="AM24" i="1"/>
  <c r="C64" i="4" l="1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AL64" i="4" s="1"/>
  <c r="AM64" i="4" s="1"/>
  <c r="AN64" i="4" s="1"/>
  <c r="AO64" i="4" s="1"/>
  <c r="AP64" i="4" s="1"/>
  <c r="AQ64" i="4" s="1"/>
  <c r="AR64" i="4" s="1"/>
  <c r="AS64" i="4" s="1"/>
  <c r="AT64" i="4" s="1"/>
  <c r="AU64" i="4" s="1"/>
  <c r="AV64" i="4" s="1"/>
  <c r="AW64" i="4" s="1"/>
  <c r="AX64" i="4" s="1"/>
  <c r="AY64" i="4" s="1"/>
  <c r="AZ64" i="4" s="1"/>
  <c r="BA64" i="4" s="1"/>
  <c r="BB64" i="4" s="1"/>
  <c r="BC64" i="4" s="1"/>
  <c r="BD64" i="4" s="1"/>
  <c r="BE64" i="4" s="1"/>
  <c r="BF64" i="4" s="1"/>
  <c r="BG64" i="4" s="1"/>
  <c r="BH64" i="4" s="1"/>
  <c r="BI64" i="4" s="1"/>
  <c r="BJ64" i="4" s="1"/>
  <c r="BK64" i="4" s="1"/>
  <c r="BL64" i="4" s="1"/>
  <c r="BM64" i="4" s="1"/>
  <c r="BN64" i="4" s="1"/>
  <c r="BO64" i="4" s="1"/>
  <c r="BP64" i="4" s="1"/>
  <c r="BQ64" i="4" s="1"/>
  <c r="BR64" i="4" s="1"/>
  <c r="BS64" i="4" s="1"/>
  <c r="BT64" i="4" s="1"/>
  <c r="BL62" i="4"/>
  <c r="BM62" i="4" s="1"/>
  <c r="BI62" i="4"/>
  <c r="BJ62" i="4" s="1"/>
  <c r="BF62" i="4"/>
  <c r="BG62" i="4" s="1"/>
  <c r="BC62" i="4"/>
  <c r="BD62" i="4" s="1"/>
  <c r="AZ62" i="4"/>
  <c r="BA62" i="4" s="1"/>
  <c r="AW62" i="4"/>
  <c r="AT62" i="4"/>
  <c r="AQ62" i="4"/>
  <c r="AN62" i="4"/>
  <c r="AK62" i="4"/>
  <c r="AE62" i="4"/>
  <c r="AB62" i="4"/>
  <c r="AC62" i="4" s="1"/>
  <c r="Y62" i="4"/>
  <c r="V62" i="4"/>
  <c r="S62" i="4"/>
  <c r="P62" i="4"/>
  <c r="M62" i="4"/>
  <c r="J62" i="4"/>
  <c r="D62" i="4"/>
  <c r="BL61" i="4"/>
  <c r="BM61" i="4" s="1"/>
  <c r="BI61" i="4"/>
  <c r="BJ61" i="4" s="1"/>
  <c r="BF61" i="4"/>
  <c r="BG61" i="4" s="1"/>
  <c r="BC61" i="4"/>
  <c r="BD61" i="4" s="1"/>
  <c r="AZ61" i="4"/>
  <c r="BA61" i="4" s="1"/>
  <c r="AW61" i="4"/>
  <c r="AT61" i="4"/>
  <c r="AQ61" i="4"/>
  <c r="AN61" i="4"/>
  <c r="AK61" i="4"/>
  <c r="AE61" i="4"/>
  <c r="AB61" i="4"/>
  <c r="AC61" i="4" s="1"/>
  <c r="Y61" i="4"/>
  <c r="V61" i="4"/>
  <c r="S61" i="4"/>
  <c r="P61" i="4"/>
  <c r="M61" i="4"/>
  <c r="J61" i="4"/>
  <c r="I61" i="4"/>
  <c r="G61" i="4"/>
  <c r="H61" i="4" s="1"/>
  <c r="D61" i="4"/>
  <c r="BN60" i="4"/>
  <c r="BL60" i="4"/>
  <c r="BM60" i="4" s="1"/>
  <c r="BK60" i="4"/>
  <c r="BI60" i="4"/>
  <c r="BJ60" i="4" s="1"/>
  <c r="BH60" i="4"/>
  <c r="BF60" i="4"/>
  <c r="BG60" i="4" s="1"/>
  <c r="BE60" i="4"/>
  <c r="BC60" i="4"/>
  <c r="BD60" i="4" s="1"/>
  <c r="AZ60" i="4"/>
  <c r="BA60" i="4" s="1"/>
  <c r="AT60" i="4"/>
  <c r="AT59" i="4" s="1"/>
  <c r="AQ60" i="4"/>
  <c r="AQ59" i="4" s="1"/>
  <c r="AN60" i="4"/>
  <c r="AN59" i="4" s="1"/>
  <c r="AK60" i="4"/>
  <c r="AK59" i="4" s="1"/>
  <c r="AE60" i="4"/>
  <c r="AE59" i="4" s="1"/>
  <c r="AB60" i="4"/>
  <c r="AC60" i="4" s="1"/>
  <c r="Y60" i="4"/>
  <c r="Y59" i="4" s="1"/>
  <c r="V60" i="4"/>
  <c r="S60" i="4"/>
  <c r="S59" i="4" s="1"/>
  <c r="M60" i="4"/>
  <c r="M59" i="4" s="1"/>
  <c r="J60" i="4"/>
  <c r="I60" i="4"/>
  <c r="G60" i="4"/>
  <c r="H60" i="4" s="1"/>
  <c r="D60" i="4"/>
  <c r="V59" i="4"/>
  <c r="BL58" i="4"/>
  <c r="BI58" i="4"/>
  <c r="BF58" i="4"/>
  <c r="BC58" i="4"/>
  <c r="AZ58" i="4"/>
  <c r="AW58" i="4"/>
  <c r="AT58" i="4"/>
  <c r="AQ58" i="4"/>
  <c r="AN58" i="4"/>
  <c r="AK58" i="4"/>
  <c r="AE58" i="4"/>
  <c r="AB58" i="4"/>
  <c r="Y58" i="4"/>
  <c r="V58" i="4"/>
  <c r="S58" i="4"/>
  <c r="P58" i="4"/>
  <c r="M58" i="4"/>
  <c r="J58" i="4"/>
  <c r="D58" i="4"/>
  <c r="BL57" i="4"/>
  <c r="BI57" i="4"/>
  <c r="BF57" i="4"/>
  <c r="BC57" i="4"/>
  <c r="AZ57" i="4"/>
  <c r="AW57" i="4"/>
  <c r="AT57" i="4"/>
  <c r="AQ57" i="4"/>
  <c r="AN57" i="4"/>
  <c r="AK57" i="4"/>
  <c r="AE57" i="4"/>
  <c r="AB57" i="4"/>
  <c r="Y57" i="4"/>
  <c r="V57" i="4"/>
  <c r="S57" i="4"/>
  <c r="P57" i="4"/>
  <c r="M57" i="4"/>
  <c r="J57" i="4"/>
  <c r="D57" i="4"/>
  <c r="BL56" i="4"/>
  <c r="BI56" i="4"/>
  <c r="BF56" i="4"/>
  <c r="BC56" i="4"/>
  <c r="AZ56" i="4"/>
  <c r="AW56" i="4"/>
  <c r="AT56" i="4"/>
  <c r="AQ56" i="4"/>
  <c r="AN56" i="4"/>
  <c r="AK56" i="4"/>
  <c r="AE56" i="4"/>
  <c r="AB56" i="4"/>
  <c r="Y56" i="4"/>
  <c r="V56" i="4"/>
  <c r="S56" i="4"/>
  <c r="P56" i="4"/>
  <c r="M56" i="4"/>
  <c r="J56" i="4"/>
  <c r="D56" i="4"/>
  <c r="BV54" i="4"/>
  <c r="BO54" i="4"/>
  <c r="BN54" i="4"/>
  <c r="BK54" i="4"/>
  <c r="BH54" i="4"/>
  <c r="BE54" i="4"/>
  <c r="BB54" i="4"/>
  <c r="AY54" i="4"/>
  <c r="AV54" i="4"/>
  <c r="AS54" i="4"/>
  <c r="AP54" i="4"/>
  <c r="AM54" i="4"/>
  <c r="AG54" i="4"/>
  <c r="AD54" i="4"/>
  <c r="AA54" i="4"/>
  <c r="X54" i="4"/>
  <c r="U54" i="4"/>
  <c r="R54" i="4"/>
  <c r="O54" i="4"/>
  <c r="L54" i="4"/>
  <c r="H54" i="4"/>
  <c r="G54" i="4"/>
  <c r="AH54" i="4" s="1"/>
  <c r="F54" i="4"/>
  <c r="BV53" i="4"/>
  <c r="BO53" i="4"/>
  <c r="BN53" i="4"/>
  <c r="BK53" i="4"/>
  <c r="BH53" i="4"/>
  <c r="BE53" i="4"/>
  <c r="BB53" i="4"/>
  <c r="AY53" i="4"/>
  <c r="AV53" i="4"/>
  <c r="AS53" i="4"/>
  <c r="AP53" i="4"/>
  <c r="AM53" i="4"/>
  <c r="AH53" i="4"/>
  <c r="AG53" i="4"/>
  <c r="AD53" i="4"/>
  <c r="AA53" i="4"/>
  <c r="X53" i="4"/>
  <c r="U53" i="4"/>
  <c r="R53" i="4"/>
  <c r="O53" i="4"/>
  <c r="L53" i="4"/>
  <c r="F53" i="4"/>
  <c r="BV52" i="4"/>
  <c r="BO52" i="4"/>
  <c r="BN52" i="4"/>
  <c r="BK52" i="4"/>
  <c r="BH52" i="4"/>
  <c r="BE52" i="4"/>
  <c r="BB52" i="4"/>
  <c r="AY52" i="4"/>
  <c r="AY51" i="4" s="1"/>
  <c r="AV52" i="4"/>
  <c r="AS52" i="4"/>
  <c r="AP52" i="4"/>
  <c r="AM52" i="4"/>
  <c r="AH52" i="4"/>
  <c r="AG52" i="4"/>
  <c r="AD52" i="4"/>
  <c r="AA52" i="4"/>
  <c r="AA51" i="4" s="1"/>
  <c r="X52" i="4"/>
  <c r="U52" i="4"/>
  <c r="R52" i="4"/>
  <c r="O52" i="4"/>
  <c r="O51" i="4" s="1"/>
  <c r="L52" i="4"/>
  <c r="F52" i="4"/>
  <c r="AX51" i="4"/>
  <c r="AW51" i="4"/>
  <c r="AU51" i="4"/>
  <c r="AT51" i="4"/>
  <c r="AR51" i="4"/>
  <c r="AQ51" i="4"/>
  <c r="AO51" i="4"/>
  <c r="AN51" i="4"/>
  <c r="AL51" i="4"/>
  <c r="AK51" i="4"/>
  <c r="AF51" i="4"/>
  <c r="AE51" i="4"/>
  <c r="AC51" i="4"/>
  <c r="AB51" i="4"/>
  <c r="Z51" i="4"/>
  <c r="Y51" i="4"/>
  <c r="W51" i="4"/>
  <c r="V51" i="4"/>
  <c r="T51" i="4"/>
  <c r="S51" i="4"/>
  <c r="Q51" i="4"/>
  <c r="P51" i="4"/>
  <c r="N51" i="4"/>
  <c r="M51" i="4"/>
  <c r="K51" i="4"/>
  <c r="J51" i="4"/>
  <c r="E51" i="4"/>
  <c r="D51" i="4"/>
  <c r="BV50" i="4"/>
  <c r="BO50" i="4"/>
  <c r="BN50" i="4"/>
  <c r="BK50" i="4"/>
  <c r="BH50" i="4"/>
  <c r="BE50" i="4"/>
  <c r="BB50" i="4"/>
  <c r="AY50" i="4"/>
  <c r="AV50" i="4"/>
  <c r="AS50" i="4"/>
  <c r="AP50" i="4"/>
  <c r="AM50" i="4"/>
  <c r="AG50" i="4"/>
  <c r="AD50" i="4"/>
  <c r="AA50" i="4"/>
  <c r="X50" i="4"/>
  <c r="U50" i="4"/>
  <c r="R50" i="4"/>
  <c r="O50" i="4"/>
  <c r="L50" i="4"/>
  <c r="H50" i="4"/>
  <c r="G50" i="4"/>
  <c r="AH50" i="4" s="1"/>
  <c r="F50" i="4"/>
  <c r="BV49" i="4"/>
  <c r="BO49" i="4"/>
  <c r="BN49" i="4"/>
  <c r="BK49" i="4"/>
  <c r="BH49" i="4"/>
  <c r="BE49" i="4"/>
  <c r="BB49" i="4"/>
  <c r="AY49" i="4"/>
  <c r="AV49" i="4"/>
  <c r="AS49" i="4"/>
  <c r="AP49" i="4"/>
  <c r="AM49" i="4"/>
  <c r="AH49" i="4"/>
  <c r="AG49" i="4"/>
  <c r="AD49" i="4"/>
  <c r="AA49" i="4"/>
  <c r="X49" i="4"/>
  <c r="U49" i="4"/>
  <c r="R49" i="4"/>
  <c r="O49" i="4"/>
  <c r="L49" i="4"/>
  <c r="F49" i="4"/>
  <c r="BV48" i="4"/>
  <c r="BO48" i="4"/>
  <c r="BO47" i="4" s="1"/>
  <c r="BN48" i="4"/>
  <c r="BK48" i="4"/>
  <c r="BH48" i="4"/>
  <c r="BE48" i="4"/>
  <c r="BB48" i="4"/>
  <c r="AY48" i="4"/>
  <c r="AV48" i="4"/>
  <c r="AV47" i="4" s="1"/>
  <c r="AS48" i="4"/>
  <c r="AS47" i="4" s="1"/>
  <c r="AP48" i="4"/>
  <c r="AM48" i="4"/>
  <c r="AH48" i="4"/>
  <c r="AG48" i="4"/>
  <c r="AD48" i="4"/>
  <c r="AA48" i="4"/>
  <c r="X48" i="4"/>
  <c r="X47" i="4" s="1"/>
  <c r="U48" i="4"/>
  <c r="R48" i="4"/>
  <c r="O48" i="4"/>
  <c r="L48" i="4"/>
  <c r="F48" i="4"/>
  <c r="AX47" i="4"/>
  <c r="AW47" i="4"/>
  <c r="AU47" i="4"/>
  <c r="AT47" i="4"/>
  <c r="AR47" i="4"/>
  <c r="AQ47" i="4"/>
  <c r="AO47" i="4"/>
  <c r="AN47" i="4"/>
  <c r="AL47" i="4"/>
  <c r="AK47" i="4"/>
  <c r="AF47" i="4"/>
  <c r="AE47" i="4"/>
  <c r="AC47" i="4"/>
  <c r="AB47" i="4"/>
  <c r="Z47" i="4"/>
  <c r="Y47" i="4"/>
  <c r="W47" i="4"/>
  <c r="V47" i="4"/>
  <c r="T47" i="4"/>
  <c r="S47" i="4"/>
  <c r="Q47" i="4"/>
  <c r="P47" i="4"/>
  <c r="N47" i="4"/>
  <c r="M47" i="4"/>
  <c r="K47" i="4"/>
  <c r="J47" i="4"/>
  <c r="E47" i="4"/>
  <c r="D47" i="4"/>
  <c r="BV46" i="4"/>
  <c r="BO46" i="4"/>
  <c r="BN46" i="4"/>
  <c r="BK46" i="4"/>
  <c r="BH46" i="4"/>
  <c r="BE46" i="4"/>
  <c r="BB46" i="4"/>
  <c r="AY46" i="4"/>
  <c r="AV46" i="4"/>
  <c r="AS46" i="4"/>
  <c r="AP46" i="4"/>
  <c r="AM46" i="4"/>
  <c r="AG46" i="4"/>
  <c r="AD46" i="4"/>
  <c r="AA46" i="4"/>
  <c r="X46" i="4"/>
  <c r="U46" i="4"/>
  <c r="R46" i="4"/>
  <c r="O46" i="4"/>
  <c r="L46" i="4"/>
  <c r="H46" i="4"/>
  <c r="G46" i="4"/>
  <c r="AH46" i="4" s="1"/>
  <c r="F46" i="4"/>
  <c r="BV45" i="4"/>
  <c r="BO45" i="4"/>
  <c r="BN45" i="4"/>
  <c r="BK45" i="4"/>
  <c r="BH45" i="4"/>
  <c r="BE45" i="4"/>
  <c r="BB45" i="4"/>
  <c r="AY45" i="4"/>
  <c r="AV45" i="4"/>
  <c r="AS45" i="4"/>
  <c r="AP45" i="4"/>
  <c r="AM45" i="4"/>
  <c r="AM43" i="4" s="1"/>
  <c r="AH45" i="4"/>
  <c r="AG45" i="4"/>
  <c r="AD45" i="4"/>
  <c r="AA45" i="4"/>
  <c r="X45" i="4"/>
  <c r="U45" i="4"/>
  <c r="R45" i="4"/>
  <c r="O45" i="4"/>
  <c r="O43" i="4" s="1"/>
  <c r="L45" i="4"/>
  <c r="F45" i="4"/>
  <c r="BV44" i="4"/>
  <c r="BO44" i="4"/>
  <c r="BO43" i="4" s="1"/>
  <c r="BN44" i="4"/>
  <c r="BK44" i="4"/>
  <c r="BH44" i="4"/>
  <c r="BE44" i="4"/>
  <c r="BB44" i="4"/>
  <c r="AY44" i="4"/>
  <c r="AV44" i="4"/>
  <c r="AS44" i="4"/>
  <c r="AS43" i="4" s="1"/>
  <c r="AP44" i="4"/>
  <c r="AP43" i="4" s="1"/>
  <c r="AM44" i="4"/>
  <c r="AH44" i="4"/>
  <c r="AG44" i="4"/>
  <c r="AG43" i="4" s="1"/>
  <c r="AD44" i="4"/>
  <c r="AA44" i="4"/>
  <c r="X44" i="4"/>
  <c r="U44" i="4"/>
  <c r="U43" i="4" s="1"/>
  <c r="R44" i="4"/>
  <c r="O44" i="4"/>
  <c r="L44" i="4"/>
  <c r="F44" i="4"/>
  <c r="F43" i="4" s="1"/>
  <c r="AX43" i="4"/>
  <c r="AW43" i="4"/>
  <c r="AU43" i="4"/>
  <c r="AT43" i="4"/>
  <c r="AR43" i="4"/>
  <c r="AQ43" i="4"/>
  <c r="AO43" i="4"/>
  <c r="AN43" i="4"/>
  <c r="AL43" i="4"/>
  <c r="AK43" i="4"/>
  <c r="AF43" i="4"/>
  <c r="AE43" i="4"/>
  <c r="AC43" i="4"/>
  <c r="AB43" i="4"/>
  <c r="Z43" i="4"/>
  <c r="Y43" i="4"/>
  <c r="W43" i="4"/>
  <c r="V43" i="4"/>
  <c r="T43" i="4"/>
  <c r="S43" i="4"/>
  <c r="Q43" i="4"/>
  <c r="P43" i="4"/>
  <c r="N43" i="4"/>
  <c r="M43" i="4"/>
  <c r="K43" i="4"/>
  <c r="J43" i="4"/>
  <c r="E43" i="4"/>
  <c r="D43" i="4"/>
  <c r="BV42" i="4"/>
  <c r="BO42" i="4"/>
  <c r="BN42" i="4"/>
  <c r="BK42" i="4"/>
  <c r="BH42" i="4"/>
  <c r="BE42" i="4"/>
  <c r="BB42" i="4"/>
  <c r="AY42" i="4"/>
  <c r="AV42" i="4"/>
  <c r="AS42" i="4"/>
  <c r="AP42" i="4"/>
  <c r="AM42" i="4"/>
  <c r="AG42" i="4"/>
  <c r="AD42" i="4"/>
  <c r="AA42" i="4"/>
  <c r="X42" i="4"/>
  <c r="U42" i="4"/>
  <c r="R42" i="4"/>
  <c r="O42" i="4"/>
  <c r="L42" i="4"/>
  <c r="H42" i="4"/>
  <c r="G42" i="4"/>
  <c r="F42" i="4"/>
  <c r="BV41" i="4"/>
  <c r="BO41" i="4"/>
  <c r="BN41" i="4"/>
  <c r="BK41" i="4"/>
  <c r="BH41" i="4"/>
  <c r="BE41" i="4"/>
  <c r="BB41" i="4"/>
  <c r="AY41" i="4"/>
  <c r="AV41" i="4"/>
  <c r="AV39" i="4" s="1"/>
  <c r="AS41" i="4"/>
  <c r="AP41" i="4"/>
  <c r="AM41" i="4"/>
  <c r="AH41" i="4"/>
  <c r="AG41" i="4"/>
  <c r="AD41" i="4"/>
  <c r="AA41" i="4"/>
  <c r="X41" i="4"/>
  <c r="U41" i="4"/>
  <c r="R41" i="4"/>
  <c r="O41" i="4"/>
  <c r="L41" i="4"/>
  <c r="F41" i="4"/>
  <c r="BV40" i="4"/>
  <c r="BO40" i="4"/>
  <c r="BN40" i="4"/>
  <c r="BK40" i="4"/>
  <c r="BH40" i="4"/>
  <c r="BE40" i="4"/>
  <c r="BB40" i="4"/>
  <c r="AY40" i="4"/>
  <c r="AV40" i="4"/>
  <c r="AS40" i="4"/>
  <c r="AP40" i="4"/>
  <c r="AM40" i="4"/>
  <c r="AH40" i="4"/>
  <c r="AG40" i="4"/>
  <c r="AD40" i="4"/>
  <c r="AD39" i="4" s="1"/>
  <c r="AA40" i="4"/>
  <c r="X40" i="4"/>
  <c r="U40" i="4"/>
  <c r="R40" i="4"/>
  <c r="R39" i="4" s="1"/>
  <c r="O40" i="4"/>
  <c r="O39" i="4" s="1"/>
  <c r="L40" i="4"/>
  <c r="F40" i="4"/>
  <c r="AX39" i="4"/>
  <c r="AW39" i="4"/>
  <c r="AU39" i="4"/>
  <c r="AT39" i="4"/>
  <c r="AR39" i="4"/>
  <c r="AQ39" i="4"/>
  <c r="AO39" i="4"/>
  <c r="AN39" i="4"/>
  <c r="AL39" i="4"/>
  <c r="AK39" i="4"/>
  <c r="AF39" i="4"/>
  <c r="AE39" i="4"/>
  <c r="AC39" i="4"/>
  <c r="AB39" i="4"/>
  <c r="Z39" i="4"/>
  <c r="Y39" i="4"/>
  <c r="W39" i="4"/>
  <c r="V39" i="4"/>
  <c r="T39" i="4"/>
  <c r="S39" i="4"/>
  <c r="Q39" i="4"/>
  <c r="P39" i="4"/>
  <c r="N39" i="4"/>
  <c r="M39" i="4"/>
  <c r="K39" i="4"/>
  <c r="J39" i="4"/>
  <c r="E39" i="4"/>
  <c r="D39" i="4"/>
  <c r="BV38" i="4"/>
  <c r="BO38" i="4"/>
  <c r="BN38" i="4"/>
  <c r="BK38" i="4"/>
  <c r="BH38" i="4"/>
  <c r="BE38" i="4"/>
  <c r="BB38" i="4"/>
  <c r="AY38" i="4"/>
  <c r="AV38" i="4"/>
  <c r="AS38" i="4"/>
  <c r="AP38" i="4"/>
  <c r="AM38" i="4"/>
  <c r="AG38" i="4"/>
  <c r="AD38" i="4"/>
  <c r="AA38" i="4"/>
  <c r="X38" i="4"/>
  <c r="U38" i="4"/>
  <c r="R38" i="4"/>
  <c r="O38" i="4"/>
  <c r="L38" i="4"/>
  <c r="H38" i="4"/>
  <c r="G38" i="4"/>
  <c r="F38" i="4"/>
  <c r="BV37" i="4"/>
  <c r="BO37" i="4"/>
  <c r="BN37" i="4"/>
  <c r="BK37" i="4"/>
  <c r="BH37" i="4"/>
  <c r="BE37" i="4"/>
  <c r="BB37" i="4"/>
  <c r="AY37" i="4"/>
  <c r="AV37" i="4"/>
  <c r="AS37" i="4"/>
  <c r="AP37" i="4"/>
  <c r="AM37" i="4"/>
  <c r="AH37" i="4"/>
  <c r="AG37" i="4"/>
  <c r="AD37" i="4"/>
  <c r="AA37" i="4"/>
  <c r="X37" i="4"/>
  <c r="U37" i="4"/>
  <c r="R37" i="4"/>
  <c r="O37" i="4"/>
  <c r="L37" i="4"/>
  <c r="F37" i="4"/>
  <c r="BV36" i="4"/>
  <c r="BO36" i="4"/>
  <c r="BN36" i="4"/>
  <c r="BK36" i="4"/>
  <c r="BH36" i="4"/>
  <c r="BE36" i="4"/>
  <c r="BB36" i="4"/>
  <c r="AY36" i="4"/>
  <c r="AV36" i="4"/>
  <c r="AS36" i="4"/>
  <c r="AP36" i="4"/>
  <c r="AM36" i="4"/>
  <c r="AH36" i="4"/>
  <c r="AG36" i="4"/>
  <c r="AD36" i="4"/>
  <c r="AA36" i="4"/>
  <c r="X36" i="4"/>
  <c r="U36" i="4"/>
  <c r="R36" i="4"/>
  <c r="O36" i="4"/>
  <c r="L36" i="4"/>
  <c r="F36" i="4"/>
  <c r="AX35" i="4"/>
  <c r="AW35" i="4"/>
  <c r="AU35" i="4"/>
  <c r="AT35" i="4"/>
  <c r="AR35" i="4"/>
  <c r="AQ35" i="4"/>
  <c r="AO35" i="4"/>
  <c r="AN35" i="4"/>
  <c r="AL35" i="4"/>
  <c r="AK35" i="4"/>
  <c r="AF35" i="4"/>
  <c r="AE35" i="4"/>
  <c r="AC35" i="4"/>
  <c r="AB35" i="4"/>
  <c r="Z35" i="4"/>
  <c r="Y35" i="4"/>
  <c r="W35" i="4"/>
  <c r="V35" i="4"/>
  <c r="T35" i="4"/>
  <c r="S35" i="4"/>
  <c r="Q35" i="4"/>
  <c r="P35" i="4"/>
  <c r="N35" i="4"/>
  <c r="M35" i="4"/>
  <c r="K35" i="4"/>
  <c r="J35" i="4"/>
  <c r="E35" i="4"/>
  <c r="D35" i="4"/>
  <c r="BV34" i="4"/>
  <c r="BO34" i="4"/>
  <c r="BN34" i="4"/>
  <c r="BK34" i="4"/>
  <c r="BH34" i="4"/>
  <c r="BE34" i="4"/>
  <c r="BB34" i="4"/>
  <c r="AY34" i="4"/>
  <c r="AV34" i="4"/>
  <c r="AS34" i="4"/>
  <c r="AP34" i="4"/>
  <c r="AM34" i="4"/>
  <c r="AG34" i="4"/>
  <c r="AD34" i="4"/>
  <c r="AA34" i="4"/>
  <c r="X34" i="4"/>
  <c r="U34" i="4"/>
  <c r="R34" i="4"/>
  <c r="O34" i="4"/>
  <c r="L34" i="4"/>
  <c r="H34" i="4"/>
  <c r="G34" i="4"/>
  <c r="AH34" i="4" s="1"/>
  <c r="F34" i="4"/>
  <c r="BV33" i="4"/>
  <c r="BO33" i="4"/>
  <c r="BN33" i="4"/>
  <c r="BK33" i="4"/>
  <c r="BH33" i="4"/>
  <c r="BE33" i="4"/>
  <c r="BB33" i="4"/>
  <c r="AY33" i="4"/>
  <c r="AV33" i="4"/>
  <c r="AS33" i="4"/>
  <c r="AP33" i="4"/>
  <c r="AM33" i="4"/>
  <c r="AH33" i="4"/>
  <c r="AG33" i="4"/>
  <c r="AD33" i="4"/>
  <c r="AA33" i="4"/>
  <c r="X33" i="4"/>
  <c r="U33" i="4"/>
  <c r="R33" i="4"/>
  <c r="O33" i="4"/>
  <c r="L33" i="4"/>
  <c r="F33" i="4"/>
  <c r="BV32" i="4"/>
  <c r="BO32" i="4"/>
  <c r="BN32" i="4"/>
  <c r="BK32" i="4"/>
  <c r="BH32" i="4"/>
  <c r="BE32" i="4"/>
  <c r="BB32" i="4"/>
  <c r="AY32" i="4"/>
  <c r="AV32" i="4"/>
  <c r="AS32" i="4"/>
  <c r="AP32" i="4"/>
  <c r="AM32" i="4"/>
  <c r="AM31" i="4" s="1"/>
  <c r="AH32" i="4"/>
  <c r="AG32" i="4"/>
  <c r="AD32" i="4"/>
  <c r="AA32" i="4"/>
  <c r="X32" i="4"/>
  <c r="U32" i="4"/>
  <c r="R32" i="4"/>
  <c r="O32" i="4"/>
  <c r="L32" i="4"/>
  <c r="F32" i="4"/>
  <c r="AX31" i="4"/>
  <c r="AW31" i="4"/>
  <c r="AU31" i="4"/>
  <c r="AT31" i="4"/>
  <c r="AR31" i="4"/>
  <c r="AQ31" i="4"/>
  <c r="AO31" i="4"/>
  <c r="AN31" i="4"/>
  <c r="AL31" i="4"/>
  <c r="AK31" i="4"/>
  <c r="AF31" i="4"/>
  <c r="AE31" i="4"/>
  <c r="AC31" i="4"/>
  <c r="AB31" i="4"/>
  <c r="Z31" i="4"/>
  <c r="Y31" i="4"/>
  <c r="W31" i="4"/>
  <c r="V31" i="4"/>
  <c r="T31" i="4"/>
  <c r="S31" i="4"/>
  <c r="Q31" i="4"/>
  <c r="P31" i="4"/>
  <c r="N31" i="4"/>
  <c r="M31" i="4"/>
  <c r="K31" i="4"/>
  <c r="J31" i="4"/>
  <c r="E31" i="4"/>
  <c r="D31" i="4"/>
  <c r="BV30" i="4"/>
  <c r="BO30" i="4"/>
  <c r="BN30" i="4"/>
  <c r="BK30" i="4"/>
  <c r="BH30" i="4"/>
  <c r="BE30" i="4"/>
  <c r="BB30" i="4"/>
  <c r="AY30" i="4"/>
  <c r="AV30" i="4"/>
  <c r="AS30" i="4"/>
  <c r="AP30" i="4"/>
  <c r="AM30" i="4"/>
  <c r="AG30" i="4"/>
  <c r="AD30" i="4"/>
  <c r="AA30" i="4"/>
  <c r="X30" i="4"/>
  <c r="U30" i="4"/>
  <c r="R30" i="4"/>
  <c r="O30" i="4"/>
  <c r="L30" i="4"/>
  <c r="H30" i="4"/>
  <c r="G30" i="4"/>
  <c r="F30" i="4"/>
  <c r="BV29" i="4"/>
  <c r="BO29" i="4"/>
  <c r="BN29" i="4"/>
  <c r="BK29" i="4"/>
  <c r="BH29" i="4"/>
  <c r="BE29" i="4"/>
  <c r="BB29" i="4"/>
  <c r="AY29" i="4"/>
  <c r="AV29" i="4"/>
  <c r="AS29" i="4"/>
  <c r="AP29" i="4"/>
  <c r="AM29" i="4"/>
  <c r="AH29" i="4"/>
  <c r="AG29" i="4"/>
  <c r="AD29" i="4"/>
  <c r="AA29" i="4"/>
  <c r="X29" i="4"/>
  <c r="U29" i="4"/>
  <c r="R29" i="4"/>
  <c r="O29" i="4"/>
  <c r="L29" i="4"/>
  <c r="F29" i="4"/>
  <c r="BV28" i="4"/>
  <c r="BO28" i="4"/>
  <c r="BN28" i="4"/>
  <c r="BK28" i="4"/>
  <c r="BH28" i="4"/>
  <c r="BE28" i="4"/>
  <c r="BB28" i="4"/>
  <c r="AY28" i="4"/>
  <c r="AV28" i="4"/>
  <c r="AS28" i="4"/>
  <c r="AP28" i="4"/>
  <c r="AM28" i="4"/>
  <c r="AH28" i="4"/>
  <c r="AG28" i="4"/>
  <c r="AD28" i="4"/>
  <c r="AA28" i="4"/>
  <c r="X28" i="4"/>
  <c r="U28" i="4"/>
  <c r="R28" i="4"/>
  <c r="O28" i="4"/>
  <c r="L28" i="4"/>
  <c r="F28" i="4"/>
  <c r="F27" i="4" s="1"/>
  <c r="AX27" i="4"/>
  <c r="AW27" i="4"/>
  <c r="AU27" i="4"/>
  <c r="AT27" i="4"/>
  <c r="AR27" i="4"/>
  <c r="AQ27" i="4"/>
  <c r="AO27" i="4"/>
  <c r="AN27" i="4"/>
  <c r="AL27" i="4"/>
  <c r="AK27" i="4"/>
  <c r="AF27" i="4"/>
  <c r="AE27" i="4"/>
  <c r="AC27" i="4"/>
  <c r="AB27" i="4"/>
  <c r="Z27" i="4"/>
  <c r="Y27" i="4"/>
  <c r="W27" i="4"/>
  <c r="V27" i="4"/>
  <c r="T27" i="4"/>
  <c r="S27" i="4"/>
  <c r="Q27" i="4"/>
  <c r="P27" i="4"/>
  <c r="N27" i="4"/>
  <c r="M27" i="4"/>
  <c r="K27" i="4"/>
  <c r="J27" i="4"/>
  <c r="E27" i="4"/>
  <c r="D27" i="4"/>
  <c r="BV26" i="4"/>
  <c r="BO26" i="4"/>
  <c r="BN26" i="4"/>
  <c r="BK26" i="4"/>
  <c r="BH26" i="4"/>
  <c r="BE26" i="4"/>
  <c r="BB26" i="4"/>
  <c r="AY26" i="4"/>
  <c r="AV26" i="4"/>
  <c r="AS26" i="4"/>
  <c r="AP26" i="4"/>
  <c r="AM26" i="4"/>
  <c r="AG26" i="4"/>
  <c r="AD26" i="4"/>
  <c r="AA26" i="4"/>
  <c r="X26" i="4"/>
  <c r="U26" i="4"/>
  <c r="R26" i="4"/>
  <c r="O26" i="4"/>
  <c r="L26" i="4"/>
  <c r="H26" i="4"/>
  <c r="G26" i="4"/>
  <c r="AH26" i="4" s="1"/>
  <c r="BR26" i="4" s="1"/>
  <c r="F26" i="4"/>
  <c r="BV25" i="4"/>
  <c r="BO25" i="4"/>
  <c r="BN25" i="4"/>
  <c r="BK25" i="4"/>
  <c r="BH25" i="4"/>
  <c r="BE25" i="4"/>
  <c r="BB25" i="4"/>
  <c r="AY25" i="4"/>
  <c r="AV25" i="4"/>
  <c r="AS25" i="4"/>
  <c r="AP25" i="4"/>
  <c r="AM25" i="4"/>
  <c r="AH25" i="4"/>
  <c r="AG25" i="4"/>
  <c r="AD25" i="4"/>
  <c r="AA25" i="4"/>
  <c r="X25" i="4"/>
  <c r="U25" i="4"/>
  <c r="R25" i="4"/>
  <c r="O25" i="4"/>
  <c r="L25" i="4"/>
  <c r="F25" i="4"/>
  <c r="BV24" i="4"/>
  <c r="BN24" i="4"/>
  <c r="BK24" i="4"/>
  <c r="BH24" i="4"/>
  <c r="BE24" i="4"/>
  <c r="BB24" i="4"/>
  <c r="AW24" i="4"/>
  <c r="AW60" i="4" s="1"/>
  <c r="AV24" i="4"/>
  <c r="AS24" i="4"/>
  <c r="AP24" i="4"/>
  <c r="AM24" i="4"/>
  <c r="AH24" i="4"/>
  <c r="AG24" i="4"/>
  <c r="AD24" i="4"/>
  <c r="AA24" i="4"/>
  <c r="X24" i="4"/>
  <c r="U24" i="4"/>
  <c r="R24" i="4"/>
  <c r="O24" i="4"/>
  <c r="L24" i="4"/>
  <c r="F24" i="4"/>
  <c r="AX23" i="4"/>
  <c r="AW23" i="4"/>
  <c r="AU23" i="4"/>
  <c r="AT23" i="4"/>
  <c r="AR23" i="4"/>
  <c r="AQ23" i="4"/>
  <c r="AO23" i="4"/>
  <c r="AN23" i="4"/>
  <c r="AL23" i="4"/>
  <c r="AK23" i="4"/>
  <c r="AF23" i="4"/>
  <c r="AE23" i="4"/>
  <c r="AC23" i="4"/>
  <c r="AB23" i="4"/>
  <c r="Z23" i="4"/>
  <c r="Y23" i="4"/>
  <c r="W23" i="4"/>
  <c r="V23" i="4"/>
  <c r="T23" i="4"/>
  <c r="S23" i="4"/>
  <c r="Q23" i="4"/>
  <c r="P23" i="4"/>
  <c r="N23" i="4"/>
  <c r="M23" i="4"/>
  <c r="K23" i="4"/>
  <c r="J23" i="4"/>
  <c r="E23" i="4"/>
  <c r="D23" i="4"/>
  <c r="BV22" i="4"/>
  <c r="BO22" i="4"/>
  <c r="BN22" i="4"/>
  <c r="BK22" i="4"/>
  <c r="BH22" i="4"/>
  <c r="BE22" i="4"/>
  <c r="BB22" i="4"/>
  <c r="AY22" i="4"/>
  <c r="AV22" i="4"/>
  <c r="AS22" i="4"/>
  <c r="AP22" i="4"/>
  <c r="AM22" i="4"/>
  <c r="AG22" i="4"/>
  <c r="AD22" i="4"/>
  <c r="AA22" i="4"/>
  <c r="X22" i="4"/>
  <c r="U22" i="4"/>
  <c r="R22" i="4"/>
  <c r="O22" i="4"/>
  <c r="L22" i="4"/>
  <c r="H22" i="4"/>
  <c r="G22" i="4"/>
  <c r="AH22" i="4" s="1"/>
  <c r="F22" i="4"/>
  <c r="BV21" i="4"/>
  <c r="BO21" i="4"/>
  <c r="BR21" i="4" s="1"/>
  <c r="BN21" i="4"/>
  <c r="BK21" i="4"/>
  <c r="BH21" i="4"/>
  <c r="BE21" i="4"/>
  <c r="BB21" i="4"/>
  <c r="AY21" i="4"/>
  <c r="AV21" i="4"/>
  <c r="AS21" i="4"/>
  <c r="AP21" i="4"/>
  <c r="AM21" i="4"/>
  <c r="AH21" i="4"/>
  <c r="AG21" i="4"/>
  <c r="AD21" i="4"/>
  <c r="AA21" i="4"/>
  <c r="X21" i="4"/>
  <c r="U21" i="4"/>
  <c r="R21" i="4"/>
  <c r="O21" i="4"/>
  <c r="L21" i="4"/>
  <c r="F21" i="4"/>
  <c r="BV20" i="4"/>
  <c r="BO20" i="4"/>
  <c r="BN20" i="4"/>
  <c r="BK20" i="4"/>
  <c r="BH20" i="4"/>
  <c r="BE20" i="4"/>
  <c r="BB20" i="4"/>
  <c r="AY20" i="4"/>
  <c r="AV20" i="4"/>
  <c r="AS20" i="4"/>
  <c r="AP20" i="4"/>
  <c r="AM20" i="4"/>
  <c r="AH20" i="4"/>
  <c r="AG20" i="4"/>
  <c r="AD20" i="4"/>
  <c r="AA20" i="4"/>
  <c r="X20" i="4"/>
  <c r="U20" i="4"/>
  <c r="R20" i="4"/>
  <c r="O20" i="4"/>
  <c r="L20" i="4"/>
  <c r="F20" i="4"/>
  <c r="AX19" i="4"/>
  <c r="AW19" i="4"/>
  <c r="AU19" i="4"/>
  <c r="AT19" i="4"/>
  <c r="AR19" i="4"/>
  <c r="AQ19" i="4"/>
  <c r="AO19" i="4"/>
  <c r="AN19" i="4"/>
  <c r="AL19" i="4"/>
  <c r="AK19" i="4"/>
  <c r="AF19" i="4"/>
  <c r="AE19" i="4"/>
  <c r="AC19" i="4"/>
  <c r="AB19" i="4"/>
  <c r="Z19" i="4"/>
  <c r="Y19" i="4"/>
  <c r="W19" i="4"/>
  <c r="V19" i="4"/>
  <c r="T19" i="4"/>
  <c r="S19" i="4"/>
  <c r="Q19" i="4"/>
  <c r="P19" i="4"/>
  <c r="N19" i="4"/>
  <c r="M19" i="4"/>
  <c r="K19" i="4"/>
  <c r="J19" i="4"/>
  <c r="E19" i="4"/>
  <c r="D19" i="4"/>
  <c r="BV18" i="4"/>
  <c r="BO18" i="4"/>
  <c r="BN18" i="4"/>
  <c r="BK18" i="4"/>
  <c r="BH18" i="4"/>
  <c r="BE18" i="4"/>
  <c r="BB18" i="4"/>
  <c r="AY18" i="4"/>
  <c r="AV18" i="4"/>
  <c r="AS18" i="4"/>
  <c r="AP18" i="4"/>
  <c r="AM18" i="4"/>
  <c r="AG18" i="4"/>
  <c r="AD18" i="4"/>
  <c r="AA18" i="4"/>
  <c r="X18" i="4"/>
  <c r="U18" i="4"/>
  <c r="R18" i="4"/>
  <c r="O18" i="4"/>
  <c r="L18" i="4"/>
  <c r="H18" i="4"/>
  <c r="G18" i="4"/>
  <c r="AH18" i="4" s="1"/>
  <c r="BR18" i="4" s="1"/>
  <c r="F18" i="4"/>
  <c r="BV17" i="4"/>
  <c r="BO17" i="4"/>
  <c r="BN17" i="4"/>
  <c r="BK17" i="4"/>
  <c r="BH17" i="4"/>
  <c r="BE17" i="4"/>
  <c r="BB17" i="4"/>
  <c r="AY17" i="4"/>
  <c r="AV17" i="4"/>
  <c r="AS17" i="4"/>
  <c r="AP17" i="4"/>
  <c r="AM17" i="4"/>
  <c r="AH17" i="4"/>
  <c r="AG17" i="4"/>
  <c r="AD17" i="4"/>
  <c r="AA17" i="4"/>
  <c r="X17" i="4"/>
  <c r="U17" i="4"/>
  <c r="R17" i="4"/>
  <c r="O17" i="4"/>
  <c r="L17" i="4"/>
  <c r="F17" i="4"/>
  <c r="BV16" i="4"/>
  <c r="BO16" i="4"/>
  <c r="BN16" i="4"/>
  <c r="BK16" i="4"/>
  <c r="BH16" i="4"/>
  <c r="BE16" i="4"/>
  <c r="BB16" i="4"/>
  <c r="AY16" i="4"/>
  <c r="AV16" i="4"/>
  <c r="AS16" i="4"/>
  <c r="AP16" i="4"/>
  <c r="AL16" i="4"/>
  <c r="AM16" i="4" s="1"/>
  <c r="AG16" i="4"/>
  <c r="AD16" i="4"/>
  <c r="AA16" i="4"/>
  <c r="W16" i="4"/>
  <c r="X16" i="4" s="1"/>
  <c r="U16" i="4"/>
  <c r="U15" i="4" s="1"/>
  <c r="P16" i="4"/>
  <c r="P60" i="4" s="1"/>
  <c r="N16" i="4"/>
  <c r="O16" i="4" s="1"/>
  <c r="K16" i="4"/>
  <c r="L16" i="4" s="1"/>
  <c r="F16" i="4"/>
  <c r="F15" i="4" s="1"/>
  <c r="AX15" i="4"/>
  <c r="AW15" i="4"/>
  <c r="AU15" i="4"/>
  <c r="AT15" i="4"/>
  <c r="AR15" i="4"/>
  <c r="AQ15" i="4"/>
  <c r="AO15" i="4"/>
  <c r="AN15" i="4"/>
  <c r="AK15" i="4"/>
  <c r="AF15" i="4"/>
  <c r="AE15" i="4"/>
  <c r="AC15" i="4"/>
  <c r="AB15" i="4"/>
  <c r="Z15" i="4"/>
  <c r="Y15" i="4"/>
  <c r="V15" i="4"/>
  <c r="T15" i="4"/>
  <c r="S15" i="4"/>
  <c r="Q15" i="4"/>
  <c r="M15" i="4"/>
  <c r="J15" i="4"/>
  <c r="E15" i="4"/>
  <c r="D15" i="4"/>
  <c r="BV14" i="4"/>
  <c r="BO14" i="4"/>
  <c r="BN14" i="4"/>
  <c r="BK14" i="4"/>
  <c r="BH14" i="4"/>
  <c r="BE14" i="4"/>
  <c r="AY14" i="4"/>
  <c r="AV14" i="4"/>
  <c r="AS14" i="4"/>
  <c r="AP14" i="4"/>
  <c r="AM14" i="4"/>
  <c r="AG14" i="4"/>
  <c r="AD14" i="4"/>
  <c r="AA14" i="4"/>
  <c r="X14" i="4"/>
  <c r="U14" i="4"/>
  <c r="R14" i="4"/>
  <c r="O14" i="4"/>
  <c r="L14" i="4"/>
  <c r="H14" i="4"/>
  <c r="G14" i="4"/>
  <c r="AH14" i="4" s="1"/>
  <c r="F14" i="4"/>
  <c r="BV13" i="4"/>
  <c r="BO13" i="4"/>
  <c r="BN13" i="4"/>
  <c r="BK13" i="4"/>
  <c r="BH13" i="4"/>
  <c r="BE13" i="4"/>
  <c r="BB13" i="4"/>
  <c r="AY13" i="4"/>
  <c r="AV13" i="4"/>
  <c r="AS13" i="4"/>
  <c r="AP13" i="4"/>
  <c r="AM13" i="4"/>
  <c r="AH13" i="4"/>
  <c r="AG13" i="4"/>
  <c r="AD13" i="4"/>
  <c r="AA13" i="4"/>
  <c r="X13" i="4"/>
  <c r="U13" i="4"/>
  <c r="R13" i="4"/>
  <c r="O13" i="4"/>
  <c r="L13" i="4"/>
  <c r="F13" i="4"/>
  <c r="BV12" i="4"/>
  <c r="BO12" i="4"/>
  <c r="BN12" i="4"/>
  <c r="BK12" i="4"/>
  <c r="BH12" i="4"/>
  <c r="BE12" i="4"/>
  <c r="BB12" i="4"/>
  <c r="AY12" i="4"/>
  <c r="AV12" i="4"/>
  <c r="AS12" i="4"/>
  <c r="AP12" i="4"/>
  <c r="AM12" i="4"/>
  <c r="AH12" i="4"/>
  <c r="AG12" i="4"/>
  <c r="AD12" i="4"/>
  <c r="AA12" i="4"/>
  <c r="X12" i="4"/>
  <c r="U12" i="4"/>
  <c r="R12" i="4"/>
  <c r="O12" i="4"/>
  <c r="L12" i="4"/>
  <c r="F12" i="4"/>
  <c r="AX11" i="4"/>
  <c r="AW11" i="4"/>
  <c r="AU11" i="4"/>
  <c r="AT11" i="4"/>
  <c r="AR11" i="4"/>
  <c r="AQ11" i="4"/>
  <c r="AO11" i="4"/>
  <c r="AN11" i="4"/>
  <c r="AL11" i="4"/>
  <c r="AK11" i="4"/>
  <c r="AF11" i="4"/>
  <c r="AE11" i="4"/>
  <c r="AC11" i="4"/>
  <c r="AB11" i="4"/>
  <c r="Z11" i="4"/>
  <c r="Y11" i="4"/>
  <c r="W11" i="4"/>
  <c r="V11" i="4"/>
  <c r="T11" i="4"/>
  <c r="S11" i="4"/>
  <c r="Q11" i="4"/>
  <c r="P11" i="4"/>
  <c r="N11" i="4"/>
  <c r="M11" i="4"/>
  <c r="K11" i="4"/>
  <c r="J11" i="4"/>
  <c r="E11" i="4"/>
  <c r="D11" i="4"/>
  <c r="BV10" i="4"/>
  <c r="BO10" i="4"/>
  <c r="BN10" i="4"/>
  <c r="BK10" i="4"/>
  <c r="BH10" i="4"/>
  <c r="BE10" i="4"/>
  <c r="BB10" i="4"/>
  <c r="AY10" i="4"/>
  <c r="AV10" i="4"/>
  <c r="AS10" i="4"/>
  <c r="AP10" i="4"/>
  <c r="AM10" i="4"/>
  <c r="AG10" i="4"/>
  <c r="AD10" i="4"/>
  <c r="AA10" i="4"/>
  <c r="X10" i="4"/>
  <c r="U10" i="4"/>
  <c r="R10" i="4"/>
  <c r="O10" i="4"/>
  <c r="L10" i="4"/>
  <c r="H10" i="4"/>
  <c r="G10" i="4"/>
  <c r="F10" i="4"/>
  <c r="BV9" i="4"/>
  <c r="BO9" i="4"/>
  <c r="BN9" i="4"/>
  <c r="BK9" i="4"/>
  <c r="BH9" i="4"/>
  <c r="BE9" i="4"/>
  <c r="BB9" i="4"/>
  <c r="AY9" i="4"/>
  <c r="AV9" i="4"/>
  <c r="AS9" i="4"/>
  <c r="AP9" i="4"/>
  <c r="AM9" i="4"/>
  <c r="AH9" i="4"/>
  <c r="AG9" i="4"/>
  <c r="AD9" i="4"/>
  <c r="AD7" i="4" s="1"/>
  <c r="AA9" i="4"/>
  <c r="X9" i="4"/>
  <c r="U9" i="4"/>
  <c r="R9" i="4"/>
  <c r="O9" i="4"/>
  <c r="L9" i="4"/>
  <c r="F9" i="4"/>
  <c r="BV8" i="4"/>
  <c r="BO8" i="4"/>
  <c r="BN8" i="4"/>
  <c r="BN56" i="4" s="1"/>
  <c r="BK8" i="4"/>
  <c r="BK56" i="4" s="1"/>
  <c r="BH8" i="4"/>
  <c r="BH56" i="4" s="1"/>
  <c r="BG56" i="4" s="1"/>
  <c r="BE8" i="4"/>
  <c r="BE56" i="4" s="1"/>
  <c r="BB8" i="4"/>
  <c r="AY8" i="4"/>
  <c r="AV8" i="4"/>
  <c r="AS8" i="4"/>
  <c r="AP8" i="4"/>
  <c r="AM8" i="4"/>
  <c r="AH8" i="4"/>
  <c r="AG8" i="4"/>
  <c r="AA8" i="4"/>
  <c r="X8" i="4"/>
  <c r="U8" i="4"/>
  <c r="R8" i="4"/>
  <c r="O8" i="4"/>
  <c r="L8" i="4"/>
  <c r="F8" i="4"/>
  <c r="A8" i="4"/>
  <c r="A12" i="4" s="1"/>
  <c r="A16" i="4" s="1"/>
  <c r="A20" i="4" s="1"/>
  <c r="A24" i="4" s="1"/>
  <c r="A28" i="4" s="1"/>
  <c r="A32" i="4" s="1"/>
  <c r="A36" i="4" s="1"/>
  <c r="A40" i="4" s="1"/>
  <c r="A44" i="4" s="1"/>
  <c r="A48" i="4" s="1"/>
  <c r="A52" i="4" s="1"/>
  <c r="AX7" i="4"/>
  <c r="AW7" i="4"/>
  <c r="AU7" i="4"/>
  <c r="AT7" i="4"/>
  <c r="AR7" i="4"/>
  <c r="AQ7" i="4"/>
  <c r="AO7" i="4"/>
  <c r="AN7" i="4"/>
  <c r="AL7" i="4"/>
  <c r="AK7" i="4"/>
  <c r="AF7" i="4"/>
  <c r="AE7" i="4"/>
  <c r="AC7" i="4"/>
  <c r="AB7" i="4"/>
  <c r="Z7" i="4"/>
  <c r="Y7" i="4"/>
  <c r="W7" i="4"/>
  <c r="V7" i="4"/>
  <c r="T7" i="4"/>
  <c r="S7" i="4"/>
  <c r="Q7" i="4"/>
  <c r="P7" i="4"/>
  <c r="N7" i="4"/>
  <c r="M7" i="4"/>
  <c r="K7" i="4"/>
  <c r="J7" i="4"/>
  <c r="E7" i="4"/>
  <c r="D7" i="4"/>
  <c r="B7" i="4"/>
  <c r="B11" i="4" s="1"/>
  <c r="B15" i="4" s="1"/>
  <c r="B19" i="4" s="1"/>
  <c r="B23" i="4" s="1"/>
  <c r="B27" i="4" s="1"/>
  <c r="B31" i="4" s="1"/>
  <c r="B35" i="4" s="1"/>
  <c r="B39" i="4" s="1"/>
  <c r="B43" i="4" s="1"/>
  <c r="B47" i="4" s="1"/>
  <c r="B51" i="4" s="1"/>
  <c r="R35" i="4" l="1"/>
  <c r="BV56" i="4"/>
  <c r="P15" i="4"/>
  <c r="R23" i="4"/>
  <c r="J59" i="4"/>
  <c r="BM56" i="4"/>
  <c r="AA27" i="4"/>
  <c r="AP31" i="4"/>
  <c r="L31" i="4"/>
  <c r="AD35" i="4"/>
  <c r="AP35" i="4"/>
  <c r="AH35" i="4"/>
  <c r="AV35" i="4"/>
  <c r="O23" i="4"/>
  <c r="F31" i="4"/>
  <c r="U31" i="4"/>
  <c r="AG31" i="4"/>
  <c r="AS31" i="4"/>
  <c r="U35" i="4"/>
  <c r="L39" i="4"/>
  <c r="AA43" i="4"/>
  <c r="AY43" i="4"/>
  <c r="J55" i="4"/>
  <c r="AK55" i="4"/>
  <c r="AW55" i="4"/>
  <c r="G62" i="4"/>
  <c r="H62" i="4" s="1"/>
  <c r="O27" i="4"/>
  <c r="X39" i="4"/>
  <c r="D59" i="4"/>
  <c r="BD56" i="4"/>
  <c r="BO7" i="4"/>
  <c r="L19" i="4"/>
  <c r="X19" i="4"/>
  <c r="AH19" i="4"/>
  <c r="AV19" i="4"/>
  <c r="X23" i="4"/>
  <c r="AV23" i="4"/>
  <c r="BR28" i="4"/>
  <c r="I30" i="4"/>
  <c r="R51" i="4"/>
  <c r="AD51" i="4"/>
  <c r="AP51" i="4"/>
  <c r="AT55" i="4"/>
  <c r="I59" i="4"/>
  <c r="BJ56" i="4"/>
  <c r="AS7" i="4"/>
  <c r="R11" i="4"/>
  <c r="AD11" i="4"/>
  <c r="AP11" i="4"/>
  <c r="AP15" i="4"/>
  <c r="AY19" i="4"/>
  <c r="M55" i="4"/>
  <c r="Y55" i="4"/>
  <c r="AN55" i="4"/>
  <c r="AZ55" i="4"/>
  <c r="AH11" i="4"/>
  <c r="AM19" i="4"/>
  <c r="AA7" i="4"/>
  <c r="AJ12" i="4"/>
  <c r="U11" i="4"/>
  <c r="AG11" i="4"/>
  <c r="AS11" i="4"/>
  <c r="O11" i="4"/>
  <c r="AA11" i="4"/>
  <c r="BQ13" i="4"/>
  <c r="AY11" i="4"/>
  <c r="AL15" i="4"/>
  <c r="AD15" i="4"/>
  <c r="AS15" i="4"/>
  <c r="BO15" i="4"/>
  <c r="L27" i="4"/>
  <c r="AV27" i="4"/>
  <c r="X31" i="4"/>
  <c r="AH31" i="4"/>
  <c r="AV31" i="4"/>
  <c r="L35" i="4"/>
  <c r="X35" i="4"/>
  <c r="O47" i="4"/>
  <c r="AA47" i="4"/>
  <c r="AY47" i="4"/>
  <c r="L51" i="4"/>
  <c r="X51" i="4"/>
  <c r="AH51" i="4"/>
  <c r="AV51" i="4"/>
  <c r="S55" i="4"/>
  <c r="BQ52" i="4"/>
  <c r="AJ53" i="4"/>
  <c r="AI53" i="4" s="1"/>
  <c r="AB59" i="4"/>
  <c r="F23" i="4"/>
  <c r="U23" i="4"/>
  <c r="AG23" i="4"/>
  <c r="AS23" i="4"/>
  <c r="O31" i="4"/>
  <c r="AA31" i="4"/>
  <c r="BQ33" i="4"/>
  <c r="AY31" i="4"/>
  <c r="I42" i="4"/>
  <c r="AJ42" i="4" s="1"/>
  <c r="AQ55" i="4"/>
  <c r="R19" i="4"/>
  <c r="AD19" i="4"/>
  <c r="AP19" i="4"/>
  <c r="U27" i="4"/>
  <c r="AG27" i="4"/>
  <c r="AS27" i="4"/>
  <c r="BO27" i="4"/>
  <c r="L7" i="4"/>
  <c r="X7" i="4"/>
  <c r="AJ8" i="4"/>
  <c r="AI8" i="4" s="1"/>
  <c r="AV7" i="4"/>
  <c r="F11" i="4"/>
  <c r="AD23" i="4"/>
  <c r="AP23" i="4"/>
  <c r="AA23" i="4"/>
  <c r="AM23" i="4"/>
  <c r="O35" i="4"/>
  <c r="AA35" i="4"/>
  <c r="AM35" i="4"/>
  <c r="AY35" i="4"/>
  <c r="F35" i="4"/>
  <c r="F39" i="4"/>
  <c r="U39" i="4"/>
  <c r="AG39" i="4"/>
  <c r="AS39" i="4"/>
  <c r="BO39" i="4"/>
  <c r="AA39" i="4"/>
  <c r="L43" i="4"/>
  <c r="X43" i="4"/>
  <c r="AH43" i="4"/>
  <c r="AV43" i="4"/>
  <c r="AS51" i="4"/>
  <c r="D55" i="4"/>
  <c r="AE55" i="4"/>
  <c r="V55" i="4"/>
  <c r="AM11" i="4"/>
  <c r="X15" i="4"/>
  <c r="F19" i="4"/>
  <c r="U19" i="4"/>
  <c r="AG19" i="4"/>
  <c r="AS19" i="4"/>
  <c r="BO19" i="4"/>
  <c r="BQ21" i="4"/>
  <c r="BP21" i="4" s="1"/>
  <c r="AJ25" i="4"/>
  <c r="AI25" i="4" s="1"/>
  <c r="BQ26" i="4"/>
  <c r="BQ28" i="4"/>
  <c r="AY27" i="4"/>
  <c r="AD31" i="4"/>
  <c r="BR33" i="4"/>
  <c r="I38" i="4"/>
  <c r="AJ38" i="4" s="1"/>
  <c r="BQ42" i="4"/>
  <c r="BT42" i="4" s="1"/>
  <c r="AM51" i="4"/>
  <c r="P55" i="4"/>
  <c r="AB55" i="4"/>
  <c r="AA15" i="4"/>
  <c r="BQ17" i="4"/>
  <c r="AY15" i="4"/>
  <c r="BR22" i="4"/>
  <c r="BW22" i="4" s="1"/>
  <c r="BQ38" i="4"/>
  <c r="BP38" i="4" s="1"/>
  <c r="BR40" i="4"/>
  <c r="BQ48" i="4"/>
  <c r="BP48" i="4" s="1"/>
  <c r="G59" i="4"/>
  <c r="L11" i="4"/>
  <c r="X11" i="4"/>
  <c r="AV11" i="4"/>
  <c r="AG15" i="4"/>
  <c r="AV15" i="4"/>
  <c r="I18" i="4"/>
  <c r="X27" i="4"/>
  <c r="AJ30" i="4"/>
  <c r="AJ36" i="4"/>
  <c r="AI36" i="4" s="1"/>
  <c r="AG35" i="4"/>
  <c r="AS35" i="4"/>
  <c r="BQ37" i="4"/>
  <c r="BP37" i="4" s="1"/>
  <c r="AY39" i="4"/>
  <c r="AD43" i="4"/>
  <c r="BQ46" i="4"/>
  <c r="R47" i="4"/>
  <c r="AD47" i="4"/>
  <c r="BQ16" i="4"/>
  <c r="BQ15" i="4" s="1"/>
  <c r="AM15" i="4"/>
  <c r="BW21" i="4"/>
  <c r="BQ12" i="4"/>
  <c r="BP12" i="4" s="1"/>
  <c r="AJ13" i="4"/>
  <c r="AJ11" i="4" s="1"/>
  <c r="BR13" i="4"/>
  <c r="BW13" i="4" s="1"/>
  <c r="I14" i="4"/>
  <c r="AJ14" i="4" s="1"/>
  <c r="AI14" i="4" s="1"/>
  <c r="K15" i="4"/>
  <c r="W15" i="4"/>
  <c r="O19" i="4"/>
  <c r="AA19" i="4"/>
  <c r="AJ21" i="4"/>
  <c r="AI21" i="4" s="1"/>
  <c r="AJ28" i="4"/>
  <c r="BQ29" i="4"/>
  <c r="BP29" i="4" s="1"/>
  <c r="BR32" i="4"/>
  <c r="BW32" i="4" s="1"/>
  <c r="AH38" i="4"/>
  <c r="BR38" i="4" s="1"/>
  <c r="BW38" i="4" s="1"/>
  <c r="BQ41" i="4"/>
  <c r="BP41" i="4" s="1"/>
  <c r="L47" i="4"/>
  <c r="BQ50" i="4"/>
  <c r="BP50" i="4" s="1"/>
  <c r="AJ52" i="4"/>
  <c r="AI52" i="4" s="1"/>
  <c r="AI51" i="4" s="1"/>
  <c r="BQ54" i="4"/>
  <c r="AC59" i="4"/>
  <c r="BR8" i="4"/>
  <c r="AM7" i="4"/>
  <c r="BQ14" i="4"/>
  <c r="BP14" i="4" s="1"/>
  <c r="AJ17" i="4"/>
  <c r="AI17" i="4" s="1"/>
  <c r="AY24" i="4"/>
  <c r="AY23" i="4" s="1"/>
  <c r="AP39" i="4"/>
  <c r="BQ44" i="4"/>
  <c r="BR46" i="4"/>
  <c r="F47" i="4"/>
  <c r="U47" i="4"/>
  <c r="AG47" i="4"/>
  <c r="BR48" i="4"/>
  <c r="BW48" i="4" s="1"/>
  <c r="BQ53" i="4"/>
  <c r="BT53" i="4" s="1"/>
  <c r="BP16" i="4"/>
  <c r="AJ18" i="4"/>
  <c r="AI18" i="4" s="1"/>
  <c r="I26" i="4"/>
  <c r="AJ29" i="4"/>
  <c r="BQ32" i="4"/>
  <c r="AJ33" i="4"/>
  <c r="BQ36" i="4"/>
  <c r="BP36" i="4" s="1"/>
  <c r="BQ40" i="4"/>
  <c r="BP40" i="4" s="1"/>
  <c r="BP39" i="4" s="1"/>
  <c r="AJ41" i="4"/>
  <c r="AI41" i="4" s="1"/>
  <c r="AJ44" i="4"/>
  <c r="I46" i="4"/>
  <c r="AJ46" i="4" s="1"/>
  <c r="AP47" i="4"/>
  <c r="BR12" i="4"/>
  <c r="BW12" i="4" s="1"/>
  <c r="O15" i="4"/>
  <c r="BQ18" i="4"/>
  <c r="BO24" i="4"/>
  <c r="BO60" i="4" s="1"/>
  <c r="BQ25" i="4"/>
  <c r="BT25" i="4" s="1"/>
  <c r="AJ26" i="4"/>
  <c r="BT26" i="4" s="1"/>
  <c r="BS26" i="4" s="1"/>
  <c r="R27" i="4"/>
  <c r="AD27" i="4"/>
  <c r="AP27" i="4"/>
  <c r="BQ30" i="4"/>
  <c r="BT30" i="4" s="1"/>
  <c r="BO31" i="4"/>
  <c r="AJ32" i="4"/>
  <c r="AI32" i="4" s="1"/>
  <c r="BQ34" i="4"/>
  <c r="BP34" i="4" s="1"/>
  <c r="AJ37" i="4"/>
  <c r="AI37" i="4" s="1"/>
  <c r="U51" i="4"/>
  <c r="AG51" i="4"/>
  <c r="BR53" i="4"/>
  <c r="BW53" i="4" s="1"/>
  <c r="BQ20" i="4"/>
  <c r="BP20" i="4" s="1"/>
  <c r="AJ20" i="4"/>
  <c r="AI20" i="4" s="1"/>
  <c r="BR24" i="4"/>
  <c r="BW24" i="4" s="1"/>
  <c r="BP17" i="4"/>
  <c r="AI13" i="4"/>
  <c r="BW18" i="4"/>
  <c r="L15" i="4"/>
  <c r="BR14" i="4"/>
  <c r="BT18" i="4"/>
  <c r="BS18" i="4" s="1"/>
  <c r="BP18" i="4"/>
  <c r="F61" i="4"/>
  <c r="E61" i="4" s="1"/>
  <c r="F57" i="4"/>
  <c r="E57" i="4" s="1"/>
  <c r="AY61" i="4"/>
  <c r="AX61" i="4" s="1"/>
  <c r="AY57" i="4"/>
  <c r="AX57" i="4" s="1"/>
  <c r="F7" i="4"/>
  <c r="R56" i="4"/>
  <c r="AG60" i="4"/>
  <c r="AF60" i="4" s="1"/>
  <c r="AG56" i="4"/>
  <c r="AM60" i="4"/>
  <c r="AM56" i="4"/>
  <c r="AY56" i="4"/>
  <c r="BQ8" i="4"/>
  <c r="L61" i="4"/>
  <c r="K61" i="4" s="1"/>
  <c r="L57" i="4"/>
  <c r="K57" i="4" s="1"/>
  <c r="X61" i="4"/>
  <c r="W61" i="4" s="1"/>
  <c r="X57" i="4"/>
  <c r="W57" i="4" s="1"/>
  <c r="AP61" i="4"/>
  <c r="AP57" i="4"/>
  <c r="AO57" i="4" s="1"/>
  <c r="BN61" i="4"/>
  <c r="BN57" i="4"/>
  <c r="BM57" i="4" s="1"/>
  <c r="AD62" i="4"/>
  <c r="AD58" i="4"/>
  <c r="AC58" i="4" s="1"/>
  <c r="R7" i="4"/>
  <c r="AH7" i="4"/>
  <c r="AP7" i="4"/>
  <c r="F60" i="4"/>
  <c r="F56" i="4"/>
  <c r="U60" i="4"/>
  <c r="T60" i="4" s="1"/>
  <c r="U56" i="4"/>
  <c r="AH56" i="4"/>
  <c r="AP60" i="4"/>
  <c r="AP56" i="4"/>
  <c r="BB60" i="4"/>
  <c r="BB56" i="4"/>
  <c r="BW8" i="4"/>
  <c r="O61" i="4"/>
  <c r="O57" i="4"/>
  <c r="N57" i="4" s="1"/>
  <c r="AA61" i="4"/>
  <c r="Z61" i="4" s="1"/>
  <c r="AA57" i="4"/>
  <c r="Z57" i="4" s="1"/>
  <c r="AS61" i="4"/>
  <c r="AS57" i="4"/>
  <c r="AR57" i="4" s="1"/>
  <c r="BE61" i="4"/>
  <c r="BE57" i="4"/>
  <c r="BD57" i="4" s="1"/>
  <c r="BO61" i="4"/>
  <c r="BO57" i="4"/>
  <c r="I10" i="4"/>
  <c r="U62" i="4"/>
  <c r="T62" i="4" s="1"/>
  <c r="U58" i="4"/>
  <c r="T58" i="4" s="1"/>
  <c r="AG62" i="4"/>
  <c r="AG58" i="4"/>
  <c r="AF58" i="4" s="1"/>
  <c r="AM62" i="4"/>
  <c r="AL62" i="4" s="1"/>
  <c r="AM58" i="4"/>
  <c r="AL58" i="4" s="1"/>
  <c r="AY62" i="4"/>
  <c r="AY58" i="4"/>
  <c r="AX58" i="4" s="1"/>
  <c r="BK62" i="4"/>
  <c r="BK58" i="4"/>
  <c r="BJ58" i="4" s="1"/>
  <c r="BQ10" i="4"/>
  <c r="BV62" i="4"/>
  <c r="BV58" i="4"/>
  <c r="BO11" i="4"/>
  <c r="AI12" i="4"/>
  <c r="N15" i="4"/>
  <c r="I22" i="4"/>
  <c r="AJ22" i="4" s="1"/>
  <c r="AI22" i="4" s="1"/>
  <c r="BW28" i="4"/>
  <c r="BW40" i="4"/>
  <c r="O60" i="4"/>
  <c r="O59" i="4" s="1"/>
  <c r="O56" i="4"/>
  <c r="O7" i="4"/>
  <c r="AY7" i="4"/>
  <c r="L60" i="4"/>
  <c r="L56" i="4"/>
  <c r="X60" i="4"/>
  <c r="X56" i="4"/>
  <c r="AS60" i="4"/>
  <c r="AS59" i="4" s="1"/>
  <c r="AS56" i="4"/>
  <c r="BO56" i="4"/>
  <c r="A9" i="4"/>
  <c r="R61" i="4"/>
  <c r="Q61" i="4" s="1"/>
  <c r="R57" i="4"/>
  <c r="Q57" i="4" s="1"/>
  <c r="AD61" i="4"/>
  <c r="AD57" i="4"/>
  <c r="AC57" i="4" s="1"/>
  <c r="AJ9" i="4"/>
  <c r="AV61" i="4"/>
  <c r="AU61" i="4" s="1"/>
  <c r="AV57" i="4"/>
  <c r="AU57" i="4" s="1"/>
  <c r="BH61" i="4"/>
  <c r="BH57" i="4"/>
  <c r="BG57" i="4" s="1"/>
  <c r="F62" i="4"/>
  <c r="E62" i="4" s="1"/>
  <c r="F58" i="4"/>
  <c r="E58" i="4" s="1"/>
  <c r="L62" i="4"/>
  <c r="K62" i="4" s="1"/>
  <c r="L58" i="4"/>
  <c r="K58" i="4" s="1"/>
  <c r="X62" i="4"/>
  <c r="W62" i="4" s="1"/>
  <c r="X58" i="4"/>
  <c r="W58" i="4" s="1"/>
  <c r="AH10" i="4"/>
  <c r="AP62" i="4"/>
  <c r="AO62" i="4" s="1"/>
  <c r="AP58" i="4"/>
  <c r="AO58" i="4" s="1"/>
  <c r="BB62" i="4"/>
  <c r="BB58" i="4"/>
  <c r="BA58" i="4" s="1"/>
  <c r="BN62" i="4"/>
  <c r="BN58" i="4"/>
  <c r="BM58" i="4" s="1"/>
  <c r="AD60" i="4"/>
  <c r="AD59" i="4" s="1"/>
  <c r="AD56" i="4"/>
  <c r="P59" i="4"/>
  <c r="AH16" i="4"/>
  <c r="AH60" i="4" s="1"/>
  <c r="BR17" i="4"/>
  <c r="BR20" i="4"/>
  <c r="BQ22" i="4"/>
  <c r="AI44" i="4"/>
  <c r="U61" i="4"/>
  <c r="T61" i="4" s="1"/>
  <c r="U57" i="4"/>
  <c r="T57" i="4" s="1"/>
  <c r="AM61" i="4"/>
  <c r="AL61" i="4" s="1"/>
  <c r="AM57" i="4"/>
  <c r="AL57" i="4" s="1"/>
  <c r="BQ9" i="4"/>
  <c r="BV61" i="4"/>
  <c r="BV57" i="4"/>
  <c r="O62" i="4"/>
  <c r="O58" i="4"/>
  <c r="N58" i="4" s="1"/>
  <c r="AA62" i="4"/>
  <c r="Z62" i="4" s="1"/>
  <c r="AA58" i="4"/>
  <c r="Z58" i="4" s="1"/>
  <c r="AS62" i="4"/>
  <c r="AR62" i="4" s="1"/>
  <c r="AS58" i="4"/>
  <c r="AR58" i="4" s="1"/>
  <c r="BE62" i="4"/>
  <c r="BE58" i="4"/>
  <c r="BD58" i="4" s="1"/>
  <c r="BO62" i="4"/>
  <c r="BO58" i="4"/>
  <c r="R16" i="4"/>
  <c r="R15" i="4" s="1"/>
  <c r="AJ24" i="4"/>
  <c r="AJ23" i="4" s="1"/>
  <c r="L23" i="4"/>
  <c r="BW26" i="4"/>
  <c r="AI29" i="4"/>
  <c r="AJ31" i="4"/>
  <c r="BW33" i="4"/>
  <c r="AA60" i="4"/>
  <c r="Z60" i="4" s="1"/>
  <c r="AA56" i="4"/>
  <c r="AV60" i="4"/>
  <c r="AV56" i="4"/>
  <c r="AG61" i="4"/>
  <c r="AF61" i="4" s="1"/>
  <c r="AG57" i="4"/>
  <c r="AF57" i="4" s="1"/>
  <c r="BK61" i="4"/>
  <c r="BK57" i="4"/>
  <c r="BJ57" i="4" s="1"/>
  <c r="U7" i="4"/>
  <c r="AG7" i="4"/>
  <c r="AH61" i="4"/>
  <c r="AH57" i="4"/>
  <c r="BB61" i="4"/>
  <c r="BB57" i="4"/>
  <c r="BA57" i="4" s="1"/>
  <c r="BR9" i="4"/>
  <c r="BW9" i="4" s="1"/>
  <c r="R62" i="4"/>
  <c r="Q62" i="4" s="1"/>
  <c r="R58" i="4"/>
  <c r="Q58" i="4" s="1"/>
  <c r="AV62" i="4"/>
  <c r="AU62" i="4" s="1"/>
  <c r="AV58" i="4"/>
  <c r="AU58" i="4" s="1"/>
  <c r="BH62" i="4"/>
  <c r="BH58" i="4"/>
  <c r="BG58" i="4" s="1"/>
  <c r="BP10" i="4"/>
  <c r="BP26" i="4"/>
  <c r="BT29" i="4"/>
  <c r="BT33" i="4"/>
  <c r="BS33" i="4" s="1"/>
  <c r="BP33" i="4"/>
  <c r="BO23" i="4"/>
  <c r="AW59" i="4"/>
  <c r="AI26" i="4"/>
  <c r="AH27" i="4"/>
  <c r="AI28" i="4"/>
  <c r="AH30" i="4"/>
  <c r="AI33" i="4"/>
  <c r="I34" i="4"/>
  <c r="AJ34" i="4" s="1"/>
  <c r="BO35" i="4"/>
  <c r="AH39" i="4"/>
  <c r="AH42" i="4"/>
  <c r="BR44" i="4"/>
  <c r="BQ45" i="4"/>
  <c r="BQ49" i="4"/>
  <c r="BP49" i="4" s="1"/>
  <c r="BP52" i="4"/>
  <c r="BR25" i="4"/>
  <c r="AM27" i="4"/>
  <c r="R31" i="4"/>
  <c r="BR34" i="4"/>
  <c r="BR37" i="4"/>
  <c r="AM39" i="4"/>
  <c r="AJ40" i="4"/>
  <c r="R43" i="4"/>
  <c r="AJ45" i="4"/>
  <c r="AI45" i="4" s="1"/>
  <c r="AI46" i="4"/>
  <c r="BR54" i="4"/>
  <c r="AH23" i="4"/>
  <c r="BR29" i="4"/>
  <c r="BR36" i="4"/>
  <c r="BR41" i="4"/>
  <c r="AM47" i="4"/>
  <c r="AJ48" i="4"/>
  <c r="AJ49" i="4"/>
  <c r="AI49" i="4" s="1"/>
  <c r="BQ51" i="4"/>
  <c r="BR45" i="4"/>
  <c r="BW46" i="4"/>
  <c r="BR49" i="4"/>
  <c r="AH47" i="4"/>
  <c r="I50" i="4"/>
  <c r="AJ50" i="4" s="1"/>
  <c r="BT50" i="4" s="1"/>
  <c r="BO51" i="4"/>
  <c r="BP54" i="4"/>
  <c r="AH65" i="4"/>
  <c r="BO65" i="4"/>
  <c r="AH62" i="4"/>
  <c r="AF62" i="4"/>
  <c r="BR50" i="4"/>
  <c r="F51" i="4"/>
  <c r="BR52" i="4"/>
  <c r="I54" i="4"/>
  <c r="AJ54" i="4" s="1"/>
  <c r="AX62" i="4"/>
  <c r="H59" i="4"/>
  <c r="N61" i="4"/>
  <c r="AO61" i="4"/>
  <c r="N62" i="4"/>
  <c r="AR61" i="4"/>
  <c r="AL60" i="4"/>
  <c r="BT13" i="4" l="1"/>
  <c r="BS13" i="4" s="1"/>
  <c r="BT52" i="4"/>
  <c r="AJ51" i="4"/>
  <c r="BP42" i="4"/>
  <c r="BT12" i="4"/>
  <c r="BT46" i="4"/>
  <c r="BS46" i="4" s="1"/>
  <c r="BT21" i="4"/>
  <c r="BS21" i="4" s="1"/>
  <c r="BP25" i="4"/>
  <c r="BT28" i="4"/>
  <c r="BS28" i="4" s="1"/>
  <c r="BP35" i="4"/>
  <c r="AI30" i="4"/>
  <c r="BP13" i="4"/>
  <c r="BP11" i="4" s="1"/>
  <c r="AY60" i="4"/>
  <c r="AX60" i="4" s="1"/>
  <c r="BR56" i="4"/>
  <c r="BW56" i="4" s="1"/>
  <c r="BP53" i="4"/>
  <c r="BP51" i="4" s="1"/>
  <c r="BQ35" i="4"/>
  <c r="BT32" i="4"/>
  <c r="BS32" i="4" s="1"/>
  <c r="BT44" i="4"/>
  <c r="BS44" i="4" s="1"/>
  <c r="AI42" i="4"/>
  <c r="BT37" i="4"/>
  <c r="BS37" i="4" s="1"/>
  <c r="BT36" i="4"/>
  <c r="BP46" i="4"/>
  <c r="AI11" i="4"/>
  <c r="BT11" i="4"/>
  <c r="AR60" i="4"/>
  <c r="N60" i="4"/>
  <c r="N59" i="4" s="1"/>
  <c r="AJ39" i="4"/>
  <c r="BT41" i="4"/>
  <c r="BS41" i="4" s="1"/>
  <c r="AJ56" i="4"/>
  <c r="BT14" i="4"/>
  <c r="BS14" i="4" s="1"/>
  <c r="BQ11" i="4"/>
  <c r="BT38" i="4"/>
  <c r="BS38" i="4" s="1"/>
  <c r="AI38" i="4"/>
  <c r="BQ43" i="4"/>
  <c r="BP15" i="4"/>
  <c r="BQ39" i="4"/>
  <c r="BQ31" i="4"/>
  <c r="BQ27" i="4"/>
  <c r="AJ47" i="4"/>
  <c r="BS53" i="4"/>
  <c r="AI27" i="4"/>
  <c r="BP30" i="4"/>
  <c r="BP32" i="4"/>
  <c r="BP31" i="4" s="1"/>
  <c r="BP28" i="4"/>
  <c r="BO55" i="4"/>
  <c r="BP44" i="4"/>
  <c r="BP43" i="4" s="1"/>
  <c r="AI35" i="4"/>
  <c r="BP45" i="4"/>
  <c r="BQ24" i="4"/>
  <c r="BQ60" i="4" s="1"/>
  <c r="BQ19" i="4"/>
  <c r="BT54" i="4"/>
  <c r="AI54" i="4"/>
  <c r="BS12" i="4"/>
  <c r="BS11" i="4" s="1"/>
  <c r="AJ35" i="4"/>
  <c r="T59" i="4"/>
  <c r="BT17" i="4"/>
  <c r="AJ27" i="4"/>
  <c r="BT20" i="4"/>
  <c r="BT19" i="4" s="1"/>
  <c r="AJ19" i="4"/>
  <c r="AI24" i="4"/>
  <c r="AI23" i="4" s="1"/>
  <c r="BR65" i="4"/>
  <c r="AF59" i="4"/>
  <c r="Z59" i="4"/>
  <c r="AA59" i="4"/>
  <c r="AH59" i="4"/>
  <c r="AI34" i="4"/>
  <c r="BT34" i="4"/>
  <c r="BS52" i="4"/>
  <c r="BW52" i="4"/>
  <c r="BW45" i="4"/>
  <c r="AI50" i="4"/>
  <c r="BW44" i="4"/>
  <c r="BQ61" i="4"/>
  <c r="BP61" i="4" s="1"/>
  <c r="BQ57" i="4"/>
  <c r="BP57" i="4" s="1"/>
  <c r="BT9" i="4"/>
  <c r="BP9" i="4"/>
  <c r="AI43" i="4"/>
  <c r="BT22" i="4"/>
  <c r="BS22" i="4" s="1"/>
  <c r="BO59" i="4"/>
  <c r="X59" i="4"/>
  <c r="W60" i="4"/>
  <c r="W59" i="4" s="1"/>
  <c r="BR30" i="4"/>
  <c r="BQ62" i="4"/>
  <c r="BP62" i="4" s="1"/>
  <c r="BQ58" i="4"/>
  <c r="BP58" i="4" s="1"/>
  <c r="F59" i="4"/>
  <c r="E60" i="4"/>
  <c r="E59" i="4" s="1"/>
  <c r="AY55" i="4"/>
  <c r="AX56" i="4"/>
  <c r="AX55" i="4" s="1"/>
  <c r="AF56" i="4"/>
  <c r="AF55" i="4" s="1"/>
  <c r="AG55" i="4"/>
  <c r="BW14" i="4"/>
  <c r="BW49" i="4"/>
  <c r="BW41" i="4"/>
  <c r="BS54" i="4"/>
  <c r="BW54" i="4"/>
  <c r="BW37" i="4"/>
  <c r="BS25" i="4"/>
  <c r="BW25" i="4"/>
  <c r="AU56" i="4"/>
  <c r="AU55" i="4" s="1"/>
  <c r="AV55" i="4"/>
  <c r="BT48" i="4"/>
  <c r="BS48" i="4" s="1"/>
  <c r="AI56" i="4"/>
  <c r="AJ43" i="4"/>
  <c r="BT40" i="4"/>
  <c r="BS40" i="4" s="1"/>
  <c r="BW20" i="4"/>
  <c r="AJ61" i="4"/>
  <c r="AI61" i="4" s="1"/>
  <c r="AJ57" i="4"/>
  <c r="AI57" i="4" s="1"/>
  <c r="AR56" i="4"/>
  <c r="AR55" i="4" s="1"/>
  <c r="AS55" i="4"/>
  <c r="K56" i="4"/>
  <c r="K55" i="4" s="1"/>
  <c r="L55" i="4"/>
  <c r="O55" i="4"/>
  <c r="N56" i="4"/>
  <c r="N55" i="4" s="1"/>
  <c r="AP55" i="4"/>
  <c r="AO56" i="4"/>
  <c r="AO55" i="4" s="1"/>
  <c r="T56" i="4"/>
  <c r="T55" i="4" s="1"/>
  <c r="U55" i="4"/>
  <c r="AY59" i="4"/>
  <c r="AG59" i="4"/>
  <c r="AJ16" i="4"/>
  <c r="AI16" i="4" s="1"/>
  <c r="AI15" i="4" s="1"/>
  <c r="AI19" i="4"/>
  <c r="BP19" i="4"/>
  <c r="BS50" i="4"/>
  <c r="BW50" i="4"/>
  <c r="BS36" i="4"/>
  <c r="BW36" i="4"/>
  <c r="BT49" i="4"/>
  <c r="BS49" i="4" s="1"/>
  <c r="AI40" i="4"/>
  <c r="AI39" i="4" s="1"/>
  <c r="AX59" i="4"/>
  <c r="BR61" i="4"/>
  <c r="BW61" i="4" s="1"/>
  <c r="BR57" i="4"/>
  <c r="BW57" i="4" s="1"/>
  <c r="BS9" i="4"/>
  <c r="AV59" i="4"/>
  <c r="AU60" i="4"/>
  <c r="AU59" i="4" s="1"/>
  <c r="BP47" i="4"/>
  <c r="BT35" i="4"/>
  <c r="BP27" i="4"/>
  <c r="BS17" i="4"/>
  <c r="BW17" i="4"/>
  <c r="AD55" i="4"/>
  <c r="AC56" i="4"/>
  <c r="AC55" i="4" s="1"/>
  <c r="AH58" i="4"/>
  <c r="A13" i="4"/>
  <c r="A17" i="4" s="1"/>
  <c r="A21" i="4" s="1"/>
  <c r="A25" i="4" s="1"/>
  <c r="A29" i="4" s="1"/>
  <c r="A33" i="4" s="1"/>
  <c r="A37" i="4" s="1"/>
  <c r="A41" i="4" s="1"/>
  <c r="A45" i="4" s="1"/>
  <c r="A49" i="4" s="1"/>
  <c r="A53" i="4" s="1"/>
  <c r="A10" i="4"/>
  <c r="A14" i="4" s="1"/>
  <c r="A18" i="4" s="1"/>
  <c r="A22" i="4" s="1"/>
  <c r="A26" i="4" s="1"/>
  <c r="A30" i="4" s="1"/>
  <c r="A34" i="4" s="1"/>
  <c r="A38" i="4" s="1"/>
  <c r="A42" i="4" s="1"/>
  <c r="A46" i="4" s="1"/>
  <c r="A50" i="4" s="1"/>
  <c r="A54" i="4" s="1"/>
  <c r="L59" i="4"/>
  <c r="K60" i="4"/>
  <c r="K59" i="4" s="1"/>
  <c r="BP22" i="4"/>
  <c r="AO60" i="4"/>
  <c r="AO59" i="4" s="1"/>
  <c r="AP59" i="4"/>
  <c r="U59" i="4"/>
  <c r="AM55" i="4"/>
  <c r="AL56" i="4"/>
  <c r="AL55" i="4" s="1"/>
  <c r="R55" i="4"/>
  <c r="Q56" i="4"/>
  <c r="Q55" i="4" s="1"/>
  <c r="BS34" i="4"/>
  <c r="BW34" i="4"/>
  <c r="AL59" i="4"/>
  <c r="AR59" i="4"/>
  <c r="AH66" i="4"/>
  <c r="BS29" i="4"/>
  <c r="BW29" i="4"/>
  <c r="AI48" i="4"/>
  <c r="AI47" i="4" s="1"/>
  <c r="BT45" i="4"/>
  <c r="BS45" i="4" s="1"/>
  <c r="AA55" i="4"/>
  <c r="Z56" i="4"/>
  <c r="Z55" i="4" s="1"/>
  <c r="BQ47" i="4"/>
  <c r="AI31" i="4"/>
  <c r="BR16" i="4"/>
  <c r="AH15" i="4"/>
  <c r="W56" i="4"/>
  <c r="W55" i="4" s="1"/>
  <c r="X55" i="4"/>
  <c r="AJ7" i="4"/>
  <c r="BR42" i="4"/>
  <c r="I62" i="4"/>
  <c r="AJ10" i="4"/>
  <c r="AI10" i="4" s="1"/>
  <c r="BB55" i="4"/>
  <c r="BA56" i="4"/>
  <c r="BA55" i="4" s="1"/>
  <c r="AH55" i="4"/>
  <c r="E56" i="4"/>
  <c r="E55" i="4" s="1"/>
  <c r="F55" i="4"/>
  <c r="BQ56" i="4"/>
  <c r="BT8" i="4"/>
  <c r="BP8" i="4"/>
  <c r="BP7" i="4" s="1"/>
  <c r="BQ7" i="4"/>
  <c r="BQ65" i="4"/>
  <c r="AM59" i="4"/>
  <c r="R60" i="4"/>
  <c r="AJ65" i="4" s="1"/>
  <c r="BR10" i="4"/>
  <c r="AI9" i="4"/>
  <c r="AI7" i="4" s="1"/>
  <c r="BQ23" i="4" l="1"/>
  <c r="BP24" i="4"/>
  <c r="BP23" i="4" s="1"/>
  <c r="BT24" i="4"/>
  <c r="BS24" i="4" s="1"/>
  <c r="BS20" i="4"/>
  <c r="BS19" i="4" s="1"/>
  <c r="BQ59" i="4"/>
  <c r="BT56" i="4"/>
  <c r="BS56" i="4" s="1"/>
  <c r="BT7" i="4"/>
  <c r="BS8" i="4"/>
  <c r="BS7" i="4" s="1"/>
  <c r="BP56" i="4"/>
  <c r="BP55" i="4" s="1"/>
  <c r="BQ55" i="4"/>
  <c r="BW16" i="4"/>
  <c r="BR60" i="4"/>
  <c r="BR62" i="4"/>
  <c r="BR58" i="4"/>
  <c r="BW58" i="4" s="1"/>
  <c r="BW10" i="4"/>
  <c r="AJ62" i="4"/>
  <c r="AI62" i="4" s="1"/>
  <c r="AJ58" i="4"/>
  <c r="AI58" i="4" s="1"/>
  <c r="BT65" i="4"/>
  <c r="R59" i="4"/>
  <c r="Q60" i="4"/>
  <c r="Q59" i="4" s="1"/>
  <c r="BS42" i="4"/>
  <c r="BW42" i="4"/>
  <c r="AJ55" i="4"/>
  <c r="AJ15" i="4"/>
  <c r="AJ60" i="4"/>
  <c r="BT16" i="4"/>
  <c r="BT15" i="4" s="1"/>
  <c r="AI55" i="4"/>
  <c r="BT10" i="4"/>
  <c r="BS30" i="4"/>
  <c r="BW30" i="4"/>
  <c r="BP60" i="4"/>
  <c r="BP59" i="4" s="1"/>
  <c r="BT61" i="4"/>
  <c r="BS61" i="4" s="1"/>
  <c r="BT57" i="4"/>
  <c r="BS57" i="4" s="1"/>
  <c r="AJ66" i="4" l="1"/>
  <c r="AJ59" i="4"/>
  <c r="AI60" i="4"/>
  <c r="AI59" i="4" s="1"/>
  <c r="BS16" i="4"/>
  <c r="BS15" i="4" s="1"/>
  <c r="BW62" i="4"/>
  <c r="BW60" i="4"/>
  <c r="BR59" i="4"/>
  <c r="BT62" i="4"/>
  <c r="BS62" i="4" s="1"/>
  <c r="BT58" i="4"/>
  <c r="BS58" i="4" s="1"/>
  <c r="BS10" i="4"/>
  <c r="BT60" i="4"/>
  <c r="BS60" i="4" s="1"/>
  <c r="H56" i="2" l="1"/>
  <c r="F56" i="2"/>
  <c r="E56" i="2"/>
  <c r="G53" i="2" l="1"/>
  <c r="D53" i="2"/>
  <c r="B52" i="2"/>
  <c r="J52" i="2" s="1"/>
  <c r="B51" i="2"/>
  <c r="J51" i="2" s="1"/>
  <c r="J50" i="2"/>
  <c r="F50" i="2"/>
  <c r="B49" i="2"/>
  <c r="J49" i="2" s="1"/>
  <c r="J48" i="2"/>
  <c r="F48" i="2"/>
  <c r="J47" i="2"/>
  <c r="F47" i="2"/>
  <c r="B46" i="2"/>
  <c r="J46" i="2" s="1"/>
  <c r="J45" i="2"/>
  <c r="F45" i="2"/>
  <c r="J44" i="2"/>
  <c r="F44" i="2"/>
  <c r="B43" i="2"/>
  <c r="J43" i="2" s="1"/>
  <c r="B42" i="2"/>
  <c r="J42" i="2" s="1"/>
  <c r="B41" i="2"/>
  <c r="J41" i="2" s="1"/>
  <c r="J40" i="2"/>
  <c r="F40" i="2"/>
  <c r="B39" i="2"/>
  <c r="J39" i="2" s="1"/>
  <c r="B38" i="2"/>
  <c r="B37" i="2"/>
  <c r="J37" i="2" s="1"/>
  <c r="J36" i="2"/>
  <c r="F36" i="2"/>
  <c r="J35" i="2"/>
  <c r="F35" i="2"/>
  <c r="J34" i="2"/>
  <c r="F34" i="2"/>
  <c r="B33" i="2"/>
  <c r="J33" i="2" s="1"/>
  <c r="J32" i="2"/>
  <c r="F32" i="2"/>
  <c r="B31" i="2"/>
  <c r="J31" i="2" s="1"/>
  <c r="B30" i="2"/>
  <c r="J30" i="2" s="1"/>
  <c r="J29" i="2"/>
  <c r="F29" i="2"/>
  <c r="B28" i="2"/>
  <c r="J28" i="2" s="1"/>
  <c r="B27" i="2"/>
  <c r="J27" i="2" s="1"/>
  <c r="B26" i="2"/>
  <c r="J25" i="2"/>
  <c r="G24" i="2"/>
  <c r="D24" i="2"/>
  <c r="B23" i="2"/>
  <c r="F23" i="2" s="1"/>
  <c r="B22" i="2"/>
  <c r="F22" i="2" s="1"/>
  <c r="B21" i="2"/>
  <c r="F21" i="2" s="1"/>
  <c r="B20" i="2"/>
  <c r="J19" i="2"/>
  <c r="G18" i="2"/>
  <c r="H15" i="2" s="1"/>
  <c r="D18" i="2"/>
  <c r="E17" i="2" s="1"/>
  <c r="B18" i="2"/>
  <c r="C17" i="2" s="1"/>
  <c r="J17" i="2"/>
  <c r="H17" i="2"/>
  <c r="F17" i="2"/>
  <c r="F16" i="2"/>
  <c r="J15" i="2"/>
  <c r="F15" i="2"/>
  <c r="G11" i="2"/>
  <c r="D11" i="2"/>
  <c r="B11" i="2"/>
  <c r="G10" i="2"/>
  <c r="D10" i="2"/>
  <c r="B10" i="2"/>
  <c r="G9" i="2"/>
  <c r="D9" i="2"/>
  <c r="B9" i="2"/>
  <c r="G8" i="2"/>
  <c r="D8" i="2"/>
  <c r="B8" i="2"/>
  <c r="F7" i="2"/>
  <c r="F6" i="2"/>
  <c r="F5" i="2"/>
  <c r="F8" i="2" l="1"/>
  <c r="C15" i="2"/>
  <c r="E16" i="2"/>
  <c r="E15" i="2"/>
  <c r="F10" i="2"/>
  <c r="H16" i="2"/>
  <c r="H18" i="2" s="1"/>
  <c r="E24" i="2"/>
  <c r="F11" i="2"/>
  <c r="C16" i="2"/>
  <c r="B53" i="2"/>
  <c r="F53" i="2" s="1"/>
  <c r="B24" i="2"/>
  <c r="C24" i="2" s="1"/>
  <c r="F9" i="2"/>
  <c r="H24" i="2"/>
  <c r="C50" i="2"/>
  <c r="C48" i="2"/>
  <c r="C47" i="2"/>
  <c r="C45" i="2"/>
  <c r="C44" i="2"/>
  <c r="C40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F18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J18" i="2"/>
  <c r="C20" i="2"/>
  <c r="E20" i="2"/>
  <c r="F20" i="2"/>
  <c r="H20" i="2"/>
  <c r="C21" i="2"/>
  <c r="E21" i="2"/>
  <c r="H21" i="2"/>
  <c r="C22" i="2"/>
  <c r="E22" i="2"/>
  <c r="H22" i="2"/>
  <c r="C23" i="2"/>
  <c r="E23" i="2"/>
  <c r="H23" i="2"/>
  <c r="C26" i="2"/>
  <c r="E26" i="2"/>
  <c r="F26" i="2"/>
  <c r="H26" i="2"/>
  <c r="J26" i="2"/>
  <c r="C27" i="2"/>
  <c r="E27" i="2"/>
  <c r="F27" i="2"/>
  <c r="H27" i="2"/>
  <c r="C28" i="2"/>
  <c r="E28" i="2"/>
  <c r="F28" i="2"/>
  <c r="H28" i="2"/>
  <c r="C29" i="2"/>
  <c r="E29" i="2"/>
  <c r="H29" i="2"/>
  <c r="C30" i="2"/>
  <c r="E30" i="2"/>
  <c r="F30" i="2"/>
  <c r="H30" i="2"/>
  <c r="C31" i="2"/>
  <c r="E31" i="2"/>
  <c r="F31" i="2"/>
  <c r="H31" i="2"/>
  <c r="C32" i="2"/>
  <c r="E32" i="2"/>
  <c r="H32" i="2"/>
  <c r="C33" i="2"/>
  <c r="E33" i="2"/>
  <c r="F33" i="2"/>
  <c r="H33" i="2"/>
  <c r="C34" i="2"/>
  <c r="E34" i="2"/>
  <c r="H34" i="2"/>
  <c r="C35" i="2"/>
  <c r="E35" i="2"/>
  <c r="H35" i="2"/>
  <c r="C36" i="2"/>
  <c r="E36" i="2"/>
  <c r="H36" i="2"/>
  <c r="C37" i="2"/>
  <c r="E37" i="2"/>
  <c r="F37" i="2"/>
  <c r="H37" i="2"/>
  <c r="J38" i="2"/>
  <c r="F38" i="2"/>
  <c r="C38" i="2"/>
  <c r="D57" i="2"/>
  <c r="E57" i="2" s="1"/>
  <c r="G57" i="2"/>
  <c r="H57" i="2" s="1"/>
  <c r="C39" i="2"/>
  <c r="F39" i="2"/>
  <c r="C41" i="2"/>
  <c r="F41" i="2"/>
  <c r="C42" i="2"/>
  <c r="F42" i="2"/>
  <c r="C43" i="2"/>
  <c r="F43" i="2"/>
  <c r="C46" i="2"/>
  <c r="F46" i="2"/>
  <c r="C49" i="2"/>
  <c r="F49" i="2"/>
  <c r="C51" i="2"/>
  <c r="F51" i="2"/>
  <c r="C52" i="2"/>
  <c r="F52" i="2"/>
  <c r="E53" i="2"/>
  <c r="H53" i="2"/>
  <c r="A8" i="1"/>
  <c r="BB52" i="1"/>
  <c r="AH52" i="1"/>
  <c r="AG52" i="1"/>
  <c r="AD52" i="1"/>
  <c r="AA52" i="1"/>
  <c r="X52" i="1"/>
  <c r="U52" i="1"/>
  <c r="R52" i="1"/>
  <c r="O52" i="1"/>
  <c r="L52" i="1"/>
  <c r="F52" i="1"/>
  <c r="BB48" i="1"/>
  <c r="AH48" i="1"/>
  <c r="AG48" i="1"/>
  <c r="AD48" i="1"/>
  <c r="AA48" i="1"/>
  <c r="X48" i="1"/>
  <c r="U48" i="1"/>
  <c r="R48" i="1"/>
  <c r="O48" i="1"/>
  <c r="L48" i="1"/>
  <c r="F48" i="1"/>
  <c r="BB44" i="1"/>
  <c r="AH44" i="1"/>
  <c r="AG44" i="1"/>
  <c r="AD44" i="1"/>
  <c r="AA44" i="1"/>
  <c r="X44" i="1"/>
  <c r="U44" i="1"/>
  <c r="R44" i="1"/>
  <c r="O44" i="1"/>
  <c r="L44" i="1"/>
  <c r="F44" i="1"/>
  <c r="BB40" i="1"/>
  <c r="AH40" i="1"/>
  <c r="AG40" i="1"/>
  <c r="AD40" i="1"/>
  <c r="AA40" i="1"/>
  <c r="X40" i="1"/>
  <c r="U40" i="1"/>
  <c r="R40" i="1"/>
  <c r="O40" i="1"/>
  <c r="L40" i="1"/>
  <c r="F40" i="1"/>
  <c r="BB36" i="1"/>
  <c r="AH36" i="1"/>
  <c r="AG36" i="1"/>
  <c r="AD36" i="1"/>
  <c r="AA36" i="1"/>
  <c r="X36" i="1"/>
  <c r="U36" i="1"/>
  <c r="R36" i="1"/>
  <c r="O36" i="1"/>
  <c r="L36" i="1"/>
  <c r="F36" i="1"/>
  <c r="BB32" i="1"/>
  <c r="AH32" i="1"/>
  <c r="AG32" i="1"/>
  <c r="AD32" i="1"/>
  <c r="AA32" i="1"/>
  <c r="X32" i="1"/>
  <c r="U32" i="1"/>
  <c r="R32" i="1"/>
  <c r="O32" i="1"/>
  <c r="L32" i="1"/>
  <c r="F32" i="1"/>
  <c r="BB28" i="1"/>
  <c r="AH28" i="1"/>
  <c r="AG28" i="1"/>
  <c r="AD28" i="1"/>
  <c r="AA28" i="1"/>
  <c r="X28" i="1"/>
  <c r="U28" i="1"/>
  <c r="R28" i="1"/>
  <c r="O28" i="1"/>
  <c r="L28" i="1"/>
  <c r="F28" i="1"/>
  <c r="BB24" i="1"/>
  <c r="AH24" i="1"/>
  <c r="AG24" i="1"/>
  <c r="AD24" i="1"/>
  <c r="AA24" i="1"/>
  <c r="X24" i="1"/>
  <c r="U24" i="1"/>
  <c r="R24" i="1"/>
  <c r="O24" i="1"/>
  <c r="L24" i="1"/>
  <c r="F24" i="1"/>
  <c r="BB20" i="1"/>
  <c r="BB16" i="1"/>
  <c r="BB12" i="1"/>
  <c r="E56" i="1"/>
  <c r="BB8" i="1"/>
  <c r="AY53" i="1"/>
  <c r="AV53" i="1"/>
  <c r="AS53" i="1"/>
  <c r="AP53" i="1"/>
  <c r="AM53" i="1"/>
  <c r="AH53" i="1"/>
  <c r="AG53" i="1"/>
  <c r="AD53" i="1"/>
  <c r="AA53" i="1"/>
  <c r="X53" i="1"/>
  <c r="U53" i="1"/>
  <c r="R53" i="1"/>
  <c r="O53" i="1"/>
  <c r="L53" i="1"/>
  <c r="F53" i="1"/>
  <c r="AY49" i="1"/>
  <c r="AV49" i="1"/>
  <c r="AS49" i="1"/>
  <c r="AP49" i="1"/>
  <c r="AM49" i="1"/>
  <c r="AH49" i="1"/>
  <c r="AG49" i="1"/>
  <c r="AD49" i="1"/>
  <c r="AA49" i="1"/>
  <c r="X49" i="1"/>
  <c r="U49" i="1"/>
  <c r="R49" i="1"/>
  <c r="O49" i="1"/>
  <c r="L49" i="1"/>
  <c r="F49" i="1"/>
  <c r="AY45" i="1"/>
  <c r="AV45" i="1"/>
  <c r="AS45" i="1"/>
  <c r="AP45" i="1"/>
  <c r="AM45" i="1"/>
  <c r="AH45" i="1"/>
  <c r="AG45" i="1"/>
  <c r="AD45" i="1"/>
  <c r="AA45" i="1"/>
  <c r="X45" i="1"/>
  <c r="U45" i="1"/>
  <c r="R45" i="1"/>
  <c r="O45" i="1"/>
  <c r="L45" i="1"/>
  <c r="F45" i="1"/>
  <c r="AY41" i="1"/>
  <c r="AV41" i="1"/>
  <c r="AS41" i="1"/>
  <c r="AP41" i="1"/>
  <c r="AM41" i="1"/>
  <c r="AH41" i="1"/>
  <c r="AG41" i="1"/>
  <c r="AD41" i="1"/>
  <c r="AA41" i="1"/>
  <c r="X41" i="1"/>
  <c r="U41" i="1"/>
  <c r="R41" i="1"/>
  <c r="O41" i="1"/>
  <c r="L41" i="1"/>
  <c r="F41" i="1"/>
  <c r="AY37" i="1"/>
  <c r="AV37" i="1"/>
  <c r="AS37" i="1"/>
  <c r="AP37" i="1"/>
  <c r="AM37" i="1"/>
  <c r="AH37" i="1"/>
  <c r="AG37" i="1"/>
  <c r="AD37" i="1"/>
  <c r="AA37" i="1"/>
  <c r="X37" i="1"/>
  <c r="U37" i="1"/>
  <c r="R37" i="1"/>
  <c r="O37" i="1"/>
  <c r="L37" i="1"/>
  <c r="F37" i="1"/>
  <c r="AY33" i="1"/>
  <c r="AV33" i="1"/>
  <c r="AS33" i="1"/>
  <c r="AP33" i="1"/>
  <c r="AM33" i="1"/>
  <c r="AH33" i="1"/>
  <c r="AG33" i="1"/>
  <c r="AD33" i="1"/>
  <c r="AA33" i="1"/>
  <c r="X33" i="1"/>
  <c r="U33" i="1"/>
  <c r="R33" i="1"/>
  <c r="O33" i="1"/>
  <c r="L33" i="1"/>
  <c r="F33" i="1"/>
  <c r="AY29" i="1"/>
  <c r="AV29" i="1"/>
  <c r="AS29" i="1"/>
  <c r="AP29" i="1"/>
  <c r="AM29" i="1"/>
  <c r="AH29" i="1"/>
  <c r="AG29" i="1"/>
  <c r="AD29" i="1"/>
  <c r="AA29" i="1"/>
  <c r="X29" i="1"/>
  <c r="U29" i="1"/>
  <c r="R29" i="1"/>
  <c r="O29" i="1"/>
  <c r="L29" i="1"/>
  <c r="F29" i="1"/>
  <c r="AY25" i="1"/>
  <c r="AV25" i="1"/>
  <c r="AS25" i="1"/>
  <c r="AP25" i="1"/>
  <c r="AM25" i="1"/>
  <c r="AH25" i="1"/>
  <c r="AG25" i="1"/>
  <c r="AD25" i="1"/>
  <c r="AA25" i="1"/>
  <c r="X25" i="1"/>
  <c r="U25" i="1"/>
  <c r="R25" i="1"/>
  <c r="O25" i="1"/>
  <c r="L25" i="1"/>
  <c r="F25" i="1"/>
  <c r="AY21" i="1"/>
  <c r="AV21" i="1"/>
  <c r="AS21" i="1"/>
  <c r="AP21" i="1"/>
  <c r="AM21" i="1"/>
  <c r="AH21" i="1"/>
  <c r="AG21" i="1"/>
  <c r="AD21" i="1"/>
  <c r="AA21" i="1"/>
  <c r="X21" i="1"/>
  <c r="U21" i="1"/>
  <c r="R21" i="1"/>
  <c r="O21" i="1"/>
  <c r="L21" i="1"/>
  <c r="F21" i="1"/>
  <c r="AY17" i="1"/>
  <c r="AV17" i="1"/>
  <c r="AS17" i="1"/>
  <c r="AP17" i="1"/>
  <c r="AM17" i="1"/>
  <c r="AH17" i="1"/>
  <c r="AG17" i="1"/>
  <c r="AD17" i="1"/>
  <c r="AA17" i="1"/>
  <c r="X17" i="1"/>
  <c r="U17" i="1"/>
  <c r="R17" i="1"/>
  <c r="O17" i="1"/>
  <c r="L17" i="1"/>
  <c r="F17" i="1"/>
  <c r="AY13" i="1"/>
  <c r="AV13" i="1"/>
  <c r="AS13" i="1"/>
  <c r="AP13" i="1"/>
  <c r="AM13" i="1"/>
  <c r="AH13" i="1"/>
  <c r="AG13" i="1"/>
  <c r="AD13" i="1"/>
  <c r="AA13" i="1"/>
  <c r="X13" i="1"/>
  <c r="U13" i="1"/>
  <c r="R13" i="1"/>
  <c r="O13" i="1"/>
  <c r="L13" i="1"/>
  <c r="F13" i="1"/>
  <c r="AY9" i="1"/>
  <c r="AV9" i="1"/>
  <c r="AS9" i="1"/>
  <c r="AP9" i="1"/>
  <c r="AM9" i="1"/>
  <c r="AH9" i="1"/>
  <c r="AG9" i="1"/>
  <c r="AD9" i="1"/>
  <c r="AA9" i="1"/>
  <c r="X9" i="1"/>
  <c r="U9" i="1"/>
  <c r="R9" i="1"/>
  <c r="O9" i="1"/>
  <c r="L9" i="1"/>
  <c r="F9" i="1"/>
  <c r="AH57" i="1" l="1"/>
  <c r="AV57" i="1"/>
  <c r="AU57" i="1" s="1"/>
  <c r="L57" i="1"/>
  <c r="K57" i="1" s="1"/>
  <c r="X57" i="1"/>
  <c r="W57" i="1" s="1"/>
  <c r="C18" i="2"/>
  <c r="O57" i="1"/>
  <c r="N57" i="1" s="1"/>
  <c r="AM57" i="1"/>
  <c r="AL57" i="1" s="1"/>
  <c r="R57" i="1"/>
  <c r="Q57" i="1" s="1"/>
  <c r="AD57" i="1"/>
  <c r="AC57" i="1" s="1"/>
  <c r="AP57" i="1"/>
  <c r="AO57" i="1" s="1"/>
  <c r="AA57" i="1"/>
  <c r="Z57" i="1" s="1"/>
  <c r="AY57" i="1"/>
  <c r="AX57" i="1" s="1"/>
  <c r="F57" i="1"/>
  <c r="E57" i="1" s="1"/>
  <c r="U57" i="1"/>
  <c r="T57" i="1" s="1"/>
  <c r="AG57" i="1"/>
  <c r="AF57" i="1" s="1"/>
  <c r="AS57" i="1"/>
  <c r="AR57" i="1" s="1"/>
  <c r="BB56" i="1"/>
  <c r="BA56" i="1" s="1"/>
  <c r="AJ21" i="1"/>
  <c r="AI21" i="1" s="1"/>
  <c r="AJ37" i="1"/>
  <c r="AI37" i="1" s="1"/>
  <c r="AJ53" i="1"/>
  <c r="AI53" i="1" s="1"/>
  <c r="AJ24" i="1"/>
  <c r="AI24" i="1" s="1"/>
  <c r="AJ28" i="1"/>
  <c r="AI28" i="1" s="1"/>
  <c r="AJ32" i="1"/>
  <c r="AI32" i="1" s="1"/>
  <c r="AJ36" i="1"/>
  <c r="AI36" i="1" s="1"/>
  <c r="AJ40" i="1"/>
  <c r="AI40" i="1" s="1"/>
  <c r="AJ44" i="1"/>
  <c r="AI44" i="1" s="1"/>
  <c r="AJ48" i="1"/>
  <c r="AI48" i="1" s="1"/>
  <c r="AJ52" i="1"/>
  <c r="AI52" i="1" s="1"/>
  <c r="E18" i="2"/>
  <c r="F24" i="2"/>
  <c r="J24" i="2"/>
  <c r="J53" i="2"/>
  <c r="AJ33" i="1"/>
  <c r="AI33" i="1" s="1"/>
  <c r="B57" i="2"/>
  <c r="C57" i="2" s="1"/>
  <c r="AJ17" i="1"/>
  <c r="AI17" i="1" s="1"/>
  <c r="AJ49" i="1"/>
  <c r="AI49" i="1" s="1"/>
  <c r="AJ13" i="1"/>
  <c r="AI13" i="1" s="1"/>
  <c r="AJ29" i="1"/>
  <c r="AI29" i="1" s="1"/>
  <c r="AJ45" i="1"/>
  <c r="AI45" i="1" s="1"/>
  <c r="C53" i="2"/>
  <c r="AJ9" i="1"/>
  <c r="AJ25" i="1"/>
  <c r="AI25" i="1" s="1"/>
  <c r="AJ41" i="1"/>
  <c r="AI41" i="1" s="1"/>
  <c r="G58" i="2"/>
  <c r="H58" i="2" s="1"/>
  <c r="D58" i="2"/>
  <c r="E58" i="2" s="1"/>
  <c r="AJ57" i="1" l="1"/>
  <c r="AI57" i="1" s="1"/>
  <c r="F57" i="2"/>
  <c r="AI9" i="1"/>
  <c r="B58" i="2"/>
  <c r="J58" i="2" s="1"/>
  <c r="J57" i="2"/>
  <c r="BB50" i="1"/>
  <c r="AY50" i="1"/>
  <c r="AV50" i="1"/>
  <c r="AS50" i="1"/>
  <c r="AP50" i="1"/>
  <c r="AM50" i="1"/>
  <c r="AG50" i="1"/>
  <c r="AD50" i="1"/>
  <c r="AA50" i="1"/>
  <c r="X50" i="1"/>
  <c r="U50" i="1"/>
  <c r="R50" i="1"/>
  <c r="O50" i="1"/>
  <c r="L50" i="1"/>
  <c r="H50" i="1"/>
  <c r="G50" i="1"/>
  <c r="AH50" i="1" s="1"/>
  <c r="F50" i="1"/>
  <c r="BB54" i="1"/>
  <c r="AY54" i="1"/>
  <c r="AV54" i="1"/>
  <c r="AS54" i="1"/>
  <c r="AP54" i="1"/>
  <c r="AM54" i="1"/>
  <c r="AG54" i="1"/>
  <c r="AD54" i="1"/>
  <c r="AA54" i="1"/>
  <c r="X54" i="1"/>
  <c r="U54" i="1"/>
  <c r="R54" i="1"/>
  <c r="O54" i="1"/>
  <c r="L54" i="1"/>
  <c r="H54" i="1"/>
  <c r="G54" i="1"/>
  <c r="AH54" i="1" s="1"/>
  <c r="F54" i="1"/>
  <c r="BB46" i="1"/>
  <c r="AY46" i="1"/>
  <c r="AV46" i="1"/>
  <c r="AS46" i="1"/>
  <c r="AP46" i="1"/>
  <c r="AM46" i="1"/>
  <c r="AG46" i="1"/>
  <c r="AD46" i="1"/>
  <c r="AA46" i="1"/>
  <c r="X46" i="1"/>
  <c r="U46" i="1"/>
  <c r="R46" i="1"/>
  <c r="O46" i="1"/>
  <c r="L46" i="1"/>
  <c r="H46" i="1"/>
  <c r="G46" i="1"/>
  <c r="AH46" i="1" s="1"/>
  <c r="F46" i="1"/>
  <c r="BB42" i="1"/>
  <c r="AY42" i="1"/>
  <c r="AV42" i="1"/>
  <c r="AS42" i="1"/>
  <c r="AP42" i="1"/>
  <c r="AM42" i="1"/>
  <c r="AG42" i="1"/>
  <c r="AD42" i="1"/>
  <c r="AA42" i="1"/>
  <c r="X42" i="1"/>
  <c r="U42" i="1"/>
  <c r="R42" i="1"/>
  <c r="O42" i="1"/>
  <c r="L42" i="1"/>
  <c r="H42" i="1"/>
  <c r="G42" i="1"/>
  <c r="AH42" i="1" s="1"/>
  <c r="F42" i="1"/>
  <c r="BB38" i="1"/>
  <c r="AY38" i="1"/>
  <c r="AV38" i="1"/>
  <c r="AS38" i="1"/>
  <c r="AP38" i="1"/>
  <c r="AM38" i="1"/>
  <c r="AG38" i="1"/>
  <c r="AD38" i="1"/>
  <c r="AA38" i="1"/>
  <c r="X38" i="1"/>
  <c r="U38" i="1"/>
  <c r="R38" i="1"/>
  <c r="O38" i="1"/>
  <c r="L38" i="1"/>
  <c r="H38" i="1"/>
  <c r="G38" i="1"/>
  <c r="AH38" i="1" s="1"/>
  <c r="F38" i="1"/>
  <c r="BB34" i="1"/>
  <c r="AY34" i="1"/>
  <c r="AV34" i="1"/>
  <c r="AS34" i="1"/>
  <c r="AP34" i="1"/>
  <c r="AM34" i="1"/>
  <c r="AG34" i="1"/>
  <c r="AD34" i="1"/>
  <c r="AA34" i="1"/>
  <c r="X34" i="1"/>
  <c r="U34" i="1"/>
  <c r="R34" i="1"/>
  <c r="O34" i="1"/>
  <c r="L34" i="1"/>
  <c r="H34" i="1"/>
  <c r="G34" i="1"/>
  <c r="AH34" i="1" s="1"/>
  <c r="F34" i="1"/>
  <c r="BB30" i="1"/>
  <c r="AY30" i="1"/>
  <c r="AV30" i="1"/>
  <c r="AS30" i="1"/>
  <c r="AP30" i="1"/>
  <c r="AM30" i="1"/>
  <c r="AG30" i="1"/>
  <c r="AD30" i="1"/>
  <c r="AA30" i="1"/>
  <c r="X30" i="1"/>
  <c r="U30" i="1"/>
  <c r="R30" i="1"/>
  <c r="O30" i="1"/>
  <c r="L30" i="1"/>
  <c r="H30" i="1"/>
  <c r="G30" i="1"/>
  <c r="AH30" i="1" s="1"/>
  <c r="F30" i="1"/>
  <c r="BB26" i="1"/>
  <c r="AY26" i="1"/>
  <c r="AV26" i="1"/>
  <c r="AS26" i="1"/>
  <c r="AP26" i="1"/>
  <c r="AM26" i="1"/>
  <c r="AG26" i="1"/>
  <c r="AD26" i="1"/>
  <c r="AA26" i="1"/>
  <c r="X26" i="1"/>
  <c r="U26" i="1"/>
  <c r="R26" i="1"/>
  <c r="O26" i="1"/>
  <c r="L26" i="1"/>
  <c r="H26" i="1"/>
  <c r="G26" i="1"/>
  <c r="AH26" i="1" s="1"/>
  <c r="F26" i="1"/>
  <c r="BB22" i="1"/>
  <c r="AY22" i="1"/>
  <c r="AV22" i="1"/>
  <c r="AS22" i="1"/>
  <c r="AP22" i="1"/>
  <c r="AM22" i="1"/>
  <c r="AG22" i="1"/>
  <c r="AD22" i="1"/>
  <c r="AA22" i="1"/>
  <c r="X22" i="1"/>
  <c r="U22" i="1"/>
  <c r="R22" i="1"/>
  <c r="O22" i="1"/>
  <c r="L22" i="1"/>
  <c r="H22" i="1"/>
  <c r="G22" i="1"/>
  <c r="AH22" i="1" s="1"/>
  <c r="F22" i="1"/>
  <c r="BB18" i="1"/>
  <c r="AY18" i="1"/>
  <c r="AV18" i="1"/>
  <c r="AS18" i="1"/>
  <c r="AP18" i="1"/>
  <c r="AM18" i="1"/>
  <c r="AG18" i="1"/>
  <c r="AD18" i="1"/>
  <c r="AA18" i="1"/>
  <c r="X18" i="1"/>
  <c r="U18" i="1"/>
  <c r="R18" i="1"/>
  <c r="O18" i="1"/>
  <c r="L18" i="1"/>
  <c r="H18" i="1"/>
  <c r="G18" i="1"/>
  <c r="AH18" i="1" s="1"/>
  <c r="F18" i="1"/>
  <c r="AY14" i="1"/>
  <c r="AV14" i="1"/>
  <c r="AS14" i="1"/>
  <c r="AP14" i="1"/>
  <c r="AM14" i="1"/>
  <c r="AG14" i="1"/>
  <c r="AD14" i="1"/>
  <c r="AA14" i="1"/>
  <c r="X14" i="1"/>
  <c r="U14" i="1"/>
  <c r="R14" i="1"/>
  <c r="O14" i="1"/>
  <c r="L14" i="1"/>
  <c r="H14" i="1"/>
  <c r="G14" i="1"/>
  <c r="AH14" i="1" s="1"/>
  <c r="F14" i="1"/>
  <c r="BB10" i="1"/>
  <c r="AY10" i="1"/>
  <c r="AV10" i="1"/>
  <c r="AS10" i="1"/>
  <c r="AP10" i="1"/>
  <c r="AM10" i="1"/>
  <c r="AG10" i="1"/>
  <c r="AD10" i="1"/>
  <c r="AA10" i="1"/>
  <c r="X10" i="1"/>
  <c r="U10" i="1"/>
  <c r="R10" i="1"/>
  <c r="O10" i="1"/>
  <c r="L10" i="1"/>
  <c r="H10" i="1"/>
  <c r="G10" i="1"/>
  <c r="AH10" i="1" s="1"/>
  <c r="F10" i="1"/>
  <c r="F58" i="1" l="1"/>
  <c r="O58" i="1"/>
  <c r="N58" i="1" s="1"/>
  <c r="AA58" i="1"/>
  <c r="Z58" i="1" s="1"/>
  <c r="AP58" i="1"/>
  <c r="AO58" i="1" s="1"/>
  <c r="BB58" i="1"/>
  <c r="BA58" i="1" s="1"/>
  <c r="U58" i="1"/>
  <c r="T58" i="1" s="1"/>
  <c r="AG58" i="1"/>
  <c r="AF58" i="1" s="1"/>
  <c r="AV58" i="1"/>
  <c r="AU58" i="1" s="1"/>
  <c r="L58" i="1"/>
  <c r="K58" i="1" s="1"/>
  <c r="X58" i="1"/>
  <c r="W58" i="1" s="1"/>
  <c r="AM58" i="1"/>
  <c r="AL58" i="1" s="1"/>
  <c r="AY58" i="1"/>
  <c r="AX58" i="1" s="1"/>
  <c r="AH58" i="1"/>
  <c r="R58" i="1"/>
  <c r="Q58" i="1" s="1"/>
  <c r="AD58" i="1"/>
  <c r="AC58" i="1" s="1"/>
  <c r="AS58" i="1"/>
  <c r="AR58" i="1" s="1"/>
  <c r="E58" i="1"/>
  <c r="C58" i="2"/>
  <c r="F58" i="2"/>
  <c r="I50" i="1"/>
  <c r="AJ50" i="1" s="1"/>
  <c r="AI50" i="1" s="1"/>
  <c r="I54" i="1"/>
  <c r="AJ54" i="1" s="1"/>
  <c r="AI54" i="1" s="1"/>
  <c r="I46" i="1"/>
  <c r="AJ46" i="1" s="1"/>
  <c r="AI46" i="1" s="1"/>
  <c r="I42" i="1"/>
  <c r="AJ42" i="1" s="1"/>
  <c r="AI42" i="1" s="1"/>
  <c r="I38" i="1"/>
  <c r="AJ38" i="1" s="1"/>
  <c r="AI38" i="1" s="1"/>
  <c r="I34" i="1"/>
  <c r="AJ34" i="1" s="1"/>
  <c r="AI34" i="1" s="1"/>
  <c r="I30" i="1"/>
  <c r="AJ30" i="1" s="1"/>
  <c r="AI30" i="1" s="1"/>
  <c r="I26" i="1"/>
  <c r="AJ26" i="1" s="1"/>
  <c r="AI26" i="1" s="1"/>
  <c r="I22" i="1"/>
  <c r="AJ22" i="1" s="1"/>
  <c r="AI22" i="1" s="1"/>
  <c r="I18" i="1"/>
  <c r="AJ18" i="1" s="1"/>
  <c r="AI18" i="1" s="1"/>
  <c r="I14" i="1"/>
  <c r="AJ14" i="1" s="1"/>
  <c r="AI14" i="1" s="1"/>
  <c r="I10" i="1"/>
  <c r="AJ10" i="1" s="1"/>
  <c r="AJ58" i="1" l="1"/>
  <c r="AI58" i="1" s="1"/>
  <c r="AI10" i="1"/>
  <c r="BV14" i="1"/>
  <c r="AZ55" i="1" l="1"/>
  <c r="AW55" i="1"/>
  <c r="AT55" i="1"/>
  <c r="AQ55" i="1"/>
  <c r="AN55" i="1"/>
  <c r="AK55" i="1"/>
  <c r="AE55" i="1"/>
  <c r="AB55" i="1"/>
  <c r="Y55" i="1"/>
  <c r="V55" i="1"/>
  <c r="S55" i="1"/>
  <c r="P55" i="1"/>
  <c r="M55" i="1"/>
  <c r="J55" i="1"/>
  <c r="D55" i="1"/>
  <c r="BB53" i="1" l="1"/>
  <c r="BB49" i="1"/>
  <c r="BB45" i="1"/>
  <c r="BB41" i="1"/>
  <c r="BB37" i="1"/>
  <c r="BB33" i="1"/>
  <c r="BB29" i="1"/>
  <c r="BB25" i="1"/>
  <c r="BB21" i="1"/>
  <c r="BB17" i="1"/>
  <c r="BB13" i="1"/>
  <c r="BB9" i="1"/>
  <c r="D11" i="1"/>
  <c r="D15" i="1"/>
  <c r="D19" i="1"/>
  <c r="D23" i="1"/>
  <c r="D27" i="1"/>
  <c r="D31" i="1"/>
  <c r="D35" i="1"/>
  <c r="BB57" i="1" l="1"/>
  <c r="BA57" i="1" s="1"/>
  <c r="U55" i="1"/>
  <c r="T55" i="1"/>
  <c r="X55" i="1"/>
  <c r="W55" i="1"/>
  <c r="AA55" i="1"/>
  <c r="Z55" i="1"/>
  <c r="AD55" i="1"/>
  <c r="AC55" i="1"/>
  <c r="AG55" i="1"/>
  <c r="AF55" i="1"/>
  <c r="AM55" i="1"/>
  <c r="AP55" i="1"/>
  <c r="AO55" i="1"/>
  <c r="AS55" i="1"/>
  <c r="AR55" i="1"/>
  <c r="AV55" i="1"/>
  <c r="AU55" i="1"/>
  <c r="AY55" i="1"/>
  <c r="AX55" i="1"/>
  <c r="D61" i="1"/>
  <c r="D62" i="1"/>
  <c r="F61" i="1"/>
  <c r="F62" i="1"/>
  <c r="AL55" i="1" l="1"/>
  <c r="AZ60" i="1"/>
  <c r="AQ60" i="1"/>
  <c r="AE60" i="1"/>
  <c r="AB60" i="1"/>
  <c r="S60" i="1"/>
  <c r="P60" i="1"/>
  <c r="C64" i="1" l="1"/>
  <c r="D64" i="1" s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BH64" i="1" s="1"/>
  <c r="BI64" i="1" s="1"/>
  <c r="BJ64" i="1" s="1"/>
  <c r="BK64" i="1" s="1"/>
  <c r="BL64" i="1" s="1"/>
  <c r="BM64" i="1" s="1"/>
  <c r="BN64" i="1" s="1"/>
  <c r="BO64" i="1" s="1"/>
  <c r="BP64" i="1" s="1"/>
  <c r="BQ64" i="1" s="1"/>
  <c r="BR64" i="1" s="1"/>
  <c r="BS64" i="1" s="1"/>
  <c r="BT64" i="1" s="1"/>
  <c r="BL62" i="1"/>
  <c r="BM62" i="1" s="1"/>
  <c r="BI62" i="1"/>
  <c r="BJ62" i="1" s="1"/>
  <c r="BF62" i="1"/>
  <c r="BG62" i="1" s="1"/>
  <c r="BC62" i="1"/>
  <c r="BD62" i="1" s="1"/>
  <c r="AZ62" i="1"/>
  <c r="AW62" i="1"/>
  <c r="AT62" i="1"/>
  <c r="AQ62" i="1"/>
  <c r="AN62" i="1"/>
  <c r="AK62" i="1"/>
  <c r="AE62" i="1"/>
  <c r="AB62" i="1"/>
  <c r="Y62" i="1"/>
  <c r="V62" i="1"/>
  <c r="P62" i="1"/>
  <c r="M62" i="1"/>
  <c r="J62" i="1"/>
  <c r="G62" i="1"/>
  <c r="H62" i="1" s="1"/>
  <c r="BL61" i="1"/>
  <c r="BM61" i="1" s="1"/>
  <c r="BI61" i="1"/>
  <c r="BJ61" i="1" s="1"/>
  <c r="BF61" i="1"/>
  <c r="BG61" i="1" s="1"/>
  <c r="BC61" i="1"/>
  <c r="BD61" i="1" s="1"/>
  <c r="AZ61" i="1"/>
  <c r="AW61" i="1"/>
  <c r="AT61" i="1"/>
  <c r="AQ61" i="1"/>
  <c r="AQ59" i="1" s="1"/>
  <c r="AN61" i="1"/>
  <c r="AK61" i="1"/>
  <c r="AE61" i="1"/>
  <c r="AE59" i="1" s="1"/>
  <c r="AB61" i="1"/>
  <c r="AB59" i="1" s="1"/>
  <c r="Y61" i="1"/>
  <c r="V61" i="1"/>
  <c r="S61" i="1"/>
  <c r="P61" i="1"/>
  <c r="M61" i="1"/>
  <c r="J61" i="1"/>
  <c r="BL60" i="1"/>
  <c r="BM60" i="1" s="1"/>
  <c r="BI60" i="1"/>
  <c r="BJ60" i="1" s="1"/>
  <c r="BF60" i="1"/>
  <c r="BG60" i="1" s="1"/>
  <c r="BC60" i="1"/>
  <c r="BD60" i="1" s="1"/>
  <c r="BA60" i="1"/>
  <c r="AC60" i="1"/>
  <c r="BV54" i="1"/>
  <c r="BO54" i="1"/>
  <c r="BN54" i="1"/>
  <c r="BK54" i="1"/>
  <c r="BH54" i="1"/>
  <c r="BE54" i="1"/>
  <c r="BV53" i="1"/>
  <c r="BO53" i="1"/>
  <c r="BN53" i="1"/>
  <c r="BK53" i="1"/>
  <c r="BH53" i="1"/>
  <c r="BE53" i="1"/>
  <c r="BV52" i="1"/>
  <c r="BN52" i="1"/>
  <c r="BK52" i="1"/>
  <c r="BH52" i="1"/>
  <c r="BE52" i="1"/>
  <c r="AV51" i="1"/>
  <c r="BO52" i="1"/>
  <c r="AG51" i="1"/>
  <c r="AA51" i="1"/>
  <c r="U51" i="1"/>
  <c r="O51" i="1"/>
  <c r="AY51" i="1"/>
  <c r="AX51" i="1"/>
  <c r="AW51" i="1"/>
  <c r="AU51" i="1"/>
  <c r="AT51" i="1"/>
  <c r="AR51" i="1"/>
  <c r="AQ51" i="1"/>
  <c r="AO51" i="1"/>
  <c r="AN51" i="1"/>
  <c r="AL51" i="1"/>
  <c r="AK51" i="1"/>
  <c r="AF51" i="1"/>
  <c r="AE51" i="1"/>
  <c r="AC51" i="1"/>
  <c r="AB51" i="1"/>
  <c r="Z51" i="1"/>
  <c r="Y51" i="1"/>
  <c r="X51" i="1"/>
  <c r="W51" i="1"/>
  <c r="V51" i="1"/>
  <c r="T51" i="1"/>
  <c r="S51" i="1"/>
  <c r="Q51" i="1"/>
  <c r="P51" i="1"/>
  <c r="N51" i="1"/>
  <c r="M51" i="1"/>
  <c r="L51" i="1"/>
  <c r="K51" i="1"/>
  <c r="J51" i="1"/>
  <c r="E51" i="1"/>
  <c r="D51" i="1"/>
  <c r="BV50" i="1"/>
  <c r="BO50" i="1"/>
  <c r="BN50" i="1"/>
  <c r="BK50" i="1"/>
  <c r="BH50" i="1"/>
  <c r="BE50" i="1"/>
  <c r="BV49" i="1"/>
  <c r="BO49" i="1"/>
  <c r="BN49" i="1"/>
  <c r="BK49" i="1"/>
  <c r="BH49" i="1"/>
  <c r="BE49" i="1"/>
  <c r="BV48" i="1"/>
  <c r="BN48" i="1"/>
  <c r="BK48" i="1"/>
  <c r="BH48" i="1"/>
  <c r="BE48" i="1"/>
  <c r="AW60" i="1"/>
  <c r="AS47" i="1"/>
  <c r="BO48" i="1"/>
  <c r="AD47" i="1"/>
  <c r="X47" i="1"/>
  <c r="L47" i="1"/>
  <c r="F47" i="1"/>
  <c r="AX47" i="1"/>
  <c r="AV47" i="1"/>
  <c r="AU47" i="1"/>
  <c r="AT47" i="1"/>
  <c r="AR47" i="1"/>
  <c r="AQ47" i="1"/>
  <c r="AP47" i="1"/>
  <c r="AO47" i="1"/>
  <c r="AN47" i="1"/>
  <c r="AL47" i="1"/>
  <c r="AK47" i="1"/>
  <c r="AF47" i="1"/>
  <c r="AE47" i="1"/>
  <c r="AC47" i="1"/>
  <c r="AB47" i="1"/>
  <c r="Z47" i="1"/>
  <c r="Y47" i="1"/>
  <c r="W47" i="1"/>
  <c r="V47" i="1"/>
  <c r="T47" i="1"/>
  <c r="S47" i="1"/>
  <c r="R47" i="1"/>
  <c r="Q47" i="1"/>
  <c r="P47" i="1"/>
  <c r="N47" i="1"/>
  <c r="M47" i="1"/>
  <c r="K47" i="1"/>
  <c r="J47" i="1"/>
  <c r="E47" i="1"/>
  <c r="D47" i="1"/>
  <c r="BV46" i="1"/>
  <c r="BO46" i="1"/>
  <c r="BN46" i="1"/>
  <c r="BK46" i="1"/>
  <c r="BH46" i="1"/>
  <c r="BE46" i="1"/>
  <c r="BV45" i="1"/>
  <c r="BO45" i="1"/>
  <c r="BN45" i="1"/>
  <c r="BK45" i="1"/>
  <c r="BH45" i="1"/>
  <c r="BE45" i="1"/>
  <c r="BV44" i="1"/>
  <c r="BN44" i="1"/>
  <c r="BK44" i="1"/>
  <c r="BH44" i="1"/>
  <c r="BE44" i="1"/>
  <c r="AS43" i="1"/>
  <c r="AK60" i="1"/>
  <c r="AD43" i="1"/>
  <c r="F43" i="1"/>
  <c r="AX43" i="1"/>
  <c r="AW43" i="1"/>
  <c r="AV43" i="1"/>
  <c r="AU43" i="1"/>
  <c r="AT43" i="1"/>
  <c r="AR43" i="1"/>
  <c r="AQ43" i="1"/>
  <c r="AP43" i="1"/>
  <c r="AO43" i="1"/>
  <c r="AN43" i="1"/>
  <c r="AL43" i="1"/>
  <c r="AF43" i="1"/>
  <c r="AE43" i="1"/>
  <c r="AC43" i="1"/>
  <c r="AB43" i="1"/>
  <c r="Z43" i="1"/>
  <c r="Y43" i="1"/>
  <c r="X43" i="1"/>
  <c r="W43" i="1"/>
  <c r="V43" i="1"/>
  <c r="T43" i="1"/>
  <c r="S43" i="1"/>
  <c r="P43" i="1"/>
  <c r="N43" i="1"/>
  <c r="M43" i="1"/>
  <c r="L43" i="1"/>
  <c r="K43" i="1"/>
  <c r="J43" i="1"/>
  <c r="E43" i="1"/>
  <c r="D43" i="1"/>
  <c r="BV42" i="1"/>
  <c r="BO42" i="1"/>
  <c r="BN42" i="1"/>
  <c r="BK42" i="1"/>
  <c r="BH42" i="1"/>
  <c r="BE42" i="1"/>
  <c r="BV41" i="1"/>
  <c r="BO41" i="1"/>
  <c r="BN41" i="1"/>
  <c r="BK41" i="1"/>
  <c r="BH41" i="1"/>
  <c r="BE41" i="1"/>
  <c r="BV40" i="1"/>
  <c r="BO40" i="1"/>
  <c r="BN40" i="1"/>
  <c r="BK40" i="1"/>
  <c r="BH40" i="1"/>
  <c r="BE40" i="1"/>
  <c r="Z39" i="1"/>
  <c r="O39" i="1"/>
  <c r="F39" i="1"/>
  <c r="AX39" i="1"/>
  <c r="AW39" i="1"/>
  <c r="AU39" i="1"/>
  <c r="AT39" i="1"/>
  <c r="AS39" i="1"/>
  <c r="AR39" i="1"/>
  <c r="AQ39" i="1"/>
  <c r="AO39" i="1"/>
  <c r="AN39" i="1"/>
  <c r="AK39" i="1"/>
  <c r="AG39" i="1"/>
  <c r="AF39" i="1"/>
  <c r="AE39" i="1"/>
  <c r="AC39" i="1"/>
  <c r="AB39" i="1"/>
  <c r="W39" i="1"/>
  <c r="T39" i="1"/>
  <c r="Q39" i="1"/>
  <c r="P39" i="1"/>
  <c r="N39" i="1"/>
  <c r="M39" i="1"/>
  <c r="K39" i="1"/>
  <c r="J39" i="1"/>
  <c r="E39" i="1"/>
  <c r="D39" i="1"/>
  <c r="BV38" i="1"/>
  <c r="BO38" i="1"/>
  <c r="BN38" i="1"/>
  <c r="BK38" i="1"/>
  <c r="BH38" i="1"/>
  <c r="BE38" i="1"/>
  <c r="BV37" i="1"/>
  <c r="BO37" i="1"/>
  <c r="BN37" i="1"/>
  <c r="BK37" i="1"/>
  <c r="BH37" i="1"/>
  <c r="BE37" i="1"/>
  <c r="BV36" i="1"/>
  <c r="BN36" i="1"/>
  <c r="BK36" i="1"/>
  <c r="BH36" i="1"/>
  <c r="BE36" i="1"/>
  <c r="AY35" i="1"/>
  <c r="AT60" i="1"/>
  <c r="AP35" i="1"/>
  <c r="AM35" i="1"/>
  <c r="Z35" i="1"/>
  <c r="X35" i="1"/>
  <c r="R35" i="1"/>
  <c r="O35" i="1"/>
  <c r="AX35" i="1"/>
  <c r="AW35" i="1"/>
  <c r="AU35" i="1"/>
  <c r="AS35" i="1"/>
  <c r="AR35" i="1"/>
  <c r="AQ35" i="1"/>
  <c r="AO35" i="1"/>
  <c r="AN35" i="1"/>
  <c r="AL35" i="1"/>
  <c r="AK35" i="1"/>
  <c r="AF35" i="1"/>
  <c r="AE35" i="1"/>
  <c r="AC35" i="1"/>
  <c r="AB35" i="1"/>
  <c r="W35" i="1"/>
  <c r="V35" i="1"/>
  <c r="T35" i="1"/>
  <c r="S35" i="1"/>
  <c r="Q35" i="1"/>
  <c r="P35" i="1"/>
  <c r="N35" i="1"/>
  <c r="M35" i="1"/>
  <c r="L35" i="1"/>
  <c r="K35" i="1"/>
  <c r="J35" i="1"/>
  <c r="E35" i="1"/>
  <c r="BV34" i="1"/>
  <c r="BO34" i="1"/>
  <c r="BN34" i="1"/>
  <c r="BK34" i="1"/>
  <c r="BH34" i="1"/>
  <c r="BE34" i="1"/>
  <c r="BV33" i="1"/>
  <c r="BO33" i="1"/>
  <c r="BN33" i="1"/>
  <c r="BK33" i="1"/>
  <c r="BH33" i="1"/>
  <c r="BE33" i="1"/>
  <c r="BV32" i="1"/>
  <c r="BN32" i="1"/>
  <c r="BK32" i="1"/>
  <c r="BH32" i="1"/>
  <c r="BE32" i="1"/>
  <c r="AN60" i="1"/>
  <c r="AX31" i="1"/>
  <c r="AW31" i="1"/>
  <c r="AV31" i="1"/>
  <c r="AU31" i="1"/>
  <c r="AT31" i="1"/>
  <c r="AS31" i="1"/>
  <c r="AR31" i="1"/>
  <c r="AQ31" i="1"/>
  <c r="AO31" i="1"/>
  <c r="AL31" i="1"/>
  <c r="AK31" i="1"/>
  <c r="AG31" i="1"/>
  <c r="AF31" i="1"/>
  <c r="AE31" i="1"/>
  <c r="AC31" i="1"/>
  <c r="AB31" i="1"/>
  <c r="Z31" i="1"/>
  <c r="X31" i="1"/>
  <c r="W31" i="1"/>
  <c r="V31" i="1"/>
  <c r="T31" i="1"/>
  <c r="S31" i="1"/>
  <c r="Q31" i="1"/>
  <c r="P31" i="1"/>
  <c r="N31" i="1"/>
  <c r="M31" i="1"/>
  <c r="K31" i="1"/>
  <c r="J31" i="1"/>
  <c r="E31" i="1"/>
  <c r="BV30" i="1"/>
  <c r="BO30" i="1"/>
  <c r="BN30" i="1"/>
  <c r="BK30" i="1"/>
  <c r="BH30" i="1"/>
  <c r="BE30" i="1"/>
  <c r="BV29" i="1"/>
  <c r="BO29" i="1"/>
  <c r="BN29" i="1"/>
  <c r="BK29" i="1"/>
  <c r="BH29" i="1"/>
  <c r="BE29" i="1"/>
  <c r="BV28" i="1"/>
  <c r="BO28" i="1"/>
  <c r="BN28" i="1"/>
  <c r="BN60" i="1" s="1"/>
  <c r="BK28" i="1"/>
  <c r="BH28" i="1"/>
  <c r="BH60" i="1" s="1"/>
  <c r="BE28" i="1"/>
  <c r="AV27" i="1"/>
  <c r="AP27" i="1"/>
  <c r="D60" i="1"/>
  <c r="AX27" i="1"/>
  <c r="AW27" i="1"/>
  <c r="AU27" i="1"/>
  <c r="AT27" i="1"/>
  <c r="AS27" i="1"/>
  <c r="AR27" i="1"/>
  <c r="AQ27" i="1"/>
  <c r="AO27" i="1"/>
  <c r="AN27" i="1"/>
  <c r="AL27" i="1"/>
  <c r="AK27" i="1"/>
  <c r="AF27" i="1"/>
  <c r="AE27" i="1"/>
  <c r="AD27" i="1"/>
  <c r="AC27" i="1"/>
  <c r="AB27" i="1"/>
  <c r="Z27" i="1"/>
  <c r="Y27" i="1"/>
  <c r="X27" i="1"/>
  <c r="W27" i="1"/>
  <c r="V27" i="1"/>
  <c r="T27" i="1"/>
  <c r="R27" i="1"/>
  <c r="Q27" i="1"/>
  <c r="P27" i="1"/>
  <c r="N27" i="1"/>
  <c r="M27" i="1"/>
  <c r="K27" i="1"/>
  <c r="J27" i="1"/>
  <c r="E27" i="1"/>
  <c r="BV26" i="1"/>
  <c r="BO26" i="1"/>
  <c r="BN26" i="1"/>
  <c r="BK26" i="1"/>
  <c r="BH26" i="1"/>
  <c r="BE26" i="1"/>
  <c r="BV25" i="1"/>
  <c r="BO25" i="1"/>
  <c r="BN25" i="1"/>
  <c r="BK25" i="1"/>
  <c r="BH25" i="1"/>
  <c r="BE25" i="1"/>
  <c r="BV24" i="1"/>
  <c r="BO24" i="1"/>
  <c r="BN24" i="1"/>
  <c r="BK24" i="1"/>
  <c r="BH24" i="1"/>
  <c r="BE24" i="1"/>
  <c r="AV23" i="1"/>
  <c r="AP23" i="1"/>
  <c r="AG23" i="1"/>
  <c r="U23" i="1"/>
  <c r="F23" i="1"/>
  <c r="AX23" i="1"/>
  <c r="AW23" i="1"/>
  <c r="AU23" i="1"/>
  <c r="AT23" i="1"/>
  <c r="AR23" i="1"/>
  <c r="AQ23" i="1"/>
  <c r="AO23" i="1"/>
  <c r="AN23" i="1"/>
  <c r="AM23" i="1"/>
  <c r="AL23" i="1"/>
  <c r="AK23" i="1"/>
  <c r="AF23" i="1"/>
  <c r="AE23" i="1"/>
  <c r="AD23" i="1"/>
  <c r="AC23" i="1"/>
  <c r="AB23" i="1"/>
  <c r="Z23" i="1"/>
  <c r="Y23" i="1"/>
  <c r="X23" i="1"/>
  <c r="W23" i="1"/>
  <c r="V23" i="1"/>
  <c r="T23" i="1"/>
  <c r="S23" i="1"/>
  <c r="R23" i="1"/>
  <c r="Q23" i="1"/>
  <c r="P23" i="1"/>
  <c r="N23" i="1"/>
  <c r="M23" i="1"/>
  <c r="L23" i="1"/>
  <c r="K23" i="1"/>
  <c r="J23" i="1"/>
  <c r="E23" i="1"/>
  <c r="BV22" i="1"/>
  <c r="BO22" i="1"/>
  <c r="BN22" i="1"/>
  <c r="BK22" i="1"/>
  <c r="BH22" i="1"/>
  <c r="BE22" i="1"/>
  <c r="BV21" i="1"/>
  <c r="BO21" i="1"/>
  <c r="BN21" i="1"/>
  <c r="BK21" i="1"/>
  <c r="BH21" i="1"/>
  <c r="BE21" i="1"/>
  <c r="BV20" i="1"/>
  <c r="BO20" i="1"/>
  <c r="BN20" i="1"/>
  <c r="BK20" i="1"/>
  <c r="BH20" i="1"/>
  <c r="BE20" i="1"/>
  <c r="AV19" i="1"/>
  <c r="AG19" i="1"/>
  <c r="AD19" i="1"/>
  <c r="U19" i="1"/>
  <c r="R19" i="1"/>
  <c r="AX19" i="1"/>
  <c r="AW19" i="1"/>
  <c r="AU19" i="1"/>
  <c r="AT19" i="1"/>
  <c r="AR19" i="1"/>
  <c r="AQ19" i="1"/>
  <c r="AP19" i="1"/>
  <c r="AO19" i="1"/>
  <c r="AN19" i="1"/>
  <c r="AL19" i="1"/>
  <c r="AK19" i="1"/>
  <c r="AF19" i="1"/>
  <c r="AE19" i="1"/>
  <c r="AC19" i="1"/>
  <c r="AB19" i="1"/>
  <c r="AA19" i="1"/>
  <c r="Z19" i="1"/>
  <c r="Y19" i="1"/>
  <c r="W19" i="1"/>
  <c r="V19" i="1"/>
  <c r="T19" i="1"/>
  <c r="S19" i="1"/>
  <c r="Q19" i="1"/>
  <c r="P19" i="1"/>
  <c r="O19" i="1"/>
  <c r="N19" i="1"/>
  <c r="M19" i="1"/>
  <c r="K19" i="1"/>
  <c r="J19" i="1"/>
  <c r="E19" i="1"/>
  <c r="BV18" i="1"/>
  <c r="BO18" i="1"/>
  <c r="BN18" i="1"/>
  <c r="BK18" i="1"/>
  <c r="BH18" i="1"/>
  <c r="BE18" i="1"/>
  <c r="BV17" i="1"/>
  <c r="BO17" i="1"/>
  <c r="BN17" i="1"/>
  <c r="BK17" i="1"/>
  <c r="BH17" i="1"/>
  <c r="BE17" i="1"/>
  <c r="BV16" i="1"/>
  <c r="BO16" i="1"/>
  <c r="BN16" i="1"/>
  <c r="BK16" i="1"/>
  <c r="BH16" i="1"/>
  <c r="BE16" i="1"/>
  <c r="AV15" i="1"/>
  <c r="AP15" i="1"/>
  <c r="AA15" i="1"/>
  <c r="O15" i="1"/>
  <c r="F15" i="1"/>
  <c r="AX15" i="1"/>
  <c r="AW15" i="1"/>
  <c r="AU15" i="1"/>
  <c r="AT15" i="1"/>
  <c r="AR15" i="1"/>
  <c r="AQ15" i="1"/>
  <c r="AO15" i="1"/>
  <c r="AN15" i="1"/>
  <c r="AM15" i="1"/>
  <c r="AL15" i="1"/>
  <c r="AK15" i="1"/>
  <c r="AF15" i="1"/>
  <c r="AE15" i="1"/>
  <c r="AD15" i="1"/>
  <c r="AC15" i="1"/>
  <c r="AB15" i="1"/>
  <c r="Z15" i="1"/>
  <c r="Y15" i="1"/>
  <c r="X15" i="1"/>
  <c r="W15" i="1"/>
  <c r="V15" i="1"/>
  <c r="T15" i="1"/>
  <c r="S15" i="1"/>
  <c r="R15" i="1"/>
  <c r="Q15" i="1"/>
  <c r="P15" i="1"/>
  <c r="N15" i="1"/>
  <c r="M15" i="1"/>
  <c r="L15" i="1"/>
  <c r="K15" i="1"/>
  <c r="J15" i="1"/>
  <c r="E15" i="1"/>
  <c r="BO14" i="1"/>
  <c r="BN14" i="1"/>
  <c r="BK14" i="1"/>
  <c r="BH14" i="1"/>
  <c r="BE14" i="1"/>
  <c r="BV13" i="1"/>
  <c r="BO13" i="1"/>
  <c r="BN13" i="1"/>
  <c r="BK13" i="1"/>
  <c r="BH13" i="1"/>
  <c r="BE13" i="1"/>
  <c r="BV12" i="1"/>
  <c r="BO12" i="1"/>
  <c r="BN12" i="1"/>
  <c r="BK12" i="1"/>
  <c r="BH12" i="1"/>
  <c r="BE12" i="1"/>
  <c r="AP11" i="1"/>
  <c r="AA11" i="1"/>
  <c r="X11" i="1"/>
  <c r="O11" i="1"/>
  <c r="L11" i="1"/>
  <c r="AX11" i="1"/>
  <c r="AW11" i="1"/>
  <c r="AV11" i="1"/>
  <c r="AU11" i="1"/>
  <c r="AT11" i="1"/>
  <c r="AR11" i="1"/>
  <c r="AQ11" i="1"/>
  <c r="AO11" i="1"/>
  <c r="AN11" i="1"/>
  <c r="AL11" i="1"/>
  <c r="AK11" i="1"/>
  <c r="AG11" i="1"/>
  <c r="AF11" i="1"/>
  <c r="AE11" i="1"/>
  <c r="AC11" i="1"/>
  <c r="AB11" i="1"/>
  <c r="Z11" i="1"/>
  <c r="Y11" i="1"/>
  <c r="W11" i="1"/>
  <c r="V11" i="1"/>
  <c r="U11" i="1"/>
  <c r="T11" i="1"/>
  <c r="S11" i="1"/>
  <c r="Q11" i="1"/>
  <c r="P11" i="1"/>
  <c r="N11" i="1"/>
  <c r="M11" i="1"/>
  <c r="K11" i="1"/>
  <c r="J11" i="1"/>
  <c r="E11" i="1"/>
  <c r="BV10" i="1"/>
  <c r="BO10" i="1"/>
  <c r="BN10" i="1"/>
  <c r="BK10" i="1"/>
  <c r="BH10" i="1"/>
  <c r="BE10" i="1"/>
  <c r="BV9" i="1"/>
  <c r="BO9" i="1"/>
  <c r="BN9" i="1"/>
  <c r="BK9" i="1"/>
  <c r="BH9" i="1"/>
  <c r="BE9" i="1"/>
  <c r="BV8" i="1"/>
  <c r="BO8" i="1"/>
  <c r="BN8" i="1"/>
  <c r="BK8" i="1"/>
  <c r="BH8" i="1"/>
  <c r="BE8" i="1"/>
  <c r="AS60" i="1"/>
  <c r="A12" i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X7" i="1"/>
  <c r="AW7" i="1"/>
  <c r="AU7" i="1"/>
  <c r="AT7" i="1"/>
  <c r="AR7" i="1"/>
  <c r="AQ7" i="1"/>
  <c r="AO7" i="1"/>
  <c r="AN7" i="1"/>
  <c r="AM7" i="1"/>
  <c r="AL7" i="1"/>
  <c r="AK7" i="1"/>
  <c r="AG7" i="1"/>
  <c r="AF7" i="1"/>
  <c r="AE7" i="1"/>
  <c r="AC7" i="1"/>
  <c r="AB7" i="1"/>
  <c r="Z7" i="1"/>
  <c r="Y7" i="1"/>
  <c r="X7" i="1"/>
  <c r="W7" i="1"/>
  <c r="V7" i="1"/>
  <c r="U7" i="1"/>
  <c r="T7" i="1"/>
  <c r="S7" i="1"/>
  <c r="Q7" i="1"/>
  <c r="P7" i="1"/>
  <c r="O7" i="1"/>
  <c r="N7" i="1"/>
  <c r="M7" i="1"/>
  <c r="K7" i="1"/>
  <c r="J7" i="1"/>
  <c r="E7" i="1"/>
  <c r="D7" i="1"/>
  <c r="B7" i="1"/>
  <c r="B11" i="1" s="1"/>
  <c r="B15" i="1" s="1"/>
  <c r="B19" i="1" s="1"/>
  <c r="B23" i="1" s="1"/>
  <c r="B27" i="1" s="1"/>
  <c r="B31" i="1" s="1"/>
  <c r="B35" i="1" s="1"/>
  <c r="B39" i="1" s="1"/>
  <c r="B43" i="1" s="1"/>
  <c r="B47" i="1" s="1"/>
  <c r="B51" i="1" s="1"/>
  <c r="BV58" i="1" l="1"/>
  <c r="BN56" i="1"/>
  <c r="BM56" i="1" s="1"/>
  <c r="BV57" i="1"/>
  <c r="BH57" i="1"/>
  <c r="BG57" i="1" s="1"/>
  <c r="BN58" i="1"/>
  <c r="BM58" i="1" s="1"/>
  <c r="BH56" i="1"/>
  <c r="BG56" i="1" s="1"/>
  <c r="BV56" i="1"/>
  <c r="BN57" i="1"/>
  <c r="BM57" i="1" s="1"/>
  <c r="BH58" i="1"/>
  <c r="BG58" i="1" s="1"/>
  <c r="BK56" i="1"/>
  <c r="BJ56" i="1" s="1"/>
  <c r="BE57" i="1"/>
  <c r="BD57" i="1" s="1"/>
  <c r="BO57" i="1"/>
  <c r="BK58" i="1"/>
  <c r="BJ58" i="1" s="1"/>
  <c r="BE56" i="1"/>
  <c r="BD56" i="1" s="1"/>
  <c r="BK57" i="1"/>
  <c r="BJ57" i="1" s="1"/>
  <c r="BE58" i="1"/>
  <c r="BD58" i="1" s="1"/>
  <c r="BO58" i="1"/>
  <c r="BO56" i="1"/>
  <c r="BQ45" i="1"/>
  <c r="BQ18" i="1"/>
  <c r="BT18" i="1" s="1"/>
  <c r="BQ25" i="1"/>
  <c r="BP25" i="1" s="1"/>
  <c r="BQ29" i="1"/>
  <c r="BQ49" i="1"/>
  <c r="F55" i="1"/>
  <c r="E55" i="1"/>
  <c r="L55" i="1"/>
  <c r="K55" i="1"/>
  <c r="O55" i="1"/>
  <c r="N55" i="1"/>
  <c r="R55" i="1"/>
  <c r="Q55" i="1"/>
  <c r="BB55" i="1"/>
  <c r="BA55" i="1"/>
  <c r="J60" i="1"/>
  <c r="J59" i="1" s="1"/>
  <c r="M60" i="1"/>
  <c r="M59" i="1" s="1"/>
  <c r="Y60" i="1"/>
  <c r="Y59" i="1" s="1"/>
  <c r="V60" i="1"/>
  <c r="V59" i="1" s="1"/>
  <c r="Q43" i="1"/>
  <c r="AV7" i="1"/>
  <c r="BO11" i="1"/>
  <c r="AS15" i="1"/>
  <c r="AY15" i="1"/>
  <c r="AS23" i="1"/>
  <c r="AY23" i="1"/>
  <c r="BR25" i="1"/>
  <c r="BW25" i="1" s="1"/>
  <c r="O27" i="1"/>
  <c r="AY27" i="1"/>
  <c r="F35" i="1"/>
  <c r="AG43" i="1"/>
  <c r="BR45" i="1"/>
  <c r="O47" i="1"/>
  <c r="AA47" i="1"/>
  <c r="AG47" i="1"/>
  <c r="AY39" i="1"/>
  <c r="R7" i="1"/>
  <c r="AD7" i="1"/>
  <c r="AD60" i="1"/>
  <c r="L7" i="1"/>
  <c r="F7" i="1"/>
  <c r="AA7" i="1"/>
  <c r="AG60" i="1"/>
  <c r="AF60" i="1" s="1"/>
  <c r="AP7" i="1"/>
  <c r="BB60" i="1"/>
  <c r="BO7" i="1"/>
  <c r="AS11" i="1"/>
  <c r="AY11" i="1"/>
  <c r="AS19" i="1"/>
  <c r="AY19" i="1"/>
  <c r="BO19" i="1"/>
  <c r="BO23" i="1"/>
  <c r="BO27" i="1"/>
  <c r="AN31" i="1"/>
  <c r="L31" i="1"/>
  <c r="R31" i="1"/>
  <c r="AD31" i="1"/>
  <c r="BQ33" i="1"/>
  <c r="BT33" i="1" s="1"/>
  <c r="AY31" i="1"/>
  <c r="BR33" i="1"/>
  <c r="AT35" i="1"/>
  <c r="AA35" i="1"/>
  <c r="AD35" i="1"/>
  <c r="AG35" i="1"/>
  <c r="BR37" i="1"/>
  <c r="BW37" i="1" s="1"/>
  <c r="V39" i="1"/>
  <c r="BO39" i="1"/>
  <c r="L39" i="1"/>
  <c r="AP39" i="1"/>
  <c r="AV39" i="1"/>
  <c r="AK43" i="1"/>
  <c r="AS51" i="1"/>
  <c r="BO65" i="1"/>
  <c r="BR49" i="1"/>
  <c r="BW49" i="1" s="1"/>
  <c r="AD51" i="1"/>
  <c r="AP51" i="1"/>
  <c r="BR54" i="1"/>
  <c r="U47" i="1"/>
  <c r="U35" i="1"/>
  <c r="U31" i="1"/>
  <c r="R51" i="1"/>
  <c r="R39" i="1"/>
  <c r="BR17" i="1"/>
  <c r="BW17" i="1" s="1"/>
  <c r="BO15" i="1"/>
  <c r="AG27" i="1"/>
  <c r="U61" i="1"/>
  <c r="T61" i="1" s="1"/>
  <c r="AS61" i="1"/>
  <c r="AR61" i="1" s="1"/>
  <c r="BE61" i="1"/>
  <c r="L62" i="1"/>
  <c r="K62" i="1" s="1"/>
  <c r="AM62" i="1"/>
  <c r="AL62" i="1" s="1"/>
  <c r="BK62" i="1"/>
  <c r="S27" i="1"/>
  <c r="O61" i="1"/>
  <c r="N61" i="1" s="1"/>
  <c r="AA61" i="1"/>
  <c r="Z61" i="1" s="1"/>
  <c r="AM61" i="1"/>
  <c r="AL61" i="1" s="1"/>
  <c r="AY61" i="1"/>
  <c r="AX61" i="1" s="1"/>
  <c r="BK61" i="1"/>
  <c r="R62" i="1"/>
  <c r="Q62" i="1" s="1"/>
  <c r="AD62" i="1"/>
  <c r="AS62" i="1"/>
  <c r="AR62" i="1" s="1"/>
  <c r="BE62" i="1"/>
  <c r="BO62" i="1"/>
  <c r="F11" i="1"/>
  <c r="L19" i="1"/>
  <c r="X19" i="1"/>
  <c r="BQ20" i="1"/>
  <c r="AM19" i="1"/>
  <c r="O23" i="1"/>
  <c r="AA23" i="1"/>
  <c r="BQ26" i="1"/>
  <c r="BP26" i="1" s="1"/>
  <c r="AM27" i="1"/>
  <c r="Y35" i="1"/>
  <c r="BQ37" i="1"/>
  <c r="U39" i="1"/>
  <c r="S39" i="1"/>
  <c r="AD39" i="1"/>
  <c r="AA43" i="1"/>
  <c r="AW59" i="1"/>
  <c r="AW47" i="1"/>
  <c r="BQ12" i="1"/>
  <c r="AM11" i="1"/>
  <c r="AG61" i="1"/>
  <c r="BO61" i="1"/>
  <c r="X62" i="1"/>
  <c r="W62" i="1" s="1"/>
  <c r="AY62" i="1"/>
  <c r="AX62" i="1" s="1"/>
  <c r="AA39" i="1"/>
  <c r="Y39" i="1"/>
  <c r="AY7" i="1"/>
  <c r="AS7" i="1"/>
  <c r="L61" i="1"/>
  <c r="K61" i="1" s="1"/>
  <c r="X61" i="1"/>
  <c r="W61" i="1" s="1"/>
  <c r="R11" i="1"/>
  <c r="AD11" i="1"/>
  <c r="U15" i="1"/>
  <c r="AG15" i="1"/>
  <c r="BQ17" i="1"/>
  <c r="F19" i="1"/>
  <c r="AA27" i="1"/>
  <c r="BQ30" i="1"/>
  <c r="BT30" i="1" s="1"/>
  <c r="AM31" i="1"/>
  <c r="BQ34" i="1"/>
  <c r="BP34" i="1" s="1"/>
  <c r="AL39" i="1"/>
  <c r="O43" i="1"/>
  <c r="AY43" i="1"/>
  <c r="F51" i="1"/>
  <c r="AV61" i="1"/>
  <c r="AU61" i="1" s="1"/>
  <c r="BH61" i="1"/>
  <c r="BV61" i="1"/>
  <c r="O62" i="1"/>
  <c r="N62" i="1" s="1"/>
  <c r="AA62" i="1"/>
  <c r="Z62" i="1" s="1"/>
  <c r="AP62" i="1"/>
  <c r="AO62" i="1" s="1"/>
  <c r="BB62" i="1"/>
  <c r="BN62" i="1"/>
  <c r="BQ13" i="1"/>
  <c r="BT13" i="1" s="1"/>
  <c r="BQ16" i="1"/>
  <c r="BR21" i="1"/>
  <c r="BQ22" i="1"/>
  <c r="BT22" i="1" s="1"/>
  <c r="G60" i="1"/>
  <c r="H60" i="1" s="1"/>
  <c r="AS59" i="1"/>
  <c r="BE60" i="1"/>
  <c r="AH31" i="1"/>
  <c r="AH35" i="1"/>
  <c r="BQ38" i="1"/>
  <c r="BP38" i="1" s="1"/>
  <c r="AH39" i="1"/>
  <c r="BR41" i="1"/>
  <c r="BW41" i="1" s="1"/>
  <c r="BQ42" i="1"/>
  <c r="BP42" i="1" s="1"/>
  <c r="BQ46" i="1"/>
  <c r="BP46" i="1" s="1"/>
  <c r="BQ50" i="1"/>
  <c r="BP50" i="1" s="1"/>
  <c r="BR53" i="1"/>
  <c r="BQ54" i="1"/>
  <c r="BP54" i="1" s="1"/>
  <c r="BQ8" i="1"/>
  <c r="E61" i="1"/>
  <c r="R61" i="1"/>
  <c r="Q61" i="1" s="1"/>
  <c r="AD61" i="1"/>
  <c r="AP61" i="1"/>
  <c r="AO61" i="1" s="1"/>
  <c r="BB61" i="1"/>
  <c r="BA61" i="1" s="1"/>
  <c r="BN61" i="1"/>
  <c r="I62" i="1"/>
  <c r="S62" i="1"/>
  <c r="AG62" i="1"/>
  <c r="AF62" i="1" s="1"/>
  <c r="AV62" i="1"/>
  <c r="AU62" i="1" s="1"/>
  <c r="BH62" i="1"/>
  <c r="BV62" i="1"/>
  <c r="BR13" i="1"/>
  <c r="BW13" i="1" s="1"/>
  <c r="BQ14" i="1"/>
  <c r="BT14" i="1" s="1"/>
  <c r="BQ21" i="1"/>
  <c r="BT21" i="1" s="1"/>
  <c r="BQ24" i="1"/>
  <c r="BQ23" i="1" s="1"/>
  <c r="BK60" i="1"/>
  <c r="Y31" i="1"/>
  <c r="U62" i="1"/>
  <c r="BR38" i="1"/>
  <c r="BW38" i="1" s="1"/>
  <c r="BQ41" i="1"/>
  <c r="BP41" i="1" s="1"/>
  <c r="U43" i="1"/>
  <c r="BR46" i="1"/>
  <c r="BW46" i="1" s="1"/>
  <c r="BR50" i="1"/>
  <c r="BW50" i="1" s="1"/>
  <c r="BQ53" i="1"/>
  <c r="BP53" i="1" s="1"/>
  <c r="AH11" i="1"/>
  <c r="BR12" i="1"/>
  <c r="BW12" i="1" s="1"/>
  <c r="AH15" i="1"/>
  <c r="BR16" i="1"/>
  <c r="BR18" i="1"/>
  <c r="BW18" i="1" s="1"/>
  <c r="AH19" i="1"/>
  <c r="BR20" i="1"/>
  <c r="BR22" i="1"/>
  <c r="AH23" i="1"/>
  <c r="BR24" i="1"/>
  <c r="BW24" i="1" s="1"/>
  <c r="BR26" i="1"/>
  <c r="BW26" i="1" s="1"/>
  <c r="A9" i="1"/>
  <c r="BQ9" i="1"/>
  <c r="BQ10" i="1"/>
  <c r="BR10" i="1"/>
  <c r="D59" i="1"/>
  <c r="L60" i="1"/>
  <c r="S59" i="1"/>
  <c r="U60" i="1"/>
  <c r="BQ28" i="1"/>
  <c r="BT29" i="1"/>
  <c r="BR29" i="1"/>
  <c r="BW29" i="1" s="1"/>
  <c r="BP29" i="1"/>
  <c r="BR30" i="1"/>
  <c r="BW30" i="1" s="1"/>
  <c r="BW33" i="1"/>
  <c r="BT34" i="1"/>
  <c r="BR34" i="1"/>
  <c r="BW34" i="1" s="1"/>
  <c r="BQ40" i="1"/>
  <c r="BP40" i="1" s="1"/>
  <c r="AM39" i="1"/>
  <c r="BR42" i="1"/>
  <c r="BW42" i="1" s="1"/>
  <c r="AH43" i="1"/>
  <c r="BT45" i="1"/>
  <c r="BS45" i="1" s="1"/>
  <c r="BW45" i="1"/>
  <c r="AH47" i="1"/>
  <c r="BR48" i="1"/>
  <c r="BO47" i="1"/>
  <c r="AH51" i="1"/>
  <c r="BR52" i="1"/>
  <c r="BO51" i="1"/>
  <c r="BW53" i="1"/>
  <c r="BW54" i="1"/>
  <c r="O31" i="1"/>
  <c r="AA31" i="1"/>
  <c r="AN59" i="1"/>
  <c r="AP31" i="1"/>
  <c r="BO32" i="1"/>
  <c r="AT59" i="1"/>
  <c r="AV35" i="1"/>
  <c r="BO36" i="1"/>
  <c r="BP37" i="1"/>
  <c r="X39" i="1"/>
  <c r="R43" i="1"/>
  <c r="AK59" i="1"/>
  <c r="BO44" i="1"/>
  <c r="BP45" i="1"/>
  <c r="AY47" i="1"/>
  <c r="BP49" i="1"/>
  <c r="P59" i="1"/>
  <c r="AC61" i="1"/>
  <c r="AC59" i="1" s="1"/>
  <c r="AC62" i="1"/>
  <c r="BA62" i="1"/>
  <c r="BQ57" i="1" l="1"/>
  <c r="BP57" i="1" s="1"/>
  <c r="BQ58" i="1"/>
  <c r="BP58" i="1" s="1"/>
  <c r="BP33" i="1"/>
  <c r="BP18" i="1"/>
  <c r="BT53" i="1"/>
  <c r="BS53" i="1" s="1"/>
  <c r="BS33" i="1"/>
  <c r="BS13" i="1"/>
  <c r="BW20" i="1"/>
  <c r="BP20" i="1"/>
  <c r="BQ56" i="1"/>
  <c r="BP56" i="1" s="1"/>
  <c r="BW16" i="1"/>
  <c r="BP16" i="1"/>
  <c r="AD59" i="1"/>
  <c r="BP24" i="1"/>
  <c r="BP23" i="1" s="1"/>
  <c r="BP30" i="1"/>
  <c r="BT46" i="1"/>
  <c r="BS46" i="1" s="1"/>
  <c r="BT54" i="1"/>
  <c r="BP13" i="1"/>
  <c r="BQ19" i="1"/>
  <c r="BQ11" i="1"/>
  <c r="AG59" i="1"/>
  <c r="AF61" i="1"/>
  <c r="AF59" i="1" s="1"/>
  <c r="BP22" i="1"/>
  <c r="BP21" i="1"/>
  <c r="BW10" i="1"/>
  <c r="BS22" i="1"/>
  <c r="BW52" i="1"/>
  <c r="BW48" i="1"/>
  <c r="BP12" i="1"/>
  <c r="BO55" i="1"/>
  <c r="BP8" i="1"/>
  <c r="BS54" i="1"/>
  <c r="AH65" i="1"/>
  <c r="BR65" i="1" s="1"/>
  <c r="AM60" i="1"/>
  <c r="F60" i="1"/>
  <c r="BS21" i="1"/>
  <c r="BQ15" i="1"/>
  <c r="AP60" i="1"/>
  <c r="O60" i="1"/>
  <c r="AY60" i="1"/>
  <c r="R60" i="1"/>
  <c r="BT37" i="1"/>
  <c r="BS37" i="1" s="1"/>
  <c r="X60" i="1"/>
  <c r="AV60" i="1"/>
  <c r="AA60" i="1"/>
  <c r="AH62" i="1"/>
  <c r="BR40" i="1"/>
  <c r="BT25" i="1"/>
  <c r="BS25" i="1" s="1"/>
  <c r="AR60" i="1"/>
  <c r="AI39" i="1"/>
  <c r="BT41" i="1"/>
  <c r="BS41" i="1" s="1"/>
  <c r="BT50" i="1"/>
  <c r="BS50" i="1" s="1"/>
  <c r="BT49" i="1"/>
  <c r="BS49" i="1" s="1"/>
  <c r="BP14" i="1"/>
  <c r="BT26" i="1"/>
  <c r="BS26" i="1" s="1"/>
  <c r="BW21" i="1"/>
  <c r="BR14" i="1"/>
  <c r="BR62" i="1" s="1"/>
  <c r="T62" i="1"/>
  <c r="AI43" i="1"/>
  <c r="BS34" i="1"/>
  <c r="BS30" i="1"/>
  <c r="BS29" i="1"/>
  <c r="BP17" i="1"/>
  <c r="BW22" i="1"/>
  <c r="BS18" i="1"/>
  <c r="BT17" i="1"/>
  <c r="BS17" i="1" s="1"/>
  <c r="AJ51" i="1"/>
  <c r="AI51" i="1"/>
  <c r="AJ47" i="1"/>
  <c r="AI47" i="1"/>
  <c r="AJ35" i="1"/>
  <c r="AI35" i="1"/>
  <c r="AJ23" i="1"/>
  <c r="AI23" i="1"/>
  <c r="BT24" i="1"/>
  <c r="BS24" i="1" s="1"/>
  <c r="AJ19" i="1"/>
  <c r="AI19" i="1"/>
  <c r="BT20" i="1"/>
  <c r="AJ15" i="1"/>
  <c r="AI15" i="1"/>
  <c r="BT16" i="1"/>
  <c r="AJ11" i="1"/>
  <c r="AI11" i="1"/>
  <c r="BT12" i="1"/>
  <c r="BT11" i="1" s="1"/>
  <c r="AR59" i="1"/>
  <c r="BQ52" i="1"/>
  <c r="AM51" i="1"/>
  <c r="BQ48" i="1"/>
  <c r="AM47" i="1"/>
  <c r="BR44" i="1"/>
  <c r="BO43" i="1"/>
  <c r="BQ44" i="1"/>
  <c r="AM43" i="1"/>
  <c r="BP39" i="1"/>
  <c r="E62" i="1"/>
  <c r="BR36" i="1"/>
  <c r="BO35" i="1"/>
  <c r="BR32" i="1"/>
  <c r="BO31" i="1"/>
  <c r="F31" i="1"/>
  <c r="BT42" i="1"/>
  <c r="BS42" i="1" s="1"/>
  <c r="BQ39" i="1"/>
  <c r="BT38" i="1"/>
  <c r="BS38" i="1" s="1"/>
  <c r="BQ36" i="1"/>
  <c r="BQ32" i="1"/>
  <c r="BQ27" i="1"/>
  <c r="BP28" i="1"/>
  <c r="BP27" i="1" s="1"/>
  <c r="AH27" i="1"/>
  <c r="U27" i="1"/>
  <c r="L27" i="1"/>
  <c r="I60" i="1"/>
  <c r="AJ27" i="1"/>
  <c r="F27" i="1"/>
  <c r="BQ62" i="1"/>
  <c r="BT10" i="1"/>
  <c r="BT58" i="1" s="1"/>
  <c r="BP10" i="1"/>
  <c r="AJ62" i="1"/>
  <c r="BQ61" i="1"/>
  <c r="BP9" i="1"/>
  <c r="A13" i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10" i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BO60" i="1"/>
  <c r="BR28" i="1"/>
  <c r="BQ7" i="1"/>
  <c r="BP19" i="1" l="1"/>
  <c r="BP15" i="1"/>
  <c r="BR58" i="1"/>
  <c r="BS58" i="1" s="1"/>
  <c r="BT19" i="1"/>
  <c r="BS16" i="1"/>
  <c r="BP11" i="1"/>
  <c r="BW58" i="1"/>
  <c r="BP7" i="1"/>
  <c r="AI62" i="1"/>
  <c r="BS20" i="1"/>
  <c r="BS19" i="1" s="1"/>
  <c r="AJ65" i="1"/>
  <c r="BS12" i="1"/>
  <c r="BS11" i="1" s="1"/>
  <c r="BS10" i="1"/>
  <c r="BQ55" i="1"/>
  <c r="BP55" i="1"/>
  <c r="BW62" i="1"/>
  <c r="BT62" i="1"/>
  <c r="BS62" i="1" s="1"/>
  <c r="BW40" i="1"/>
  <c r="BQ65" i="1"/>
  <c r="BQ60" i="1"/>
  <c r="BQ59" i="1" s="1"/>
  <c r="BS15" i="1"/>
  <c r="BT15" i="1"/>
  <c r="AJ43" i="1"/>
  <c r="BT40" i="1"/>
  <c r="BS40" i="1" s="1"/>
  <c r="AJ39" i="1"/>
  <c r="BS14" i="1"/>
  <c r="BW14" i="1"/>
  <c r="BW28" i="1"/>
  <c r="BO59" i="1"/>
  <c r="BP61" i="1"/>
  <c r="BP62" i="1"/>
  <c r="F59" i="1"/>
  <c r="E60" i="1"/>
  <c r="E59" i="1" s="1"/>
  <c r="L59" i="1"/>
  <c r="K60" i="1"/>
  <c r="K59" i="1" s="1"/>
  <c r="O59" i="1"/>
  <c r="N60" i="1"/>
  <c r="N59" i="1" s="1"/>
  <c r="R59" i="1"/>
  <c r="Q60" i="1"/>
  <c r="Q59" i="1" s="1"/>
  <c r="U59" i="1"/>
  <c r="T60" i="1"/>
  <c r="T59" i="1" s="1"/>
  <c r="X59" i="1"/>
  <c r="W60" i="1"/>
  <c r="W59" i="1" s="1"/>
  <c r="AA59" i="1"/>
  <c r="Z60" i="1"/>
  <c r="Z59" i="1" s="1"/>
  <c r="AI27" i="1"/>
  <c r="AM59" i="1"/>
  <c r="AL60" i="1"/>
  <c r="AL59" i="1" s="1"/>
  <c r="AP59" i="1"/>
  <c r="AO60" i="1"/>
  <c r="AO59" i="1" s="1"/>
  <c r="AV59" i="1"/>
  <c r="AU60" i="1"/>
  <c r="AU59" i="1" s="1"/>
  <c r="AY59" i="1"/>
  <c r="AX60" i="1"/>
  <c r="AX59" i="1" s="1"/>
  <c r="BT28" i="1"/>
  <c r="BT32" i="1"/>
  <c r="BS32" i="1" s="1"/>
  <c r="BQ31" i="1"/>
  <c r="BT36" i="1"/>
  <c r="BT35" i="1" s="1"/>
  <c r="BQ35" i="1"/>
  <c r="AJ31" i="1"/>
  <c r="AI31" i="1"/>
  <c r="BP32" i="1"/>
  <c r="BP31" i="1" s="1"/>
  <c r="BW32" i="1"/>
  <c r="BP36" i="1"/>
  <c r="BP35" i="1" s="1"/>
  <c r="BW36" i="1"/>
  <c r="BT44" i="1"/>
  <c r="BS44" i="1" s="1"/>
  <c r="BQ43" i="1"/>
  <c r="BP44" i="1"/>
  <c r="BP43" i="1" s="1"/>
  <c r="BW44" i="1"/>
  <c r="BT48" i="1"/>
  <c r="BQ47" i="1"/>
  <c r="BP48" i="1"/>
  <c r="BP47" i="1" s="1"/>
  <c r="BT52" i="1"/>
  <c r="BQ51" i="1"/>
  <c r="BP52" i="1"/>
  <c r="BP51" i="1" s="1"/>
  <c r="BT65" i="1" l="1"/>
  <c r="BS52" i="1"/>
  <c r="BS48" i="1"/>
  <c r="BP60" i="1"/>
  <c r="BP59" i="1" s="1"/>
  <c r="BS36" i="1"/>
  <c r="BS28" i="1"/>
  <c r="I61" i="1"/>
  <c r="I59" i="1" s="1"/>
  <c r="AJ61" i="1"/>
  <c r="G61" i="1"/>
  <c r="H61" i="1" s="1"/>
  <c r="H59" i="1" s="1"/>
  <c r="AH61" i="1"/>
  <c r="AI61" i="1" l="1"/>
  <c r="G59" i="1"/>
  <c r="AH55" i="1"/>
  <c r="BT9" i="1"/>
  <c r="BT57" i="1" s="1"/>
  <c r="AH7" i="1"/>
  <c r="BR8" i="1"/>
  <c r="BR56" i="1" s="1"/>
  <c r="AH60" i="1"/>
  <c r="BR9" i="1"/>
  <c r="BR57" i="1" s="1"/>
  <c r="BS57" i="1" s="1"/>
  <c r="BW57" i="1" l="1"/>
  <c r="BW56" i="1"/>
  <c r="BR61" i="1"/>
  <c r="BT61" i="1"/>
  <c r="AJ55" i="1"/>
  <c r="AI55" i="1"/>
  <c r="BS9" i="1"/>
  <c r="BW9" i="1"/>
  <c r="AJ7" i="1"/>
  <c r="AJ60" i="1"/>
  <c r="AI60" i="1" s="1"/>
  <c r="AI59" i="1" s="1"/>
  <c r="BT8" i="1"/>
  <c r="BT56" i="1" s="1"/>
  <c r="BS56" i="1" s="1"/>
  <c r="AH66" i="1"/>
  <c r="AH59" i="1"/>
  <c r="BW8" i="1"/>
  <c r="BR60" i="1"/>
  <c r="AI7" i="1"/>
  <c r="BS61" i="1" l="1"/>
  <c r="BS8" i="1"/>
  <c r="BS7" i="1" s="1"/>
  <c r="BW61" i="1"/>
  <c r="BW60" i="1"/>
  <c r="BR59" i="1"/>
  <c r="BT7" i="1"/>
  <c r="BT60" i="1"/>
  <c r="BS60" i="1" s="1"/>
  <c r="AJ59" i="1"/>
  <c r="AJ66" i="1"/>
  <c r="F47" i="6"/>
  <c r="E47" i="6"/>
  <c r="H47" i="6" l="1"/>
  <c r="I47" i="6"/>
  <c r="I60" i="6"/>
  <c r="I59" i="6" s="1"/>
  <c r="AD47" i="6" l="1"/>
  <c r="H60" i="6"/>
  <c r="H59" i="6" s="1"/>
  <c r="AC47" i="6"/>
  <c r="AF47" i="6" l="1"/>
  <c r="AG47" i="6"/>
  <c r="BK48" i="6"/>
  <c r="AG60" i="6"/>
  <c r="BN48" i="6" l="1"/>
  <c r="BM48" i="6" s="1"/>
  <c r="BM47" i="6" s="1"/>
  <c r="BK56" i="6"/>
  <c r="AF60" i="6"/>
  <c r="AF59" i="6" s="1"/>
  <c r="AG59" i="6"/>
  <c r="BN47" i="6"/>
  <c r="BK60" i="6"/>
  <c r="BJ48" i="6"/>
  <c r="BJ47" i="6" s="1"/>
  <c r="BK47" i="6"/>
  <c r="BK55" i="6" l="1"/>
  <c r="BJ56" i="6"/>
  <c r="BJ55" i="6" s="1"/>
  <c r="BK59" i="6"/>
  <c r="BJ60" i="6"/>
  <c r="BJ59" i="6" s="1"/>
  <c r="F51" i="6"/>
  <c r="F60" i="6"/>
  <c r="E51" i="6"/>
  <c r="AD52" i="6"/>
  <c r="AD64" i="6" s="1"/>
  <c r="AD51" i="6" l="1"/>
  <c r="AD56" i="6"/>
  <c r="F59" i="6"/>
  <c r="AD60" i="6"/>
  <c r="E60" i="6"/>
  <c r="E59" i="6" s="1"/>
  <c r="AC52" i="6"/>
  <c r="AC51" i="6" s="1"/>
  <c r="BN52" i="6"/>
  <c r="BN56" i="6" s="1"/>
  <c r="AC56" i="6" l="1"/>
  <c r="AC55" i="6" s="1"/>
  <c r="AD55" i="6"/>
  <c r="BM56" i="6"/>
  <c r="BM55" i="6" s="1"/>
  <c r="BN55" i="6"/>
  <c r="BN51" i="6"/>
  <c r="BN60" i="6"/>
  <c r="BM52" i="6"/>
  <c r="BM51" i="6" s="1"/>
  <c r="AC60" i="6"/>
  <c r="AC59" i="6" s="1"/>
  <c r="AD59" i="6"/>
  <c r="BN59" i="6" l="1"/>
  <c r="BM60" i="6"/>
  <c r="BM59" i="6" s="1"/>
</calcChain>
</file>

<file path=xl/sharedStrings.xml><?xml version="1.0" encoding="utf-8"?>
<sst xmlns="http://schemas.openxmlformats.org/spreadsheetml/2006/main" count="686" uniqueCount="105">
  <si>
    <t>Rooms Revenue Segmentation</t>
  </si>
  <si>
    <t>INDIVIDUAL</t>
  </si>
  <si>
    <t>GROUP</t>
  </si>
  <si>
    <t>Rack</t>
  </si>
  <si>
    <t>Qualified Discount</t>
  </si>
  <si>
    <t>Corporate</t>
  </si>
  <si>
    <t>Gov't/NGOs</t>
  </si>
  <si>
    <t>Packages/Promo</t>
  </si>
  <si>
    <t xml:space="preserve">Internet </t>
  </si>
  <si>
    <t>Travel</t>
  </si>
  <si>
    <t>Social/Event</t>
  </si>
  <si>
    <t>Long Staying</t>
  </si>
  <si>
    <t>Industry Rate</t>
  </si>
  <si>
    <t>TOTAL INDIVIDUAL</t>
  </si>
  <si>
    <t>Corporate Meetings</t>
  </si>
  <si>
    <t>Convention/Association</t>
  </si>
  <si>
    <t>Travel/Tours</t>
  </si>
  <si>
    <t>Schools/Universities</t>
  </si>
  <si>
    <t>Barter</t>
  </si>
  <si>
    <t>SEGMENT NAME</t>
  </si>
  <si>
    <t>TOTAL GROUP</t>
  </si>
  <si>
    <t>GRAND TOTAL</t>
  </si>
  <si>
    <t>Room Nights Sold</t>
  </si>
  <si>
    <t>Average Rm Rate (PHP)</t>
  </si>
  <si>
    <t>Revenue (PHP'000)</t>
  </si>
  <si>
    <t>Room Nights Available</t>
  </si>
  <si>
    <t>Occupancy Rate (%)</t>
  </si>
  <si>
    <t>Growth Rate</t>
  </si>
  <si>
    <t>Year To Date</t>
  </si>
  <si>
    <t>Actual</t>
  </si>
  <si>
    <t>Budget</t>
  </si>
  <si>
    <t>Year End</t>
  </si>
  <si>
    <t>Budget Year 2015</t>
  </si>
  <si>
    <t>Actual 2014</t>
  </si>
  <si>
    <t>Forecast</t>
  </si>
  <si>
    <t>Actual/Forecast</t>
  </si>
  <si>
    <t>%</t>
  </si>
  <si>
    <t>% Variance</t>
  </si>
  <si>
    <t>Last Year</t>
  </si>
  <si>
    <t>Total Available Rooms</t>
  </si>
  <si>
    <t>Total Occupied Rooms</t>
  </si>
  <si>
    <t>Total Occupied Rooms-Paying</t>
  </si>
  <si>
    <t>Occupancy %</t>
  </si>
  <si>
    <t>Occupancy %-Paying</t>
  </si>
  <si>
    <t>Average Room Rate</t>
  </si>
  <si>
    <t>Average Room Rate-Paying</t>
  </si>
  <si>
    <t>Individual</t>
  </si>
  <si>
    <t>Groups</t>
  </si>
  <si>
    <t>Other Revenue</t>
  </si>
  <si>
    <t>Total Revenue</t>
  </si>
  <si>
    <t>Salaries and Wages</t>
  </si>
  <si>
    <t>13th Month Pay</t>
  </si>
  <si>
    <t>Employee Benefits</t>
  </si>
  <si>
    <t>Casual Labor</t>
  </si>
  <si>
    <t>Cable/Satellite Television</t>
  </si>
  <si>
    <t>Cleaning Supplies</t>
  </si>
  <si>
    <t>Commissions</t>
  </si>
  <si>
    <t>Commissions and Rebates - Group</t>
  </si>
  <si>
    <t>Complimentary Services &amp; Gifts</t>
  </si>
  <si>
    <t>Contract Services</t>
  </si>
  <si>
    <t>Corporate Office Reimbursables</t>
  </si>
  <si>
    <t>Decorations</t>
  </si>
  <si>
    <t>Dues and Subscriptions</t>
  </si>
  <si>
    <t>Equipment Rental</t>
  </si>
  <si>
    <t>Guest Relocation</t>
  </si>
  <si>
    <t>Guest Supplies</t>
  </si>
  <si>
    <t>Guest Transportation</t>
  </si>
  <si>
    <t>Laundry and Dry Cleaning</t>
  </si>
  <si>
    <t>Licenses and Permits</t>
  </si>
  <si>
    <t>Linen</t>
  </si>
  <si>
    <t>Operating Supplies</t>
  </si>
  <si>
    <t>Printing and Stationery</t>
  </si>
  <si>
    <t>Reservations</t>
  </si>
  <si>
    <t>Royalty Fees</t>
  </si>
  <si>
    <t>Telecommunications</t>
  </si>
  <si>
    <t>Training</t>
  </si>
  <si>
    <t>Travel - Meals and Entertainment</t>
  </si>
  <si>
    <t>Travel - Other</t>
  </si>
  <si>
    <t>Uniform Laundry</t>
  </si>
  <si>
    <t>Uniforms</t>
  </si>
  <si>
    <t>Miscellaneous</t>
  </si>
  <si>
    <t>Total Expenses</t>
  </si>
  <si>
    <t>DEPARTMENTAL INCOME (LOSS)</t>
  </si>
  <si>
    <t>Taal Vista Hotel</t>
  </si>
  <si>
    <t>Actual 2015</t>
  </si>
  <si>
    <t>Income Statement -Rooms Department</t>
  </si>
  <si>
    <t>REVENUES</t>
  </si>
  <si>
    <t>Labor Cost</t>
  </si>
  <si>
    <t>Total Labor Cost</t>
  </si>
  <si>
    <t>Operating Expenses</t>
  </si>
  <si>
    <t>Total Operating Expenses</t>
  </si>
  <si>
    <t>PROV FOR OPERATING EQUIPMENT</t>
  </si>
  <si>
    <t>Jan-Dec, 2015</t>
  </si>
  <si>
    <t>Corporate Others</t>
  </si>
  <si>
    <t>Wholesale Online</t>
  </si>
  <si>
    <t>Wholesale Offline</t>
  </si>
  <si>
    <t>Individual Others</t>
  </si>
  <si>
    <t>Group Tours</t>
  </si>
  <si>
    <t>Group Others</t>
  </si>
  <si>
    <t>Rack:</t>
  </si>
  <si>
    <t>Corporate: Corporate negotiate rate</t>
  </si>
  <si>
    <t xml:space="preserve">Packages: must have room and bfast valid only for 3 months, exception , packages are coporate mandated packages, ex Value Deal </t>
  </si>
  <si>
    <t>Corporate Others : SMAC promo valid for 1 year, BDO Rewards</t>
  </si>
  <si>
    <t xml:space="preserve">Wholesales Online: Agoda, Expdia, </t>
  </si>
  <si>
    <t>Tier &amp; TA commisionable at 10% (Booking.com)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</si>
</sst>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#,##0;\(#,##0\);\-"/>
    <numFmt numFmtId="165" formatCode="[$-409]mmmm;@"/>
    <numFmt numFmtId="166" formatCode="0.0%"/>
    <numFmt numFmtId="167" formatCode="#,##0_);\(#,##0\);\-??"/>
    <numFmt numFmtId="168" formatCode="#,##0,_);\(#,##0,\);\-??"/>
    <numFmt numFmtId="169" formatCode="0%;\(0%\);\-_)"/>
    <numFmt numFmtId="170" formatCode="_(* #,##0_);_(* \(#,##0\);_(* &quot;-&quot;??_);_(@_)"/>
    <numFmt numFmtId="171" formatCode="#,##0.0000_);\(#,##0.0000\)"/>
    <numFmt numFmtId="172" formatCode="#,###,###,"/>
    <numFmt numFmtId="173" formatCode="#,###,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62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</font>
    <font>
      <b/>
      <sz val="10"/>
      <color theme="1" tint="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b/>
      <sz val="1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charset val="1"/>
    </font>
    <font>
      <b/>
      <sz val="10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0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8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indexed="6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 style="thin">
        <color indexed="6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/>
      <right style="thin">
        <color indexed="8"/>
      </right>
      <top/>
      <bottom style="thin">
        <color indexed="24"/>
      </bottom>
      <diagonal/>
    </border>
    <border>
      <left style="thin">
        <color indexed="8"/>
      </left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8"/>
      </left>
      <right style="thin">
        <color indexed="8"/>
      </right>
      <top/>
      <bottom style="thin">
        <color indexed="24"/>
      </bottom>
      <diagonal/>
    </border>
    <border>
      <left/>
      <right style="thin">
        <color indexed="8"/>
      </right>
      <top style="thin">
        <color indexed="24"/>
      </top>
      <bottom style="thin">
        <color indexed="2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2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2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24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2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2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/>
      <diagonal/>
    </border>
    <border>
      <left style="thin">
        <color theme="0" tint="-0.14996795556505021"/>
      </left>
      <right style="thin">
        <color indexed="64"/>
      </right>
      <top style="thin">
        <color theme="0" tint="-0.2499465926084170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20" fillId="0" borderId="0"/>
  </cellStyleXfs>
  <cellXfs count="544">
    <xf numFmtId="0" fontId="0" fillId="0" borderId="0" xfId="0"/>
    <xf numFmtId="0" fontId="2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Alignment="1" applyProtection="1">
      <alignment vertical="top"/>
      <protection hidden="1"/>
    </xf>
    <xf numFmtId="0" fontId="2" fillId="0" borderId="0" xfId="0" applyNumberFormat="1" applyFont="1" applyAlignment="1" applyProtection="1">
      <alignment horizontal="center" vertical="top"/>
      <protection hidden="1"/>
    </xf>
    <xf numFmtId="0" fontId="5" fillId="0" borderId="0" xfId="0" applyNumberFormat="1" applyFont="1" applyFill="1" applyAlignment="1" applyProtection="1">
      <alignment horizontal="center" vertical="top"/>
      <protection hidden="1"/>
    </xf>
    <xf numFmtId="0" fontId="2" fillId="0" borderId="1" xfId="0" applyNumberFormat="1" applyFont="1" applyBorder="1" applyAlignment="1" applyProtection="1">
      <alignment horizontal="center" vertical="top"/>
      <protection hidden="1"/>
    </xf>
    <xf numFmtId="0" fontId="3" fillId="0" borderId="5" xfId="0" applyNumberFormat="1" applyFont="1" applyFill="1" applyBorder="1" applyAlignment="1" applyProtection="1">
      <alignment horizontal="center" vertical="top"/>
      <protection hidden="1"/>
    </xf>
    <xf numFmtId="0" fontId="3" fillId="0" borderId="6" xfId="0" applyNumberFormat="1" applyFont="1" applyFill="1" applyBorder="1" applyAlignment="1" applyProtection="1">
      <alignment horizontal="center" vertical="top"/>
      <protection hidden="1"/>
    </xf>
    <xf numFmtId="0" fontId="2" fillId="0" borderId="0" xfId="0" applyNumberFormat="1" applyFont="1" applyAlignment="1" applyProtection="1">
      <alignment horizontal="right" vertical="top"/>
      <protection hidden="1"/>
    </xf>
    <xf numFmtId="0" fontId="5" fillId="0" borderId="2" xfId="0" applyNumberFormat="1" applyFont="1" applyFill="1" applyBorder="1" applyAlignment="1" applyProtection="1">
      <alignment horizontal="center" vertical="top"/>
      <protection hidden="1"/>
    </xf>
    <xf numFmtId="0" fontId="2" fillId="0" borderId="3" xfId="0" applyNumberFormat="1" applyFont="1" applyBorder="1" applyAlignment="1" applyProtection="1">
      <alignment horizontal="center" vertical="top"/>
      <protection hidden="1"/>
    </xf>
    <xf numFmtId="0" fontId="2" fillId="0" borderId="0" xfId="0" applyNumberFormat="1" applyFont="1" applyAlignment="1" applyProtection="1">
      <alignment horizontal="right" vertical="center" wrapText="1"/>
      <protection hidden="1"/>
    </xf>
    <xf numFmtId="0" fontId="6" fillId="4" borderId="2" xfId="0" applyNumberFormat="1" applyFont="1" applyFill="1" applyBorder="1" applyAlignment="1" applyProtection="1">
      <alignment horizontal="center" vertical="center" wrapText="1"/>
      <protection hidden="1"/>
    </xf>
    <xf numFmtId="0" fontId="7" fillId="4" borderId="4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3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4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2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0" xfId="0" applyFont="1" applyFill="1" applyAlignment="1" applyProtection="1">
      <alignment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vertical="center" wrapText="1"/>
      <protection hidden="1"/>
    </xf>
    <xf numFmtId="0" fontId="2" fillId="0" borderId="10" xfId="0" applyNumberFormat="1" applyFont="1" applyFill="1" applyBorder="1" applyAlignment="1" applyProtection="1">
      <alignment horizontal="left" vertical="center" wrapText="1"/>
      <protection hidden="1"/>
    </xf>
    <xf numFmtId="166" fontId="3" fillId="0" borderId="1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2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3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4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5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6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15" xfId="2" applyFont="1" applyFill="1" applyBorder="1" applyAlignment="1" applyProtection="1">
      <alignment horizontal="center" vertical="center" wrapText="1"/>
      <protection hidden="1"/>
    </xf>
    <xf numFmtId="9" fontId="3" fillId="3" borderId="11" xfId="2" applyFont="1" applyFill="1" applyBorder="1" applyAlignment="1" applyProtection="1">
      <alignment horizontal="center" vertical="center" wrapText="1"/>
      <protection hidden="1"/>
    </xf>
    <xf numFmtId="9" fontId="3" fillId="0" borderId="16" xfId="2" applyFont="1" applyFill="1" applyBorder="1" applyAlignment="1" applyProtection="1">
      <alignment horizontal="center" vertical="center" wrapText="1"/>
      <protection hidden="1"/>
    </xf>
    <xf numFmtId="9" fontId="3" fillId="3" borderId="13" xfId="2" applyFont="1" applyFill="1" applyBorder="1" applyAlignment="1" applyProtection="1">
      <alignment horizontal="center" vertical="center" wrapText="1"/>
      <protection hidden="1"/>
    </xf>
    <xf numFmtId="0" fontId="2" fillId="0" borderId="17" xfId="0" applyFont="1" applyFill="1" applyBorder="1" applyAlignment="1" applyProtection="1">
      <alignment vertical="center" wrapText="1"/>
      <protection hidden="1"/>
    </xf>
    <xf numFmtId="164" fontId="3" fillId="0" borderId="15" xfId="0" applyNumberFormat="1" applyFont="1" applyFill="1" applyBorder="1" applyAlignment="1" applyProtection="1">
      <alignment horizontal="center" vertical="center" wrapText="1"/>
      <protection hidden="1"/>
    </xf>
    <xf numFmtId="164" fontId="3" fillId="0" borderId="16" xfId="0" applyNumberFormat="1" applyFont="1" applyFill="1" applyBorder="1" applyAlignment="1" applyProtection="1">
      <alignment horizontal="center" vertical="center" wrapText="1"/>
      <protection hidden="1"/>
    </xf>
    <xf numFmtId="14" fontId="2" fillId="0" borderId="0" xfId="0" applyNumberFormat="1" applyFont="1" applyFill="1" applyAlignment="1" applyProtection="1">
      <alignment horizontal="center" vertical="top"/>
      <protection hidden="1"/>
    </xf>
    <xf numFmtId="0" fontId="2" fillId="0" borderId="19" xfId="0" applyNumberFormat="1" applyFont="1" applyBorder="1" applyAlignment="1" applyProtection="1">
      <alignment vertical="top"/>
      <protection hidden="1"/>
    </xf>
    <xf numFmtId="167" fontId="2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21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23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4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1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17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24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4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25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26" xfId="0" applyNumberFormat="1" applyFont="1" applyBorder="1" applyAlignment="1" applyProtection="1">
      <alignment vertical="top"/>
      <protection hidden="1"/>
    </xf>
    <xf numFmtId="167" fontId="8" fillId="5" borderId="27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28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9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30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3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9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0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31" xfId="0" applyNumberFormat="1" applyFont="1" applyFill="1" applyBorder="1" applyAlignment="1" applyProtection="1">
      <alignment horizontal="center" vertical="top" shrinkToFit="1"/>
      <protection hidden="1"/>
    </xf>
    <xf numFmtId="169" fontId="3" fillId="0" borderId="32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33" xfId="0" applyNumberFormat="1" applyFont="1" applyBorder="1" applyAlignment="1" applyProtection="1">
      <alignment vertical="top"/>
      <protection hidden="1"/>
    </xf>
    <xf numFmtId="168" fontId="2" fillId="0" borderId="34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35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3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3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34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10" xfId="0" applyNumberFormat="1" applyFont="1" applyBorder="1" applyAlignment="1" applyProtection="1">
      <alignment vertical="top"/>
      <protection hidden="1"/>
    </xf>
    <xf numFmtId="166" fontId="3" fillId="0" borderId="7" xfId="2" applyNumberFormat="1" applyFont="1" applyFill="1" applyBorder="1" applyAlignment="1" applyProtection="1">
      <alignment horizontal="center" vertical="center" wrapText="1"/>
      <protection hidden="1"/>
    </xf>
    <xf numFmtId="167" fontId="2" fillId="3" borderId="15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39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17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21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17" xfId="0" applyFont="1" applyFill="1" applyBorder="1" applyProtection="1">
      <protection hidden="1"/>
    </xf>
    <xf numFmtId="9" fontId="3" fillId="0" borderId="7" xfId="2" applyFont="1" applyFill="1" applyBorder="1" applyAlignment="1" applyProtection="1">
      <alignment horizontal="center" vertical="center" wrapText="1"/>
      <protection hidden="1"/>
    </xf>
    <xf numFmtId="9" fontId="3" fillId="0" borderId="8" xfId="2" applyFont="1" applyFill="1" applyBorder="1" applyAlignment="1" applyProtection="1">
      <alignment horizontal="center" vertical="center" wrapText="1"/>
      <protection hidden="1"/>
    </xf>
    <xf numFmtId="0" fontId="2" fillId="0" borderId="19" xfId="0" applyNumberFormat="1" applyFont="1" applyFill="1" applyBorder="1" applyAlignment="1" applyProtection="1">
      <alignment horizontal="left" vertical="center" wrapText="1"/>
      <protection hidden="1"/>
    </xf>
    <xf numFmtId="166" fontId="3" fillId="0" borderId="2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3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17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4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22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24" xfId="2" applyFont="1" applyFill="1" applyBorder="1" applyAlignment="1" applyProtection="1">
      <alignment horizontal="center" vertical="center" wrapText="1"/>
      <protection hidden="1"/>
    </xf>
    <xf numFmtId="9" fontId="3" fillId="3" borderId="20" xfId="2" applyFont="1" applyFill="1" applyBorder="1" applyAlignment="1" applyProtection="1">
      <alignment horizontal="center" vertical="center" wrapText="1"/>
      <protection hidden="1"/>
    </xf>
    <xf numFmtId="9" fontId="3" fillId="0" borderId="22" xfId="2" applyFont="1" applyFill="1" applyBorder="1" applyAlignment="1" applyProtection="1">
      <alignment horizontal="center" vertical="center" wrapText="1"/>
      <protection hidden="1"/>
    </xf>
    <xf numFmtId="9" fontId="3" fillId="3" borderId="23" xfId="2" applyFont="1" applyFill="1" applyBorder="1" applyAlignment="1" applyProtection="1">
      <alignment horizontal="center" vertical="center" wrapText="1"/>
      <protection hidden="1"/>
    </xf>
    <xf numFmtId="9" fontId="3" fillId="0" borderId="42" xfId="2" applyFont="1" applyFill="1" applyBorder="1" applyAlignment="1" applyProtection="1">
      <alignment horizontal="center" vertical="center" wrapText="1"/>
      <protection hidden="1"/>
    </xf>
    <xf numFmtId="0" fontId="2" fillId="0" borderId="43" xfId="0" applyNumberFormat="1" applyFont="1" applyBorder="1" applyAlignment="1" applyProtection="1">
      <alignment vertical="top"/>
      <protection hidden="1"/>
    </xf>
    <xf numFmtId="168" fontId="2" fillId="0" borderId="44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45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4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4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44" xfId="0" applyNumberFormat="1" applyFont="1" applyFill="1" applyBorder="1" applyAlignment="1" applyProtection="1">
      <alignment horizontal="center" vertical="top" shrinkToFit="1"/>
      <protection hidden="1"/>
    </xf>
    <xf numFmtId="0" fontId="3" fillId="0" borderId="40" xfId="0" applyNumberFormat="1" applyFont="1" applyFill="1" applyBorder="1" applyAlignment="1" applyProtection="1">
      <alignment horizontal="left" vertical="center" wrapText="1"/>
      <protection hidden="1"/>
    </xf>
    <xf numFmtId="9" fontId="3" fillId="0" borderId="20" xfId="2" applyFont="1" applyFill="1" applyBorder="1" applyAlignment="1" applyProtection="1">
      <alignment horizontal="center" vertical="center" wrapText="1"/>
      <protection hidden="1"/>
    </xf>
    <xf numFmtId="9" fontId="3" fillId="0" borderId="23" xfId="2" applyFont="1" applyFill="1" applyBorder="1" applyAlignment="1" applyProtection="1">
      <alignment horizontal="center" vertical="center" wrapText="1"/>
      <protection hidden="1"/>
    </xf>
    <xf numFmtId="9" fontId="3" fillId="0" borderId="17" xfId="2" applyFont="1" applyFill="1" applyBorder="1" applyAlignment="1" applyProtection="1">
      <alignment horizontal="center" vertical="center" wrapText="1"/>
      <protection hidden="1"/>
    </xf>
    <xf numFmtId="166" fontId="3" fillId="0" borderId="18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42" xfId="2" applyNumberFormat="1" applyFont="1" applyFill="1" applyBorder="1" applyAlignment="1" applyProtection="1">
      <alignment horizontal="center" vertical="center" wrapText="1"/>
      <protection hidden="1"/>
    </xf>
    <xf numFmtId="168" fontId="3" fillId="0" borderId="4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0" borderId="42" xfId="1" applyNumberFormat="1" applyFont="1" applyFill="1" applyBorder="1" applyAlignment="1" applyProtection="1">
      <alignment horizontal="left" vertical="top" shrinkToFit="1"/>
      <protection hidden="1"/>
    </xf>
    <xf numFmtId="168" fontId="3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8" xfId="0" applyNumberFormat="1" applyFont="1" applyFill="1" applyBorder="1" applyAlignment="1" applyProtection="1">
      <alignment horizontal="center" vertical="top" shrinkToFit="1"/>
      <protection hidden="1"/>
    </xf>
    <xf numFmtId="0" fontId="3" fillId="0" borderId="0" xfId="0" applyFont="1" applyFill="1" applyProtection="1">
      <protection hidden="1"/>
    </xf>
    <xf numFmtId="9" fontId="3" fillId="0" borderId="25" xfId="0" applyNumberFormat="1" applyFont="1" applyFill="1" applyBorder="1" applyAlignment="1" applyProtection="1">
      <alignment horizontal="center" vertical="top" shrinkToFit="1"/>
      <protection hidden="1"/>
    </xf>
    <xf numFmtId="171" fontId="3" fillId="0" borderId="0" xfId="0" applyNumberFormat="1" applyFont="1" applyProtection="1">
      <protection hidden="1"/>
    </xf>
    <xf numFmtId="167" fontId="3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48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37" xfId="0" applyNumberFormat="1" applyFont="1" applyFill="1" applyBorder="1" applyAlignment="1" applyProtection="1">
      <alignment horizontal="center" vertical="top" shrinkToFit="1"/>
      <protection hidden="1"/>
    </xf>
    <xf numFmtId="169" fontId="3" fillId="0" borderId="49" xfId="0" applyNumberFormat="1" applyFont="1" applyFill="1" applyBorder="1" applyAlignment="1" applyProtection="1">
      <alignment horizontal="center" vertical="top" shrinkToFit="1"/>
      <protection hidden="1"/>
    </xf>
    <xf numFmtId="0" fontId="2" fillId="6" borderId="0" xfId="0" applyFont="1" applyFill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167" fontId="9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9" fillId="0" borderId="21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0" xfId="0" applyFont="1" applyAlignment="1" applyProtection="1">
      <alignment horizontal="center"/>
      <protection hidden="1"/>
    </xf>
    <xf numFmtId="168" fontId="2" fillId="0" borderId="0" xfId="0" applyNumberFormat="1" applyFont="1" applyProtection="1">
      <protection hidden="1"/>
    </xf>
    <xf numFmtId="170" fontId="2" fillId="0" borderId="0" xfId="0" applyNumberFormat="1" applyFont="1" applyProtection="1">
      <protection hidden="1"/>
    </xf>
    <xf numFmtId="43" fontId="2" fillId="0" borderId="0" xfId="1" applyFont="1" applyProtection="1">
      <protection hidden="1"/>
    </xf>
    <xf numFmtId="170" fontId="3" fillId="0" borderId="0" xfId="0" applyNumberFormat="1" applyFont="1" applyProtection="1">
      <protection hidden="1"/>
    </xf>
    <xf numFmtId="170" fontId="3" fillId="0" borderId="0" xfId="1" applyNumberFormat="1" applyFont="1" applyFill="1" applyBorder="1" applyAlignment="1" applyProtection="1">
      <alignment horizontal="left" vertical="top" shrinkToFit="1"/>
      <protection hidden="1"/>
    </xf>
    <xf numFmtId="166" fontId="3" fillId="0" borderId="50" xfId="2" applyNumberFormat="1" applyFont="1" applyFill="1" applyBorder="1" applyAlignment="1" applyProtection="1">
      <alignment horizontal="center" vertical="center" wrapText="1"/>
      <protection hidden="1"/>
    </xf>
    <xf numFmtId="9" fontId="3" fillId="0" borderId="51" xfId="2" applyFont="1" applyFill="1" applyBorder="1" applyAlignment="1" applyProtection="1">
      <alignment horizontal="center" vertical="center" wrapText="1"/>
      <protection hidden="1"/>
    </xf>
    <xf numFmtId="170" fontId="3" fillId="0" borderId="0" xfId="1" applyNumberFormat="1" applyFont="1" applyFill="1" applyBorder="1" applyAlignment="1" applyProtection="1">
      <alignment horizontal="center" vertical="top" shrinkToFit="1"/>
      <protection hidden="1"/>
    </xf>
    <xf numFmtId="172" fontId="3" fillId="0" borderId="0" xfId="1" applyNumberFormat="1" applyFont="1" applyProtection="1">
      <protection hidden="1"/>
    </xf>
    <xf numFmtId="172" fontId="3" fillId="0" borderId="0" xfId="0" applyNumberFormat="1" applyFont="1" applyProtection="1">
      <protection hidden="1"/>
    </xf>
    <xf numFmtId="167" fontId="3" fillId="0" borderId="5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21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2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23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18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4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17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0" xfId="0" applyNumberFormat="1" applyFont="1" applyFill="1" applyBorder="1" applyAlignment="1" applyProtection="1">
      <alignment horizontal="center" vertical="top" shrinkToFit="1"/>
      <protection locked="0"/>
    </xf>
    <xf numFmtId="169" fontId="3" fillId="0" borderId="42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7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9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52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8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3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54" xfId="0" applyNumberFormat="1" applyFont="1" applyFill="1" applyBorder="1" applyAlignment="1" applyProtection="1">
      <alignment horizontal="center" vertical="top" shrinkToFit="1"/>
      <protection locked="0"/>
    </xf>
    <xf numFmtId="164" fontId="6" fillId="4" borderId="9" xfId="0" applyNumberFormat="1" applyFont="1" applyFill="1" applyBorder="1" applyAlignment="1" applyProtection="1">
      <alignment horizontal="center" vertical="center" wrapText="1"/>
      <protection hidden="1"/>
    </xf>
    <xf numFmtId="9" fontId="3" fillId="0" borderId="9" xfId="2" applyFont="1" applyFill="1" applyBorder="1" applyAlignment="1" applyProtection="1">
      <alignment horizontal="center" vertical="center" wrapText="1"/>
      <protection hidden="1"/>
    </xf>
    <xf numFmtId="0" fontId="2" fillId="0" borderId="18" xfId="0" applyFont="1" applyBorder="1" applyProtection="1">
      <protection hidden="1"/>
    </xf>
    <xf numFmtId="166" fontId="3" fillId="0" borderId="9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" xfId="2" applyNumberFormat="1" applyFont="1" applyFill="1" applyBorder="1" applyAlignment="1" applyProtection="1">
      <alignment horizontal="center" vertical="center" wrapText="1"/>
      <protection hidden="1"/>
    </xf>
    <xf numFmtId="0" fontId="3" fillId="2" borderId="2" xfId="0" applyNumberFormat="1" applyFont="1" applyFill="1" applyBorder="1" applyAlignment="1" applyProtection="1">
      <alignment vertical="top"/>
      <protection hidden="1"/>
    </xf>
    <xf numFmtId="0" fontId="3" fillId="2" borderId="3" xfId="0" applyNumberFormat="1" applyFont="1" applyFill="1" applyBorder="1" applyAlignment="1" applyProtection="1">
      <alignment vertical="top"/>
      <protection hidden="1"/>
    </xf>
    <xf numFmtId="0" fontId="3" fillId="2" borderId="4" xfId="0" applyNumberFormat="1" applyFont="1" applyFill="1" applyBorder="1" applyAlignment="1" applyProtection="1">
      <alignment vertical="top"/>
      <protection hidden="1"/>
    </xf>
    <xf numFmtId="167" fontId="8" fillId="5" borderId="4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55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44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35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34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56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0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0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18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42" xfId="0" applyNumberFormat="1" applyFont="1" applyFill="1" applyBorder="1" applyAlignment="1" applyProtection="1">
      <alignment horizontal="center" vertical="top" shrinkToFit="1"/>
      <protection hidden="1"/>
    </xf>
    <xf numFmtId="168" fontId="12" fillId="0" borderId="57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58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13" fillId="0" borderId="62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3" fillId="0" borderId="63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64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5" xfId="0" applyNumberFormat="1" applyFont="1" applyFill="1" applyBorder="1" applyAlignment="1" applyProtection="1">
      <alignment horizontal="center" vertical="top" shrinkToFit="1"/>
      <protection hidden="1"/>
    </xf>
    <xf numFmtId="168" fontId="12" fillId="0" borderId="66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14" fillId="0" borderId="62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0" xfId="0" applyNumberFormat="1" applyFont="1" applyFill="1" applyBorder="1" applyAlignment="1" applyProtection="1">
      <alignment horizontal="center" vertical="top" shrinkToFit="1"/>
      <protection hidden="1"/>
    </xf>
    <xf numFmtId="168" fontId="14" fillId="0" borderId="63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20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1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23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17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48" xfId="0" applyNumberFormat="1" applyFont="1" applyFill="1" applyBorder="1" applyAlignment="1" applyProtection="1">
      <alignment horizontal="center" vertical="top" shrinkToFit="1"/>
      <protection locked="0"/>
    </xf>
    <xf numFmtId="9" fontId="3" fillId="0" borderId="18" xfId="2" applyFont="1" applyFill="1" applyBorder="1" applyAlignment="1" applyProtection="1">
      <alignment horizontal="center" vertical="center" wrapText="1"/>
      <protection hidden="1"/>
    </xf>
    <xf numFmtId="9" fontId="3" fillId="0" borderId="0" xfId="2" applyFont="1" applyFill="1" applyBorder="1" applyAlignment="1" applyProtection="1">
      <alignment horizontal="center" vertical="center" wrapText="1"/>
      <protection hidden="1"/>
    </xf>
    <xf numFmtId="167" fontId="10" fillId="0" borderId="67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54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68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5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6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6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69" xfId="0" applyNumberFormat="1" applyFont="1" applyFill="1" applyBorder="1" applyAlignment="1" applyProtection="1">
      <alignment horizontal="center" vertical="top" shrinkToFit="1"/>
      <protection hidden="1"/>
    </xf>
    <xf numFmtId="0" fontId="16" fillId="0" borderId="0" xfId="0" applyFont="1"/>
    <xf numFmtId="170" fontId="0" fillId="0" borderId="0" xfId="1" applyNumberFormat="1" applyFont="1"/>
    <xf numFmtId="9" fontId="0" fillId="0" borderId="0" xfId="2" applyFont="1"/>
    <xf numFmtId="170" fontId="15" fillId="0" borderId="0" xfId="1" applyNumberFormat="1" applyFont="1"/>
    <xf numFmtId="9" fontId="15" fillId="0" borderId="0" xfId="2" applyFont="1"/>
    <xf numFmtId="43" fontId="0" fillId="0" borderId="0" xfId="1" applyFont="1"/>
    <xf numFmtId="0" fontId="16" fillId="0" borderId="70" xfId="0" applyFont="1" applyBorder="1" applyProtection="1"/>
    <xf numFmtId="9" fontId="17" fillId="0" borderId="70" xfId="2" applyFont="1" applyBorder="1" applyAlignment="1">
      <alignment horizontal="center"/>
    </xf>
    <xf numFmtId="170" fontId="17" fillId="0" borderId="70" xfId="1" applyNumberFormat="1" applyFont="1" applyBorder="1" applyAlignment="1">
      <alignment horizontal="center"/>
    </xf>
    <xf numFmtId="170" fontId="0" fillId="0" borderId="70" xfId="1" applyNumberFormat="1" applyFont="1" applyBorder="1" applyAlignment="1">
      <alignment horizontal="center"/>
    </xf>
    <xf numFmtId="17" fontId="0" fillId="0" borderId="0" xfId="0" applyNumberFormat="1"/>
    <xf numFmtId="170" fontId="16" fillId="0" borderId="0" xfId="1" applyNumberFormat="1" applyFont="1"/>
    <xf numFmtId="170" fontId="18" fillId="0" borderId="0" xfId="1" applyNumberFormat="1" applyFont="1"/>
    <xf numFmtId="170" fontId="0" fillId="0" borderId="0" xfId="0" applyNumberFormat="1"/>
    <xf numFmtId="170" fontId="16" fillId="0" borderId="0" xfId="0" applyNumberFormat="1" applyFont="1"/>
    <xf numFmtId="43" fontId="16" fillId="0" borderId="0" xfId="1" applyFont="1"/>
    <xf numFmtId="0" fontId="0" fillId="0" borderId="0" xfId="0" applyBorder="1" applyAlignment="1">
      <alignment horizontal="center"/>
    </xf>
    <xf numFmtId="170" fontId="0" fillId="0" borderId="0" xfId="1" applyNumberFormat="1" applyFont="1" applyBorder="1"/>
    <xf numFmtId="9" fontId="0" fillId="0" borderId="0" xfId="2" applyFont="1" applyBorder="1"/>
    <xf numFmtId="9" fontId="15" fillId="0" borderId="0" xfId="2" applyFont="1" applyBorder="1"/>
    <xf numFmtId="170" fontId="1" fillId="0" borderId="0" xfId="1" applyNumberFormat="1" applyFont="1" applyBorder="1"/>
    <xf numFmtId="170" fontId="1" fillId="0" borderId="0" xfId="1" applyNumberFormat="1" applyFont="1" applyBorder="1" applyAlignment="1">
      <alignment horizontal="center"/>
    </xf>
    <xf numFmtId="9" fontId="1" fillId="0" borderId="0" xfId="2" applyFont="1" applyBorder="1" applyAlignment="1">
      <alignment horizontal="center"/>
    </xf>
    <xf numFmtId="170" fontId="1" fillId="0" borderId="0" xfId="1" applyNumberFormat="1" applyFont="1" applyBorder="1" applyAlignment="1">
      <alignment horizontal="center" vertical="center"/>
    </xf>
    <xf numFmtId="9" fontId="1" fillId="0" borderId="0" xfId="2" applyFont="1" applyBorder="1"/>
    <xf numFmtId="10" fontId="1" fillId="0" borderId="0" xfId="2" applyNumberFormat="1" applyFont="1" applyBorder="1" applyAlignment="1">
      <alignment horizontal="right" vertical="center"/>
    </xf>
    <xf numFmtId="9" fontId="1" fillId="0" borderId="0" xfId="2" applyFont="1" applyBorder="1" applyAlignment="1">
      <alignment horizontal="right"/>
    </xf>
    <xf numFmtId="43" fontId="1" fillId="0" borderId="0" xfId="1" applyFont="1" applyBorder="1" applyAlignment="1">
      <alignment horizontal="center" vertical="center"/>
    </xf>
    <xf numFmtId="0" fontId="16" fillId="0" borderId="0" xfId="0" applyFont="1" applyBorder="1" applyProtection="1"/>
    <xf numFmtId="170" fontId="15" fillId="0" borderId="0" xfId="1" applyNumberFormat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0" fontId="0" fillId="0" borderId="0" xfId="0" applyFont="1" applyBorder="1" applyAlignment="1" applyProtection="1">
      <alignment horizontal="left" indent="1"/>
    </xf>
    <xf numFmtId="3" fontId="1" fillId="0" borderId="0" xfId="1" applyNumberFormat="1" applyFont="1" applyBorder="1"/>
    <xf numFmtId="0" fontId="1" fillId="0" borderId="0" xfId="0" applyFont="1" applyBorder="1" applyAlignment="1" applyProtection="1">
      <alignment horizontal="left" indent="1"/>
    </xf>
    <xf numFmtId="0" fontId="16" fillId="0" borderId="0" xfId="0" applyFont="1" applyBorder="1" applyAlignment="1" applyProtection="1">
      <alignment horizontal="left" indent="2"/>
    </xf>
    <xf numFmtId="170" fontId="16" fillId="0" borderId="0" xfId="1" applyNumberFormat="1" applyFont="1" applyBorder="1"/>
    <xf numFmtId="9" fontId="16" fillId="0" borderId="0" xfId="2" applyFont="1" applyBorder="1"/>
    <xf numFmtId="170" fontId="15" fillId="0" borderId="0" xfId="1" applyNumberFormat="1" applyFont="1" applyBorder="1"/>
    <xf numFmtId="0" fontId="0" fillId="0" borderId="0" xfId="0" applyFont="1" applyBorder="1" applyProtection="1"/>
    <xf numFmtId="170" fontId="17" fillId="0" borderId="0" xfId="1" applyNumberFormat="1" applyFont="1" applyBorder="1"/>
    <xf numFmtId="0" fontId="16" fillId="0" borderId="0" xfId="0" applyFont="1" applyBorder="1" applyAlignment="1" applyProtection="1"/>
    <xf numFmtId="167" fontId="17" fillId="0" borderId="0" xfId="3" applyNumberFormat="1" applyFont="1" applyBorder="1" applyAlignment="1" applyProtection="1">
      <alignment horizontal="right" vertical="center" shrinkToFit="1"/>
    </xf>
    <xf numFmtId="9" fontId="17" fillId="0" borderId="0" xfId="2" applyFont="1" applyBorder="1" applyAlignment="1" applyProtection="1">
      <alignment horizontal="right" vertical="center" shrinkToFit="1"/>
    </xf>
    <xf numFmtId="9" fontId="21" fillId="0" borderId="0" xfId="2" applyFont="1" applyBorder="1"/>
    <xf numFmtId="0" fontId="1" fillId="0" borderId="0" xfId="0" applyFont="1" applyBorder="1" applyAlignment="1" applyProtection="1">
      <alignment horizontal="left" indent="2"/>
    </xf>
    <xf numFmtId="0" fontId="17" fillId="0" borderId="0" xfId="0" applyNumberFormat="1" applyFont="1" applyFill="1" applyBorder="1" applyAlignment="1" applyProtection="1">
      <alignment horizontal="left" vertical="top" indent="2"/>
    </xf>
    <xf numFmtId="0" fontId="16" fillId="0" borderId="0" xfId="0" applyFont="1" applyBorder="1" applyAlignment="1" applyProtection="1">
      <alignment horizontal="left" indent="1"/>
    </xf>
    <xf numFmtId="0" fontId="16" fillId="7" borderId="0" xfId="0" applyFont="1" applyFill="1" applyBorder="1" applyAlignment="1" applyProtection="1">
      <alignment vertical="center"/>
    </xf>
    <xf numFmtId="0" fontId="0" fillId="0" borderId="0" xfId="0" applyBorder="1"/>
    <xf numFmtId="170" fontId="16" fillId="0" borderId="3" xfId="1" applyNumberFormat="1" applyFont="1" applyBorder="1"/>
    <xf numFmtId="9" fontId="16" fillId="0" borderId="3" xfId="2" applyFont="1" applyBorder="1"/>
    <xf numFmtId="0" fontId="0" fillId="0" borderId="0" xfId="0" applyFont="1" applyBorder="1" applyAlignment="1" applyProtection="1"/>
    <xf numFmtId="3" fontId="16" fillId="0" borderId="3" xfId="1" applyNumberFormat="1" applyFont="1" applyBorder="1"/>
    <xf numFmtId="9" fontId="19" fillId="0" borderId="3" xfId="2" applyFont="1" applyBorder="1" applyAlignment="1" applyProtection="1">
      <alignment horizontal="right" vertical="center" shrinkToFit="1"/>
    </xf>
    <xf numFmtId="170" fontId="0" fillId="0" borderId="3" xfId="1" applyNumberFormat="1" applyFont="1" applyBorder="1"/>
    <xf numFmtId="9" fontId="0" fillId="0" borderId="3" xfId="2" applyFont="1" applyBorder="1"/>
    <xf numFmtId="9" fontId="1" fillId="0" borderId="3" xfId="2" applyFont="1" applyBorder="1"/>
    <xf numFmtId="0" fontId="0" fillId="0" borderId="0" xfId="0" applyFont="1" applyBorder="1" applyAlignment="1" applyProtection="1">
      <alignment horizontal="left" indent="3"/>
    </xf>
    <xf numFmtId="167" fontId="22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22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22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3" fillId="0" borderId="59" xfId="0" applyNumberFormat="1" applyFont="1" applyFill="1" applyBorder="1" applyAlignment="1" applyProtection="1">
      <alignment horizontal="center" vertical="top" shrinkToFit="1"/>
      <protection locked="0"/>
    </xf>
    <xf numFmtId="168" fontId="23" fillId="0" borderId="60" xfId="0" applyNumberFormat="1" applyFont="1" applyFill="1" applyBorder="1" applyAlignment="1" applyProtection="1">
      <alignment horizontal="center" vertical="top" shrinkToFit="1"/>
      <protection hidden="1"/>
    </xf>
    <xf numFmtId="167" fontId="23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0" xfId="0" applyNumberFormat="1" applyFont="1" applyProtection="1">
      <protection hidden="1"/>
    </xf>
    <xf numFmtId="167" fontId="11" fillId="0" borderId="29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30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31" xfId="0" applyNumberFormat="1" applyFont="1" applyFill="1" applyBorder="1" applyAlignment="1" applyProtection="1">
      <alignment horizontal="center" vertical="top" shrinkToFit="1"/>
      <protection hidden="1"/>
    </xf>
    <xf numFmtId="168" fontId="8" fillId="0" borderId="57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58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65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68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54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6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67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6" xfId="0" applyNumberFormat="1" applyFont="1" applyFill="1" applyBorder="1" applyAlignment="1" applyProtection="1">
      <alignment horizontal="center" vertical="top" shrinkToFit="1"/>
      <protection locked="0"/>
    </xf>
    <xf numFmtId="170" fontId="3" fillId="0" borderId="0" xfId="1" applyNumberFormat="1" applyFont="1" applyFill="1" applyBorder="1" applyAlignment="1" applyProtection="1">
      <alignment horizontal="center" vertical="center" shrinkToFit="1"/>
      <protection hidden="1"/>
    </xf>
    <xf numFmtId="170" fontId="3" fillId="0" borderId="0" xfId="1" applyNumberFormat="1" applyFont="1" applyFill="1" applyBorder="1" applyAlignment="1" applyProtection="1">
      <alignment horizontal="left" vertical="center" shrinkToFit="1"/>
      <protection hidden="1"/>
    </xf>
    <xf numFmtId="0" fontId="3" fillId="0" borderId="9" xfId="0" applyNumberFormat="1" applyFont="1" applyFill="1" applyBorder="1" applyAlignment="1" applyProtection="1">
      <alignment horizontal="left" vertical="center" wrapText="1"/>
      <protection hidden="1"/>
    </xf>
    <xf numFmtId="0" fontId="2" fillId="0" borderId="24" xfId="0" applyNumberFormat="1" applyFont="1" applyBorder="1" applyAlignment="1" applyProtection="1">
      <alignment vertical="top"/>
      <protection hidden="1"/>
    </xf>
    <xf numFmtId="0" fontId="2" fillId="0" borderId="29" xfId="0" applyNumberFormat="1" applyFont="1" applyBorder="1" applyAlignment="1" applyProtection="1">
      <alignment vertical="top"/>
      <protection hidden="1"/>
    </xf>
    <xf numFmtId="0" fontId="2" fillId="0" borderId="35" xfId="0" applyNumberFormat="1" applyFont="1" applyBorder="1" applyAlignment="1" applyProtection="1">
      <alignment vertical="top"/>
      <protection hidden="1"/>
    </xf>
    <xf numFmtId="167" fontId="2" fillId="3" borderId="7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0" xfId="0" applyNumberFormat="1" applyFont="1" applyFill="1" applyBorder="1" applyAlignment="1" applyProtection="1">
      <alignment horizontal="center" vertical="top" shrinkToFit="1"/>
      <protection locked="0"/>
    </xf>
    <xf numFmtId="167" fontId="2" fillId="3" borderId="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51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5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0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18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42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6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1" xfId="0" applyNumberFormat="1" applyFont="1" applyFill="1" applyBorder="1" applyAlignment="1" applyProtection="1">
      <alignment horizontal="center" vertical="top" shrinkToFit="1"/>
      <protection locked="0"/>
    </xf>
    <xf numFmtId="167" fontId="23" fillId="0" borderId="64" xfId="0" applyNumberFormat="1" applyFont="1" applyFill="1" applyBorder="1" applyAlignment="1" applyProtection="1">
      <alignment horizontal="center" vertical="top" shrinkToFit="1"/>
      <protection locked="0"/>
    </xf>
    <xf numFmtId="0" fontId="24" fillId="0" borderId="0" xfId="0" applyFont="1" applyProtection="1">
      <protection hidden="1"/>
    </xf>
    <xf numFmtId="167" fontId="22" fillId="0" borderId="64" xfId="0" applyNumberFormat="1" applyFont="1" applyFill="1" applyBorder="1" applyAlignment="1" applyProtection="1">
      <alignment horizontal="center" vertical="top" shrinkToFit="1"/>
      <protection locked="0"/>
    </xf>
    <xf numFmtId="170" fontId="24" fillId="0" borderId="0" xfId="1" applyNumberFormat="1" applyFont="1" applyFill="1" applyBorder="1" applyAlignment="1" applyProtection="1">
      <alignment horizontal="center" vertical="top" shrinkToFit="1"/>
      <protection hidden="1"/>
    </xf>
    <xf numFmtId="167" fontId="24" fillId="0" borderId="0" xfId="0" applyNumberFormat="1" applyFont="1" applyFill="1" applyBorder="1" applyAlignment="1" applyProtection="1">
      <alignment horizontal="center" vertical="top" shrinkToFit="1"/>
      <protection hidden="1"/>
    </xf>
    <xf numFmtId="0" fontId="2" fillId="0" borderId="0" xfId="0" applyFont="1" applyAlignment="1" applyProtection="1">
      <alignment horizontal="center"/>
      <protection hidden="1"/>
    </xf>
    <xf numFmtId="167" fontId="8" fillId="8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8" borderId="59" xfId="0" applyNumberFormat="1" applyFont="1" applyFill="1" applyBorder="1" applyAlignment="1" applyProtection="1">
      <alignment horizontal="center" vertical="top" shrinkToFit="1"/>
      <protection locked="0"/>
    </xf>
    <xf numFmtId="167" fontId="12" fillId="8" borderId="59" xfId="0" applyNumberFormat="1" applyFont="1" applyFill="1" applyBorder="1" applyAlignment="1" applyProtection="1">
      <alignment horizontal="center" vertical="top" shrinkToFit="1"/>
      <protection locked="0"/>
    </xf>
    <xf numFmtId="167" fontId="12" fillId="8" borderId="64" xfId="0" applyNumberFormat="1" applyFont="1" applyFill="1" applyBorder="1" applyAlignment="1" applyProtection="1">
      <alignment horizontal="center" vertical="top" shrinkToFit="1"/>
      <protection locked="0"/>
    </xf>
    <xf numFmtId="167" fontId="8" fillId="8" borderId="61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64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59" xfId="0" applyNumberFormat="1" applyFont="1" applyFill="1" applyBorder="1" applyAlignment="1" applyProtection="1">
      <alignment horizontal="center" vertical="top" shrinkToFit="1"/>
      <protection locked="0"/>
    </xf>
    <xf numFmtId="167" fontId="25" fillId="0" borderId="61" xfId="0" applyNumberFormat="1" applyFont="1" applyFill="1" applyBorder="1" applyAlignment="1" applyProtection="1">
      <alignment horizontal="center" vertical="top" shrinkToFit="1"/>
      <protection locked="0"/>
    </xf>
    <xf numFmtId="167" fontId="26" fillId="0" borderId="61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167" fontId="12" fillId="8" borderId="61" xfId="0" applyNumberFormat="1" applyFont="1" applyFill="1" applyBorder="1" applyAlignment="1" applyProtection="1">
      <alignment horizontal="center" vertical="top" shrinkToFit="1"/>
      <protection locked="0"/>
    </xf>
    <xf numFmtId="0" fontId="2" fillId="6" borderId="19" xfId="0" applyNumberFormat="1" applyFont="1" applyFill="1" applyBorder="1" applyAlignment="1" applyProtection="1">
      <alignment vertical="top"/>
      <protection hidden="1"/>
    </xf>
    <xf numFmtId="168" fontId="12" fillId="6" borderId="60" xfId="0" applyNumberFormat="1" applyFont="1" applyFill="1" applyBorder="1" applyAlignment="1" applyProtection="1">
      <alignment horizontal="center" vertical="top" shrinkToFit="1"/>
      <protection hidden="1"/>
    </xf>
    <xf numFmtId="173" fontId="3" fillId="0" borderId="0" xfId="0" applyNumberFormat="1" applyFont="1" applyProtection="1">
      <protection hidden="1"/>
    </xf>
    <xf numFmtId="173" fontId="2" fillId="0" borderId="0" xfId="0" applyNumberFormat="1" applyFont="1" applyProtection="1">
      <protection hidden="1"/>
    </xf>
    <xf numFmtId="170" fontId="2" fillId="0" borderId="0" xfId="1" applyNumberFormat="1" applyFont="1" applyProtection="1">
      <protection hidden="1"/>
    </xf>
    <xf numFmtId="3" fontId="2" fillId="0" borderId="0" xfId="0" applyNumberFormat="1" applyFont="1" applyProtection="1">
      <protection hidden="1"/>
    </xf>
    <xf numFmtId="37" fontId="2" fillId="0" borderId="0" xfId="1" applyNumberFormat="1" applyFont="1" applyProtection="1">
      <protection hidden="1"/>
    </xf>
    <xf numFmtId="168" fontId="3" fillId="0" borderId="0" xfId="0" applyNumberFormat="1" applyFont="1" applyProtection="1">
      <protection hidden="1"/>
    </xf>
    <xf numFmtId="167" fontId="2" fillId="8" borderId="24" xfId="0" applyNumberFormat="1" applyFont="1" applyFill="1" applyBorder="1" applyAlignment="1" applyProtection="1">
      <alignment horizontal="center" vertical="top" shrinkToFit="1"/>
      <protection locked="0"/>
    </xf>
    <xf numFmtId="169" fontId="3" fillId="8" borderId="25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29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0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19" xfId="0" applyNumberFormat="1" applyFont="1" applyFill="1" applyBorder="1" applyAlignment="1" applyProtection="1">
      <alignment vertical="top"/>
      <protection hidden="1"/>
    </xf>
    <xf numFmtId="1" fontId="2" fillId="0" borderId="30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22" xfId="0" applyNumberFormat="1" applyFont="1" applyFill="1" applyBorder="1" applyAlignment="1" applyProtection="1">
      <alignment horizontal="center" vertical="top" shrinkToFit="1"/>
      <protection hidden="1"/>
    </xf>
    <xf numFmtId="1" fontId="2" fillId="0" borderId="24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21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5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36" xfId="0" applyNumberFormat="1" applyFont="1" applyFill="1" applyBorder="1" applyAlignment="1" applyProtection="1">
      <alignment horizontal="center" vertical="top" shrinkToFit="1"/>
      <protection locked="0"/>
    </xf>
    <xf numFmtId="9" fontId="3" fillId="0" borderId="11" xfId="2" applyFont="1" applyFill="1" applyBorder="1" applyAlignment="1" applyProtection="1">
      <alignment horizontal="center" vertical="center" wrapText="1"/>
      <protection hidden="1"/>
    </xf>
    <xf numFmtId="9" fontId="3" fillId="0" borderId="13" xfId="2" applyFont="1" applyFill="1" applyBorder="1" applyAlignment="1" applyProtection="1">
      <alignment horizontal="center" vertical="center" wrapText="1"/>
      <protection hidden="1"/>
    </xf>
    <xf numFmtId="164" fontId="6" fillId="4" borderId="71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2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73" xfId="0" applyNumberFormat="1" applyFont="1" applyFill="1" applyBorder="1" applyAlignment="1" applyProtection="1">
      <alignment horizontal="center" vertical="center" wrapText="1"/>
      <protection hidden="1"/>
    </xf>
    <xf numFmtId="166" fontId="3" fillId="0" borderId="74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75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76" xfId="2" applyNumberFormat="1" applyFont="1" applyFill="1" applyBorder="1" applyAlignment="1" applyProtection="1">
      <alignment horizontal="center" vertical="center" wrapText="1"/>
      <protection hidden="1"/>
    </xf>
    <xf numFmtId="167" fontId="12" fillId="0" borderId="77" xfId="0" applyNumberFormat="1" applyFont="1" applyFill="1" applyBorder="1" applyAlignment="1" applyProtection="1">
      <alignment horizontal="center" vertical="top" shrinkToFit="1"/>
      <protection locked="0"/>
    </xf>
    <xf numFmtId="167" fontId="12" fillId="0" borderId="78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79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80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81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82" xfId="0" applyNumberFormat="1" applyFont="1" applyFill="1" applyBorder="1" applyAlignment="1" applyProtection="1">
      <alignment horizontal="center" vertical="top" shrinkToFit="1"/>
      <protection hidden="1"/>
    </xf>
    <xf numFmtId="166" fontId="28" fillId="0" borderId="76" xfId="2" applyNumberFormat="1" applyFont="1" applyFill="1" applyBorder="1" applyAlignment="1" applyProtection="1">
      <alignment horizontal="center" vertical="center" wrapText="1"/>
      <protection hidden="1"/>
    </xf>
    <xf numFmtId="167" fontId="12" fillId="0" borderId="83" xfId="0" applyNumberFormat="1" applyFont="1" applyFill="1" applyBorder="1" applyAlignment="1" applyProtection="1">
      <alignment horizontal="center" vertical="top" shrinkToFit="1"/>
      <protection locked="0"/>
    </xf>
    <xf numFmtId="168" fontId="12" fillId="0" borderId="84" xfId="0" applyNumberFormat="1" applyFont="1" applyFill="1" applyBorder="1" applyAlignment="1" applyProtection="1">
      <alignment horizontal="center" vertical="top" shrinkToFit="1"/>
      <protection hidden="1"/>
    </xf>
    <xf numFmtId="167" fontId="8" fillId="0" borderId="77" xfId="0" applyNumberFormat="1" applyFont="1" applyFill="1" applyBorder="1" applyAlignment="1" applyProtection="1">
      <alignment horizontal="center" vertical="top" shrinkToFit="1"/>
      <protection locked="0"/>
    </xf>
    <xf numFmtId="167" fontId="8" fillId="0" borderId="83" xfId="0" applyNumberFormat="1" applyFont="1" applyFill="1" applyBorder="1" applyAlignment="1" applyProtection="1">
      <alignment horizontal="center" vertical="top" shrinkToFit="1"/>
      <protection locked="0"/>
    </xf>
    <xf numFmtId="168" fontId="12" fillId="6" borderId="84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8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80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81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82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85" xfId="0" applyNumberFormat="1" applyFont="1" applyFill="1" applyBorder="1" applyAlignment="1" applyProtection="1">
      <alignment horizontal="center" vertical="top" shrinkToFit="1"/>
      <protection locked="0"/>
    </xf>
    <xf numFmtId="167" fontId="10" fillId="0" borderId="86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87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8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1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82" xfId="2" applyNumberFormat="1" applyFont="1" applyFill="1" applyBorder="1" applyAlignment="1" applyProtection="1">
      <alignment horizontal="center" vertical="center" wrapText="1"/>
      <protection hidden="1"/>
    </xf>
    <xf numFmtId="168" fontId="8" fillId="0" borderId="84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85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86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87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77" xfId="0" applyNumberFormat="1" applyFont="1" applyFill="1" applyBorder="1" applyAlignment="1" applyProtection="1">
      <alignment horizontal="center" vertical="top" shrinkToFit="1"/>
      <protection locked="0"/>
    </xf>
    <xf numFmtId="167" fontId="14" fillId="0" borderId="83" xfId="0" applyNumberFormat="1" applyFont="1" applyFill="1" applyBorder="1" applyAlignment="1" applyProtection="1">
      <alignment horizontal="center" vertical="top" shrinkToFit="1"/>
      <protection locked="0"/>
    </xf>
    <xf numFmtId="168" fontId="14" fillId="0" borderId="84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80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81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8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8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78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79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89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90" xfId="2" applyNumberFormat="1" applyFont="1" applyFill="1" applyBorder="1" applyAlignment="1" applyProtection="1">
      <alignment horizontal="center" vertical="center" wrapText="1"/>
      <protection hidden="1"/>
    </xf>
    <xf numFmtId="166" fontId="3" fillId="0" borderId="91" xfId="2" applyNumberFormat="1" applyFont="1" applyFill="1" applyBorder="1" applyAlignment="1" applyProtection="1">
      <alignment horizontal="center" vertical="center" wrapText="1"/>
      <protection hidden="1"/>
    </xf>
    <xf numFmtId="167" fontId="8" fillId="5" borderId="88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78" xfId="0" applyNumberFormat="1" applyFont="1" applyFill="1" applyBorder="1" applyAlignment="1" applyProtection="1">
      <alignment horizontal="center" vertical="top" shrinkToFit="1"/>
      <protection locked="0"/>
    </xf>
    <xf numFmtId="168" fontId="8" fillId="5" borderId="79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85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86" xfId="0" applyNumberFormat="1" applyFont="1" applyFill="1" applyBorder="1" applyAlignment="1" applyProtection="1">
      <alignment horizontal="center" vertical="top" shrinkToFit="1"/>
      <protection locked="0"/>
    </xf>
    <xf numFmtId="168" fontId="8" fillId="5" borderId="87" xfId="0" applyNumberFormat="1" applyFont="1" applyFill="1" applyBorder="1" applyAlignment="1" applyProtection="1">
      <alignment horizontal="center" vertical="top" shrinkToFit="1"/>
      <protection locked="0"/>
    </xf>
    <xf numFmtId="166" fontId="3" fillId="0" borderId="78" xfId="2" applyNumberFormat="1" applyFont="1" applyFill="1" applyBorder="1" applyAlignment="1" applyProtection="1">
      <alignment horizontal="center" vertical="center" wrapText="1"/>
      <protection hidden="1"/>
    </xf>
    <xf numFmtId="167" fontId="3" fillId="0" borderId="78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0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2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3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94" xfId="0" applyNumberFormat="1" applyFont="1" applyFill="1" applyBorder="1" applyAlignment="1" applyProtection="1">
      <alignment horizontal="center" vertical="top" shrinkToFit="1"/>
      <protection hidden="1"/>
    </xf>
    <xf numFmtId="167" fontId="12" fillId="0" borderId="88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0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1" xfId="0" applyNumberFormat="1" applyFont="1" applyFill="1" applyBorder="1" applyAlignment="1" applyProtection="1">
      <alignment horizontal="center" vertical="top" shrinkToFit="1"/>
      <protection locked="0"/>
    </xf>
    <xf numFmtId="166" fontId="28" fillId="0" borderId="74" xfId="2" applyNumberFormat="1" applyFont="1" applyFill="1" applyBorder="1" applyAlignment="1" applyProtection="1">
      <alignment horizontal="center" vertical="center" wrapText="1"/>
      <protection hidden="1"/>
    </xf>
    <xf numFmtId="166" fontId="28" fillId="0" borderId="90" xfId="2" applyNumberFormat="1" applyFont="1" applyFill="1" applyBorder="1" applyAlignment="1" applyProtection="1">
      <alignment horizontal="center" vertical="center" wrapText="1"/>
      <protection hidden="1"/>
    </xf>
    <xf numFmtId="168" fontId="12" fillId="0" borderId="95" xfId="0" applyNumberFormat="1" applyFont="1" applyFill="1" applyBorder="1" applyAlignment="1" applyProtection="1">
      <alignment horizontal="center" vertical="top" shrinkToFit="1"/>
      <protection hidden="1"/>
    </xf>
    <xf numFmtId="167" fontId="27" fillId="0" borderId="85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86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87" xfId="0" applyNumberFormat="1" applyFont="1" applyFill="1" applyBorder="1" applyAlignment="1" applyProtection="1">
      <alignment horizontal="center" vertical="top" shrinkToFit="1"/>
      <protection hidden="1"/>
    </xf>
    <xf numFmtId="167" fontId="27" fillId="0" borderId="96" xfId="0" applyNumberFormat="1" applyFont="1" applyFill="1" applyBorder="1" applyAlignment="1" applyProtection="1">
      <alignment horizontal="center" vertical="top" shrinkToFit="1"/>
      <protection locked="0"/>
    </xf>
    <xf numFmtId="167" fontId="27" fillId="0" borderId="97" xfId="0" applyNumberFormat="1" applyFont="1" applyFill="1" applyBorder="1" applyAlignment="1" applyProtection="1">
      <alignment horizontal="center" vertical="top" shrinkToFit="1"/>
      <protection locked="0"/>
    </xf>
    <xf numFmtId="168" fontId="27" fillId="0" borderId="98" xfId="0" applyNumberFormat="1" applyFont="1" applyFill="1" applyBorder="1" applyAlignment="1" applyProtection="1">
      <alignment horizontal="center" vertical="top" shrinkToFit="1"/>
      <protection hidden="1"/>
    </xf>
    <xf numFmtId="167" fontId="2" fillId="0" borderId="97" xfId="0" applyNumberFormat="1" applyFont="1" applyFill="1" applyBorder="1" applyAlignment="1" applyProtection="1">
      <alignment horizontal="center" vertical="top" shrinkToFit="1"/>
      <protection locked="0"/>
    </xf>
    <xf numFmtId="168" fontId="2" fillId="0" borderId="98" xfId="0" applyNumberFormat="1" applyFont="1" applyFill="1" applyBorder="1" applyAlignment="1" applyProtection="1">
      <alignment horizontal="center" vertical="top" shrinkToFit="1"/>
      <protection hidden="1"/>
    </xf>
    <xf numFmtId="167" fontId="10" fillId="0" borderId="97" xfId="0" applyNumberFormat="1" applyFont="1" applyFill="1" applyBorder="1" applyAlignment="1" applyProtection="1">
      <alignment horizontal="center" vertical="top" shrinkToFit="1"/>
      <protection locked="0"/>
    </xf>
    <xf numFmtId="168" fontId="10" fillId="0" borderId="98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96" xfId="0" applyNumberFormat="1" applyFont="1" applyFill="1" applyBorder="1" applyAlignment="1" applyProtection="1">
      <alignment horizontal="center" vertical="top" shrinkToFit="1"/>
      <protection locked="0"/>
    </xf>
    <xf numFmtId="167" fontId="3" fillId="0" borderId="97" xfId="0" applyNumberFormat="1" applyFont="1" applyFill="1" applyBorder="1" applyAlignment="1" applyProtection="1">
      <alignment horizontal="center" vertical="top" shrinkToFit="1"/>
      <protection locked="0"/>
    </xf>
    <xf numFmtId="168" fontId="3" fillId="0" borderId="98" xfId="0" applyNumberFormat="1" applyFont="1" applyFill="1" applyBorder="1" applyAlignment="1" applyProtection="1">
      <alignment horizontal="center" vertical="top" shrinkToFit="1"/>
      <protection hidden="1"/>
    </xf>
    <xf numFmtId="166" fontId="3" fillId="0" borderId="79" xfId="2" applyNumberFormat="1" applyFont="1" applyFill="1" applyBorder="1" applyAlignment="1" applyProtection="1">
      <alignment horizontal="center" vertical="center" wrapText="1"/>
      <protection hidden="1"/>
    </xf>
    <xf numFmtId="173" fontId="8" fillId="5" borderId="0" xfId="0" applyNumberFormat="1" applyFont="1" applyFill="1" applyBorder="1" applyAlignment="1" applyProtection="1">
      <alignment horizontal="center" vertical="top" shrinkToFit="1"/>
      <protection locked="0"/>
    </xf>
    <xf numFmtId="173" fontId="8" fillId="5" borderId="6" xfId="0" applyNumberFormat="1" applyFont="1" applyFill="1" applyBorder="1" applyAlignment="1" applyProtection="1">
      <alignment horizontal="center" vertical="top" shrinkToFit="1"/>
      <protection locked="0"/>
    </xf>
    <xf numFmtId="164" fontId="6" fillId="4" borderId="89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90" xfId="0" applyNumberFormat="1" applyFont="1" applyFill="1" applyBorder="1" applyAlignment="1" applyProtection="1">
      <alignment horizontal="center" vertical="center" wrapText="1"/>
      <protection hidden="1"/>
    </xf>
    <xf numFmtId="164" fontId="6" fillId="4" borderId="91" xfId="0" applyNumberFormat="1" applyFont="1" applyFill="1" applyBorder="1" applyAlignment="1" applyProtection="1">
      <alignment horizontal="center" vertical="center" wrapText="1"/>
      <protection hidden="1"/>
    </xf>
    <xf numFmtId="9" fontId="3" fillId="0" borderId="89" xfId="2" applyFont="1" applyFill="1" applyBorder="1" applyAlignment="1" applyProtection="1">
      <alignment horizontal="center" vertical="center" wrapText="1"/>
      <protection hidden="1"/>
    </xf>
    <xf numFmtId="9" fontId="3" fillId="0" borderId="90" xfId="2" applyFont="1" applyFill="1" applyBorder="1" applyAlignment="1" applyProtection="1">
      <alignment horizontal="center" vertical="center" wrapText="1"/>
      <protection hidden="1"/>
    </xf>
    <xf numFmtId="9" fontId="3" fillId="0" borderId="91" xfId="2" applyFont="1" applyFill="1" applyBorder="1" applyAlignment="1" applyProtection="1">
      <alignment horizontal="center" vertical="center" wrapText="1"/>
      <protection hidden="1"/>
    </xf>
    <xf numFmtId="167" fontId="13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78" xfId="0" applyNumberFormat="1" applyFont="1" applyFill="1" applyBorder="1" applyAlignment="1" applyProtection="1">
      <alignment horizontal="center" vertical="top" shrinkToFit="1"/>
      <protection hidden="1"/>
    </xf>
    <xf numFmtId="168" fontId="13" fillId="0" borderId="79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4" fillId="0" borderId="78" xfId="0" applyNumberFormat="1" applyFont="1" applyFill="1" applyBorder="1" applyAlignment="1" applyProtection="1">
      <alignment horizontal="center" vertical="top" shrinkToFit="1"/>
      <protection hidden="1"/>
    </xf>
    <xf numFmtId="168" fontId="14" fillId="0" borderId="79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8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78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79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5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86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87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88" xfId="2" applyFont="1" applyFill="1" applyBorder="1" applyAlignment="1" applyProtection="1">
      <alignment horizontal="center" vertical="center" wrapText="1"/>
      <protection hidden="1"/>
    </xf>
    <xf numFmtId="9" fontId="3" fillId="0" borderId="78" xfId="2" applyFont="1" applyFill="1" applyBorder="1" applyAlignment="1" applyProtection="1">
      <alignment horizontal="center" vertical="center" wrapText="1"/>
      <protection hidden="1"/>
    </xf>
    <xf numFmtId="9" fontId="3" fillId="0" borderId="79" xfId="2" applyFont="1" applyFill="1" applyBorder="1" applyAlignment="1" applyProtection="1">
      <alignment horizontal="center" vertical="center" wrapText="1"/>
      <protection hidden="1"/>
    </xf>
    <xf numFmtId="167" fontId="3" fillId="0" borderId="85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86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87" xfId="0" applyNumberFormat="1" applyFont="1" applyFill="1" applyBorder="1" applyAlignment="1" applyProtection="1">
      <alignment horizontal="center" vertical="top" shrinkToFit="1"/>
      <protection hidden="1"/>
    </xf>
    <xf numFmtId="167" fontId="13" fillId="0" borderId="77" xfId="0" applyNumberFormat="1" applyFont="1" applyFill="1" applyBorder="1" applyAlignment="1" applyProtection="1">
      <alignment horizontal="center" vertical="top" shrinkToFit="1"/>
      <protection locked="0"/>
    </xf>
    <xf numFmtId="167" fontId="13" fillId="0" borderId="83" xfId="0" applyNumberFormat="1" applyFont="1" applyFill="1" applyBorder="1" applyAlignment="1" applyProtection="1">
      <alignment horizontal="center" vertical="top" shrinkToFit="1"/>
      <protection locked="0"/>
    </xf>
    <xf numFmtId="1" fontId="14" fillId="0" borderId="77" xfId="0" applyNumberFormat="1" applyFont="1" applyFill="1" applyBorder="1" applyAlignment="1" applyProtection="1">
      <alignment horizontal="center" vertical="top" shrinkToFit="1"/>
      <protection locked="0"/>
    </xf>
    <xf numFmtId="168" fontId="14" fillId="0" borderId="84" xfId="0" applyNumberFormat="1" applyFont="1" applyFill="1" applyBorder="1" applyAlignment="1" applyProtection="1">
      <alignment horizontal="center" vertical="top" shrinkToFit="1"/>
      <protection hidden="1"/>
    </xf>
    <xf numFmtId="167" fontId="2" fillId="3" borderId="99" xfId="0" applyNumberFormat="1" applyFont="1" applyFill="1" applyBorder="1" applyAlignment="1" applyProtection="1">
      <alignment horizontal="center" vertical="top" shrinkToFit="1"/>
      <protection locked="0"/>
    </xf>
    <xf numFmtId="167" fontId="8" fillId="5" borderId="100" xfId="0" applyNumberFormat="1" applyFont="1" applyFill="1" applyBorder="1" applyAlignment="1" applyProtection="1">
      <alignment horizontal="center" vertical="top" shrinkToFit="1"/>
      <protection locked="0"/>
    </xf>
    <xf numFmtId="167" fontId="2" fillId="0" borderId="99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99" xfId="0" applyNumberFormat="1" applyFont="1" applyFill="1" applyBorder="1" applyAlignment="1" applyProtection="1">
      <alignment horizontal="center" vertical="top" shrinkToFit="1"/>
      <protection locked="0"/>
    </xf>
    <xf numFmtId="168" fontId="8" fillId="0" borderId="95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14" xfId="2" applyFont="1" applyFill="1" applyBorder="1" applyAlignment="1" applyProtection="1">
      <alignment horizontal="center" vertical="center" wrapText="1"/>
      <protection hidden="1"/>
    </xf>
    <xf numFmtId="168" fontId="2" fillId="0" borderId="99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48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55" xfId="0" applyNumberFormat="1" applyFont="1" applyFill="1" applyBorder="1" applyAlignment="1" applyProtection="1">
      <alignment horizontal="center" vertical="top" shrinkToFit="1"/>
      <protection hidden="1"/>
    </xf>
    <xf numFmtId="1" fontId="2" fillId="0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1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2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03" xfId="0" applyNumberFormat="1" applyFont="1" applyFill="1" applyBorder="1" applyAlignment="1" applyProtection="1">
      <alignment horizontal="center" vertical="top" shrinkToFit="1"/>
      <protection hidden="1"/>
    </xf>
    <xf numFmtId="167" fontId="11" fillId="0" borderId="102" xfId="0" applyNumberFormat="1" applyFont="1" applyFill="1" applyBorder="1" applyAlignment="1" applyProtection="1">
      <alignment horizontal="center" vertical="top" shrinkToFit="1"/>
      <protection hidden="1"/>
    </xf>
    <xf numFmtId="168" fontId="11" fillId="0" borderId="103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4" xfId="0" applyNumberFormat="1" applyFont="1" applyFill="1" applyBorder="1" applyAlignment="1" applyProtection="1">
      <alignment horizontal="center" vertical="top" shrinkToFit="1"/>
      <protection hidden="1"/>
    </xf>
    <xf numFmtId="167" fontId="3" fillId="0" borderId="105" xfId="0" applyNumberFormat="1" applyFont="1" applyFill="1" applyBorder="1" applyAlignment="1" applyProtection="1">
      <alignment horizontal="center" vertical="top" shrinkToFit="1"/>
      <protection hidden="1"/>
    </xf>
    <xf numFmtId="168" fontId="3" fillId="0" borderId="106" xfId="0" applyNumberFormat="1" applyFont="1" applyFill="1" applyBorder="1" applyAlignment="1" applyProtection="1">
      <alignment horizontal="center" vertical="top" shrinkToFit="1"/>
      <protection hidden="1"/>
    </xf>
    <xf numFmtId="3" fontId="3" fillId="0" borderId="80" xfId="0" applyNumberFormat="1" applyFont="1" applyFill="1" applyBorder="1" applyAlignment="1" applyProtection="1">
      <alignment horizontal="center" vertical="top" shrinkToFit="1"/>
      <protection hidden="1"/>
    </xf>
    <xf numFmtId="9" fontId="3" fillId="0" borderId="74" xfId="2" applyFont="1" applyFill="1" applyBorder="1" applyAlignment="1" applyProtection="1">
      <alignment horizontal="center" vertical="center" wrapText="1"/>
      <protection hidden="1"/>
    </xf>
    <xf numFmtId="9" fontId="3" fillId="0" borderId="80" xfId="2" applyFont="1" applyFill="1" applyBorder="1" applyAlignment="1" applyProtection="1">
      <alignment horizontal="center" vertical="center" wrapText="1"/>
      <protection hidden="1"/>
    </xf>
    <xf numFmtId="0" fontId="3" fillId="9" borderId="38" xfId="0" applyNumberFormat="1" applyFont="1" applyFill="1" applyBorder="1" applyAlignment="1" applyProtection="1">
      <alignment horizontal="left" vertical="center" wrapText="1"/>
      <protection hidden="1"/>
    </xf>
    <xf numFmtId="166" fontId="3" fillId="9" borderId="74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90" xfId="2" applyNumberFormat="1" applyFont="1" applyFill="1" applyBorder="1" applyAlignment="1" applyProtection="1">
      <alignment horizontal="center" vertical="center" wrapText="1"/>
      <protection hidden="1"/>
    </xf>
    <xf numFmtId="166" fontId="3" fillId="9" borderId="76" xfId="2" applyNumberFormat="1" applyFont="1" applyFill="1" applyBorder="1" applyAlignment="1" applyProtection="1">
      <alignment horizontal="center" vertical="center" wrapText="1"/>
      <protection hidden="1"/>
    </xf>
    <xf numFmtId="9" fontId="3" fillId="9" borderId="11" xfId="2" applyFont="1" applyFill="1" applyBorder="1" applyAlignment="1" applyProtection="1">
      <alignment horizontal="center" vertical="center" wrapText="1"/>
      <protection hidden="1"/>
    </xf>
    <xf numFmtId="9" fontId="3" fillId="9" borderId="53" xfId="2" applyFont="1" applyFill="1" applyBorder="1" applyAlignment="1" applyProtection="1">
      <alignment horizontal="center" vertical="center" wrapText="1"/>
      <protection hidden="1"/>
    </xf>
    <xf numFmtId="9" fontId="3" fillId="9" borderId="16" xfId="2" applyFont="1" applyFill="1" applyBorder="1" applyAlignment="1" applyProtection="1">
      <alignment horizontal="center" vertical="center" wrapText="1"/>
      <protection hidden="1"/>
    </xf>
    <xf numFmtId="9" fontId="3" fillId="9" borderId="13" xfId="2" applyFont="1" applyFill="1" applyBorder="1" applyAlignment="1" applyProtection="1">
      <alignment horizontal="center" vertical="center" wrapText="1"/>
      <protection hidden="1"/>
    </xf>
    <xf numFmtId="9" fontId="3" fillId="9" borderId="14" xfId="2" applyFont="1" applyFill="1" applyBorder="1" applyAlignment="1" applyProtection="1">
      <alignment horizontal="center" vertical="center" wrapText="1"/>
      <protection hidden="1"/>
    </xf>
    <xf numFmtId="166" fontId="3" fillId="9" borderId="91" xfId="2" applyNumberFormat="1" applyFont="1" applyFill="1" applyBorder="1" applyAlignment="1" applyProtection="1">
      <alignment horizontal="center" vertical="center" wrapText="1"/>
      <protection hidden="1"/>
    </xf>
    <xf numFmtId="0" fontId="2" fillId="9" borderId="19" xfId="0" applyNumberFormat="1" applyFont="1" applyFill="1" applyBorder="1" applyAlignment="1" applyProtection="1">
      <alignment vertical="top"/>
      <protection hidden="1"/>
    </xf>
    <xf numFmtId="170" fontId="3" fillId="9" borderId="88" xfId="1" applyNumberFormat="1" applyFont="1" applyFill="1" applyBorder="1" applyAlignment="1" applyProtection="1">
      <alignment horizontal="center" vertical="center" wrapText="1" shrinkToFit="1"/>
      <protection hidden="1"/>
    </xf>
    <xf numFmtId="167" fontId="3" fillId="9" borderId="78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79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9" borderId="88" xfId="1" applyNumberFormat="1" applyFont="1" applyFill="1" applyBorder="1" applyAlignment="1" applyProtection="1">
      <alignment horizontal="center" vertical="top" shrinkToFit="1"/>
      <protection hidden="1"/>
    </xf>
    <xf numFmtId="170" fontId="3" fillId="9" borderId="88" xfId="1" applyNumberFormat="1" applyFont="1" applyFill="1" applyBorder="1" applyAlignment="1" applyProtection="1">
      <alignment horizontal="left" vertical="top" shrinkToFit="1"/>
      <protection hidden="1"/>
    </xf>
    <xf numFmtId="170" fontId="3" fillId="9" borderId="88" xfId="1" applyNumberFormat="1" applyFont="1" applyFill="1" applyBorder="1" applyAlignment="1" applyProtection="1">
      <alignment horizontal="left" vertical="center" shrinkToFit="1"/>
      <protection hidden="1"/>
    </xf>
    <xf numFmtId="170" fontId="3" fillId="9" borderId="0" xfId="1" applyNumberFormat="1" applyFont="1" applyFill="1" applyBorder="1" applyAlignment="1" applyProtection="1">
      <alignment horizontal="left" vertical="top" shrinkToFit="1"/>
      <protection hidden="1"/>
    </xf>
    <xf numFmtId="167" fontId="3" fillId="9" borderId="0" xfId="0" applyNumberFormat="1" applyFont="1" applyFill="1" applyBorder="1" applyAlignment="1" applyProtection="1">
      <alignment horizontal="center" vertical="top" shrinkToFit="1"/>
      <protection hidden="1"/>
    </xf>
    <xf numFmtId="170" fontId="3" fillId="9" borderId="88" xfId="1" applyNumberFormat="1" applyFont="1" applyFill="1" applyBorder="1" applyAlignment="1" applyProtection="1">
      <alignment horizontal="center" shrinkToFit="1"/>
      <protection hidden="1"/>
    </xf>
    <xf numFmtId="168" fontId="3" fillId="9" borderId="42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4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8" xfId="0" applyNumberFormat="1" applyFont="1" applyFill="1" applyBorder="1" applyAlignment="1" applyProtection="1">
      <alignment horizontal="center" vertical="top" shrinkToFit="1"/>
      <protection hidden="1"/>
    </xf>
    <xf numFmtId="0" fontId="2" fillId="9" borderId="26" xfId="0" applyNumberFormat="1" applyFont="1" applyFill="1" applyBorder="1" applyAlignment="1" applyProtection="1">
      <alignment vertical="top"/>
      <protection hidden="1"/>
    </xf>
    <xf numFmtId="167" fontId="3" fillId="9" borderId="80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1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2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17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21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17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22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24" xfId="0" applyNumberFormat="1" applyFont="1" applyFill="1" applyBorder="1" applyAlignment="1" applyProtection="1">
      <alignment horizontal="center" vertical="top" shrinkToFit="1"/>
      <protection hidden="1"/>
    </xf>
    <xf numFmtId="0" fontId="2" fillId="9" borderId="33" xfId="0" applyNumberFormat="1" applyFont="1" applyFill="1" applyBorder="1" applyAlignment="1" applyProtection="1">
      <alignment vertical="top"/>
      <protection hidden="1"/>
    </xf>
    <xf numFmtId="167" fontId="3" fillId="9" borderId="92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93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9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48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36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48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34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35" xfId="0" applyNumberFormat="1" applyFont="1" applyFill="1" applyBorder="1" applyAlignment="1" applyProtection="1">
      <alignment horizontal="center" vertical="top" shrinkToFit="1"/>
      <protection hidden="1"/>
    </xf>
    <xf numFmtId="167" fontId="3" fillId="9" borderId="85" xfId="0" applyNumberFormat="1" applyFont="1" applyFill="1" applyBorder="1" applyAlignment="1" applyProtection="1">
      <alignment horizontal="center" vertical="top" shrinkToFit="1"/>
      <protection hidden="1"/>
    </xf>
    <xf numFmtId="168" fontId="3" fillId="9" borderId="87" xfId="0" applyNumberFormat="1" applyFont="1" applyFill="1" applyBorder="1" applyAlignment="1" applyProtection="1">
      <alignment horizontal="center" vertical="top" shrinkToFit="1"/>
      <protection hidden="1"/>
    </xf>
    <xf numFmtId="168" fontId="2" fillId="0" borderId="0" xfId="0" applyNumberFormat="1" applyFont="1" applyAlignment="1" applyProtection="1">
      <alignment horizontal="center"/>
      <protection hidden="1"/>
    </xf>
    <xf numFmtId="0" fontId="3" fillId="3" borderId="3" xfId="0" applyNumberFormat="1" applyFont="1" applyFill="1" applyBorder="1" applyAlignment="1" applyProtection="1">
      <alignment horizontal="center" vertical="top"/>
      <protection locked="0"/>
    </xf>
    <xf numFmtId="0" fontId="3" fillId="3" borderId="4" xfId="0" applyNumberFormat="1" applyFont="1" applyFill="1" applyBorder="1" applyAlignment="1" applyProtection="1">
      <alignment horizontal="center" vertical="top"/>
      <protection locked="0"/>
    </xf>
    <xf numFmtId="0" fontId="3" fillId="3" borderId="2" xfId="0" applyNumberFormat="1" applyFont="1" applyFill="1" applyBorder="1" applyAlignment="1" applyProtection="1">
      <alignment horizontal="center" vertical="top"/>
      <protection locked="0"/>
    </xf>
    <xf numFmtId="0" fontId="3" fillId="2" borderId="2" xfId="0" applyNumberFormat="1" applyFont="1" applyFill="1" applyBorder="1" applyAlignment="1" applyProtection="1">
      <alignment horizontal="center" vertical="top"/>
      <protection hidden="1"/>
    </xf>
    <xf numFmtId="0" fontId="3" fillId="2" borderId="3" xfId="0" applyNumberFormat="1" applyFont="1" applyFill="1" applyBorder="1" applyAlignment="1" applyProtection="1">
      <alignment horizontal="center" vertical="top"/>
      <protection hidden="1"/>
    </xf>
    <xf numFmtId="0" fontId="3" fillId="2" borderId="4" xfId="0" applyNumberFormat="1" applyFont="1" applyFill="1" applyBorder="1" applyAlignment="1" applyProtection="1">
      <alignment horizontal="center" vertical="top"/>
      <protection hidden="1"/>
    </xf>
    <xf numFmtId="165" fontId="3" fillId="0" borderId="38" xfId="0" applyNumberFormat="1" applyFont="1" applyFill="1" applyBorder="1" applyAlignment="1" applyProtection="1">
      <alignment horizontal="left" vertical="center"/>
      <protection hidden="1"/>
    </xf>
    <xf numFmtId="165" fontId="3" fillId="0" borderId="40" xfId="0" applyNumberFormat="1" applyFont="1" applyFill="1" applyBorder="1" applyAlignment="1" applyProtection="1">
      <alignment horizontal="left" vertical="center"/>
      <protection hidden="1"/>
    </xf>
    <xf numFmtId="165" fontId="3" fillId="0" borderId="41" xfId="0" applyNumberFormat="1" applyFont="1" applyFill="1" applyBorder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165" fontId="3" fillId="0" borderId="9" xfId="0" applyNumberFormat="1" applyFont="1" applyFill="1" applyBorder="1" applyAlignment="1" applyProtection="1">
      <alignment horizontal="left" vertical="center"/>
      <protection hidden="1"/>
    </xf>
    <xf numFmtId="165" fontId="3" fillId="0" borderId="18" xfId="0" applyNumberFormat="1" applyFont="1" applyFill="1" applyBorder="1" applyAlignment="1" applyProtection="1">
      <alignment horizontal="left" vertical="center"/>
      <protection hidden="1"/>
    </xf>
    <xf numFmtId="165" fontId="3" fillId="0" borderId="5" xfId="0" applyNumberFormat="1" applyFont="1" applyFill="1" applyBorder="1" applyAlignment="1" applyProtection="1">
      <alignment horizontal="left" vertical="center"/>
      <protection hidden="1"/>
    </xf>
    <xf numFmtId="0" fontId="3" fillId="2" borderId="2" xfId="0" applyNumberFormat="1" applyFont="1" applyFill="1" applyBorder="1" applyAlignment="1" applyProtection="1">
      <alignment horizontal="center" vertical="top"/>
    </xf>
    <xf numFmtId="0" fontId="3" fillId="2" borderId="3" xfId="0" applyNumberFormat="1" applyFont="1" applyFill="1" applyBorder="1" applyAlignment="1" applyProtection="1">
      <alignment horizontal="center" vertical="top"/>
    </xf>
    <xf numFmtId="0" fontId="3" fillId="2" borderId="4" xfId="0" applyNumberFormat="1" applyFont="1" applyFill="1" applyBorder="1" applyAlignment="1" applyProtection="1">
      <alignment horizontal="center" vertical="top"/>
    </xf>
    <xf numFmtId="165" fontId="3" fillId="6" borderId="40" xfId="0" applyNumberFormat="1" applyFont="1" applyFill="1" applyBorder="1" applyAlignment="1" applyProtection="1">
      <alignment vertical="center"/>
      <protection hidden="1"/>
    </xf>
    <xf numFmtId="165" fontId="3" fillId="6" borderId="41" xfId="0" applyNumberFormat="1" applyFont="1" applyFill="1" applyBorder="1" applyAlignment="1" applyProtection="1">
      <alignment vertical="center"/>
      <protection hidden="1"/>
    </xf>
    <xf numFmtId="0" fontId="3" fillId="3" borderId="71" xfId="0" applyNumberFormat="1" applyFont="1" applyFill="1" applyBorder="1" applyAlignment="1" applyProtection="1">
      <alignment horizontal="center" vertical="top"/>
      <protection locked="0"/>
    </xf>
    <xf numFmtId="0" fontId="3" fillId="3" borderId="72" xfId="0" applyNumberFormat="1" applyFont="1" applyFill="1" applyBorder="1" applyAlignment="1" applyProtection="1">
      <alignment horizontal="center" vertical="top"/>
      <protection locked="0"/>
    </xf>
    <xf numFmtId="0" fontId="3" fillId="3" borderId="73" xfId="0" applyNumberFormat="1" applyFont="1" applyFill="1" applyBorder="1" applyAlignment="1" applyProtection="1">
      <alignment horizontal="center" vertical="top"/>
      <protection locked="0"/>
    </xf>
    <xf numFmtId="0" fontId="3" fillId="2" borderId="71" xfId="0" applyNumberFormat="1" applyFont="1" applyFill="1" applyBorder="1" applyAlignment="1" applyProtection="1">
      <alignment horizontal="center" vertical="top"/>
    </xf>
    <xf numFmtId="0" fontId="3" fillId="2" borderId="72" xfId="0" applyNumberFormat="1" applyFont="1" applyFill="1" applyBorder="1" applyAlignment="1" applyProtection="1">
      <alignment horizontal="center" vertical="top"/>
    </xf>
    <xf numFmtId="0" fontId="3" fillId="2" borderId="73" xfId="0" applyNumberFormat="1" applyFont="1" applyFill="1" applyBorder="1" applyAlignment="1" applyProtection="1">
      <alignment horizontal="center" vertical="top"/>
    </xf>
    <xf numFmtId="0" fontId="3" fillId="2" borderId="71" xfId="0" applyNumberFormat="1" applyFont="1" applyFill="1" applyBorder="1" applyAlignment="1" applyProtection="1">
      <alignment horizontal="center" vertical="top"/>
      <protection hidden="1"/>
    </xf>
    <xf numFmtId="0" fontId="3" fillId="2" borderId="72" xfId="0" applyNumberFormat="1" applyFont="1" applyFill="1" applyBorder="1" applyAlignment="1" applyProtection="1">
      <alignment horizontal="center" vertical="top"/>
      <protection hidden="1"/>
    </xf>
    <xf numFmtId="0" fontId="3" fillId="2" borderId="73" xfId="0" applyNumberFormat="1" applyFont="1" applyFill="1" applyBorder="1" applyAlignment="1" applyProtection="1">
      <alignment horizontal="center" vertical="top"/>
      <protection hidden="1"/>
    </xf>
    <xf numFmtId="165" fontId="3" fillId="9" borderId="38" xfId="0" applyNumberFormat="1" applyFont="1" applyFill="1" applyBorder="1" applyAlignment="1" applyProtection="1">
      <alignment vertical="center"/>
      <protection hidden="1"/>
    </xf>
    <xf numFmtId="165" fontId="3" fillId="9" borderId="40" xfId="0" applyNumberFormat="1" applyFont="1" applyFill="1" applyBorder="1" applyAlignment="1" applyProtection="1">
      <alignment vertical="center"/>
      <protection hidden="1"/>
    </xf>
    <xf numFmtId="165" fontId="3" fillId="9" borderId="41" xfId="0" applyNumberFormat="1" applyFont="1" applyFill="1" applyBorder="1" applyAlignment="1" applyProtection="1">
      <alignment vertical="center"/>
      <protection hidden="1"/>
    </xf>
  </cellXfs>
  <cellStyles count="4">
    <cellStyle name="Comma" xfId="1" builtinId="3"/>
    <cellStyle name="Normal" xfId="0" builtinId="0"/>
    <cellStyle name="Normal 17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nthia.ramos/AppData/Local/Microsoft/Windows/Temporary%20Internet%20Files/Content.Outlook/1JEOZ46J/FINANCE/REA%20FOLDER/TVH%202014-%20Forecast%20&amp;%20Forecast%20for%20PRESENTATION/TVH%20%202014-Forecast%20&amp;%20Forecast%20AP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ynthia.ramos/AppData/Local/Microsoft/Windows/Temporary%20Internet%20Files/Content.Outlook/1JEOZ46J/FINANCE/REA%20FOLDER/2015%20Jan%20Monthend/Trial%20Balance%20Jan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Guidelines"/>
      <sheetName val="Top Flash"/>
      <sheetName val="Next 3-Months"/>
      <sheetName val="Variance Analysis"/>
      <sheetName val="TY Actual-Forecast"/>
      <sheetName val="TY Budget"/>
      <sheetName val="LY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5">
          <cell r="BL95">
            <v>0</v>
          </cell>
        </row>
        <row r="96">
          <cell r="BL96">
            <v>0</v>
          </cell>
        </row>
        <row r="97">
          <cell r="BL97">
            <v>67644.899999999994</v>
          </cell>
        </row>
        <row r="98">
          <cell r="BL98">
            <v>0</v>
          </cell>
        </row>
        <row r="99">
          <cell r="BL99">
            <v>0</v>
          </cell>
        </row>
        <row r="100">
          <cell r="BL100">
            <v>126017.32</v>
          </cell>
        </row>
        <row r="101">
          <cell r="BL101">
            <v>834</v>
          </cell>
        </row>
        <row r="102">
          <cell r="BL102">
            <v>0</v>
          </cell>
        </row>
        <row r="103">
          <cell r="BL103">
            <v>128871.75</v>
          </cell>
        </row>
        <row r="104">
          <cell r="BL104">
            <v>434237.39</v>
          </cell>
        </row>
        <row r="105">
          <cell r="BL105">
            <v>29075.160000000003</v>
          </cell>
        </row>
        <row r="106">
          <cell r="BL106">
            <v>0</v>
          </cell>
        </row>
        <row r="107">
          <cell r="BL107">
            <v>0</v>
          </cell>
        </row>
        <row r="108">
          <cell r="BL108">
            <v>12675.24</v>
          </cell>
        </row>
        <row r="109">
          <cell r="BL109">
            <v>0</v>
          </cell>
        </row>
        <row r="113">
          <cell r="BL113">
            <v>0</v>
          </cell>
        </row>
        <row r="114">
          <cell r="BL114">
            <v>0</v>
          </cell>
        </row>
        <row r="115">
          <cell r="BL115">
            <v>0</v>
          </cell>
        </row>
        <row r="116">
          <cell r="BL116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Normal="100" zoomScaleSheetLayoutView="100" workbookViewId="0">
      <pane xSplit="1" ySplit="6" topLeftCell="K19" activePane="bottomRight" state="frozen"/>
      <selection activeCell="B1" sqref="B1"/>
      <selection pane="topRight" activeCell="C1" sqref="C1"/>
      <selection pane="bottomLeft" activeCell="B7" sqref="B7"/>
      <selection pane="bottomRight" activeCell="V24" sqref="V24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17" t="s">
        <v>1</v>
      </c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9"/>
      <c r="AH4" s="8"/>
      <c r="AI4" s="9"/>
      <c r="AJ4" s="9"/>
      <c r="AK4" s="517" t="s">
        <v>2</v>
      </c>
      <c r="AL4" s="518"/>
      <c r="AM4" s="518"/>
      <c r="AN4" s="518"/>
      <c r="AO4" s="518"/>
      <c r="AP4" s="518"/>
      <c r="AQ4" s="518"/>
      <c r="AR4" s="518"/>
      <c r="AS4" s="518"/>
      <c r="AT4" s="518"/>
      <c r="AU4" s="518"/>
      <c r="AV4" s="518"/>
      <c r="AW4" s="518"/>
      <c r="AX4" s="518"/>
      <c r="AY4" s="518"/>
      <c r="AZ4" s="518"/>
      <c r="BA4" s="518"/>
      <c r="BB4" s="518"/>
      <c r="BC4" s="518"/>
      <c r="BD4" s="518"/>
      <c r="BE4" s="518"/>
      <c r="BF4" s="518"/>
      <c r="BG4" s="518"/>
      <c r="BH4" s="518"/>
      <c r="BI4" s="518"/>
      <c r="BJ4" s="518"/>
      <c r="BK4" s="518"/>
      <c r="BL4" s="518"/>
      <c r="BM4" s="518"/>
      <c r="BN4" s="519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16" t="s">
        <v>3</v>
      </c>
      <c r="E5" s="514"/>
      <c r="F5" s="515"/>
      <c r="G5" s="516" t="s">
        <v>4</v>
      </c>
      <c r="H5" s="514"/>
      <c r="I5" s="515"/>
      <c r="J5" s="516" t="s">
        <v>5</v>
      </c>
      <c r="K5" s="514"/>
      <c r="L5" s="515"/>
      <c r="M5" s="516" t="s">
        <v>6</v>
      </c>
      <c r="N5" s="514"/>
      <c r="O5" s="515"/>
      <c r="P5" s="516" t="s">
        <v>7</v>
      </c>
      <c r="Q5" s="514"/>
      <c r="R5" s="515"/>
      <c r="S5" s="516" t="s">
        <v>8</v>
      </c>
      <c r="T5" s="514"/>
      <c r="U5" s="515"/>
      <c r="V5" s="516" t="s">
        <v>9</v>
      </c>
      <c r="W5" s="514"/>
      <c r="X5" s="515"/>
      <c r="Y5" s="516" t="s">
        <v>10</v>
      </c>
      <c r="Z5" s="514"/>
      <c r="AA5" s="515"/>
      <c r="AB5" s="516" t="s">
        <v>11</v>
      </c>
      <c r="AC5" s="514"/>
      <c r="AD5" s="515"/>
      <c r="AE5" s="516" t="s">
        <v>12</v>
      </c>
      <c r="AF5" s="514"/>
      <c r="AG5" s="515"/>
      <c r="AH5" s="527" t="s">
        <v>13</v>
      </c>
      <c r="AI5" s="528"/>
      <c r="AJ5" s="529"/>
      <c r="AK5" s="514" t="s">
        <v>14</v>
      </c>
      <c r="AL5" s="514"/>
      <c r="AM5" s="515"/>
      <c r="AN5" s="516" t="s">
        <v>15</v>
      </c>
      <c r="AO5" s="514"/>
      <c r="AP5" s="515"/>
      <c r="AQ5" s="516" t="s">
        <v>6</v>
      </c>
      <c r="AR5" s="514"/>
      <c r="AS5" s="515"/>
      <c r="AT5" s="516" t="s">
        <v>16</v>
      </c>
      <c r="AU5" s="514"/>
      <c r="AV5" s="515"/>
      <c r="AW5" s="516" t="s">
        <v>17</v>
      </c>
      <c r="AX5" s="514"/>
      <c r="AY5" s="515"/>
      <c r="AZ5" s="514" t="s">
        <v>18</v>
      </c>
      <c r="BA5" s="514"/>
      <c r="BB5" s="515"/>
      <c r="BC5" s="516" t="s">
        <v>19</v>
      </c>
      <c r="BD5" s="514"/>
      <c r="BE5" s="515"/>
      <c r="BF5" s="516" t="s">
        <v>19</v>
      </c>
      <c r="BG5" s="514"/>
      <c r="BH5" s="515"/>
      <c r="BI5" s="516" t="s">
        <v>19</v>
      </c>
      <c r="BJ5" s="514"/>
      <c r="BK5" s="515"/>
      <c r="BL5" s="516" t="s">
        <v>19</v>
      </c>
      <c r="BM5" s="514"/>
      <c r="BN5" s="515"/>
      <c r="BO5" s="517" t="s">
        <v>20</v>
      </c>
      <c r="BP5" s="518"/>
      <c r="BQ5" s="519"/>
      <c r="BR5" s="517" t="s">
        <v>21</v>
      </c>
      <c r="BS5" s="518"/>
      <c r="BT5" s="519"/>
      <c r="BX5" s="523"/>
      <c r="BY5" s="523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24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25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25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26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20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0.10815845221112697</v>
      </c>
      <c r="F11" s="25">
        <f>(F12/F13)-1</f>
        <v>0.10433721616901948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-2.3574547908232102E-2</v>
      </c>
      <c r="R11" s="25">
        <f t="shared" si="9"/>
        <v>-0.23106495647773273</v>
      </c>
      <c r="S11" s="29">
        <f t="shared" si="9"/>
        <v>0.53541666666666665</v>
      </c>
      <c r="T11" s="70">
        <f t="shared" si="9"/>
        <v>3.4678234519104123E-2</v>
      </c>
      <c r="U11" s="70">
        <f t="shared" si="9"/>
        <v>0.58866220591787433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2.1888699460508088E-2</v>
      </c>
      <c r="AJ11" s="77">
        <f t="shared" si="9"/>
        <v>-0.11939305341459661</v>
      </c>
      <c r="AK11" s="28">
        <f t="shared" si="9"/>
        <v>6.893617021276599E-2</v>
      </c>
      <c r="AL11" s="70">
        <f t="shared" si="9"/>
        <v>-1.5410307692307668E-2</v>
      </c>
      <c r="AM11" s="31">
        <f t="shared" si="9"/>
        <v>5.2463534926350475E-2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4.463836842105251E-2</v>
      </c>
      <c r="AY11" s="31">
        <f t="shared" si="9"/>
        <v>-0.52991273421052631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8.5855948932924697E-3</v>
      </c>
      <c r="BQ11" s="31">
        <f t="shared" si="10"/>
        <v>-4.0950001412859094E-2</v>
      </c>
      <c r="BR11" s="29">
        <v>5.1400000000000001E-2</v>
      </c>
      <c r="BS11" s="70">
        <f t="shared" ref="BS11:BT11" si="11">BS12/BS13-1</f>
        <v>1.3450977001576714E-2</v>
      </c>
      <c r="BT11" s="31">
        <f t="shared" si="11"/>
        <v>-8.9006392771271647E-2</v>
      </c>
      <c r="BV11" s="71"/>
      <c r="BW11" s="72"/>
    </row>
    <row r="12" spans="1:77" x14ac:dyDescent="0.2">
      <c r="A12" s="39" t="e">
        <f>DATE(YEAR(A8),MONTH(A8)+2,1)-1</f>
        <v>#REF!</v>
      </c>
      <c r="B12" s="521"/>
      <c r="C12" s="40" t="s">
        <v>84</v>
      </c>
      <c r="D12" s="179">
        <v>578</v>
      </c>
      <c r="E12" s="173">
        <v>6214.5526</v>
      </c>
      <c r="F12" s="174">
        <f>D12*E12</f>
        <v>3592011.4027999998</v>
      </c>
      <c r="G12" s="173"/>
      <c r="H12" s="173"/>
      <c r="I12" s="174"/>
      <c r="J12" s="175">
        <v>83</v>
      </c>
      <c r="K12" s="173">
        <v>3997</v>
      </c>
      <c r="L12" s="174">
        <f>J12*K12</f>
        <v>331751</v>
      </c>
      <c r="M12" s="175">
        <v>24</v>
      </c>
      <c r="N12" s="173">
        <v>2772</v>
      </c>
      <c r="O12" s="171">
        <f>M12*N12</f>
        <v>66528</v>
      </c>
      <c r="P12" s="172">
        <v>630</v>
      </c>
      <c r="Q12" s="173">
        <v>3617.6563000000001</v>
      </c>
      <c r="R12" s="174">
        <f>P12*Q12</f>
        <v>2279123.469</v>
      </c>
      <c r="S12" s="175">
        <v>737</v>
      </c>
      <c r="T12" s="173">
        <v>3926.6039000000001</v>
      </c>
      <c r="U12" s="174">
        <f>S12*T12</f>
        <v>2893907.0743</v>
      </c>
      <c r="V12" s="175">
        <v>176</v>
      </c>
      <c r="W12" s="173">
        <v>3176</v>
      </c>
      <c r="X12" s="174">
        <f>V12*W12</f>
        <v>558976</v>
      </c>
      <c r="Y12" s="175">
        <v>150</v>
      </c>
      <c r="Z12" s="173">
        <v>3476</v>
      </c>
      <c r="AA12" s="174">
        <f>Y12*Z12</f>
        <v>521400</v>
      </c>
      <c r="AB12" s="175"/>
      <c r="AC12" s="173"/>
      <c r="AD12" s="174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4305.5174070138601</v>
      </c>
      <c r="AJ12" s="178">
        <f>SUMIF($D$6:$AG$6,AJ$6,$D12:$AG12)</f>
        <v>10251436.9461</v>
      </c>
      <c r="AK12" s="179">
        <v>1256</v>
      </c>
      <c r="AL12" s="173">
        <v>3839.8998000000001</v>
      </c>
      <c r="AM12" s="174">
        <f>AK12*AL12</f>
        <v>4822914.1488000005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3969.6257999999998</v>
      </c>
      <c r="AY12" s="174">
        <f>AW12*AX12</f>
        <v>142906.5288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3759.0674534611294</v>
      </c>
      <c r="BQ12" s="47">
        <f>SUMIF($AK$6:$BN$6,BQ$6,$AK12:$BN12)</f>
        <v>7059528.677600001</v>
      </c>
      <c r="BR12" s="45">
        <f>BO12+AH12</f>
        <v>4259</v>
      </c>
      <c r="BS12" s="46">
        <f t="shared" si="7"/>
        <v>4064.5610762385536</v>
      </c>
      <c r="BT12" s="47">
        <f>BQ12+AJ12</f>
        <v>17310965.6237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21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22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20">
        <f>DATE(YEAR(B11),MONTH(B11)+2,1)-1</f>
        <v>91</v>
      </c>
      <c r="C15" s="24" t="s">
        <v>27</v>
      </c>
      <c r="D15" s="25">
        <f>(D16/D17)-1</f>
        <v>-0.10599999999999998</v>
      </c>
      <c r="E15" s="26">
        <f>(E16/E17)-1</f>
        <v>7.0256776034236745E-2</v>
      </c>
      <c r="F15" s="25">
        <f>(F16/F17)-1</f>
        <v>-4.3190442225392256E-2</v>
      </c>
      <c r="G15" s="27"/>
      <c r="H15" s="26"/>
      <c r="I15" s="28"/>
      <c r="J15" s="29">
        <f t="shared" ref="J15:AY15" si="12">J16/J17-1</f>
        <v>-0.53928571428571437</v>
      </c>
      <c r="K15" s="70">
        <f t="shared" si="12"/>
        <v>-0.24833333333333329</v>
      </c>
      <c r="L15" s="25">
        <f t="shared" si="12"/>
        <v>-0.65369642857142862</v>
      </c>
      <c r="M15" s="29">
        <f t="shared" si="12"/>
        <v>-0.9555555555555556</v>
      </c>
      <c r="N15" s="70">
        <f t="shared" si="12"/>
        <v>-0.1012532981530343</v>
      </c>
      <c r="O15" s="25">
        <f t="shared" si="12"/>
        <v>-0.9600557021401348</v>
      </c>
      <c r="P15" s="29">
        <f t="shared" si="12"/>
        <v>-0.16781609195402303</v>
      </c>
      <c r="Q15" s="70">
        <f t="shared" si="12"/>
        <v>2.6790164805954308E-2</v>
      </c>
      <c r="R15" s="25">
        <f t="shared" si="12"/>
        <v>-0.14552174790860817</v>
      </c>
      <c r="S15" s="29">
        <f t="shared" si="12"/>
        <v>-0.16415094339622638</v>
      </c>
      <c r="T15" s="70">
        <f t="shared" si="12"/>
        <v>0.35256014805675506</v>
      </c>
      <c r="U15" s="70">
        <f t="shared" si="12"/>
        <v>0.13053612375309909</v>
      </c>
      <c r="V15" s="29">
        <f t="shared" si="12"/>
        <v>-0.46666666666666667</v>
      </c>
      <c r="W15" s="70">
        <f t="shared" si="12"/>
        <v>8.3124999999999893E-2</v>
      </c>
      <c r="X15" s="25">
        <f t="shared" si="12"/>
        <v>-0.42233333333333334</v>
      </c>
      <c r="Y15" s="29">
        <f t="shared" si="12"/>
        <v>-0.4836601307189542</v>
      </c>
      <c r="Z15" s="70">
        <f t="shared" si="12"/>
        <v>0.32013057671381939</v>
      </c>
      <c r="AA15" s="25">
        <f t="shared" si="12"/>
        <v>-0.31836395058567502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-1</v>
      </c>
      <c r="AF15" s="70">
        <f t="shared" si="12"/>
        <v>-1</v>
      </c>
      <c r="AG15" s="28">
        <f t="shared" si="12"/>
        <v>-1</v>
      </c>
      <c r="AH15" s="154">
        <f t="shared" si="12"/>
        <v>-0.3034862385321101</v>
      </c>
      <c r="AI15" s="76">
        <f t="shared" si="12"/>
        <v>0.12026516194920722</v>
      </c>
      <c r="AJ15" s="77">
        <f t="shared" si="12"/>
        <v>-0.21971989820932292</v>
      </c>
      <c r="AK15" s="28">
        <f t="shared" si="12"/>
        <v>-0.33806451612903221</v>
      </c>
      <c r="AL15" s="70">
        <f t="shared" si="12"/>
        <v>-3.1431256410256458E-2</v>
      </c>
      <c r="AM15" s="31">
        <f t="shared" si="12"/>
        <v>-0.35886998004962789</v>
      </c>
      <c r="AN15" s="28">
        <f t="shared" si="12"/>
        <v>-0.63714285714285712</v>
      </c>
      <c r="AO15" s="70">
        <f t="shared" si="12"/>
        <v>-5.8215400132379358E-2</v>
      </c>
      <c r="AP15" s="25">
        <f t="shared" si="12"/>
        <v>-0.65826673090517773</v>
      </c>
      <c r="AQ15" s="29">
        <f t="shared" si="12"/>
        <v>7.27</v>
      </c>
      <c r="AR15" s="70">
        <f t="shared" si="12"/>
        <v>1.5410367170626351</v>
      </c>
      <c r="AS15" s="25">
        <f t="shared" si="12"/>
        <v>20.014373650107991</v>
      </c>
      <c r="AT15" s="29">
        <f t="shared" si="12"/>
        <v>-0.86315789473684212</v>
      </c>
      <c r="AU15" s="70">
        <f t="shared" si="12"/>
        <v>-1.871306631648062E-2</v>
      </c>
      <c r="AV15" s="25">
        <f t="shared" si="12"/>
        <v>-0.86571863012751837</v>
      </c>
      <c r="AW15" s="29">
        <f t="shared" si="12"/>
        <v>2.2666666666666666</v>
      </c>
      <c r="AX15" s="70">
        <f t="shared" si="12"/>
        <v>0.16460176991150433</v>
      </c>
      <c r="AY15" s="31">
        <f t="shared" si="12"/>
        <v>2.8043657817109144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-0.11618257261410792</v>
      </c>
      <c r="BP15" s="70">
        <f t="shared" si="13"/>
        <v>0.37863688886762126</v>
      </c>
      <c r="BQ15" s="31">
        <f t="shared" si="13"/>
        <v>0.218463308418271</v>
      </c>
      <c r="BR15" s="29">
        <v>0.1036</v>
      </c>
      <c r="BS15" s="70">
        <f t="shared" ref="BS15:BT15" si="14">BS16/BS17-1</f>
        <v>0.24041615078579315</v>
      </c>
      <c r="BT15" s="31">
        <f t="shared" si="14"/>
        <v>-2.6991965849040844E-2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21"/>
      <c r="C16" s="40" t="s">
        <v>84</v>
      </c>
      <c r="D16" s="182">
        <v>447</v>
      </c>
      <c r="E16" s="183">
        <v>6002</v>
      </c>
      <c r="F16" s="184">
        <f>D16*E16</f>
        <v>2682894</v>
      </c>
      <c r="G16" s="277"/>
      <c r="H16" s="183"/>
      <c r="I16" s="184"/>
      <c r="J16" s="185">
        <v>129</v>
      </c>
      <c r="K16" s="183">
        <v>3608</v>
      </c>
      <c r="L16" s="184">
        <f>J16*K16</f>
        <v>465432</v>
      </c>
      <c r="M16" s="185">
        <v>12</v>
      </c>
      <c r="N16" s="183">
        <v>2725</v>
      </c>
      <c r="O16" s="275">
        <f>M16*N16</f>
        <v>32700</v>
      </c>
      <c r="P16" s="276">
        <v>724</v>
      </c>
      <c r="Q16" s="183">
        <v>3862.7846</v>
      </c>
      <c r="R16" s="184">
        <f>P16*Q16</f>
        <v>2796656.0504000001</v>
      </c>
      <c r="S16" s="185">
        <v>443</v>
      </c>
      <c r="T16" s="183">
        <v>4385</v>
      </c>
      <c r="U16" s="184">
        <f>S16*T16</f>
        <v>1942555</v>
      </c>
      <c r="V16" s="185">
        <v>64</v>
      </c>
      <c r="W16" s="183">
        <v>3466</v>
      </c>
      <c r="X16" s="184">
        <f>V16*W16</f>
        <v>221824</v>
      </c>
      <c r="Y16" s="185">
        <v>79</v>
      </c>
      <c r="Z16" s="183">
        <v>6066</v>
      </c>
      <c r="AA16" s="184">
        <f>Y16*Z16</f>
        <v>479214</v>
      </c>
      <c r="AB16" s="267"/>
      <c r="AC16" s="265"/>
      <c r="AD16" s="266">
        <f>AB16*AC16</f>
        <v>0</v>
      </c>
      <c r="AE16" s="185">
        <v>0</v>
      </c>
      <c r="AF16" s="183"/>
      <c r="AG16" s="275">
        <f>AE16*AF16</f>
        <v>0</v>
      </c>
      <c r="AH16" s="186">
        <f>SUMIF($D$6:$AG$6,AH$6,$D16:$AG16)</f>
        <v>1898</v>
      </c>
      <c r="AI16" s="187">
        <f>IF(AH16=0,0,AJ16/AH16)</f>
        <v>4542.2945471022131</v>
      </c>
      <c r="AJ16" s="188">
        <f>SUMIF($D$6:$AG$6,AJ$6,$D16:$AG16)</f>
        <v>8621275.0504000001</v>
      </c>
      <c r="AK16" s="312">
        <v>1026</v>
      </c>
      <c r="AL16" s="313">
        <v>3777.4180999999999</v>
      </c>
      <c r="AM16" s="184">
        <f>AK16*AL16</f>
        <v>3875630.9705999997</v>
      </c>
      <c r="AN16" s="314">
        <v>127</v>
      </c>
      <c r="AO16" s="313">
        <v>2988</v>
      </c>
      <c r="AP16" s="184">
        <f>AN16*AO16</f>
        <v>379476</v>
      </c>
      <c r="AQ16" s="314">
        <v>827</v>
      </c>
      <c r="AR16" s="313">
        <v>7059</v>
      </c>
      <c r="AS16" s="184">
        <f>AQ16*AR16</f>
        <v>5837793</v>
      </c>
      <c r="AT16" s="185">
        <v>52</v>
      </c>
      <c r="AU16" s="183">
        <v>2989</v>
      </c>
      <c r="AV16" s="184">
        <f>AT16*AU16</f>
        <v>155428</v>
      </c>
      <c r="AW16" s="185">
        <v>98</v>
      </c>
      <c r="AX16" s="183">
        <v>3290</v>
      </c>
      <c r="AY16" s="184">
        <f>AW16*AX16</f>
        <v>322420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2130</v>
      </c>
      <c r="BP16" s="46">
        <f t="shared" si="6"/>
        <v>4962.7924744600941</v>
      </c>
      <c r="BQ16" s="47">
        <f>SUMIF($AK$6:$BN$6,BQ$6,$AK16:$BN16)</f>
        <v>10570747.9706</v>
      </c>
      <c r="BR16" s="45">
        <f>BO16+AH16</f>
        <v>4028</v>
      </c>
      <c r="BS16" s="46">
        <f t="shared" si="7"/>
        <v>4764.6531829692149</v>
      </c>
      <c r="BT16" s="47">
        <f>BQ16+AJ16</f>
        <v>19192023.020999998</v>
      </c>
      <c r="BV16" s="50">
        <f>261*31</f>
        <v>8091</v>
      </c>
      <c r="BW16" s="51">
        <f t="shared" si="8"/>
        <v>0.49783710295389938</v>
      </c>
    </row>
    <row r="17" spans="1:76" x14ac:dyDescent="0.2">
      <c r="A17" s="39" t="e">
        <f>DATE(YEAR(A13),MONTH(A13)+2,1)-1</f>
        <v>#REF!</v>
      </c>
      <c r="B17" s="521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22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20">
        <f>DATE(YEAR(B15),MONTH(B15)+2,1)-1</f>
        <v>121</v>
      </c>
      <c r="C19" s="24" t="s">
        <v>27</v>
      </c>
      <c r="D19" s="25">
        <f>(D20/D21)-1</f>
        <v>7.4000000000000066E-2</v>
      </c>
      <c r="E19" s="26">
        <f>(E20/E21)-1</f>
        <v>6.3478841592809809E-2</v>
      </c>
      <c r="F19" s="25">
        <f>(F20/F21)-1</f>
        <v>0.14217627587067772</v>
      </c>
      <c r="G19" s="27"/>
      <c r="H19" s="26"/>
      <c r="I19" s="28"/>
      <c r="J19" s="29">
        <f t="shared" ref="J19:AY19" si="19">J20/J21-1</f>
        <v>-0.59733333333333327</v>
      </c>
      <c r="K19" s="70">
        <f t="shared" si="19"/>
        <v>-3.0019685039370025E-2</v>
      </c>
      <c r="L19" s="25">
        <f t="shared" si="19"/>
        <v>-0.60942125984251971</v>
      </c>
      <c r="M19" s="29">
        <f t="shared" si="19"/>
        <v>-0.9956521739130435</v>
      </c>
      <c r="N19" s="70">
        <f t="shared" si="19"/>
        <v>-0.32112599070784364</v>
      </c>
      <c r="O19" s="25">
        <f t="shared" si="19"/>
        <v>-0.99704837387264278</v>
      </c>
      <c r="P19" s="29">
        <f t="shared" si="19"/>
        <v>-0.2371428571428571</v>
      </c>
      <c r="Q19" s="70">
        <f t="shared" si="19"/>
        <v>0.21794871794871784</v>
      </c>
      <c r="R19" s="25">
        <f t="shared" si="19"/>
        <v>-7.0879120879120849E-2</v>
      </c>
      <c r="S19" s="29">
        <f t="shared" si="19"/>
        <v>-3.0769230769230771E-2</v>
      </c>
      <c r="T19" s="70">
        <f t="shared" si="19"/>
        <v>0.1319999999999999</v>
      </c>
      <c r="U19" s="70">
        <f t="shared" si="19"/>
        <v>9.7169230769230674E-2</v>
      </c>
      <c r="V19" s="29">
        <f t="shared" si="19"/>
        <v>3.529411764705892E-2</v>
      </c>
      <c r="W19" s="70">
        <f t="shared" si="19"/>
        <v>-0.20974999999999999</v>
      </c>
      <c r="X19" s="25">
        <f t="shared" si="19"/>
        <v>-0.18185882352941174</v>
      </c>
      <c r="Y19" s="29">
        <f t="shared" si="19"/>
        <v>-0.88421052631578945</v>
      </c>
      <c r="Z19" s="70">
        <f t="shared" si="19"/>
        <v>0.11961929483019684</v>
      </c>
      <c r="AA19" s="25">
        <f t="shared" si="19"/>
        <v>-0.87035987112492452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-0.36363636363636365</v>
      </c>
      <c r="AF19" s="70">
        <f t="shared" si="19"/>
        <v>-6.7734553775743667E-2</v>
      </c>
      <c r="AG19" s="28">
        <f t="shared" si="19"/>
        <v>-0.40674017058456413</v>
      </c>
      <c r="AH19" s="154">
        <f t="shared" si="19"/>
        <v>-0.20661157024793386</v>
      </c>
      <c r="AI19" s="76">
        <f t="shared" si="19"/>
        <v>0.13778445548794371</v>
      </c>
      <c r="AJ19" s="77">
        <f t="shared" si="19"/>
        <v>-9.7294977464110755E-2</v>
      </c>
      <c r="AK19" s="28">
        <f t="shared" si="19"/>
        <v>6.7708333333333259E-2</v>
      </c>
      <c r="AL19" s="70">
        <f t="shared" si="19"/>
        <v>0.23588235294117643</v>
      </c>
      <c r="AM19" s="31">
        <f t="shared" si="19"/>
        <v>0.31956188725490198</v>
      </c>
      <c r="AN19" s="28">
        <f t="shared" si="19"/>
        <v>-0.33432835820895523</v>
      </c>
      <c r="AO19" s="70">
        <f t="shared" si="19"/>
        <v>0.11063958775386484</v>
      </c>
      <c r="AP19" s="25">
        <f t="shared" si="19"/>
        <v>-0.2606787221817557</v>
      </c>
      <c r="AQ19" s="29">
        <f t="shared" si="19"/>
        <v>-0.56896551724137934</v>
      </c>
      <c r="AR19" s="70">
        <f t="shared" si="19"/>
        <v>0.35481852315394247</v>
      </c>
      <c r="AS19" s="25">
        <f t="shared" si="19"/>
        <v>-0.41602649864054209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6.333333333333333</v>
      </c>
      <c r="AX19" s="70">
        <f t="shared" si="19"/>
        <v>0.69706840390879488</v>
      </c>
      <c r="AY19" s="31">
        <f t="shared" si="19"/>
        <v>11.445168295331161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-0.16716122650840748</v>
      </c>
      <c r="BP19" s="70">
        <f t="shared" si="20"/>
        <v>0.24153727143713266</v>
      </c>
      <c r="BQ19" s="31">
        <f t="shared" si="20"/>
        <v>3.400037838779979E-2</v>
      </c>
      <c r="BR19" s="32">
        <v>0.18890000000000001</v>
      </c>
      <c r="BS19" s="70">
        <f t="shared" ref="BS19:BT19" si="21">BS20/BS21-1</f>
        <v>0.16910648318665555</v>
      </c>
      <c r="BT19" s="31">
        <f t="shared" si="21"/>
        <v>-5.4399168010793364E-2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21"/>
      <c r="C20" s="40" t="s">
        <v>84</v>
      </c>
      <c r="D20" s="182">
        <v>1074</v>
      </c>
      <c r="E20" s="183">
        <v>5963.6702999999998</v>
      </c>
      <c r="F20" s="184">
        <f>D20*E20</f>
        <v>6404981.9021999994</v>
      </c>
      <c r="G20" s="185"/>
      <c r="H20" s="183"/>
      <c r="I20" s="184"/>
      <c r="J20" s="185">
        <v>151</v>
      </c>
      <c r="K20" s="183">
        <v>3942</v>
      </c>
      <c r="L20" s="184">
        <f>J20*K20</f>
        <v>595242</v>
      </c>
      <c r="M20" s="185">
        <v>1</v>
      </c>
      <c r="N20" s="183">
        <v>2484</v>
      </c>
      <c r="O20" s="184">
        <f>M20*N20</f>
        <v>2484</v>
      </c>
      <c r="P20" s="185">
        <v>534</v>
      </c>
      <c r="Q20" s="183">
        <v>4275</v>
      </c>
      <c r="R20" s="184">
        <f>P20*Q20</f>
        <v>2282850</v>
      </c>
      <c r="S20" s="185">
        <v>630</v>
      </c>
      <c r="T20" s="183">
        <v>4528</v>
      </c>
      <c r="U20" s="184">
        <f>S20*T20</f>
        <v>2852640</v>
      </c>
      <c r="V20" s="185">
        <v>88</v>
      </c>
      <c r="W20" s="183">
        <v>3161</v>
      </c>
      <c r="X20" s="184">
        <f>V20*W20</f>
        <v>278168</v>
      </c>
      <c r="Y20" s="185">
        <v>11</v>
      </c>
      <c r="Z20" s="183">
        <v>5176</v>
      </c>
      <c r="AA20" s="184">
        <f>Y20*Z20</f>
        <v>56936</v>
      </c>
      <c r="AB20" s="267">
        <v>0</v>
      </c>
      <c r="AC20" s="265">
        <v>0</v>
      </c>
      <c r="AD20" s="266">
        <f>AB20*AC20</f>
        <v>0</v>
      </c>
      <c r="AE20" s="185">
        <v>7</v>
      </c>
      <c r="AF20" s="183">
        <v>2037</v>
      </c>
      <c r="AG20" s="275">
        <f>AE20*AF20</f>
        <v>14259</v>
      </c>
      <c r="AH20" s="186">
        <f>SUMIF($D$6:$AG$6,AH$6,$D20:$AG20)</f>
        <v>2496</v>
      </c>
      <c r="AI20" s="187">
        <f>IF(AH20=0,0,AJ20/AH20)</f>
        <v>5003.0292076121787</v>
      </c>
      <c r="AJ20" s="188">
        <f>SUMIF($D$6:$AG$6,AJ$6,$D20:$AG20)</f>
        <v>12487560.902199998</v>
      </c>
      <c r="AK20" s="312">
        <v>1025</v>
      </c>
      <c r="AL20" s="313">
        <v>4202</v>
      </c>
      <c r="AM20" s="184">
        <f>AK20*AL20</f>
        <v>4307050</v>
      </c>
      <c r="AN20" s="314">
        <v>446</v>
      </c>
      <c r="AO20" s="313">
        <v>3664</v>
      </c>
      <c r="AP20" s="184">
        <f>AN20*AO20</f>
        <v>1634144</v>
      </c>
      <c r="AQ20" s="267">
        <v>125</v>
      </c>
      <c r="AR20" s="313">
        <v>4330</v>
      </c>
      <c r="AS20" s="184">
        <f>AQ20*AR20</f>
        <v>541250</v>
      </c>
      <c r="AT20" s="315">
        <v>0</v>
      </c>
      <c r="AU20" s="183">
        <v>0</v>
      </c>
      <c r="AV20" s="184">
        <f>AT20*AU20</f>
        <v>0</v>
      </c>
      <c r="AW20" s="185">
        <v>88</v>
      </c>
      <c r="AX20" s="183">
        <v>5210</v>
      </c>
      <c r="AY20" s="184">
        <f>AW20*AX20</f>
        <v>458480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1684</v>
      </c>
      <c r="BP20" s="46">
        <f t="shared" si="6"/>
        <v>4121.688836104513</v>
      </c>
      <c r="BQ20" s="47">
        <f>SUMIF($AK$6:$BN$6,BQ$6,$AK20:$BN20)</f>
        <v>6940924</v>
      </c>
      <c r="BR20" s="45">
        <f>BO20+AH20</f>
        <v>4180</v>
      </c>
      <c r="BS20" s="46">
        <f t="shared" si="7"/>
        <v>4647.9628952631574</v>
      </c>
      <c r="BT20" s="47">
        <f>BQ20+AJ20</f>
        <v>19428484.902199998</v>
      </c>
      <c r="BV20" s="50">
        <f>261*30</f>
        <v>7830</v>
      </c>
      <c r="BW20" s="51">
        <f t="shared" si="8"/>
        <v>0.5338441890166028</v>
      </c>
      <c r="BX20" s="271"/>
    </row>
    <row r="21" spans="1:76" x14ac:dyDescent="0.2">
      <c r="A21" s="39" t="e">
        <f>DATE(YEAR(A17),MONTH(A17)+2,1)-1</f>
        <v>#REF!</v>
      </c>
      <c r="B21" s="521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22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20">
        <f>DATE(YEAR(B19),MONTH(B19)+2,1)-1</f>
        <v>152</v>
      </c>
      <c r="C23" s="24" t="s">
        <v>27</v>
      </c>
      <c r="D23" s="25">
        <f>(D24/D25)-1</f>
        <v>8.3333333333333259E-2</v>
      </c>
      <c r="E23" s="26">
        <f>(E24/E25)-1</f>
        <v>-1.6666666666666718E-2</v>
      </c>
      <c r="F23" s="25">
        <f>(F24/F25)-1</f>
        <v>6.5277777777777768E-2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0.11111111111111116</v>
      </c>
      <c r="Q23" s="70">
        <f t="shared" si="26"/>
        <v>0.1560693641618498</v>
      </c>
      <c r="R23" s="25">
        <f t="shared" si="26"/>
        <v>0.28452151573538864</v>
      </c>
      <c r="S23" s="29">
        <f t="shared" si="26"/>
        <v>8.6206896551723755E-3</v>
      </c>
      <c r="T23" s="70">
        <f t="shared" si="26"/>
        <v>5.0000000000000044E-2</v>
      </c>
      <c r="U23" s="70">
        <f t="shared" si="26"/>
        <v>5.9051724137931139E-2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1.9784172661870603E-2</v>
      </c>
      <c r="AI23" s="76">
        <f t="shared" si="26"/>
        <v>4.4209588858258098E-2</v>
      </c>
      <c r="AJ23" s="77">
        <f t="shared" si="26"/>
        <v>6.4868411659410707E-2</v>
      </c>
      <c r="AK23" s="28">
        <f t="shared" si="26"/>
        <v>-0.49090909090909096</v>
      </c>
      <c r="AL23" s="70">
        <f t="shared" si="26"/>
        <v>2.7777777777777679E-2</v>
      </c>
      <c r="AM23" s="31">
        <f t="shared" si="26"/>
        <v>-0.47676767676767673</v>
      </c>
      <c r="AN23" s="28">
        <f t="shared" si="26"/>
        <v>0.74285714285714288</v>
      </c>
      <c r="AO23" s="70">
        <f t="shared" si="26"/>
        <v>-0.16666666666666663</v>
      </c>
      <c r="AP23" s="25">
        <f t="shared" si="26"/>
        <v>0.45238095238095233</v>
      </c>
      <c r="AQ23" s="29">
        <f t="shared" si="26"/>
        <v>-0.52500000000000002</v>
      </c>
      <c r="AR23" s="70">
        <f t="shared" si="26"/>
        <v>5.9031877213699957E-4</v>
      </c>
      <c r="AS23" s="25">
        <f t="shared" si="26"/>
        <v>-0.52471959858323491</v>
      </c>
      <c r="AT23" s="29">
        <f t="shared" si="26"/>
        <v>0</v>
      </c>
      <c r="AU23" s="70">
        <f t="shared" si="26"/>
        <v>0.22915827627869523</v>
      </c>
      <c r="AV23" s="25">
        <f t="shared" si="26"/>
        <v>0.22915827627869523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-0.1590589887640449</v>
      </c>
      <c r="BP23" s="70">
        <f t="shared" si="27"/>
        <v>-1.1406062379959447E-4</v>
      </c>
      <c r="BQ23" s="31">
        <f t="shared" si="27"/>
        <v>-0.15915490702036517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21"/>
      <c r="C24" s="40" t="s">
        <v>34</v>
      </c>
      <c r="D24" s="179">
        <v>650</v>
      </c>
      <c r="E24" s="173">
        <v>5900</v>
      </c>
      <c r="F24" s="174">
        <f>D24*E24</f>
        <v>3835000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175">
        <v>1000</v>
      </c>
      <c r="Q24" s="173">
        <v>4000</v>
      </c>
      <c r="R24" s="174">
        <f>P24*Q24</f>
        <v>4000000</v>
      </c>
      <c r="S24" s="175">
        <v>585</v>
      </c>
      <c r="T24" s="173">
        <v>4200</v>
      </c>
      <c r="U24" s="174">
        <f>S24*T24</f>
        <v>2457000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2835</v>
      </c>
      <c r="AI24" s="177">
        <f>IF(AH24=0,0,AJ24/AH24)</f>
        <v>4504.9421038800701</v>
      </c>
      <c r="AJ24" s="178">
        <f>SUMIF($D$6:$AG$6,AJ$6,$D24:$AG24)</f>
        <v>12771510.864499999</v>
      </c>
      <c r="AK24" s="312">
        <v>560</v>
      </c>
      <c r="AL24" s="313">
        <v>3700</v>
      </c>
      <c r="AM24" s="174">
        <f>AK24*AL24</f>
        <v>2072000</v>
      </c>
      <c r="AN24" s="314">
        <v>1220</v>
      </c>
      <c r="AO24" s="313">
        <v>4000</v>
      </c>
      <c r="AP24" s="174">
        <f>AN24*AO24</f>
        <v>4880000</v>
      </c>
      <c r="AQ24" s="314">
        <v>285</v>
      </c>
      <c r="AR24" s="313">
        <v>3390</v>
      </c>
      <c r="AS24" s="174">
        <f>AQ24*AR24</f>
        <v>966150</v>
      </c>
      <c r="AT24" s="175">
        <v>330</v>
      </c>
      <c r="AU24" s="173">
        <v>3052</v>
      </c>
      <c r="AV24" s="174">
        <f>AT24*AU24</f>
        <v>1007160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2395</v>
      </c>
      <c r="BP24" s="46">
        <f t="shared" si="6"/>
        <v>3726.6430062630479</v>
      </c>
      <c r="BQ24" s="47">
        <f>SUMIF($AK$6:$BN$6,BQ$6,$AK24:$BN24)</f>
        <v>8925310</v>
      </c>
      <c r="BR24" s="45">
        <f>BO24+AH24</f>
        <v>5230</v>
      </c>
      <c r="BS24" s="46">
        <f t="shared" si="7"/>
        <v>4148.5317140535371</v>
      </c>
      <c r="BT24" s="47">
        <f>BQ24+AJ24</f>
        <v>21696820.864500001</v>
      </c>
      <c r="BV24" s="50">
        <f>261*31</f>
        <v>8091</v>
      </c>
      <c r="BW24" s="51">
        <f t="shared" si="8"/>
        <v>0.64639723149178097</v>
      </c>
    </row>
    <row r="25" spans="1:76" x14ac:dyDescent="0.2">
      <c r="A25" s="39" t="e">
        <f>DATE(YEAR(A21),MONTH(A21)+2,1)-1</f>
        <v>#REF!</v>
      </c>
      <c r="B25" s="521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21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20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0</v>
      </c>
      <c r="U27" s="70">
        <f t="shared" si="32"/>
        <v>0</v>
      </c>
      <c r="V27" s="29">
        <f t="shared" si="32"/>
        <v>0</v>
      </c>
      <c r="W27" s="70">
        <f t="shared" si="32"/>
        <v>0</v>
      </c>
      <c r="X27" s="25">
        <f t="shared" si="32"/>
        <v>0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4.3903256122515E-3</v>
      </c>
      <c r="AJ27" s="77">
        <f t="shared" si="32"/>
        <v>4.390325612251722E-3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21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175">
        <v>455</v>
      </c>
      <c r="T28" s="173">
        <v>3791</v>
      </c>
      <c r="U28" s="174">
        <f>S28*T28</f>
        <v>1724905</v>
      </c>
      <c r="V28" s="175">
        <v>106</v>
      </c>
      <c r="W28" s="173">
        <v>2785</v>
      </c>
      <c r="X28" s="174">
        <f>V28*W28</f>
        <v>295210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3856.4438223217617</v>
      </c>
      <c r="AJ28" s="178">
        <f>SUMIF($D$6:$AG$6,AJ$6,$D28:$AG28)</f>
        <v>10331413</v>
      </c>
      <c r="AK28" s="301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270">
        <v>80</v>
      </c>
      <c r="AR28" s="173">
        <v>3225</v>
      </c>
      <c r="AS28" s="174">
        <f>AQ28*AR28</f>
        <v>258000</v>
      </c>
      <c r="AT28" s="270">
        <v>150</v>
      </c>
      <c r="AU28" s="173">
        <v>2555</v>
      </c>
      <c r="AV28" s="174">
        <f>AT28*AU28</f>
        <v>383250</v>
      </c>
      <c r="AW28" s="270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3654.6313920454545</v>
      </c>
      <c r="BT28" s="47">
        <f>BQ28+AJ28</f>
        <v>15437163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21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22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20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0</v>
      </c>
      <c r="U31" s="70">
        <f t="shared" si="38"/>
        <v>3.8000000000000034E-2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1.5835281059667139E-2</v>
      </c>
      <c r="AJ31" s="77">
        <f t="shared" si="38"/>
        <v>4.1393610092725019E-2</v>
      </c>
      <c r="AK31" s="28">
        <f t="shared" si="38"/>
        <v>0.17272727272727262</v>
      </c>
      <c r="AL31" s="70">
        <f t="shared" si="38"/>
        <v>9.6774193548387011E-2</v>
      </c>
      <c r="AM31" s="31">
        <f t="shared" si="38"/>
        <v>0.28621700879765388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0.18181818181818188</v>
      </c>
      <c r="BP31" s="70">
        <f t="shared" si="39"/>
        <v>5.559511202512657E-2</v>
      </c>
      <c r="BQ31" s="31">
        <f t="shared" si="39"/>
        <v>0.24752149602969498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21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175">
        <v>519</v>
      </c>
      <c r="T32" s="173">
        <v>3661</v>
      </c>
      <c r="U32" s="174">
        <f>S32*T32</f>
        <v>1900059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3784.6210482529118</v>
      </c>
      <c r="AJ32" s="178">
        <f>SUMIF($D$6:$AG$6,AJ$6,$D32:$AG32)</f>
        <v>9098229</v>
      </c>
      <c r="AK32" s="301">
        <v>1290</v>
      </c>
      <c r="AL32" s="173">
        <v>3400</v>
      </c>
      <c r="AM32" s="174">
        <f>AK32*AL32</f>
        <v>4386000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1950</v>
      </c>
      <c r="BP32" s="46">
        <f t="shared" si="6"/>
        <v>3403.9743589743589</v>
      </c>
      <c r="BQ32" s="47">
        <f>SUMIF($AK$6:$BN$6,BQ$6,$AK32:$BN32)</f>
        <v>6637750</v>
      </c>
      <c r="BR32" s="45">
        <f>BO32+AH32</f>
        <v>4354</v>
      </c>
      <c r="BS32" s="46">
        <f t="shared" si="7"/>
        <v>3614.1430868167204</v>
      </c>
      <c r="BT32" s="47">
        <f>BQ32+AJ32</f>
        <v>15735979</v>
      </c>
      <c r="BV32" s="50">
        <f>261*31</f>
        <v>8091</v>
      </c>
      <c r="BW32" s="51">
        <f t="shared" si="8"/>
        <v>0.53812878506983064</v>
      </c>
    </row>
    <row r="33" spans="1:75" x14ac:dyDescent="0.2">
      <c r="A33" s="39" t="e">
        <f>DATE(YEAR(A29),MONTH(A29)+2,1)-1</f>
        <v>#REF!</v>
      </c>
      <c r="B33" s="521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22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20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21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21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22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21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21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21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21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20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0.37083333333333335</v>
      </c>
      <c r="AL43" s="70">
        <f t="shared" si="58"/>
        <v>0</v>
      </c>
      <c r="AM43" s="31">
        <f t="shared" si="58"/>
        <v>0.37083333333333335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0.16152450090744108</v>
      </c>
      <c r="BP43" s="70">
        <f t="shared" si="59"/>
        <v>3.990761017597988E-3</v>
      </c>
      <c r="BQ43" s="31">
        <f t="shared" si="59"/>
        <v>0.16615986760664736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21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303">
        <v>1645</v>
      </c>
      <c r="AL44" s="183">
        <v>3800</v>
      </c>
      <c r="AM44" s="184">
        <f>AK44*AL44</f>
        <v>6251000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3200</v>
      </c>
      <c r="BP44" s="46">
        <f t="shared" ref="BP44:BP46" si="64">IF(BO44=0,0,BQ44/BO44)</f>
        <v>3708.7331250000002</v>
      </c>
      <c r="BQ44" s="47">
        <f>SUMIF($AK$6:$BN$6,BQ$6,$AK44:$BN44)</f>
        <v>11867946</v>
      </c>
      <c r="BR44" s="45">
        <f>BO44+AH44</f>
        <v>5965</v>
      </c>
      <c r="BS44" s="46">
        <f t="shared" si="7"/>
        <v>3847.2674601844087</v>
      </c>
      <c r="BT44" s="47">
        <f>BQ44+AJ44</f>
        <v>22948950.399999999</v>
      </c>
      <c r="BV44" s="50">
        <f>261*31</f>
        <v>8091</v>
      </c>
      <c r="BW44" s="51">
        <f t="shared" si="8"/>
        <v>0.73723890742800646</v>
      </c>
    </row>
    <row r="45" spans="1:75" x14ac:dyDescent="0.2">
      <c r="A45" s="39" t="e">
        <f>DATE(YEAR(A41),MONTH(A41)+2,1)-1</f>
        <v>#REF!</v>
      </c>
      <c r="B45" s="521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22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21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5.4054054054053946E-2</v>
      </c>
      <c r="AL47" s="30">
        <f t="shared" si="65"/>
        <v>0</v>
      </c>
      <c r="AM47" s="84">
        <f t="shared" si="65"/>
        <v>5.4054054054053946E-2</v>
      </c>
      <c r="AN47" s="82">
        <f t="shared" si="65"/>
        <v>0.10000000000000009</v>
      </c>
      <c r="AO47" s="30">
        <f t="shared" si="65"/>
        <v>0</v>
      </c>
      <c r="AP47" s="79">
        <f t="shared" si="65"/>
        <v>0.10000000000000009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0.36363636363636354</v>
      </c>
      <c r="AU47" s="30">
        <f t="shared" si="65"/>
        <v>0</v>
      </c>
      <c r="AV47" s="79">
        <f t="shared" si="65"/>
        <v>0.36363636363636354</v>
      </c>
      <c r="AW47" s="83">
        <f t="shared" si="65"/>
        <v>0.14285714285714279</v>
      </c>
      <c r="AX47" s="30">
        <f t="shared" si="65"/>
        <v>0</v>
      </c>
      <c r="AY47" s="84">
        <f t="shared" si="65"/>
        <v>0.14285714285714279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7.5581395348837122E-2</v>
      </c>
      <c r="BP47" s="30">
        <f t="shared" si="66"/>
        <v>-1.8651214926315163E-3</v>
      </c>
      <c r="BQ47" s="84">
        <f t="shared" si="66"/>
        <v>7.3575305371297528E-2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21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303">
        <v>1950</v>
      </c>
      <c r="AL48" s="183">
        <v>3800</v>
      </c>
      <c r="AM48" s="184">
        <f>AK48*AL48</f>
        <v>7410000</v>
      </c>
      <c r="AN48" s="267">
        <v>770</v>
      </c>
      <c r="AO48" s="183">
        <v>3800</v>
      </c>
      <c r="AP48" s="184">
        <f>AN48*AO48</f>
        <v>2926000</v>
      </c>
      <c r="AQ48" s="185">
        <v>600</v>
      </c>
      <c r="AR48" s="183">
        <v>3600</v>
      </c>
      <c r="AS48" s="184">
        <f>AQ48*AR48</f>
        <v>2160000</v>
      </c>
      <c r="AT48" s="267">
        <v>300</v>
      </c>
      <c r="AU48" s="183">
        <v>3311.5</v>
      </c>
      <c r="AV48" s="184">
        <f>AT48*AU48</f>
        <v>993450</v>
      </c>
      <c r="AW48" s="267">
        <v>80</v>
      </c>
      <c r="AX48" s="183">
        <v>3000</v>
      </c>
      <c r="AY48" s="184">
        <f>AW48*AX48</f>
        <v>240000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3700</v>
      </c>
      <c r="BP48" s="46">
        <f t="shared" ref="BP48:BP50" si="71">IF(BO48=0,0,BQ48/BO48)</f>
        <v>3710.6621621621621</v>
      </c>
      <c r="BQ48" s="47">
        <f>SUMIF($AK$6:$BN$6,BQ$6,$AK48:$BN48)</f>
        <v>13729450</v>
      </c>
      <c r="BR48" s="45">
        <f>BO48+AH48</f>
        <v>6979</v>
      </c>
      <c r="BS48" s="46">
        <f t="shared" si="7"/>
        <v>3970.6132683765582</v>
      </c>
      <c r="BT48" s="47">
        <f>BQ48+AJ48</f>
        <v>27710910</v>
      </c>
      <c r="BV48" s="50">
        <f>261*30</f>
        <v>7830</v>
      </c>
      <c r="BW48" s="51">
        <f t="shared" si="8"/>
        <v>0.89131545338441887</v>
      </c>
    </row>
    <row r="49" spans="1:77" x14ac:dyDescent="0.2">
      <c r="A49" s="39" t="e">
        <f>DATE(YEAR(A45),MONTH(A45)+2,1)-1</f>
        <v>#REF!</v>
      </c>
      <c r="B49" s="521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22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20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21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21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22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20" t="s">
        <v>28</v>
      </c>
      <c r="C55" s="286" t="s">
        <v>27</v>
      </c>
      <c r="D55" s="156">
        <f>(D56/D57)-1</f>
        <v>-3.3231707317073145E-2</v>
      </c>
      <c r="E55" s="70">
        <f>(E56/E57)-1</f>
        <v>8.5744810817681927E-2</v>
      </c>
      <c r="F55" s="157">
        <f>(F56/F57)-1</f>
        <v>4.9663657043557796E-2</v>
      </c>
      <c r="G55" s="290"/>
      <c r="H55" s="148"/>
      <c r="I55" s="146"/>
      <c r="J55" s="25">
        <f t="shared" ref="J55:AG55" si="82">(J56/J57)-1</f>
        <v>-0.57510040160642573</v>
      </c>
      <c r="K55" s="26">
        <f t="shared" si="82"/>
        <v>-0.16403570968062886</v>
      </c>
      <c r="L55" s="28">
        <f t="shared" si="82"/>
        <v>-0.64479910877192981</v>
      </c>
      <c r="M55" s="27">
        <f t="shared" si="82"/>
        <v>-0.95403726708074532</v>
      </c>
      <c r="N55" s="26">
        <f t="shared" si="82"/>
        <v>-0.17092585907751789</v>
      </c>
      <c r="O55" s="31">
        <f t="shared" si="82"/>
        <v>-0.96189348669051944</v>
      </c>
      <c r="P55" s="25">
        <f t="shared" si="82"/>
        <v>-4.6453900709219842E-2</v>
      </c>
      <c r="Q55" s="26">
        <f t="shared" si="82"/>
        <v>4.3269365108241198E-2</v>
      </c>
      <c r="R55" s="28">
        <f t="shared" si="82"/>
        <v>-5.1945663914678697E-3</v>
      </c>
      <c r="S55" s="27">
        <f t="shared" si="82"/>
        <v>0.47363184079601983</v>
      </c>
      <c r="T55" s="26">
        <f t="shared" si="82"/>
        <v>5.9742707021084085E-2</v>
      </c>
      <c r="U55" s="31">
        <f t="shared" si="82"/>
        <v>0.56167059611763737</v>
      </c>
      <c r="V55" s="25">
        <f t="shared" si="82"/>
        <v>-0.328735632183908</v>
      </c>
      <c r="W55" s="26">
        <f t="shared" si="82"/>
        <v>-7.9461650641181603E-3</v>
      </c>
      <c r="X55" s="28">
        <f t="shared" si="82"/>
        <v>-0.33406960965223564</v>
      </c>
      <c r="Y55" s="27">
        <f t="shared" si="82"/>
        <v>3.8240917782026429E-3</v>
      </c>
      <c r="Z55" s="26">
        <f t="shared" si="82"/>
        <v>-0.13707621192761044</v>
      </c>
      <c r="AA55" s="31">
        <f t="shared" si="82"/>
        <v>-0.1337763121644272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-0.6216216216216216</v>
      </c>
      <c r="AF55" s="26">
        <f t="shared" si="82"/>
        <v>-6.7625752152017049E-2</v>
      </c>
      <c r="AG55" s="28">
        <f t="shared" si="82"/>
        <v>-0.64720974405751996</v>
      </c>
      <c r="AH55" s="154">
        <f>AH56/AH57-1</f>
        <v>-9.3097497842968058E-2</v>
      </c>
      <c r="AI55" s="76">
        <f>AI56/AI57-1</f>
        <v>5.0338536811534329E-2</v>
      </c>
      <c r="AJ55" s="77">
        <f>AJ56/AJ57-1</f>
        <v>-4.7445352853663803E-2</v>
      </c>
      <c r="AK55" s="25">
        <f t="shared" ref="AK55:BB55" si="83">(AK56/AK57)-1</f>
        <v>-0.19999999999999996</v>
      </c>
      <c r="AL55" s="26">
        <f t="shared" si="83"/>
        <v>1.5198327174092974E-3</v>
      </c>
      <c r="AM55" s="28">
        <f t="shared" si="83"/>
        <v>-0.19878413382607252</v>
      </c>
      <c r="AN55" s="27">
        <f t="shared" si="83"/>
        <v>-0.46042780748663104</v>
      </c>
      <c r="AO55" s="26">
        <f t="shared" si="83"/>
        <v>-5.9762235318816415E-2</v>
      </c>
      <c r="AP55" s="31">
        <f t="shared" si="83"/>
        <v>-0.49267384782710477</v>
      </c>
      <c r="AQ55" s="25">
        <f t="shared" si="83"/>
        <v>8.085106382978724E-2</v>
      </c>
      <c r="AR55" s="26">
        <f t="shared" si="83"/>
        <v>1.0803618364585952</v>
      </c>
      <c r="AS55" s="28">
        <f t="shared" si="83"/>
        <v>1.2485613040871626</v>
      </c>
      <c r="AT55" s="27">
        <f t="shared" si="83"/>
        <v>-0.51343283582089549</v>
      </c>
      <c r="AU55" s="26">
        <f t="shared" si="83"/>
        <v>-2.4628029615229585E-2</v>
      </c>
      <c r="AV55" s="31">
        <f t="shared" si="83"/>
        <v>-0.52541602635009677</v>
      </c>
      <c r="AW55" s="25">
        <f t="shared" si="83"/>
        <v>0.11392405063291133</v>
      </c>
      <c r="AX55" s="26">
        <f t="shared" si="83"/>
        <v>0.16351671073512475</v>
      </c>
      <c r="AY55" s="28">
        <f t="shared" si="83"/>
        <v>0.29606924740115148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-0.23875918720276701</v>
      </c>
      <c r="BP55" s="70">
        <f t="shared" ref="BP55:BQ55" si="84">BP56/BP57-1</f>
        <v>0.13183996078857496</v>
      </c>
      <c r="BQ55" s="157">
        <f t="shared" si="84"/>
        <v>-0.13839722829291679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21"/>
      <c r="C56" s="287" t="s">
        <v>29</v>
      </c>
      <c r="D56" s="296">
        <f>+D8+D12+D16+D20</f>
        <v>3171</v>
      </c>
      <c r="E56" s="295">
        <f>+F56/D56</f>
        <v>6145.1633601387575</v>
      </c>
      <c r="F56" s="297">
        <f>+F8+F12+F16+F20</f>
        <v>19486313.015000001</v>
      </c>
      <c r="G56" s="291"/>
      <c r="H56" s="144"/>
      <c r="I56" s="143"/>
      <c r="J56" s="296">
        <f>+J8+J12+J16+J20</f>
        <v>529</v>
      </c>
      <c r="K56" s="295">
        <f>+L56/J56</f>
        <v>3827.3063894139887</v>
      </c>
      <c r="L56" s="297">
        <f>+L8+L12+L16+L20</f>
        <v>2024645.08</v>
      </c>
      <c r="M56" s="296">
        <f>+M8+M12+M16+M20</f>
        <v>37</v>
      </c>
      <c r="N56" s="295">
        <f>+O56/M56</f>
        <v>2748.9729729729729</v>
      </c>
      <c r="O56" s="297">
        <f>+O8+O12+O16+O20</f>
        <v>101712</v>
      </c>
      <c r="P56" s="296">
        <f>+P8+P12+P16+P20</f>
        <v>2689</v>
      </c>
      <c r="Q56" s="295">
        <f>+R56/P56</f>
        <v>3799.0320972108589</v>
      </c>
      <c r="R56" s="297">
        <f>+R8+R12+R16+R20</f>
        <v>10215597.3094</v>
      </c>
      <c r="S56" s="296">
        <f>+S8+S12+S16+S20</f>
        <v>2962</v>
      </c>
      <c r="T56" s="295">
        <f>+U56/S56</f>
        <v>4049.092351215395</v>
      </c>
      <c r="U56" s="297">
        <f>+U8+U12+U16+U20</f>
        <v>11993411.544299999</v>
      </c>
      <c r="V56" s="296">
        <f>+V8+V12+V16+V20</f>
        <v>584</v>
      </c>
      <c r="W56" s="295">
        <f>+X56/V56</f>
        <v>3213.3421917808218</v>
      </c>
      <c r="X56" s="297">
        <f>+X8+X12+X16+X20</f>
        <v>1876591.84</v>
      </c>
      <c r="Y56" s="296">
        <f>+Y8+Y12+Y16+Y20</f>
        <v>525</v>
      </c>
      <c r="Z56" s="295">
        <f>+AA56/Y56</f>
        <v>3922.6980952380954</v>
      </c>
      <c r="AA56" s="297">
        <f>+AA8+AA12+AA16+AA20</f>
        <v>2059416.5</v>
      </c>
      <c r="AB56" s="296">
        <f>+AB8+AB12+AB16+AB20</f>
        <v>0</v>
      </c>
      <c r="AC56" s="295" t="e">
        <f>+AD56/AB56</f>
        <v>#DIV/0!</v>
      </c>
      <c r="AD56" s="297">
        <f>+AD8+AD12+AD16+AD20</f>
        <v>0</v>
      </c>
      <c r="AE56" s="296">
        <f>+AE8+AE12+AE16+AE20</f>
        <v>14</v>
      </c>
      <c r="AF56" s="295">
        <f>+AG56/AE56</f>
        <v>2348.1971428571428</v>
      </c>
      <c r="AG56" s="297">
        <f>+AG8+AG12+AG16+AG20</f>
        <v>32874.76</v>
      </c>
      <c r="AH56" s="296">
        <f>+AH8+AH12+AH16+AH20</f>
        <v>10511</v>
      </c>
      <c r="AI56" s="295">
        <f>+AJ56/AH56</f>
        <v>4546.7188705831986</v>
      </c>
      <c r="AJ56" s="297">
        <f>+AJ8+AJ12+AJ16+AJ20</f>
        <v>47790562.048700005</v>
      </c>
      <c r="AK56" s="296">
        <f t="shared" ref="AK56" si="85">+AK8+AK12+AK16+AK20</f>
        <v>4428</v>
      </c>
      <c r="AL56" s="295">
        <f t="shared" ref="AL56:AL58" si="86">+AM56/AK56</f>
        <v>3819.0746791779584</v>
      </c>
      <c r="AM56" s="297">
        <f t="shared" ref="AM56:AY58" si="87">+AM8+AM12+AM16+AM20</f>
        <v>16910862.679400001</v>
      </c>
      <c r="AN56" s="296">
        <f t="shared" si="87"/>
        <v>1009</v>
      </c>
      <c r="AO56" s="295">
        <f t="shared" ref="AO56:AO58" si="88">+AP56/AN56</f>
        <v>3490.3310208126859</v>
      </c>
      <c r="AP56" s="297">
        <f t="shared" ref="AP56:AQ56" si="89">+AP8+AP12+AP16+AP20</f>
        <v>3521744</v>
      </c>
      <c r="AQ56" s="296">
        <f t="shared" si="89"/>
        <v>1016</v>
      </c>
      <c r="AR56" s="295">
        <f t="shared" ref="AR56:AR58" si="90">+AS56/AQ56</f>
        <v>6607.7824803149606</v>
      </c>
      <c r="AS56" s="297">
        <f t="shared" ref="AS56:AT56" si="91">+AS8+AS12+AS16+AS20</f>
        <v>6713507</v>
      </c>
      <c r="AT56" s="296">
        <f t="shared" si="91"/>
        <v>326</v>
      </c>
      <c r="AU56" s="295">
        <f t="shared" ref="AU56:AU58" si="92">+AV56/AT56</f>
        <v>2948.0108282208589</v>
      </c>
      <c r="AV56" s="297">
        <f t="shared" ref="AV56:AW56" si="93">+AV8+AV12+AV16+AV20</f>
        <v>961051.53</v>
      </c>
      <c r="AW56" s="296">
        <f t="shared" si="93"/>
        <v>264</v>
      </c>
      <c r="AX56" s="295">
        <f t="shared" ref="AX56:AX58" si="94">+AY56/AW56</f>
        <v>4255.0837075757581</v>
      </c>
      <c r="AY56" s="297">
        <f t="shared" ref="AY56" si="95">+AY8+AY12+AY16+AY20</f>
        <v>1123342.0988</v>
      </c>
      <c r="AZ56" s="296">
        <f t="shared" ref="AZ56" si="96">+AZ8+AZ12+AZ16</f>
        <v>0</v>
      </c>
      <c r="BA56" s="295" t="e">
        <f t="shared" ref="BA56:BA58" si="97">+BB56/AZ56</f>
        <v>#DIV/0!</v>
      </c>
      <c r="BB56" s="297">
        <f t="shared" ref="BB56:BC56" si="98">+BB8+BB12+BB16</f>
        <v>0</v>
      </c>
      <c r="BC56" s="296">
        <f t="shared" si="98"/>
        <v>0</v>
      </c>
      <c r="BD56" s="295" t="e">
        <f t="shared" ref="BD56:BD58" si="99">+BE56/BC56</f>
        <v>#DIV/0!</v>
      </c>
      <c r="BE56" s="297">
        <f t="shared" ref="BE56:BF56" si="100">+BE8+BE12+BE16</f>
        <v>0</v>
      </c>
      <c r="BF56" s="296">
        <f t="shared" si="100"/>
        <v>0</v>
      </c>
      <c r="BG56" s="295" t="e">
        <f t="shared" ref="BG56:BG58" si="101">+BH56/BF56</f>
        <v>#DIV/0!</v>
      </c>
      <c r="BH56" s="297">
        <f t="shared" ref="BH56:BI56" si="102">+BH8+BH12+BH16</f>
        <v>0</v>
      </c>
      <c r="BI56" s="296">
        <f t="shared" si="102"/>
        <v>0</v>
      </c>
      <c r="BJ56" s="295" t="e">
        <f t="shared" ref="BJ56:BJ58" si="103">+BK56/BI56</f>
        <v>#DIV/0!</v>
      </c>
      <c r="BK56" s="297">
        <f t="shared" ref="BK56:BL56" si="104">+BK8+BK12+BK16</f>
        <v>0</v>
      </c>
      <c r="BL56" s="296">
        <f t="shared" si="104"/>
        <v>0</v>
      </c>
      <c r="BM56" s="295" t="e">
        <f t="shared" ref="BM56:BM58" si="105">+BN56/BL56</f>
        <v>#DIV/0!</v>
      </c>
      <c r="BN56" s="297">
        <f t="shared" ref="BN56" si="106">+BN8+BN12+BN16</f>
        <v>0</v>
      </c>
      <c r="BO56" s="296">
        <f>+BO8+BO12+BO16+BO20</f>
        <v>7043</v>
      </c>
      <c r="BP56" s="295">
        <f>+BQ56/BO56</f>
        <v>4150.2921068010792</v>
      </c>
      <c r="BQ56" s="297">
        <f>+BQ8+BQ12+BQ16+BQ20</f>
        <v>29230507.308200002</v>
      </c>
      <c r="BR56" s="296">
        <f>+BR8+BR12+BR16+BR20</f>
        <v>17554</v>
      </c>
      <c r="BS56" s="295">
        <f>+BT56/BR56</f>
        <v>4387.6648830409031</v>
      </c>
      <c r="BT56" s="297">
        <f>+BT8+BT12+BT16+BT20</f>
        <v>77021069.356900007</v>
      </c>
      <c r="BV56" s="161">
        <f>+BV8+BV12+BV16+BV20</f>
        <v>31320</v>
      </c>
      <c r="BW56" s="51">
        <f t="shared" si="79"/>
        <v>0.5604725415070243</v>
      </c>
    </row>
    <row r="57" spans="1:77" x14ac:dyDescent="0.2">
      <c r="A57" s="39"/>
      <c r="B57" s="521"/>
      <c r="C57" s="288" t="s">
        <v>30</v>
      </c>
      <c r="D57" s="296">
        <f t="shared" ref="D57:D58" si="107">+D9+D13+D17+D21</f>
        <v>3280</v>
      </c>
      <c r="E57" s="295">
        <f t="shared" ref="E57:E58" si="108">+F57/D57</f>
        <v>5659.8597560975613</v>
      </c>
      <c r="F57" s="297">
        <f t="shared" ref="F57:F58" si="109">+F9+F13+F17+F21</f>
        <v>18564340</v>
      </c>
      <c r="G57" s="291"/>
      <c r="H57" s="144"/>
      <c r="I57" s="143"/>
      <c r="J57" s="296">
        <f t="shared" ref="J57" si="110">+J9+J13+J17+J21</f>
        <v>1245</v>
      </c>
      <c r="K57" s="295">
        <f t="shared" ref="K57:K58" si="111">+L57/J57</f>
        <v>4578.3132530120483</v>
      </c>
      <c r="L57" s="297">
        <f t="shared" ref="L57:M58" si="112">+L9+L13+L17+L21</f>
        <v>5700000</v>
      </c>
      <c r="M57" s="296">
        <f t="shared" si="112"/>
        <v>805</v>
      </c>
      <c r="N57" s="295">
        <f t="shared" ref="N57:N58" si="113">+O57/M57</f>
        <v>3315.7142857142858</v>
      </c>
      <c r="O57" s="297">
        <f t="shared" ref="O57:P58" si="114">+O9+O13+O17+O21</f>
        <v>2669150</v>
      </c>
      <c r="P57" s="296">
        <f t="shared" si="114"/>
        <v>2820</v>
      </c>
      <c r="Q57" s="295">
        <f t="shared" ref="Q57:Q58" si="115">+R57/P57</f>
        <v>3641.4680851063831</v>
      </c>
      <c r="R57" s="297">
        <f t="shared" ref="R57:S58" si="116">+R9+R13+R17+R21</f>
        <v>10268940</v>
      </c>
      <c r="S57" s="296">
        <f t="shared" si="116"/>
        <v>2010</v>
      </c>
      <c r="T57" s="295">
        <f t="shared" ref="T57:T58" si="117">+U57/S57</f>
        <v>3820.8258706467664</v>
      </c>
      <c r="U57" s="297">
        <f t="shared" ref="U57:V58" si="118">+U9+U13+U17+U21</f>
        <v>7679860</v>
      </c>
      <c r="V57" s="296">
        <f t="shared" si="118"/>
        <v>870</v>
      </c>
      <c r="W57" s="295">
        <f t="shared" ref="W57:W58" si="119">+X57/V57</f>
        <v>3239.0804597701149</v>
      </c>
      <c r="X57" s="297">
        <f t="shared" ref="X57:Y58" si="120">+X9+X13+X17+X21</f>
        <v>2818000</v>
      </c>
      <c r="Y57" s="296">
        <f t="shared" si="120"/>
        <v>523</v>
      </c>
      <c r="Z57" s="295">
        <f t="shared" ref="Z57:Z58" si="121">+AA57/Y57</f>
        <v>4545.822179732314</v>
      </c>
      <c r="AA57" s="297">
        <f t="shared" ref="AA57:AB58" si="122">+AA9+AA13+AA17+AA21</f>
        <v>2377465</v>
      </c>
      <c r="AB57" s="296">
        <f t="shared" si="122"/>
        <v>0</v>
      </c>
      <c r="AC57" s="295" t="e">
        <f t="shared" ref="AC57:AC58" si="123">+AD57/AB57</f>
        <v>#DIV/0!</v>
      </c>
      <c r="AD57" s="297">
        <f t="shared" ref="AD57:AE58" si="124">+AD9+AD13+AD17+AD21</f>
        <v>0</v>
      </c>
      <c r="AE57" s="296">
        <f t="shared" si="124"/>
        <v>37</v>
      </c>
      <c r="AF57" s="295">
        <f t="shared" ref="AF57:AF58" si="125">+AG57/AE57</f>
        <v>2518.5135135135133</v>
      </c>
      <c r="AG57" s="297">
        <f t="shared" ref="AG57:AH58" si="126">+AG9+AG13+AG17+AG21</f>
        <v>93185</v>
      </c>
      <c r="AH57" s="296">
        <f t="shared" si="126"/>
        <v>11590</v>
      </c>
      <c r="AI57" s="295">
        <f t="shared" ref="AI57:AI58" si="127">+AJ57/AH57</f>
        <v>4328.8127696289903</v>
      </c>
      <c r="AJ57" s="297">
        <f t="shared" ref="AJ57:AK58" si="128">+AJ9+AJ13+AJ17+AJ21</f>
        <v>50170940</v>
      </c>
      <c r="AK57" s="296">
        <f t="shared" si="128"/>
        <v>5535</v>
      </c>
      <c r="AL57" s="295">
        <f t="shared" si="86"/>
        <v>3813.2791327913278</v>
      </c>
      <c r="AM57" s="297">
        <f t="shared" si="87"/>
        <v>21106500</v>
      </c>
      <c r="AN57" s="296">
        <f t="shared" si="87"/>
        <v>1870</v>
      </c>
      <c r="AO57" s="295">
        <f t="shared" si="88"/>
        <v>3712.1791443850266</v>
      </c>
      <c r="AP57" s="297">
        <f t="shared" si="87"/>
        <v>6941775</v>
      </c>
      <c r="AQ57" s="296">
        <f t="shared" si="87"/>
        <v>940</v>
      </c>
      <c r="AR57" s="295">
        <f t="shared" si="90"/>
        <v>3176.2659574468084</v>
      </c>
      <c r="AS57" s="297">
        <f t="shared" si="87"/>
        <v>2985690</v>
      </c>
      <c r="AT57" s="296">
        <f t="shared" si="87"/>
        <v>670</v>
      </c>
      <c r="AU57" s="295">
        <f t="shared" si="92"/>
        <v>3022.4477611940297</v>
      </c>
      <c r="AV57" s="297">
        <f t="shared" si="87"/>
        <v>2025040</v>
      </c>
      <c r="AW57" s="296">
        <f t="shared" si="87"/>
        <v>237</v>
      </c>
      <c r="AX57" s="295">
        <f t="shared" si="94"/>
        <v>3657.0886075949365</v>
      </c>
      <c r="AY57" s="297">
        <f t="shared" si="87"/>
        <v>866730</v>
      </c>
      <c r="AZ57" s="296">
        <f t="shared" ref="AZ57:BN58" si="129">+AZ9+AZ13+AZ17</f>
        <v>0</v>
      </c>
      <c r="BA57" s="295" t="e">
        <f t="shared" si="97"/>
        <v>#DIV/0!</v>
      </c>
      <c r="BB57" s="297">
        <f t="shared" si="129"/>
        <v>0</v>
      </c>
      <c r="BC57" s="296">
        <f t="shared" si="129"/>
        <v>0</v>
      </c>
      <c r="BD57" s="295" t="e">
        <f t="shared" si="99"/>
        <v>#DIV/0!</v>
      </c>
      <c r="BE57" s="297">
        <f t="shared" si="129"/>
        <v>0</v>
      </c>
      <c r="BF57" s="296">
        <f t="shared" si="129"/>
        <v>0</v>
      </c>
      <c r="BG57" s="295" t="e">
        <f t="shared" si="101"/>
        <v>#DIV/0!</v>
      </c>
      <c r="BH57" s="297">
        <f t="shared" si="129"/>
        <v>0</v>
      </c>
      <c r="BI57" s="296">
        <f t="shared" si="129"/>
        <v>0</v>
      </c>
      <c r="BJ57" s="295" t="e">
        <f t="shared" si="103"/>
        <v>#DIV/0!</v>
      </c>
      <c r="BK57" s="297">
        <f t="shared" si="129"/>
        <v>0</v>
      </c>
      <c r="BL57" s="296">
        <f t="shared" si="129"/>
        <v>0</v>
      </c>
      <c r="BM57" s="295" t="e">
        <f t="shared" si="105"/>
        <v>#DIV/0!</v>
      </c>
      <c r="BN57" s="297">
        <f t="shared" si="129"/>
        <v>0</v>
      </c>
      <c r="BO57" s="296">
        <f t="shared" ref="BO57" si="130">+BO9+BO13+BO17+BO21</f>
        <v>9252</v>
      </c>
      <c r="BP57" s="295">
        <f t="shared" ref="BP57:BP58" si="131">+BQ57/BO57</f>
        <v>3666.8541936878514</v>
      </c>
      <c r="BQ57" s="297">
        <f t="shared" ref="BQ57:BR58" si="132">+BQ9+BQ13+BQ17+BQ21</f>
        <v>33925735</v>
      </c>
      <c r="BR57" s="296">
        <f t="shared" si="132"/>
        <v>20842</v>
      </c>
      <c r="BS57" s="295">
        <f t="shared" ref="BS57:BS58" si="133">+BT57/BR57</f>
        <v>4034.961855867959</v>
      </c>
      <c r="BT57" s="297">
        <f t="shared" ref="BT57:BT58" si="134">+BT9+BT13+BT17+BT21</f>
        <v>84096675</v>
      </c>
      <c r="BV57" s="161">
        <f t="shared" ref="BV57:BV58" si="135">+BV9+BV13+BV17+BV21</f>
        <v>31320</v>
      </c>
      <c r="BW57" s="61">
        <f t="shared" si="79"/>
        <v>0.66545338441890167</v>
      </c>
    </row>
    <row r="58" spans="1:77" ht="13.5" customHeight="1" x14ac:dyDescent="0.2">
      <c r="A58" s="39"/>
      <c r="B58" s="522"/>
      <c r="C58" s="289" t="s">
        <v>33</v>
      </c>
      <c r="D58" s="298">
        <f t="shared" si="107"/>
        <v>3069</v>
      </c>
      <c r="E58" s="299">
        <f t="shared" si="108"/>
        <v>5555.7761485826004</v>
      </c>
      <c r="F58" s="300">
        <f t="shared" si="109"/>
        <v>17050677</v>
      </c>
      <c r="G58" s="292"/>
      <c r="H58" s="152"/>
      <c r="I58" s="151"/>
      <c r="J58" s="298">
        <f t="shared" ref="J58" si="136">+J10+J14+J18+J22</f>
        <v>1201</v>
      </c>
      <c r="K58" s="299">
        <f t="shared" si="111"/>
        <v>3253.5811823480435</v>
      </c>
      <c r="L58" s="300">
        <f t="shared" si="112"/>
        <v>3907551</v>
      </c>
      <c r="M58" s="298">
        <f t="shared" si="112"/>
        <v>790</v>
      </c>
      <c r="N58" s="299">
        <f t="shared" si="113"/>
        <v>3203.0556962025316</v>
      </c>
      <c r="O58" s="300">
        <f t="shared" si="114"/>
        <v>2530414</v>
      </c>
      <c r="P58" s="298">
        <f t="shared" si="114"/>
        <v>2680</v>
      </c>
      <c r="Q58" s="299">
        <f t="shared" si="115"/>
        <v>3540.7925373134331</v>
      </c>
      <c r="R58" s="300">
        <f t="shared" si="116"/>
        <v>9489324</v>
      </c>
      <c r="S58" s="298">
        <f t="shared" si="116"/>
        <v>1931</v>
      </c>
      <c r="T58" s="299">
        <f t="shared" si="117"/>
        <v>3576.5442775763854</v>
      </c>
      <c r="U58" s="300">
        <f t="shared" si="118"/>
        <v>6906307</v>
      </c>
      <c r="V58" s="298">
        <f t="shared" si="118"/>
        <v>807</v>
      </c>
      <c r="W58" s="299">
        <f t="shared" si="119"/>
        <v>3060.4411400247832</v>
      </c>
      <c r="X58" s="300">
        <f t="shared" si="120"/>
        <v>2469776</v>
      </c>
      <c r="Y58" s="298">
        <f t="shared" si="120"/>
        <v>500</v>
      </c>
      <c r="Z58" s="299">
        <f t="shared" si="121"/>
        <v>4414.4440000000004</v>
      </c>
      <c r="AA58" s="300">
        <f t="shared" si="122"/>
        <v>2207222</v>
      </c>
      <c r="AB58" s="298">
        <f t="shared" si="122"/>
        <v>0</v>
      </c>
      <c r="AC58" s="299" t="e">
        <f t="shared" si="123"/>
        <v>#DIV/0!</v>
      </c>
      <c r="AD58" s="300">
        <f t="shared" si="124"/>
        <v>0</v>
      </c>
      <c r="AE58" s="298">
        <f t="shared" si="124"/>
        <v>37</v>
      </c>
      <c r="AF58" s="299">
        <f t="shared" si="125"/>
        <v>2518.5135135135133</v>
      </c>
      <c r="AG58" s="300">
        <f t="shared" si="126"/>
        <v>93185</v>
      </c>
      <c r="AH58" s="298">
        <f t="shared" si="126"/>
        <v>11015</v>
      </c>
      <c r="AI58" s="299">
        <f t="shared" si="127"/>
        <v>4053.9678620063551</v>
      </c>
      <c r="AJ58" s="300">
        <f t="shared" si="128"/>
        <v>44654456</v>
      </c>
      <c r="AK58" s="298">
        <f t="shared" si="128"/>
        <v>3713</v>
      </c>
      <c r="AL58" s="299">
        <f t="shared" si="86"/>
        <v>3470.4349582547807</v>
      </c>
      <c r="AM58" s="300">
        <f t="shared" si="87"/>
        <v>12885725</v>
      </c>
      <c r="AN58" s="298">
        <f t="shared" si="87"/>
        <v>1584</v>
      </c>
      <c r="AO58" s="299">
        <f t="shared" si="88"/>
        <v>3592.1597222222222</v>
      </c>
      <c r="AP58" s="300">
        <f t="shared" si="87"/>
        <v>5689981</v>
      </c>
      <c r="AQ58" s="298">
        <f t="shared" si="87"/>
        <v>688</v>
      </c>
      <c r="AR58" s="299">
        <f t="shared" si="90"/>
        <v>3092.6482558139537</v>
      </c>
      <c r="AS58" s="300">
        <f t="shared" si="87"/>
        <v>2127742</v>
      </c>
      <c r="AT58" s="298">
        <f t="shared" si="87"/>
        <v>530</v>
      </c>
      <c r="AU58" s="299">
        <f t="shared" si="92"/>
        <v>2932.71309490566</v>
      </c>
      <c r="AV58" s="300">
        <f t="shared" si="87"/>
        <v>1554337.9402999999</v>
      </c>
      <c r="AW58" s="298">
        <f t="shared" si="87"/>
        <v>195.1559</v>
      </c>
      <c r="AX58" s="299">
        <f t="shared" si="94"/>
        <v>3576.8533269436898</v>
      </c>
      <c r="AY58" s="300">
        <f t="shared" si="87"/>
        <v>698044.03018769005</v>
      </c>
      <c r="AZ58" s="298">
        <f t="shared" si="129"/>
        <v>0</v>
      </c>
      <c r="BA58" s="299" t="e">
        <f t="shared" si="97"/>
        <v>#DIV/0!</v>
      </c>
      <c r="BB58" s="300">
        <f t="shared" si="129"/>
        <v>0</v>
      </c>
      <c r="BC58" s="298">
        <f t="shared" si="129"/>
        <v>0</v>
      </c>
      <c r="BD58" s="299" t="e">
        <f t="shared" si="99"/>
        <v>#DIV/0!</v>
      </c>
      <c r="BE58" s="300">
        <f t="shared" si="129"/>
        <v>0</v>
      </c>
      <c r="BF58" s="298">
        <f t="shared" si="129"/>
        <v>0</v>
      </c>
      <c r="BG58" s="299" t="e">
        <f t="shared" si="101"/>
        <v>#DIV/0!</v>
      </c>
      <c r="BH58" s="300">
        <f t="shared" si="129"/>
        <v>0</v>
      </c>
      <c r="BI58" s="298">
        <f t="shared" si="129"/>
        <v>0</v>
      </c>
      <c r="BJ58" s="299" t="e">
        <f t="shared" si="103"/>
        <v>#DIV/0!</v>
      </c>
      <c r="BK58" s="300">
        <f t="shared" si="129"/>
        <v>0</v>
      </c>
      <c r="BL58" s="298">
        <f t="shared" si="129"/>
        <v>0</v>
      </c>
      <c r="BM58" s="299" t="e">
        <f t="shared" si="105"/>
        <v>#DIV/0!</v>
      </c>
      <c r="BN58" s="300">
        <f t="shared" si="129"/>
        <v>0</v>
      </c>
      <c r="BO58" s="298">
        <f t="shared" ref="BO58" si="137">+BO10+BO14+BO18+BO22</f>
        <v>6710.1558999999997</v>
      </c>
      <c r="BP58" s="299">
        <f t="shared" si="131"/>
        <v>3421.0576196132333</v>
      </c>
      <c r="BQ58" s="300">
        <f t="shared" si="132"/>
        <v>22955829.970487691</v>
      </c>
      <c r="BR58" s="298">
        <f t="shared" si="132"/>
        <v>17725.155899999998</v>
      </c>
      <c r="BS58" s="299">
        <f t="shared" si="133"/>
        <v>3814.369044307683</v>
      </c>
      <c r="BT58" s="300">
        <f t="shared" si="134"/>
        <v>67610285.970487684</v>
      </c>
      <c r="BV58" s="161">
        <f t="shared" si="135"/>
        <v>31320</v>
      </c>
      <c r="BW58" s="61">
        <f t="shared" si="79"/>
        <v>0.56593728927203057</v>
      </c>
    </row>
    <row r="59" spans="1:77" x14ac:dyDescent="0.2">
      <c r="A59" s="39"/>
      <c r="B59" s="530" t="s">
        <v>31</v>
      </c>
      <c r="C59" s="97" t="s">
        <v>27</v>
      </c>
      <c r="D59" s="79">
        <f>(D60/D61)-1</f>
        <v>5.6793303283966479E-2</v>
      </c>
      <c r="E59" s="126">
        <f>(E60/E61)-1</f>
        <v>3.9187174578532158E-2</v>
      </c>
      <c r="F59" s="79">
        <f>(F60/F61)-1</f>
        <v>9.8206046953178916E-2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8">J60/J61-1</f>
        <v>-0.48791848617176126</v>
      </c>
      <c r="K59" s="30">
        <f t="shared" si="138"/>
        <v>-5.8957797488392139E-2</v>
      </c>
      <c r="L59" s="79">
        <f t="shared" si="138"/>
        <v>-0.51810968436159599</v>
      </c>
      <c r="M59" s="83">
        <f t="shared" si="138"/>
        <v>-0.35375403040073694</v>
      </c>
      <c r="N59" s="30">
        <f t="shared" si="138"/>
        <v>1.0404452995898872E-2</v>
      </c>
      <c r="O59" s="79">
        <f t="shared" si="138"/>
        <v>-0.34703019458625228</v>
      </c>
      <c r="P59" s="83">
        <f t="shared" si="138"/>
        <v>-1.4381833473507188E-2</v>
      </c>
      <c r="Q59" s="30">
        <f t="shared" si="138"/>
        <v>2.9487097913639682E-2</v>
      </c>
      <c r="R59" s="79">
        <f t="shared" si="138"/>
        <v>1.468118590832157E-2</v>
      </c>
      <c r="S59" s="83">
        <f t="shared" si="138"/>
        <v>0.18007905138339919</v>
      </c>
      <c r="T59" s="30">
        <f t="shared" si="138"/>
        <v>2.5724373291906577E-2</v>
      </c>
      <c r="U59" s="79">
        <f t="shared" si="138"/>
        <v>0.21043584541514471</v>
      </c>
      <c r="V59" s="83">
        <f t="shared" si="138"/>
        <v>-0.15492957746478875</v>
      </c>
      <c r="W59" s="30">
        <f t="shared" si="138"/>
        <v>1.5451743714516297E-3</v>
      </c>
      <c r="X59" s="79">
        <f t="shared" si="138"/>
        <v>-0.15362379630581546</v>
      </c>
      <c r="Y59" s="83">
        <f t="shared" si="138"/>
        <v>9.5328884652046142E-4</v>
      </c>
      <c r="Z59" s="30">
        <f t="shared" si="138"/>
        <v>-4.1701246690435068E-2</v>
      </c>
      <c r="AA59" s="79">
        <f t="shared" si="138"/>
        <v>-4.0787711177270647E-2</v>
      </c>
      <c r="AB59" s="83" t="e">
        <f t="shared" si="138"/>
        <v>#DIV/0!</v>
      </c>
      <c r="AC59" s="30" t="e">
        <f t="shared" si="138"/>
        <v>#DIV/0!</v>
      </c>
      <c r="AD59" s="79" t="e">
        <f t="shared" si="138"/>
        <v>#DIV/0!</v>
      </c>
      <c r="AE59" s="83">
        <f t="shared" si="138"/>
        <v>-0.26744186046511631</v>
      </c>
      <c r="AF59" s="30">
        <f t="shared" si="138"/>
        <v>-1.1617889908954182E-2</v>
      </c>
      <c r="AG59" s="84">
        <f t="shared" si="138"/>
        <v>-0.27595264028214095</v>
      </c>
      <c r="AH59" s="83">
        <f t="shared" si="138"/>
        <v>-3.7679694519317186E-2</v>
      </c>
      <c r="AI59" s="30">
        <f t="shared" si="138"/>
        <v>2.7048308001428323E-2</v>
      </c>
      <c r="AJ59" s="84">
        <f t="shared" si="138"/>
        <v>-1.1650558500647001E-2</v>
      </c>
      <c r="AK59" s="82">
        <f t="shared" si="138"/>
        <v>-4.8310471729675508E-2</v>
      </c>
      <c r="AL59" s="30">
        <f t="shared" si="138"/>
        <v>1.0758960170053511E-2</v>
      </c>
      <c r="AM59" s="79">
        <f t="shared" si="138"/>
        <v>-3.8071282000757933E-2</v>
      </c>
      <c r="AN59" s="83">
        <f t="shared" si="138"/>
        <v>-2.5307797537619692E-2</v>
      </c>
      <c r="AO59" s="30">
        <f t="shared" si="138"/>
        <v>-4.1732749198352903E-2</v>
      </c>
      <c r="AP59" s="79">
        <f t="shared" si="138"/>
        <v>-6.5984382768572436E-2</v>
      </c>
      <c r="AQ59" s="83">
        <f t="shared" si="138"/>
        <v>-5.8939580764488242E-2</v>
      </c>
      <c r="AR59" s="30">
        <f t="shared" si="138"/>
        <v>0.2759264081959083</v>
      </c>
      <c r="AS59" s="79">
        <f t="shared" si="138"/>
        <v>0.2007238406105023</v>
      </c>
      <c r="AT59" s="83">
        <f t="shared" si="138"/>
        <v>-9.741697416974171E-2</v>
      </c>
      <c r="AU59" s="30">
        <f t="shared" si="138"/>
        <v>2.5708742047680255E-2</v>
      </c>
      <c r="AV59" s="79">
        <f t="shared" si="138"/>
        <v>-7.4212699982056818E-2</v>
      </c>
      <c r="AW59" s="83">
        <f t="shared" si="138"/>
        <v>0.35571428571428565</v>
      </c>
      <c r="AX59" s="30">
        <f t="shared" si="138"/>
        <v>8.357106875865461E-2</v>
      </c>
      <c r="AY59" s="84">
        <f t="shared" si="138"/>
        <v>0.46901277750280457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9">BO60/BO61-1</f>
        <v>-4.0565756082997506E-2</v>
      </c>
      <c r="BP59" s="30">
        <f t="shared" si="139"/>
        <v>4.2640179578167015E-2</v>
      </c>
      <c r="BQ59" s="84">
        <f t="shared" si="139"/>
        <v>3.4469237106637962E-4</v>
      </c>
      <c r="BR59" s="83">
        <f t="shared" si="139"/>
        <v>-3.8918797667115257E-2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30"/>
      <c r="C60" s="40" t="s">
        <v>35</v>
      </c>
      <c r="D60" s="125">
        <f>+D8+D12+D16+D20+D24+D28+D32+D36+D40+D44+D48+D52</f>
        <v>8206</v>
      </c>
      <c r="E60" s="105">
        <f>IF(D60=0,0,F60/D60)</f>
        <v>5915.5395338776507</v>
      </c>
      <c r="F60" s="103">
        <f>+F8+F12+F16+F20+F24+F28+F32+F36+F40+F44+F48+F52</f>
        <v>48542917.414999999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1759</v>
      </c>
      <c r="K60" s="105">
        <f>IF(J60=0,0,L60/J60)</f>
        <v>4233.9255713473567</v>
      </c>
      <c r="L60" s="103">
        <f>+L8+L12+L16+L20+L24+L28+L32+L36+L40+L44+L48+L52</f>
        <v>7447475.0800000001</v>
      </c>
      <c r="M60" s="125">
        <f>+M8+M12+M16+M20+M24+M28+M32+M36+M40+M44+M48+M52</f>
        <v>1403</v>
      </c>
      <c r="N60" s="105">
        <f>IF(M60=0,0,O60/M60)</f>
        <v>3443.246614397719</v>
      </c>
      <c r="O60" s="103">
        <f>+O8+O12+O16+O20+O24+O28+O32+O36+O40+O44+O48+O52</f>
        <v>4830875</v>
      </c>
      <c r="P60" s="125">
        <f>+P8+P12+P16+P20+P24+P28+P32+P36+P40+P44+P48+P52</f>
        <v>11719</v>
      </c>
      <c r="Q60" s="105">
        <f>IF(P60=0,0,R60/P60)</f>
        <v>3762.8524028842053</v>
      </c>
      <c r="R60" s="103">
        <f>+R8+R12+R16+R20+R24+R28+R32+R36+R40+R44+R48+R52</f>
        <v>44096867.3094</v>
      </c>
      <c r="S60" s="285">
        <f>+S8+S12+S16+S20+S24+S28+S32+S36+S40+S44+S48+S52</f>
        <v>7464</v>
      </c>
      <c r="T60" s="105">
        <f>IF(S60=0,0,U60/S60)</f>
        <v>3989.2658821409427</v>
      </c>
      <c r="U60" s="103">
        <f>+U8+U12+U16+U20+U24+U28+U32+U36+U40+U44+U48+U52</f>
        <v>29775880.544299997</v>
      </c>
      <c r="V60" s="125">
        <f>+V8+V12+V16+V20+V24+V28+V32+V36+V40+V44+V48+V52</f>
        <v>1560</v>
      </c>
      <c r="W60" s="105">
        <f>IF(V60=0,0,X60/V60)</f>
        <v>3324.7447692307692</v>
      </c>
      <c r="X60" s="103">
        <f>+X8+X12+X16+X20+X24+X28+X32+X36+X40+X44+X48+X52</f>
        <v>5186601.84</v>
      </c>
      <c r="Y60" s="125">
        <f>+Y8+Y12+Y16+Y20+Y24+Y28+Y32+Y36+Y40+Y44+Y48+Y52</f>
        <v>2100</v>
      </c>
      <c r="Z60" s="105">
        <f>IF(Y60=0,0,AA60/Y60)</f>
        <v>3561.7173809523811</v>
      </c>
      <c r="AA60" s="103">
        <f>+AA8+AA12+AA16+AA20+AA24+AA28+AA32+AA36+AA40+AA44+AA48+AA52</f>
        <v>7479606.5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63</v>
      </c>
      <c r="AF60" s="105">
        <f>IF(AE60=0,0,AG60/AE60)</f>
        <v>2511.7876904761906</v>
      </c>
      <c r="AG60" s="103">
        <f>+AG8+AG12+AG16+AG20+AG24+AG28+AG32+AG36+AG40+AG44+AG48+AG52</f>
        <v>158242.62450000001</v>
      </c>
      <c r="AH60" s="125">
        <f>+AH8+AH12+AH16+AH20+AH24+AH28+AH32+AH36+AH40+AH44+AH48+AH52</f>
        <v>34274</v>
      </c>
      <c r="AI60" s="105">
        <f>IF(AH60=0,0,AJ60/AH60)</f>
        <v>4304.0924990721833</v>
      </c>
      <c r="AJ60" s="103">
        <f>+AJ8+AJ12+AJ16+AJ20+AJ24+AJ28+AJ32+AJ36+AJ40+AJ44+AJ48+AJ52</f>
        <v>147518466.3132</v>
      </c>
      <c r="AK60" s="125">
        <f>+AK8+AK12+AK16+AK20+AK24+AK28+AK32+AK36+AK40+AK44+AK48+AK52</f>
        <v>14223</v>
      </c>
      <c r="AL60" s="105">
        <f>IF(AK60=0,0,AM60/AK60)</f>
        <v>3658.8527511354846</v>
      </c>
      <c r="AM60" s="103">
        <f>+AM8+AM12+AM16+AM20+AM24+AM28+AM32+AM36+AM40+AM44+AM48+AM52</f>
        <v>52039862.679399997</v>
      </c>
      <c r="AN60" s="125">
        <f>+AN8+AN12+AN16+AN20+AN24+AN28+AN32+AN36+AN40+AN44+AN48+AN52</f>
        <v>4275</v>
      </c>
      <c r="AO60" s="105">
        <f>IF(AN60=0,0,AP60/AN60)</f>
        <v>3768.1740350877194</v>
      </c>
      <c r="AP60" s="103">
        <f>+AP8+AP12+AP16+AP20+AP24+AP28+AP32+AP36+AP40+AP44+AP48+AP52</f>
        <v>16108944</v>
      </c>
      <c r="AQ60" s="125">
        <f>+AQ8+AQ12+AQ16+AQ20+AQ24+AQ28+AQ32+AQ36+AQ40+AQ44+AQ48+AQ52</f>
        <v>3816</v>
      </c>
      <c r="AR60" s="105">
        <f>IF(AQ60=0,0,AS60/AQ60)</f>
        <v>4239.9981656184482</v>
      </c>
      <c r="AS60" s="103">
        <f>+AS8+AS12+AS16+AS20+AS24+AS28+AS32+AS36+AS40+AS44+AS48+AS52</f>
        <v>16179833</v>
      </c>
      <c r="AT60" s="125">
        <f>+AT8+AT12+AT16+AT20+AT24+AT28+AT32+AT36+AT40+AT44+AT48+AT52</f>
        <v>2446</v>
      </c>
      <c r="AU60" s="105">
        <f>IF(AT60=0,0,AV60/AT60)</f>
        <v>3117.6678372853639</v>
      </c>
      <c r="AV60" s="103">
        <f>+AV8+AV12+AV16+AV20+AV24+AV28+AV32+AV36+AV40+AV44+AV48+AV52</f>
        <v>7625815.5300000003</v>
      </c>
      <c r="AW60" s="125">
        <f>+AW8+AW12+AW16+AW20+AW24+AW28+AW32+AW36+AW40+AW44+AW48+AW52</f>
        <v>949</v>
      </c>
      <c r="AX60" s="105">
        <f>IF(AW60=0,0,AY60/AW60)</f>
        <v>3752.9948354056901</v>
      </c>
      <c r="AY60" s="103">
        <f>+AY8+AY12+AY16+AY20+AY24+AY28+AY32+AY36+AY40+AY44+AY48+AY52</f>
        <v>3561592.0987999998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40">SUMIF($C$8:$C$54,$C60,BE$8:BE$54)</f>
        <v>0</v>
      </c>
      <c r="BF60" s="105">
        <f t="shared" si="140"/>
        <v>0</v>
      </c>
      <c r="BG60" s="105">
        <f>IF(BF60=0,0,BH60/BF60)</f>
        <v>0</v>
      </c>
      <c r="BH60" s="96">
        <f t="shared" ref="BH60:BI62" si="141">SUMIF($C$8:$C$54,$C60,BH$8:BH$54)</f>
        <v>0</v>
      </c>
      <c r="BI60" s="105">
        <f t="shared" si="141"/>
        <v>0</v>
      </c>
      <c r="BJ60" s="105">
        <f>IF(BI60=0,0,BK60/BI60)</f>
        <v>0</v>
      </c>
      <c r="BK60" s="96">
        <f t="shared" ref="BK60:BL62" si="142">SUMIF($C$8:$C$54,$C60,BK$8:BK$54)</f>
        <v>0</v>
      </c>
      <c r="BL60" s="105">
        <f t="shared" si="142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25709</v>
      </c>
      <c r="BP60" s="305">
        <f t="shared" si="6"/>
        <v>3715.2766466295852</v>
      </c>
      <c r="BQ60" s="103">
        <f>+BQ8+BQ12+BQ16+BQ20+BQ24+BQ28+BQ32+BQ36+BQ40+BQ44+BQ48+BQ52</f>
        <v>95516047.308200002</v>
      </c>
      <c r="BR60" s="108">
        <f>+BR8+BR12+BR16+BR20+BR24+BR28+BR32+BR36+BR40+BR44+BR48+BR52</f>
        <v>59983</v>
      </c>
      <c r="BS60" s="105">
        <f>IF(BR60=0,0,BT60/BR60)</f>
        <v>4051.7232152676597</v>
      </c>
      <c r="BT60" s="103">
        <f>+BT8+BT12+BT16+BT20+BT24+BT28+BT32+BT36+BT40+BT44+BT48+BT52</f>
        <v>243034513.62140003</v>
      </c>
      <c r="BU60" s="109"/>
      <c r="BV60" s="58">
        <v>95265</v>
      </c>
      <c r="BW60" s="110">
        <f t="shared" si="79"/>
        <v>0.62964362567574661</v>
      </c>
      <c r="BY60" s="111"/>
    </row>
    <row r="61" spans="1:77" s="2" customFormat="1" x14ac:dyDescent="0.2">
      <c r="B61" s="530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40"/>
        <v>0</v>
      </c>
      <c r="BF61" s="45">
        <f t="shared" si="140"/>
        <v>0</v>
      </c>
      <c r="BG61" s="46">
        <f>IF(BF61=0,0,BH61/BF61)</f>
        <v>0</v>
      </c>
      <c r="BH61" s="47">
        <f t="shared" si="141"/>
        <v>0</v>
      </c>
      <c r="BI61" s="45">
        <f t="shared" si="141"/>
        <v>0</v>
      </c>
      <c r="BJ61" s="46">
        <f>IF(BI61=0,0,BK61/BI61)</f>
        <v>0</v>
      </c>
      <c r="BK61" s="47">
        <f t="shared" si="142"/>
        <v>0</v>
      </c>
      <c r="BL61" s="45">
        <f t="shared" si="142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31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40"/>
        <v>0</v>
      </c>
      <c r="BF62" s="66">
        <f t="shared" si="140"/>
        <v>0</v>
      </c>
      <c r="BG62" s="67">
        <f>IF(BF62=0,0,BH62/BF62)</f>
        <v>0</v>
      </c>
      <c r="BH62" s="68">
        <f t="shared" si="141"/>
        <v>0</v>
      </c>
      <c r="BI62" s="66">
        <f t="shared" si="141"/>
        <v>0</v>
      </c>
      <c r="BJ62" s="67">
        <f>IF(BI62=0,0,BK62/BI62)</f>
        <v>0</v>
      </c>
      <c r="BK62" s="68">
        <f t="shared" si="142"/>
        <v>0</v>
      </c>
      <c r="BL62" s="66">
        <f t="shared" si="142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120" customFormat="1" x14ac:dyDescent="0.2">
      <c r="B64" s="120">
        <v>2</v>
      </c>
      <c r="C64" s="120">
        <f>B64+1</f>
        <v>3</v>
      </c>
      <c r="D64" s="120">
        <f>C64+1</f>
        <v>4</v>
      </c>
      <c r="E64" s="120">
        <f t="shared" ref="E64:BP64" si="143">D64+1</f>
        <v>5</v>
      </c>
      <c r="F64" s="120">
        <f t="shared" si="143"/>
        <v>6</v>
      </c>
      <c r="G64" s="120">
        <f>F64+1</f>
        <v>7</v>
      </c>
      <c r="H64" s="120">
        <f t="shared" si="143"/>
        <v>8</v>
      </c>
      <c r="I64" s="120">
        <f t="shared" si="143"/>
        <v>9</v>
      </c>
      <c r="J64" s="120">
        <f t="shared" si="143"/>
        <v>10</v>
      </c>
      <c r="K64" s="120">
        <f t="shared" si="143"/>
        <v>11</v>
      </c>
      <c r="L64" s="120">
        <f t="shared" si="143"/>
        <v>12</v>
      </c>
      <c r="M64" s="120">
        <f t="shared" si="143"/>
        <v>13</v>
      </c>
      <c r="N64" s="120">
        <f>M64+1</f>
        <v>14</v>
      </c>
      <c r="O64" s="120">
        <f t="shared" si="143"/>
        <v>15</v>
      </c>
      <c r="P64" s="120">
        <f t="shared" si="143"/>
        <v>16</v>
      </c>
      <c r="Q64" s="120">
        <f t="shared" si="143"/>
        <v>17</v>
      </c>
      <c r="R64" s="120">
        <f t="shared" si="143"/>
        <v>18</v>
      </c>
      <c r="S64" s="120">
        <f t="shared" si="143"/>
        <v>19</v>
      </c>
      <c r="T64" s="120">
        <f t="shared" si="143"/>
        <v>20</v>
      </c>
      <c r="U64" s="120">
        <f t="shared" si="143"/>
        <v>21</v>
      </c>
      <c r="V64" s="120">
        <f t="shared" si="143"/>
        <v>22</v>
      </c>
      <c r="W64" s="120">
        <f t="shared" si="143"/>
        <v>23</v>
      </c>
      <c r="X64" s="120">
        <f t="shared" si="143"/>
        <v>24</v>
      </c>
      <c r="Y64" s="120">
        <f t="shared" si="143"/>
        <v>25</v>
      </c>
      <c r="Z64" s="120">
        <f t="shared" si="143"/>
        <v>26</v>
      </c>
      <c r="AA64" s="120">
        <f t="shared" si="143"/>
        <v>27</v>
      </c>
      <c r="AB64" s="120">
        <f t="shared" si="143"/>
        <v>28</v>
      </c>
      <c r="AC64" s="120">
        <f t="shared" si="143"/>
        <v>29</v>
      </c>
      <c r="AD64" s="120">
        <f t="shared" si="143"/>
        <v>30</v>
      </c>
      <c r="AE64" s="120">
        <f t="shared" si="143"/>
        <v>31</v>
      </c>
      <c r="AF64" s="120">
        <f t="shared" si="143"/>
        <v>32</v>
      </c>
      <c r="AG64" s="120">
        <f t="shared" si="143"/>
        <v>33</v>
      </c>
      <c r="AH64" s="120">
        <f t="shared" si="143"/>
        <v>34</v>
      </c>
      <c r="AI64" s="120">
        <f t="shared" si="143"/>
        <v>35</v>
      </c>
      <c r="AJ64" s="120">
        <f t="shared" si="143"/>
        <v>36</v>
      </c>
      <c r="AK64" s="120">
        <f t="shared" si="143"/>
        <v>37</v>
      </c>
      <c r="AL64" s="120">
        <f t="shared" si="143"/>
        <v>38</v>
      </c>
      <c r="AM64" s="120">
        <f t="shared" si="143"/>
        <v>39</v>
      </c>
      <c r="AN64" s="120">
        <f t="shared" si="143"/>
        <v>40</v>
      </c>
      <c r="AO64" s="120">
        <f t="shared" si="143"/>
        <v>41</v>
      </c>
      <c r="AP64" s="120">
        <f t="shared" si="143"/>
        <v>42</v>
      </c>
      <c r="AQ64" s="120">
        <f t="shared" si="143"/>
        <v>43</v>
      </c>
      <c r="AR64" s="120">
        <f t="shared" si="143"/>
        <v>44</v>
      </c>
      <c r="AS64" s="120">
        <f t="shared" si="143"/>
        <v>45</v>
      </c>
      <c r="AT64" s="120">
        <f t="shared" si="143"/>
        <v>46</v>
      </c>
      <c r="AU64" s="120">
        <f t="shared" si="143"/>
        <v>47</v>
      </c>
      <c r="AV64" s="120">
        <f t="shared" si="143"/>
        <v>48</v>
      </c>
      <c r="AW64" s="120">
        <f t="shared" si="143"/>
        <v>49</v>
      </c>
      <c r="AX64" s="120">
        <f t="shared" si="143"/>
        <v>50</v>
      </c>
      <c r="AY64" s="120">
        <f t="shared" si="143"/>
        <v>51</v>
      </c>
      <c r="AZ64" s="120">
        <f t="shared" si="143"/>
        <v>52</v>
      </c>
      <c r="BA64" s="120">
        <f t="shared" si="143"/>
        <v>53</v>
      </c>
      <c r="BB64" s="120">
        <f t="shared" si="143"/>
        <v>54</v>
      </c>
      <c r="BC64" s="120">
        <f t="shared" si="143"/>
        <v>55</v>
      </c>
      <c r="BD64" s="120">
        <f t="shared" si="143"/>
        <v>56</v>
      </c>
      <c r="BE64" s="120">
        <f t="shared" si="143"/>
        <v>57</v>
      </c>
      <c r="BF64" s="120">
        <f t="shared" si="143"/>
        <v>58</v>
      </c>
      <c r="BG64" s="120">
        <f t="shared" si="143"/>
        <v>59</v>
      </c>
      <c r="BH64" s="120">
        <f t="shared" si="143"/>
        <v>60</v>
      </c>
      <c r="BI64" s="120">
        <f t="shared" si="143"/>
        <v>61</v>
      </c>
      <c r="BJ64" s="120">
        <f t="shared" si="143"/>
        <v>62</v>
      </c>
      <c r="BK64" s="120">
        <f t="shared" si="143"/>
        <v>63</v>
      </c>
      <c r="BL64" s="120">
        <f t="shared" si="143"/>
        <v>64</v>
      </c>
      <c r="BM64" s="120">
        <f t="shared" si="143"/>
        <v>65</v>
      </c>
      <c r="BN64" s="120">
        <f t="shared" si="143"/>
        <v>66</v>
      </c>
      <c r="BO64" s="120">
        <f t="shared" si="143"/>
        <v>67</v>
      </c>
      <c r="BP64" s="120">
        <f t="shared" si="143"/>
        <v>68</v>
      </c>
      <c r="BQ64" s="120">
        <f t="shared" ref="BQ64:BT64" si="144">BP64+1</f>
        <v>69</v>
      </c>
      <c r="BR64" s="120">
        <f t="shared" si="144"/>
        <v>70</v>
      </c>
      <c r="BS64" s="120">
        <f t="shared" si="144"/>
        <v>71</v>
      </c>
      <c r="BT64" s="120">
        <f t="shared" si="144"/>
        <v>72</v>
      </c>
      <c r="BU64" s="117"/>
    </row>
    <row r="65" spans="34:72" x14ac:dyDescent="0.2">
      <c r="AH65" s="122">
        <f>+D60+J60+M60+P60+S60+V60+Y570+Y60+AB60+AE60</f>
        <v>34274</v>
      </c>
      <c r="AI65" s="123"/>
      <c r="AJ65" s="121">
        <f>+AG60+AD60+AA60+X60+U60+R60+O60+L60+F60</f>
        <v>147518466.3132</v>
      </c>
      <c r="BO65" s="124">
        <f>+AK60+AN60+AQ60+AT60+AW60+AZ60</f>
        <v>25709</v>
      </c>
      <c r="BQ65" s="129">
        <f>+AM60+AP60+AS60+AV60+AY60+BB60</f>
        <v>95516047.308200002</v>
      </c>
      <c r="BR65" s="124">
        <f>+BO65+AH65</f>
        <v>59983</v>
      </c>
      <c r="BT65" s="130">
        <f>+BQ65+AJ65</f>
        <v>243034513.6214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B39:B42"/>
    <mergeCell ref="B43:B46"/>
    <mergeCell ref="B47:B50"/>
    <mergeCell ref="B51:B54"/>
    <mergeCell ref="B59:B62"/>
    <mergeCell ref="B55:B58"/>
    <mergeCell ref="B15:B18"/>
    <mergeCell ref="B19:B22"/>
    <mergeCell ref="B23:B26"/>
    <mergeCell ref="B27:B30"/>
    <mergeCell ref="B31:B34"/>
    <mergeCell ref="B35:B38"/>
    <mergeCell ref="BL5:BN5"/>
    <mergeCell ref="BO5:BQ5"/>
    <mergeCell ref="BR5:BT5"/>
    <mergeCell ref="BX5:BY5"/>
    <mergeCell ref="B7:B10"/>
    <mergeCell ref="B11:B14"/>
    <mergeCell ref="AT5:AV5"/>
    <mergeCell ref="AW5:AY5"/>
    <mergeCell ref="AZ5:BB5"/>
    <mergeCell ref="BC5:BE5"/>
    <mergeCell ref="BF5:BH5"/>
    <mergeCell ref="BI5:BK5"/>
    <mergeCell ref="AB5:AD5"/>
    <mergeCell ref="AE5:AG5"/>
    <mergeCell ref="AH5:AJ5"/>
    <mergeCell ref="AK5:AM5"/>
    <mergeCell ref="AN5:AP5"/>
    <mergeCell ref="AQ5:AS5"/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</mergeCells>
  <pageMargins left="0.7" right="0.7" top="0.75" bottom="0.75" header="0.3" footer="0.3"/>
  <pageSetup paperSize="9" scale="62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0.140625" style="207" customWidth="1"/>
    <col min="3" max="3" width="5.85546875" style="208" customWidth="1"/>
    <col min="4" max="4" width="15.7109375" style="209" customWidth="1"/>
    <col min="5" max="5" width="6.140625" style="210" customWidth="1"/>
    <col min="6" max="6" width="12.85546875" style="210" customWidth="1"/>
    <col min="7" max="7" width="15.7109375" style="207" customWidth="1"/>
    <col min="8" max="8" width="6.140625" style="208" customWidth="1"/>
    <col min="9" max="9" width="15.42578125" customWidth="1"/>
    <col min="10" max="10" width="14" hidden="1" customWidth="1"/>
    <col min="11" max="11" width="13" hidden="1" customWidth="1"/>
    <col min="12" max="12" width="13.28515625" style="211" bestFit="1" customWidth="1"/>
    <col min="13" max="13" width="14" style="211" customWidth="1"/>
  </cols>
  <sheetData>
    <row r="1" spans="1:13" x14ac:dyDescent="0.25">
      <c r="A1" s="206" t="s">
        <v>83</v>
      </c>
    </row>
    <row r="2" spans="1:13" x14ac:dyDescent="0.25">
      <c r="A2" s="206" t="s">
        <v>85</v>
      </c>
      <c r="M2"/>
    </row>
    <row r="3" spans="1:13" x14ac:dyDescent="0.25">
      <c r="A3" s="222"/>
      <c r="B3" s="223"/>
      <c r="C3" s="224"/>
      <c r="D3" s="225"/>
      <c r="E3" s="225"/>
      <c r="F3" s="225"/>
      <c r="G3" s="223"/>
      <c r="H3" s="224"/>
      <c r="M3"/>
    </row>
    <row r="4" spans="1:13" x14ac:dyDescent="0.25">
      <c r="A4" s="212"/>
      <c r="B4" s="215" t="s">
        <v>29</v>
      </c>
      <c r="C4" s="213" t="s">
        <v>36</v>
      </c>
      <c r="D4" s="214" t="s">
        <v>30</v>
      </c>
      <c r="E4" s="213" t="s">
        <v>36</v>
      </c>
      <c r="F4" s="213" t="s">
        <v>37</v>
      </c>
      <c r="G4" s="215" t="s">
        <v>38</v>
      </c>
      <c r="H4" s="213" t="s">
        <v>36</v>
      </c>
      <c r="K4" s="216"/>
      <c r="M4"/>
    </row>
    <row r="5" spans="1:13" s="207" customFormat="1" x14ac:dyDescent="0.25">
      <c r="A5" s="226" t="s">
        <v>39</v>
      </c>
      <c r="B5" s="227">
        <v>8091</v>
      </c>
      <c r="C5" s="228"/>
      <c r="D5" s="229">
        <v>8091</v>
      </c>
      <c r="E5" s="230"/>
      <c r="F5" s="230">
        <f>+(B5-D5)/D5</f>
        <v>0</v>
      </c>
      <c r="G5" s="227">
        <v>8091</v>
      </c>
      <c r="H5" s="230"/>
      <c r="J5" s="217"/>
      <c r="L5" s="218"/>
    </row>
    <row r="6" spans="1:13" s="207" customFormat="1" x14ac:dyDescent="0.25">
      <c r="A6" s="226" t="s">
        <v>40</v>
      </c>
      <c r="B6" s="227">
        <v>5397</v>
      </c>
      <c r="C6" s="228"/>
      <c r="D6" s="229">
        <v>5801</v>
      </c>
      <c r="E6" s="230"/>
      <c r="F6" s="230">
        <f t="shared" ref="F6:F11" si="0">+(B6-D6)/D6</f>
        <v>-6.9643164971556634E-2</v>
      </c>
      <c r="G6" s="227">
        <v>4617</v>
      </c>
      <c r="H6" s="230"/>
      <c r="J6" s="217"/>
      <c r="L6" s="218"/>
    </row>
    <row r="7" spans="1:13" s="207" customFormat="1" x14ac:dyDescent="0.25">
      <c r="A7" s="226" t="s">
        <v>41</v>
      </c>
      <c r="B7" s="227">
        <v>5087</v>
      </c>
      <c r="C7" s="228"/>
      <c r="D7" s="229">
        <v>5801</v>
      </c>
      <c r="E7" s="230"/>
      <c r="F7" s="230">
        <f t="shared" si="0"/>
        <v>-0.12308222720220652</v>
      </c>
      <c r="G7" s="227">
        <v>4423.9315999999999</v>
      </c>
      <c r="H7" s="230"/>
      <c r="J7" s="217"/>
      <c r="L7" s="218"/>
    </row>
    <row r="8" spans="1:13" s="207" customFormat="1" x14ac:dyDescent="0.25">
      <c r="A8" s="226" t="s">
        <v>42</v>
      </c>
      <c r="B8" s="231">
        <f>+B6/B5</f>
        <v>0.66703744901742679</v>
      </c>
      <c r="C8" s="228"/>
      <c r="D8" s="231">
        <f>+D6/D5</f>
        <v>0.7169694722531208</v>
      </c>
      <c r="E8" s="230"/>
      <c r="F8" s="230">
        <f t="shared" si="0"/>
        <v>-6.9643164971556662E-2</v>
      </c>
      <c r="G8" s="231">
        <f>+G6/G5</f>
        <v>0.57063403781979982</v>
      </c>
      <c r="H8" s="230"/>
      <c r="J8" s="217"/>
      <c r="L8" s="218"/>
    </row>
    <row r="9" spans="1:13" s="207" customFormat="1" x14ac:dyDescent="0.25">
      <c r="A9" s="226" t="s">
        <v>43</v>
      </c>
      <c r="B9" s="231">
        <f>+B7/B5</f>
        <v>0.62872327277221607</v>
      </c>
      <c r="C9" s="228"/>
      <c r="D9" s="231">
        <f>+D7/D5</f>
        <v>0.7169694722531208</v>
      </c>
      <c r="E9" s="232"/>
      <c r="F9" s="230">
        <f t="shared" si="0"/>
        <v>-0.12308222720220653</v>
      </c>
      <c r="G9" s="231">
        <f>+G7/G5</f>
        <v>0.54677191941663572</v>
      </c>
      <c r="H9" s="230"/>
      <c r="J9" s="217"/>
      <c r="L9" s="218"/>
    </row>
    <row r="10" spans="1:13" s="207" customFormat="1" x14ac:dyDescent="0.25">
      <c r="A10" s="226" t="s">
        <v>44</v>
      </c>
      <c r="B10" s="233">
        <f>+(B15+B16)/B6</f>
        <v>3907.6516231239584</v>
      </c>
      <c r="C10" s="228"/>
      <c r="D10" s="233">
        <f>+(D15+D16)/D6</f>
        <v>4279.2242716772971</v>
      </c>
      <c r="E10" s="230"/>
      <c r="F10" s="230">
        <f t="shared" si="0"/>
        <v>-8.6831777201454324E-2</v>
      </c>
      <c r="G10" s="233">
        <f>+(G15+G16)/G6</f>
        <v>4020.1995905566382</v>
      </c>
      <c r="H10" s="230"/>
      <c r="J10" s="217"/>
      <c r="L10" s="218"/>
    </row>
    <row r="11" spans="1:13" s="207" customFormat="1" x14ac:dyDescent="0.25">
      <c r="A11" s="226" t="s">
        <v>45</v>
      </c>
      <c r="B11" s="233">
        <f>+(B15+B16)/B7</f>
        <v>4145.7825457047384</v>
      </c>
      <c r="C11" s="228"/>
      <c r="D11" s="233">
        <f>+(D15+D16)/D7</f>
        <v>4279.2242716772971</v>
      </c>
      <c r="E11" s="230"/>
      <c r="F11" s="230">
        <f t="shared" si="0"/>
        <v>-3.1183625232209328E-2</v>
      </c>
      <c r="G11" s="233">
        <f>+(G15+G16)/G7</f>
        <v>4195.6483932979436</v>
      </c>
      <c r="H11" s="230"/>
      <c r="J11" s="217"/>
      <c r="L11" s="218"/>
    </row>
    <row r="12" spans="1:13" x14ac:dyDescent="0.25">
      <c r="A12" s="234"/>
      <c r="B12" s="223"/>
      <c r="C12" s="224"/>
      <c r="D12" s="235"/>
      <c r="E12" s="236"/>
      <c r="F12" s="236"/>
      <c r="G12" s="237"/>
      <c r="H12" s="236"/>
      <c r="K12" s="216"/>
      <c r="M12"/>
    </row>
    <row r="13" spans="1:13" x14ac:dyDescent="0.25">
      <c r="A13" s="234"/>
      <c r="B13" s="223"/>
      <c r="C13" s="224"/>
      <c r="D13" s="235"/>
      <c r="E13" s="236"/>
      <c r="F13" s="236"/>
      <c r="G13" s="237"/>
      <c r="H13" s="236"/>
      <c r="K13" s="216"/>
      <c r="M13"/>
    </row>
    <row r="14" spans="1:13" x14ac:dyDescent="0.25">
      <c r="A14" s="234" t="s">
        <v>86</v>
      </c>
      <c r="B14" s="223"/>
      <c r="C14" s="224"/>
      <c r="D14" s="235"/>
      <c r="E14" s="236"/>
      <c r="F14" s="236"/>
      <c r="G14" s="237"/>
      <c r="H14" s="236"/>
      <c r="K14" s="216"/>
      <c r="M14"/>
    </row>
    <row r="15" spans="1:13" x14ac:dyDescent="0.25">
      <c r="A15" s="238" t="s">
        <v>46</v>
      </c>
      <c r="B15" s="223">
        <v>16430289.15</v>
      </c>
      <c r="C15" s="224">
        <f>B15/B18</f>
        <v>0.7724694879369618</v>
      </c>
      <c r="D15" s="239">
        <v>13647170</v>
      </c>
      <c r="E15" s="224">
        <f>D15/D18</f>
        <v>0.54666271118574861</v>
      </c>
      <c r="F15" s="230">
        <f t="shared" ref="F15:F58" si="1">+(B15-D15)/D15</f>
        <v>0.20393379359969871</v>
      </c>
      <c r="G15" s="223">
        <v>11920441</v>
      </c>
      <c r="H15" s="224">
        <f>G15/G18</f>
        <v>0.63789584535537636</v>
      </c>
      <c r="I15" s="219"/>
      <c r="J15" s="219">
        <f t="shared" ref="J15:J58" si="2">+B15-I15</f>
        <v>16430289.15</v>
      </c>
      <c r="K15" s="207"/>
      <c r="M15"/>
    </row>
    <row r="16" spans="1:13" x14ac:dyDescent="0.25">
      <c r="A16" s="238" t="s">
        <v>47</v>
      </c>
      <c r="B16" s="223">
        <v>4659306.66</v>
      </c>
      <c r="C16" s="224">
        <f>+B16/B18</f>
        <v>0.21905714482154903</v>
      </c>
      <c r="D16" s="239">
        <v>11176610</v>
      </c>
      <c r="E16" s="224">
        <f>+D16/D18</f>
        <v>0.44769984725520012</v>
      </c>
      <c r="F16" s="230">
        <f t="shared" si="1"/>
        <v>-0.58311986729428689</v>
      </c>
      <c r="G16" s="223">
        <v>6640820.5096000005</v>
      </c>
      <c r="H16" s="224">
        <f>+G16/G18</f>
        <v>0.3553687160420167</v>
      </c>
      <c r="I16" s="219"/>
      <c r="J16" s="219"/>
      <c r="K16" s="207"/>
      <c r="M16"/>
    </row>
    <row r="17" spans="1:13" x14ac:dyDescent="0.25">
      <c r="A17" s="240" t="s">
        <v>48</v>
      </c>
      <c r="B17" s="223">
        <v>180227.02</v>
      </c>
      <c r="C17" s="224">
        <f>+B17/B18</f>
        <v>8.4733672414891471E-3</v>
      </c>
      <c r="D17" s="239">
        <v>140736</v>
      </c>
      <c r="E17" s="224">
        <f>+D17/D18</f>
        <v>5.6374415590512549E-3</v>
      </c>
      <c r="F17" s="230">
        <f t="shared" si="1"/>
        <v>0.28060354138244648</v>
      </c>
      <c r="G17" s="223">
        <v>125866</v>
      </c>
      <c r="H17" s="224">
        <f>+G17/G18</f>
        <v>6.7354386026070509E-3</v>
      </c>
      <c r="I17" s="219"/>
      <c r="J17" s="219">
        <f t="shared" si="2"/>
        <v>180227.02</v>
      </c>
      <c r="K17" s="207"/>
      <c r="M17"/>
    </row>
    <row r="18" spans="1:13" s="206" customFormat="1" x14ac:dyDescent="0.25">
      <c r="A18" s="241" t="s">
        <v>49</v>
      </c>
      <c r="B18" s="256">
        <f>SUM(B15:B17)</f>
        <v>21269822.830000002</v>
      </c>
      <c r="C18" s="257">
        <f>SUM(C15:C17)</f>
        <v>1</v>
      </c>
      <c r="D18" s="256">
        <f>SUM(D15:D17)</f>
        <v>24964516</v>
      </c>
      <c r="E18" s="257">
        <f>SUM(E15:E17)</f>
        <v>1</v>
      </c>
      <c r="F18" s="257">
        <f t="shared" si="1"/>
        <v>-0.14799778894171223</v>
      </c>
      <c r="G18" s="256">
        <f>SUM(G15:G17)</f>
        <v>18687127.509599999</v>
      </c>
      <c r="H18" s="257">
        <f>SUM(H15:H17)</f>
        <v>1</v>
      </c>
      <c r="I18" s="220"/>
      <c r="J18" s="220">
        <f t="shared" si="2"/>
        <v>21269822.830000002</v>
      </c>
      <c r="K18" s="217"/>
      <c r="L18" s="221"/>
      <c r="M18" s="221"/>
    </row>
    <row r="19" spans="1:13" x14ac:dyDescent="0.25">
      <c r="A19" s="234" t="s">
        <v>87</v>
      </c>
      <c r="B19" s="223"/>
      <c r="C19" s="224"/>
      <c r="D19" s="244"/>
      <c r="E19" s="225"/>
      <c r="F19" s="225"/>
      <c r="G19" s="223"/>
      <c r="H19" s="224"/>
      <c r="I19" s="219"/>
      <c r="J19" s="219">
        <f t="shared" si="2"/>
        <v>0</v>
      </c>
      <c r="K19" s="207"/>
    </row>
    <row r="20" spans="1:13" x14ac:dyDescent="0.25">
      <c r="A20" s="245" t="s">
        <v>50</v>
      </c>
      <c r="B20" s="226">
        <f>SUM([2]Sheet1!$BL$95)</f>
        <v>0</v>
      </c>
      <c r="C20" s="230">
        <f>+B20/B18</f>
        <v>0</v>
      </c>
      <c r="D20" s="246">
        <v>752313</v>
      </c>
      <c r="E20" s="230">
        <f>+D20/D18</f>
        <v>3.0135292829230095E-2</v>
      </c>
      <c r="F20" s="230">
        <f t="shared" si="1"/>
        <v>-1</v>
      </c>
      <c r="G20" s="223">
        <v>614135.53</v>
      </c>
      <c r="H20" s="230">
        <f>+G20/G18</f>
        <v>3.286409479918756E-2</v>
      </c>
      <c r="I20" s="219"/>
      <c r="J20" s="219"/>
      <c r="K20" s="207"/>
    </row>
    <row r="21" spans="1:13" x14ac:dyDescent="0.25">
      <c r="A21" s="245" t="s">
        <v>51</v>
      </c>
      <c r="B21" s="226">
        <f>SUM([2]Sheet1!$BL$98)</f>
        <v>0</v>
      </c>
      <c r="C21" s="230">
        <f>+B21/B18</f>
        <v>0</v>
      </c>
      <c r="D21" s="246">
        <v>62692.75</v>
      </c>
      <c r="E21" s="230">
        <f>+D21/D18</f>
        <v>2.5112744024358411E-3</v>
      </c>
      <c r="F21" s="230">
        <f t="shared" si="1"/>
        <v>-1</v>
      </c>
      <c r="G21" s="223">
        <v>51177.960833333338</v>
      </c>
      <c r="H21" s="230">
        <f>+G21/G18</f>
        <v>2.738674566598963E-3</v>
      </c>
      <c r="I21" s="219"/>
      <c r="J21" s="219"/>
      <c r="K21" s="207"/>
    </row>
    <row r="22" spans="1:13" x14ac:dyDescent="0.25">
      <c r="A22" s="245" t="s">
        <v>52</v>
      </c>
      <c r="B22" s="226">
        <f>SUM([2]Sheet1!$BL$97)</f>
        <v>67644.899999999994</v>
      </c>
      <c r="C22" s="230">
        <f>+B22/B18</f>
        <v>3.1803226825467632E-3</v>
      </c>
      <c r="D22" s="246">
        <v>321692</v>
      </c>
      <c r="E22" s="230">
        <f>+D22/D18</f>
        <v>1.2885969830138105E-2</v>
      </c>
      <c r="F22" s="230">
        <f t="shared" si="1"/>
        <v>-0.7897215348842993</v>
      </c>
      <c r="G22" s="223">
        <v>310956.38</v>
      </c>
      <c r="H22" s="230">
        <f>+G22/G18</f>
        <v>1.6640137968783844E-2</v>
      </c>
      <c r="I22" s="219"/>
      <c r="J22" s="219"/>
      <c r="K22" s="207"/>
    </row>
    <row r="23" spans="1:13" x14ac:dyDescent="0.25">
      <c r="A23" s="245" t="s">
        <v>53</v>
      </c>
      <c r="B23" s="226">
        <f>SUM([2]Sheet1!$BL$96)</f>
        <v>0</v>
      </c>
      <c r="C23" s="230">
        <f>+B23/B18</f>
        <v>0</v>
      </c>
      <c r="D23" s="246">
        <v>257199</v>
      </c>
      <c r="E23" s="230">
        <f>+D23/D18</f>
        <v>1.0302583074312355E-2</v>
      </c>
      <c r="F23" s="230">
        <f t="shared" si="1"/>
        <v>-1</v>
      </c>
      <c r="G23" s="223">
        <v>243870.36</v>
      </c>
      <c r="H23" s="230">
        <f>+G23/G18</f>
        <v>1.3050179053721246E-2</v>
      </c>
      <c r="I23" s="219"/>
      <c r="J23" s="219"/>
      <c r="K23" s="207"/>
    </row>
    <row r="24" spans="1:13" s="206" customFormat="1" ht="15.75" customHeight="1" x14ac:dyDescent="0.25">
      <c r="A24" s="247" t="s">
        <v>88</v>
      </c>
      <c r="B24" s="259">
        <f>SUM(B20:B23)</f>
        <v>67644.899999999994</v>
      </c>
      <c r="C24" s="260">
        <f>+B24/B18</f>
        <v>3.1803226825467632E-3</v>
      </c>
      <c r="D24" s="259">
        <f>SUM(D20:D23)</f>
        <v>1393896.75</v>
      </c>
      <c r="E24" s="260">
        <f>+D24/D18</f>
        <v>5.5835120136116398E-2</v>
      </c>
      <c r="F24" s="257">
        <f t="shared" si="1"/>
        <v>-0.95147065232772809</v>
      </c>
      <c r="G24" s="256">
        <f>SUM(G20:G23)</f>
        <v>1220140.2308333335</v>
      </c>
      <c r="H24" s="260">
        <f>+G24/G18</f>
        <v>6.5293086388291621E-2</v>
      </c>
      <c r="I24" s="220"/>
      <c r="J24" s="220">
        <f t="shared" si="2"/>
        <v>67644.899999999994</v>
      </c>
      <c r="K24" s="217"/>
      <c r="L24" s="221"/>
      <c r="M24" s="221"/>
    </row>
    <row r="25" spans="1:13" x14ac:dyDescent="0.25">
      <c r="A25" s="247" t="s">
        <v>89</v>
      </c>
      <c r="B25" s="248"/>
      <c r="C25" s="249"/>
      <c r="D25" s="239"/>
      <c r="E25" s="249"/>
      <c r="F25" s="250"/>
      <c r="G25" s="223"/>
      <c r="H25" s="249"/>
      <c r="I25" s="219"/>
      <c r="J25" s="219">
        <f t="shared" si="2"/>
        <v>0</v>
      </c>
      <c r="K25" s="207"/>
    </row>
    <row r="26" spans="1:13" x14ac:dyDescent="0.25">
      <c r="A26" s="251" t="s">
        <v>54</v>
      </c>
      <c r="B26" s="248">
        <f>SUM([2]Sheet1!$BL$109)</f>
        <v>0</v>
      </c>
      <c r="C26" s="249">
        <f>+B26/B18</f>
        <v>0</v>
      </c>
      <c r="D26" s="239">
        <v>86741.07</v>
      </c>
      <c r="E26" s="249">
        <f>+D26/D18</f>
        <v>3.4745744720226105E-3</v>
      </c>
      <c r="F26" s="230">
        <f t="shared" si="1"/>
        <v>-1</v>
      </c>
      <c r="G26" s="223">
        <v>86741.07</v>
      </c>
      <c r="H26" s="249">
        <f>+G26/G18</f>
        <v>4.6417551309284513E-3</v>
      </c>
      <c r="I26" s="219"/>
      <c r="J26" s="219">
        <f t="shared" si="2"/>
        <v>0</v>
      </c>
      <c r="K26" s="207"/>
    </row>
    <row r="27" spans="1:13" x14ac:dyDescent="0.25">
      <c r="A27" s="251" t="s">
        <v>55</v>
      </c>
      <c r="B27" s="248">
        <f>SUM([2]Sheet1!$BL$103)</f>
        <v>128871.75</v>
      </c>
      <c r="C27" s="249">
        <f>+B27/B18</f>
        <v>6.0589009617058476E-3</v>
      </c>
      <c r="D27" s="239">
        <v>191377.85935855613</v>
      </c>
      <c r="E27" s="249">
        <f>+D27/D18</f>
        <v>7.6659951812627219E-3</v>
      </c>
      <c r="F27" s="230">
        <f t="shared" si="1"/>
        <v>-0.32661097562726815</v>
      </c>
      <c r="G27" s="223">
        <v>147393.22</v>
      </c>
      <c r="H27" s="249">
        <f>+G27/G18</f>
        <v>7.887419825453686E-3</v>
      </c>
      <c r="I27" s="219"/>
      <c r="J27" s="219">
        <f t="shared" si="2"/>
        <v>128871.75</v>
      </c>
      <c r="K27" s="207"/>
    </row>
    <row r="28" spans="1:13" x14ac:dyDescent="0.25">
      <c r="A28" s="251" t="s">
        <v>56</v>
      </c>
      <c r="B28" s="248">
        <f>SUM([2]Sheet1!$BL$101)</f>
        <v>834</v>
      </c>
      <c r="C28" s="249">
        <f>+B28/B18</f>
        <v>3.9210481754633397E-5</v>
      </c>
      <c r="D28" s="239">
        <v>92044.074150802204</v>
      </c>
      <c r="E28" s="249">
        <f>+D28/D18</f>
        <v>3.6869961408745999E-3</v>
      </c>
      <c r="F28" s="230">
        <f t="shared" si="1"/>
        <v>-0.99093912337437828</v>
      </c>
      <c r="G28" s="223">
        <v>75730.570000000007</v>
      </c>
      <c r="H28" s="249">
        <f>+G28/G18</f>
        <v>4.0525527511435615E-3</v>
      </c>
      <c r="I28" s="219"/>
      <c r="J28" s="219">
        <f t="shared" si="2"/>
        <v>834</v>
      </c>
      <c r="K28" s="207"/>
    </row>
    <row r="29" spans="1:13" x14ac:dyDescent="0.25">
      <c r="A29" s="251" t="s">
        <v>57</v>
      </c>
      <c r="B29" s="248"/>
      <c r="C29" s="249">
        <f>+B29/B18</f>
        <v>0</v>
      </c>
      <c r="D29" s="239"/>
      <c r="E29" s="249">
        <f>+D29/D18</f>
        <v>0</v>
      </c>
      <c r="F29" s="230" t="e">
        <f t="shared" si="1"/>
        <v>#DIV/0!</v>
      </c>
      <c r="G29" s="223"/>
      <c r="H29" s="249">
        <f>+G29/G18</f>
        <v>0</v>
      </c>
      <c r="I29" s="219"/>
      <c r="J29" s="219">
        <f t="shared" si="2"/>
        <v>0</v>
      </c>
      <c r="K29" s="207"/>
    </row>
    <row r="30" spans="1:13" x14ac:dyDescent="0.25">
      <c r="A30" s="251" t="s">
        <v>58</v>
      </c>
      <c r="B30" s="248">
        <f>SUM([2]Sheet1!$BL$116)</f>
        <v>0</v>
      </c>
      <c r="C30" s="249">
        <f>+B30/B18</f>
        <v>0</v>
      </c>
      <c r="D30" s="239">
        <v>103111.80629017339</v>
      </c>
      <c r="E30" s="249">
        <f>+D30/D18</f>
        <v>4.1303346834432276E-3</v>
      </c>
      <c r="F30" s="230">
        <f t="shared" si="1"/>
        <v>-1</v>
      </c>
      <c r="G30" s="223">
        <v>72920.75</v>
      </c>
      <c r="H30" s="249">
        <f>+G30/G18</f>
        <v>3.9021914931836885E-3</v>
      </c>
      <c r="I30" s="219"/>
      <c r="J30" s="219">
        <f t="shared" si="2"/>
        <v>0</v>
      </c>
      <c r="K30" s="207"/>
    </row>
    <row r="31" spans="1:13" x14ac:dyDescent="0.25">
      <c r="A31" s="251" t="s">
        <v>59</v>
      </c>
      <c r="B31" s="248">
        <f>SUM([2]Sheet1!$BL$115)</f>
        <v>0</v>
      </c>
      <c r="C31" s="249">
        <f>+B31/B18</f>
        <v>0</v>
      </c>
      <c r="D31" s="239">
        <v>344392.84</v>
      </c>
      <c r="E31" s="249">
        <f>+D31/D18</f>
        <v>1.3795294088617622E-2</v>
      </c>
      <c r="F31" s="230">
        <f t="shared" si="1"/>
        <v>-1</v>
      </c>
      <c r="G31" s="223">
        <v>344392.84</v>
      </c>
      <c r="H31" s="249">
        <f>+G31/G18</f>
        <v>1.8429415640422941E-2</v>
      </c>
      <c r="I31" s="219"/>
      <c r="J31" s="219">
        <f t="shared" si="2"/>
        <v>0</v>
      </c>
      <c r="K31" s="207"/>
    </row>
    <row r="32" spans="1:13" x14ac:dyDescent="0.25">
      <c r="A32" s="251" t="s">
        <v>60</v>
      </c>
      <c r="B32" s="248"/>
      <c r="C32" s="249">
        <f>+B32/B18</f>
        <v>0</v>
      </c>
      <c r="D32" s="239"/>
      <c r="E32" s="249">
        <f>+D32/D18</f>
        <v>0</v>
      </c>
      <c r="F32" s="230" t="e">
        <f t="shared" si="1"/>
        <v>#DIV/0!</v>
      </c>
      <c r="G32" s="223"/>
      <c r="H32" s="249">
        <f>+G32/G18</f>
        <v>0</v>
      </c>
      <c r="I32" s="219"/>
      <c r="J32" s="219">
        <f t="shared" si="2"/>
        <v>0</v>
      </c>
      <c r="K32" s="207"/>
    </row>
    <row r="33" spans="1:13" x14ac:dyDescent="0.25">
      <c r="A33" s="251" t="s">
        <v>61</v>
      </c>
      <c r="B33" s="248">
        <f>SUM([2]Sheet1!$BL$107)</f>
        <v>0</v>
      </c>
      <c r="C33" s="249">
        <f>+B33/B18</f>
        <v>0</v>
      </c>
      <c r="D33" s="239">
        <v>20000</v>
      </c>
      <c r="E33" s="249">
        <f>+D33/D18</f>
        <v>8.0113710195703369E-4</v>
      </c>
      <c r="F33" s="230">
        <f t="shared" si="1"/>
        <v>-1</v>
      </c>
      <c r="G33" s="223">
        <v>69916.070000000007</v>
      </c>
      <c r="H33" s="249">
        <f>+G33/G18</f>
        <v>3.7414027364067884E-3</v>
      </c>
      <c r="I33" s="219"/>
      <c r="J33" s="219">
        <f t="shared" si="2"/>
        <v>0</v>
      </c>
      <c r="K33" s="207"/>
    </row>
    <row r="34" spans="1:13" x14ac:dyDescent="0.25">
      <c r="A34" s="251" t="s">
        <v>62</v>
      </c>
      <c r="B34" s="248"/>
      <c r="C34" s="249">
        <f>+B34/B18</f>
        <v>0</v>
      </c>
      <c r="D34" s="239"/>
      <c r="E34" s="249">
        <f>+D34/D18</f>
        <v>0</v>
      </c>
      <c r="F34" s="230" t="e">
        <f t="shared" si="1"/>
        <v>#DIV/0!</v>
      </c>
      <c r="G34" s="223"/>
      <c r="H34" s="249">
        <f>+G34/G18</f>
        <v>0</v>
      </c>
      <c r="I34" s="219"/>
      <c r="J34" s="219">
        <f t="shared" si="2"/>
        <v>0</v>
      </c>
      <c r="K34" s="207"/>
      <c r="L34"/>
      <c r="M34"/>
    </row>
    <row r="35" spans="1:13" x14ac:dyDescent="0.25">
      <c r="A35" s="251" t="s">
        <v>63</v>
      </c>
      <c r="B35" s="248"/>
      <c r="C35" s="249">
        <f>+B35/B18</f>
        <v>0</v>
      </c>
      <c r="D35" s="239"/>
      <c r="E35" s="249">
        <f>+D35/D18</f>
        <v>0</v>
      </c>
      <c r="F35" s="230" t="e">
        <f t="shared" si="1"/>
        <v>#DIV/0!</v>
      </c>
      <c r="G35" s="223"/>
      <c r="H35" s="249">
        <f>+G35/G18</f>
        <v>0</v>
      </c>
      <c r="I35" s="219"/>
      <c r="J35" s="219">
        <f t="shared" si="2"/>
        <v>0</v>
      </c>
      <c r="K35" s="207"/>
      <c r="L35"/>
      <c r="M35"/>
    </row>
    <row r="36" spans="1:13" x14ac:dyDescent="0.25">
      <c r="A36" s="251" t="s">
        <v>64</v>
      </c>
      <c r="B36" s="248"/>
      <c r="C36" s="249">
        <f>+B36/B18</f>
        <v>0</v>
      </c>
      <c r="D36" s="239"/>
      <c r="E36" s="249">
        <f>+D36/D18</f>
        <v>0</v>
      </c>
      <c r="F36" s="230" t="e">
        <f t="shared" si="1"/>
        <v>#DIV/0!</v>
      </c>
      <c r="G36" s="223"/>
      <c r="H36" s="249">
        <f>+G36/G18</f>
        <v>0</v>
      </c>
      <c r="I36" s="219"/>
      <c r="J36" s="219">
        <f t="shared" si="2"/>
        <v>0</v>
      </c>
      <c r="K36" s="207"/>
      <c r="L36"/>
      <c r="M36"/>
    </row>
    <row r="37" spans="1:13" x14ac:dyDescent="0.25">
      <c r="A37" s="251" t="s">
        <v>65</v>
      </c>
      <c r="B37" s="248">
        <f>SUM([2]Sheet1!$BL$104)</f>
        <v>434237.39</v>
      </c>
      <c r="C37" s="249">
        <f>+B37/B18</f>
        <v>2.0415656184382049E-2</v>
      </c>
      <c r="D37" s="239">
        <v>812108.45999153436</v>
      </c>
      <c r="E37" s="249">
        <f>+D37/D18</f>
        <v>3.2530510905620376E-2</v>
      </c>
      <c r="F37" s="230">
        <f t="shared" si="1"/>
        <v>-0.46529631029268353</v>
      </c>
      <c r="G37" s="223">
        <v>532332.06000000006</v>
      </c>
      <c r="H37" s="249">
        <f>+G37/G18</f>
        <v>2.8486564332936084E-2</v>
      </c>
      <c r="I37" s="219"/>
      <c r="J37" s="219">
        <f t="shared" si="2"/>
        <v>434237.39</v>
      </c>
      <c r="K37" s="207"/>
      <c r="L37"/>
      <c r="M37"/>
    </row>
    <row r="38" spans="1:13" x14ac:dyDescent="0.25">
      <c r="A38" s="251" t="s">
        <v>66</v>
      </c>
      <c r="B38" s="248">
        <f>SUM([2]Sheet1!$BL$102)</f>
        <v>0</v>
      </c>
      <c r="C38" s="249">
        <f>+B38/B18</f>
        <v>0</v>
      </c>
      <c r="D38" s="239">
        <v>387.57</v>
      </c>
      <c r="E38" s="249">
        <f>+D38/D18</f>
        <v>1.5524835330274379E-5</v>
      </c>
      <c r="F38" s="230">
        <f t="shared" si="1"/>
        <v>-1</v>
      </c>
      <c r="G38" s="223">
        <v>387.57</v>
      </c>
      <c r="H38" s="249">
        <f>+G38/G18</f>
        <v>2.0739945173537055E-5</v>
      </c>
      <c r="I38" s="219"/>
      <c r="J38" s="219">
        <f t="shared" si="2"/>
        <v>0</v>
      </c>
      <c r="K38" s="207"/>
      <c r="L38"/>
      <c r="M38"/>
    </row>
    <row r="39" spans="1:13" x14ac:dyDescent="0.25">
      <c r="A39" s="251" t="s">
        <v>67</v>
      </c>
      <c r="B39" s="248">
        <f>SUM([2]Sheet1!$BL$100)</f>
        <v>126017.32</v>
      </c>
      <c r="C39" s="249">
        <f>+B39/B18</f>
        <v>5.9247000319278161E-3</v>
      </c>
      <c r="D39" s="239">
        <v>608702.94795752107</v>
      </c>
      <c r="E39" s="249">
        <f>+D39/D18</f>
        <v>2.4382725783969578E-2</v>
      </c>
      <c r="F39" s="230">
        <f t="shared" si="1"/>
        <v>-0.79297402711314902</v>
      </c>
      <c r="G39" s="223">
        <v>445425.3</v>
      </c>
      <c r="H39" s="249">
        <f>+G39/G18</f>
        <v>2.3835942670759589E-2</v>
      </c>
      <c r="I39" s="219"/>
      <c r="J39" s="219">
        <f t="shared" si="2"/>
        <v>126017.32</v>
      </c>
      <c r="K39" s="207"/>
      <c r="L39"/>
      <c r="M39"/>
    </row>
    <row r="40" spans="1:13" x14ac:dyDescent="0.25">
      <c r="A40" s="251" t="s">
        <v>68</v>
      </c>
      <c r="B40" s="248"/>
      <c r="C40" s="249">
        <f>+B40/B18</f>
        <v>0</v>
      </c>
      <c r="D40" s="239"/>
      <c r="E40" s="249">
        <f>+D40/D18</f>
        <v>0</v>
      </c>
      <c r="F40" s="230" t="e">
        <f t="shared" si="1"/>
        <v>#DIV/0!</v>
      </c>
      <c r="G40" s="223"/>
      <c r="H40" s="249">
        <f>+G40/G18</f>
        <v>0</v>
      </c>
      <c r="I40" s="219"/>
      <c r="J40" s="219">
        <f t="shared" si="2"/>
        <v>0</v>
      </c>
      <c r="K40" s="207"/>
      <c r="L40"/>
      <c r="M40"/>
    </row>
    <row r="41" spans="1:13" x14ac:dyDescent="0.25">
      <c r="A41" s="251" t="s">
        <v>69</v>
      </c>
      <c r="B41" s="248">
        <f>SUM([2]Sheet1!$BL$113)</f>
        <v>0</v>
      </c>
      <c r="C41" s="249">
        <f>+B41/B18</f>
        <v>0</v>
      </c>
      <c r="D41" s="239">
        <v>94327.32</v>
      </c>
      <c r="E41" s="249">
        <f>+D41/D18</f>
        <v>3.7784557890086878E-3</v>
      </c>
      <c r="F41" s="230">
        <f t="shared" si="1"/>
        <v>-1</v>
      </c>
      <c r="G41" s="223">
        <v>94327.32</v>
      </c>
      <c r="H41" s="249">
        <f>+G41/G18</f>
        <v>5.0477164000482114E-3</v>
      </c>
      <c r="I41" s="219"/>
      <c r="J41" s="219">
        <f t="shared" si="2"/>
        <v>0</v>
      </c>
      <c r="K41" s="207"/>
      <c r="L41"/>
      <c r="M41"/>
    </row>
    <row r="42" spans="1:13" x14ac:dyDescent="0.25">
      <c r="A42" s="251" t="s">
        <v>70</v>
      </c>
      <c r="B42" s="248">
        <f>SUM([2]Sheet1!$BL$108)</f>
        <v>12675.24</v>
      </c>
      <c r="C42" s="249">
        <f>+B42/B18</f>
        <v>5.9592597932326069E-4</v>
      </c>
      <c r="D42" s="239">
        <v>45996.012440938233</v>
      </c>
      <c r="E42" s="249">
        <f>+D42/D18</f>
        <v>1.8424556054256463E-3</v>
      </c>
      <c r="F42" s="230">
        <f t="shared" si="1"/>
        <v>-0.72442741604447125</v>
      </c>
      <c r="G42" s="223">
        <v>14261.54</v>
      </c>
      <c r="H42" s="249">
        <f>+G42/G18</f>
        <v>7.6317454315402548E-4</v>
      </c>
      <c r="I42" s="219"/>
      <c r="J42" s="219">
        <f t="shared" si="2"/>
        <v>12675.24</v>
      </c>
      <c r="K42" s="207"/>
      <c r="L42"/>
      <c r="M42"/>
    </row>
    <row r="43" spans="1:13" x14ac:dyDescent="0.25">
      <c r="A43" s="251" t="s">
        <v>71</v>
      </c>
      <c r="B43" s="248">
        <f>SUM([2]Sheet1!$BL$105)</f>
        <v>29075.160000000003</v>
      </c>
      <c r="C43" s="249">
        <f>+B43/B18</f>
        <v>1.3669676627014952E-3</v>
      </c>
      <c r="D43" s="239">
        <v>58394.878697783672</v>
      </c>
      <c r="E43" s="249">
        <f>+D43/D18</f>
        <v>2.3391151944537466E-3</v>
      </c>
      <c r="F43" s="230">
        <f t="shared" si="1"/>
        <v>-0.50209400809829019</v>
      </c>
      <c r="G43" s="223">
        <v>39508.5</v>
      </c>
      <c r="H43" s="249">
        <f>+G43/G18</f>
        <v>2.1142093657628008E-3</v>
      </c>
      <c r="I43" s="219"/>
      <c r="J43" s="219">
        <f t="shared" si="2"/>
        <v>29075.160000000003</v>
      </c>
      <c r="K43" s="207"/>
      <c r="L43"/>
      <c r="M43"/>
    </row>
    <row r="44" spans="1:13" x14ac:dyDescent="0.25">
      <c r="A44" s="251" t="s">
        <v>72</v>
      </c>
      <c r="B44" s="248"/>
      <c r="C44" s="249">
        <f>+B44/B18</f>
        <v>0</v>
      </c>
      <c r="D44" s="239"/>
      <c r="E44" s="249">
        <f>+D44/D18</f>
        <v>0</v>
      </c>
      <c r="F44" s="230" t="e">
        <f t="shared" si="1"/>
        <v>#DIV/0!</v>
      </c>
      <c r="G44" s="223"/>
      <c r="H44" s="249">
        <f>+G44/G18</f>
        <v>0</v>
      </c>
      <c r="I44" s="219"/>
      <c r="J44" s="219">
        <f t="shared" si="2"/>
        <v>0</v>
      </c>
      <c r="K44" s="207"/>
      <c r="L44"/>
      <c r="M44"/>
    </row>
    <row r="45" spans="1:13" x14ac:dyDescent="0.25">
      <c r="A45" s="251" t="s">
        <v>73</v>
      </c>
      <c r="B45" s="248"/>
      <c r="C45" s="249">
        <f>+B45/B18</f>
        <v>0</v>
      </c>
      <c r="D45" s="239"/>
      <c r="E45" s="249">
        <f>+D45/D18</f>
        <v>0</v>
      </c>
      <c r="F45" s="230" t="e">
        <f t="shared" si="1"/>
        <v>#DIV/0!</v>
      </c>
      <c r="G45" s="223"/>
      <c r="H45" s="249">
        <f>+G45/G18</f>
        <v>0</v>
      </c>
      <c r="I45" s="219"/>
      <c r="J45" s="219">
        <f t="shared" si="2"/>
        <v>0</v>
      </c>
      <c r="K45" s="207"/>
      <c r="L45"/>
      <c r="M45"/>
    </row>
    <row r="46" spans="1:13" x14ac:dyDescent="0.25">
      <c r="A46" s="251" t="s">
        <v>74</v>
      </c>
      <c r="B46" s="248">
        <f>SUM([2]Sheet1!$BL$106)</f>
        <v>0</v>
      </c>
      <c r="C46" s="249">
        <f>+B46/B18</f>
        <v>0</v>
      </c>
      <c r="D46" s="239">
        <v>25787.48</v>
      </c>
      <c r="E46" s="249">
        <f>+D46/D18</f>
        <v>1.0329653496987483E-3</v>
      </c>
      <c r="F46" s="230">
        <f t="shared" si="1"/>
        <v>-1</v>
      </c>
      <c r="G46" s="223">
        <v>25787.48</v>
      </c>
      <c r="H46" s="249">
        <f>+G46/G18</f>
        <v>1.3799595463108169E-3</v>
      </c>
      <c r="I46" s="219"/>
      <c r="J46" s="219">
        <f t="shared" si="2"/>
        <v>0</v>
      </c>
      <c r="K46" s="207"/>
      <c r="L46"/>
      <c r="M46"/>
    </row>
    <row r="47" spans="1:13" x14ac:dyDescent="0.25">
      <c r="A47" s="251" t="s">
        <v>75</v>
      </c>
      <c r="B47" s="248"/>
      <c r="C47" s="249">
        <f>+B47/B18</f>
        <v>0</v>
      </c>
      <c r="D47" s="239"/>
      <c r="E47" s="249">
        <f>+D47/D18</f>
        <v>0</v>
      </c>
      <c r="F47" s="230" t="e">
        <f t="shared" si="1"/>
        <v>#DIV/0!</v>
      </c>
      <c r="G47" s="223"/>
      <c r="H47" s="249">
        <f>+G47/G18</f>
        <v>0</v>
      </c>
      <c r="I47" s="219"/>
      <c r="J47" s="219">
        <f t="shared" si="2"/>
        <v>0</v>
      </c>
      <c r="K47" s="207"/>
      <c r="L47"/>
      <c r="M47"/>
    </row>
    <row r="48" spans="1:13" x14ac:dyDescent="0.25">
      <c r="A48" s="252" t="s">
        <v>76</v>
      </c>
      <c r="B48" s="248"/>
      <c r="C48" s="249">
        <f>+B48/B18</f>
        <v>0</v>
      </c>
      <c r="D48" s="239"/>
      <c r="E48" s="249">
        <f>+D48/D18</f>
        <v>0</v>
      </c>
      <c r="F48" s="230" t="e">
        <f t="shared" si="1"/>
        <v>#DIV/0!</v>
      </c>
      <c r="G48" s="223"/>
      <c r="H48" s="249">
        <f>+G48/G18</f>
        <v>0</v>
      </c>
      <c r="I48" s="219"/>
      <c r="J48" s="219">
        <f t="shared" si="2"/>
        <v>0</v>
      </c>
      <c r="K48" s="207"/>
      <c r="L48"/>
      <c r="M48"/>
    </row>
    <row r="49" spans="1:13" x14ac:dyDescent="0.25">
      <c r="A49" s="252" t="s">
        <v>77</v>
      </c>
      <c r="B49" s="248">
        <f>SUM([2]Sheet1!$BL$106)</f>
        <v>0</v>
      </c>
      <c r="C49" s="249">
        <f>+B49/B18</f>
        <v>0</v>
      </c>
      <c r="D49" s="239">
        <v>1174.26</v>
      </c>
      <c r="E49" s="249">
        <f>+D49/D18</f>
        <v>4.7037162667203319E-5</v>
      </c>
      <c r="F49" s="230">
        <f t="shared" si="1"/>
        <v>-1</v>
      </c>
      <c r="G49" s="223">
        <v>1174.26</v>
      </c>
      <c r="H49" s="249">
        <f>+G49/G18</f>
        <v>6.2837908041070309E-5</v>
      </c>
      <c r="I49" s="219"/>
      <c r="J49" s="219">
        <f t="shared" si="2"/>
        <v>0</v>
      </c>
      <c r="K49" s="207"/>
      <c r="L49"/>
      <c r="M49"/>
    </row>
    <row r="50" spans="1:13" x14ac:dyDescent="0.25">
      <c r="A50" s="251" t="s">
        <v>78</v>
      </c>
      <c r="B50" s="248"/>
      <c r="C50" s="249">
        <f>+B50/B18</f>
        <v>0</v>
      </c>
      <c r="D50" s="239"/>
      <c r="E50" s="249">
        <f>+D50/D18</f>
        <v>0</v>
      </c>
      <c r="F50" s="230" t="e">
        <f t="shared" si="1"/>
        <v>#DIV/0!</v>
      </c>
      <c r="G50" s="223"/>
      <c r="H50" s="249">
        <f>+G50/G18</f>
        <v>0</v>
      </c>
      <c r="I50" s="219"/>
      <c r="J50" s="219">
        <f t="shared" si="2"/>
        <v>0</v>
      </c>
      <c r="K50" s="207"/>
    </row>
    <row r="51" spans="1:13" x14ac:dyDescent="0.25">
      <c r="A51" s="251" t="s">
        <v>79</v>
      </c>
      <c r="B51" s="248">
        <f>SUM([2]Sheet1!$BL$99)</f>
        <v>0</v>
      </c>
      <c r="C51" s="249">
        <f>+B51/B18</f>
        <v>0</v>
      </c>
      <c r="D51" s="239">
        <v>16131</v>
      </c>
      <c r="E51" s="249">
        <f>+D51/D18</f>
        <v>6.461571295834456E-4</v>
      </c>
      <c r="F51" s="230">
        <f t="shared" si="1"/>
        <v>-1</v>
      </c>
      <c r="G51" s="223">
        <v>669.38</v>
      </c>
      <c r="H51" s="249">
        <f>+G51/G18</f>
        <v>3.5820379545016983E-5</v>
      </c>
      <c r="I51" s="219"/>
      <c r="J51" s="219">
        <f t="shared" si="2"/>
        <v>0</v>
      </c>
      <c r="K51" s="207"/>
    </row>
    <row r="52" spans="1:13" x14ac:dyDescent="0.25">
      <c r="A52" s="251" t="s">
        <v>80</v>
      </c>
      <c r="B52" s="248">
        <f>SUM([2]Sheet1!$BL$114)</f>
        <v>0</v>
      </c>
      <c r="C52" s="249">
        <f>+B52/B18</f>
        <v>0</v>
      </c>
      <c r="D52" s="239">
        <v>160</v>
      </c>
      <c r="E52" s="249">
        <f>+D52/D18</f>
        <v>6.4090968156562703E-6</v>
      </c>
      <c r="F52" s="230">
        <f t="shared" si="1"/>
        <v>-1</v>
      </c>
      <c r="G52" s="223">
        <v>160</v>
      </c>
      <c r="H52" s="249">
        <f>+G52/G18</f>
        <v>8.5620435734600938E-6</v>
      </c>
      <c r="I52" s="219"/>
      <c r="J52" s="219">
        <f t="shared" si="2"/>
        <v>0</v>
      </c>
      <c r="K52" s="207"/>
    </row>
    <row r="53" spans="1:13" x14ac:dyDescent="0.25">
      <c r="A53" s="264" t="s">
        <v>90</v>
      </c>
      <c r="B53" s="261">
        <f>SUM(B26:B52)</f>
        <v>731710.86</v>
      </c>
      <c r="C53" s="262">
        <f>+B53/B18</f>
        <v>3.4401361301795101E-2</v>
      </c>
      <c r="D53" s="261">
        <f t="shared" ref="D53:G53" si="3">SUM(D26:D52)</f>
        <v>2500837.5788873085</v>
      </c>
      <c r="E53" s="262">
        <f>+D53/D18</f>
        <v>0.10017568852075115</v>
      </c>
      <c r="F53" s="263">
        <f t="shared" si="1"/>
        <v>-0.70741368164918639</v>
      </c>
      <c r="G53" s="261">
        <f t="shared" si="3"/>
        <v>1951127.9300000002</v>
      </c>
      <c r="H53" s="262">
        <f>+G53/G18</f>
        <v>0.10441026471284373</v>
      </c>
      <c r="I53" s="219"/>
      <c r="J53" s="219">
        <f t="shared" si="2"/>
        <v>731710.86</v>
      </c>
      <c r="K53" s="207"/>
    </row>
    <row r="54" spans="1:13" x14ac:dyDescent="0.25">
      <c r="A54" s="264"/>
      <c r="B54" s="223"/>
      <c r="C54" s="224"/>
      <c r="D54" s="223"/>
      <c r="E54" s="224"/>
      <c r="F54" s="230"/>
      <c r="G54" s="223"/>
      <c r="H54" s="224"/>
      <c r="I54" s="219"/>
      <c r="J54" s="219"/>
      <c r="K54" s="207"/>
    </row>
    <row r="55" spans="1:13" x14ac:dyDescent="0.25">
      <c r="A55" s="258" t="s">
        <v>91</v>
      </c>
      <c r="B55" s="223"/>
      <c r="C55" s="224"/>
      <c r="D55" s="223"/>
      <c r="E55" s="224"/>
      <c r="F55" s="230"/>
      <c r="G55" s="223"/>
      <c r="H55" s="224"/>
      <c r="I55" s="219"/>
      <c r="J55" s="219"/>
      <c r="K55" s="207"/>
    </row>
    <row r="56" spans="1:13" x14ac:dyDescent="0.25">
      <c r="A56" s="251" t="s">
        <v>69</v>
      </c>
      <c r="B56" s="223"/>
      <c r="C56" s="224"/>
      <c r="D56" s="239">
        <v>94327.32</v>
      </c>
      <c r="E56" s="249">
        <f>+D56/D33</f>
        <v>4.7163660000000007</v>
      </c>
      <c r="F56" s="230">
        <f t="shared" ref="F56" si="4">+(B56-D56)/D56</f>
        <v>-1</v>
      </c>
      <c r="G56" s="223">
        <v>94327.32</v>
      </c>
      <c r="H56" s="249">
        <f>+G56/G33</f>
        <v>1.3491507746359312</v>
      </c>
      <c r="I56" s="219"/>
      <c r="J56" s="219"/>
      <c r="K56" s="207"/>
    </row>
    <row r="57" spans="1:13" s="206" customFormat="1" x14ac:dyDescent="0.25">
      <c r="A57" s="253" t="s">
        <v>81</v>
      </c>
      <c r="B57" s="242">
        <f>+B53+B24</f>
        <v>799355.76</v>
      </c>
      <c r="C57" s="243">
        <f>+B57/B18</f>
        <v>3.7581683984341863E-2</v>
      </c>
      <c r="D57" s="242">
        <f>+D53+D24</f>
        <v>3894734.3288873085</v>
      </c>
      <c r="E57" s="243">
        <f>+D57/D18</f>
        <v>0.15601080865686756</v>
      </c>
      <c r="F57" s="243">
        <f t="shared" si="1"/>
        <v>-0.79475987512905166</v>
      </c>
      <c r="G57" s="242">
        <f>+G53+G24</f>
        <v>3171268.1608333336</v>
      </c>
      <c r="H57" s="243">
        <f>+G57/G18</f>
        <v>0.16970335110113535</v>
      </c>
      <c r="I57" s="220"/>
      <c r="J57" s="220">
        <f t="shared" si="2"/>
        <v>799355.76</v>
      </c>
      <c r="K57" s="217"/>
      <c r="L57" s="221"/>
      <c r="M57" s="221"/>
    </row>
    <row r="58" spans="1:13" s="206" customFormat="1" x14ac:dyDescent="0.25">
      <c r="A58" s="254" t="s">
        <v>82</v>
      </c>
      <c r="B58" s="242">
        <f>+B18-B57</f>
        <v>20470467.07</v>
      </c>
      <c r="C58" s="243">
        <f>+B58/B18</f>
        <v>0.96241831601565808</v>
      </c>
      <c r="D58" s="242">
        <f>+D18-D57</f>
        <v>21069781.67111269</v>
      </c>
      <c r="E58" s="243">
        <f>+D58/D18</f>
        <v>0.84398919134313244</v>
      </c>
      <c r="F58" s="243">
        <f t="shared" si="1"/>
        <v>-2.8444272013239146E-2</v>
      </c>
      <c r="G58" s="242">
        <f>+G18-G57</f>
        <v>15515859.348766666</v>
      </c>
      <c r="H58" s="243">
        <f>+G58/G18</f>
        <v>0.83029664889886468</v>
      </c>
      <c r="I58" s="220"/>
      <c r="J58" s="220">
        <f t="shared" si="2"/>
        <v>20470467.07</v>
      </c>
      <c r="K58" s="217"/>
      <c r="L58" s="221"/>
      <c r="M58" s="221"/>
    </row>
    <row r="59" spans="1:13" x14ac:dyDescent="0.25">
      <c r="A59" s="255"/>
      <c r="B59" s="223"/>
      <c r="C59" s="224"/>
      <c r="D59" s="244"/>
      <c r="E59" s="225"/>
      <c r="F59" s="225"/>
      <c r="G59" s="223"/>
      <c r="H59" s="224"/>
    </row>
    <row r="60" spans="1:13" x14ac:dyDescent="0.25">
      <c r="A60" s="255"/>
      <c r="B60" s="223"/>
      <c r="C60" s="224"/>
      <c r="D60" s="244"/>
      <c r="E60" s="225"/>
      <c r="F60" s="225"/>
      <c r="G60" s="223"/>
      <c r="H60" s="224"/>
    </row>
    <row r="61" spans="1:13" x14ac:dyDescent="0.25">
      <c r="A61" s="255"/>
      <c r="B61" s="223"/>
      <c r="C61" s="224"/>
      <c r="D61" s="244"/>
      <c r="E61" s="225"/>
      <c r="F61" s="225"/>
      <c r="G61" s="223"/>
      <c r="H61" s="224"/>
    </row>
    <row r="62" spans="1:13" x14ac:dyDescent="0.25">
      <c r="A62" s="255"/>
      <c r="B62" s="223"/>
      <c r="C62" s="224"/>
      <c r="D62" s="244"/>
      <c r="E62" s="225"/>
      <c r="F62" s="225"/>
      <c r="G62" s="223"/>
      <c r="H62" s="224"/>
    </row>
    <row r="63" spans="1:13" x14ac:dyDescent="0.25">
      <c r="A63" s="255"/>
      <c r="B63" s="223"/>
      <c r="C63" s="224"/>
      <c r="D63" s="244"/>
      <c r="E63" s="225"/>
      <c r="F63" s="225"/>
      <c r="G63" s="223"/>
      <c r="H63" s="224"/>
    </row>
    <row r="64" spans="1:13" x14ac:dyDescent="0.25">
      <c r="A64" s="255"/>
      <c r="B64" s="223"/>
      <c r="C64" s="224"/>
      <c r="D64" s="244"/>
      <c r="E64" s="225"/>
      <c r="F64" s="225"/>
      <c r="G64" s="223"/>
      <c r="H64" s="224"/>
    </row>
    <row r="65" spans="1:8" x14ac:dyDescent="0.25">
      <c r="A65" s="255"/>
      <c r="B65" s="223"/>
      <c r="C65" s="224"/>
      <c r="D65" s="244"/>
      <c r="E65" s="225"/>
      <c r="F65" s="225"/>
      <c r="G65" s="223"/>
      <c r="H65" s="224"/>
    </row>
    <row r="66" spans="1:8" x14ac:dyDescent="0.25">
      <c r="A66" s="255"/>
      <c r="B66" s="223"/>
      <c r="C66" s="224"/>
      <c r="D66" s="244"/>
      <c r="E66" s="225"/>
      <c r="F66" s="225"/>
      <c r="G66" s="223"/>
      <c r="H66" s="224"/>
    </row>
    <row r="67" spans="1:8" x14ac:dyDescent="0.25">
      <c r="A67" s="255"/>
      <c r="B67" s="223"/>
      <c r="C67" s="224"/>
      <c r="D67" s="244"/>
      <c r="E67" s="225"/>
      <c r="F67" s="225"/>
      <c r="G67" s="223"/>
      <c r="H67" s="224"/>
    </row>
    <row r="68" spans="1:8" x14ac:dyDescent="0.25">
      <c r="A68" s="255"/>
      <c r="B68" s="223"/>
      <c r="C68" s="224"/>
      <c r="D68" s="244"/>
      <c r="E68" s="225"/>
      <c r="F68" s="225"/>
      <c r="G68" s="223"/>
      <c r="H68" s="224"/>
    </row>
    <row r="69" spans="1:8" x14ac:dyDescent="0.25">
      <c r="A69" s="255"/>
      <c r="B69" s="223"/>
      <c r="C69" s="224"/>
      <c r="D69" s="244"/>
      <c r="E69" s="225"/>
      <c r="F69" s="225"/>
      <c r="G69" s="223"/>
      <c r="H69" s="224"/>
    </row>
    <row r="70" spans="1:8" x14ac:dyDescent="0.25">
      <c r="A70" s="255"/>
      <c r="B70" s="223"/>
      <c r="C70" s="224"/>
      <c r="D70" s="244"/>
      <c r="E70" s="225"/>
      <c r="F70" s="225"/>
      <c r="G70" s="223"/>
      <c r="H70" s="224"/>
    </row>
    <row r="71" spans="1:8" x14ac:dyDescent="0.25">
      <c r="A71" s="255"/>
      <c r="B71" s="223"/>
      <c r="C71" s="224"/>
      <c r="D71" s="244"/>
      <c r="E71" s="225"/>
      <c r="F71" s="225"/>
      <c r="G71" s="223"/>
      <c r="H71" s="224"/>
    </row>
    <row r="72" spans="1:8" x14ac:dyDescent="0.25">
      <c r="A72" s="255"/>
      <c r="B72" s="223"/>
      <c r="C72" s="224"/>
      <c r="D72" s="244"/>
      <c r="E72" s="225"/>
      <c r="F72" s="225"/>
      <c r="G72" s="223"/>
      <c r="H72" s="224"/>
    </row>
    <row r="73" spans="1:8" x14ac:dyDescent="0.25">
      <c r="A73" s="255"/>
      <c r="B73" s="223"/>
      <c r="C73" s="224"/>
      <c r="D73" s="244"/>
      <c r="E73" s="225"/>
      <c r="F73" s="225"/>
      <c r="G73" s="223"/>
      <c r="H73" s="224"/>
    </row>
    <row r="74" spans="1:8" x14ac:dyDescent="0.25">
      <c r="A74" s="255"/>
      <c r="B74" s="223"/>
      <c r="C74" s="224"/>
      <c r="D74" s="244"/>
      <c r="E74" s="225"/>
      <c r="F74" s="225"/>
      <c r="G74" s="223"/>
      <c r="H74" s="224"/>
    </row>
  </sheetData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="85" zoomScaleNormal="100" zoomScaleSheetLayoutView="85" workbookViewId="0">
      <pane xSplit="1" ySplit="6" topLeftCell="C11" activePane="bottomRight" state="frozen"/>
      <selection activeCell="B1" sqref="B1"/>
      <selection pane="topRight" activeCell="C1" sqref="C1"/>
      <selection pane="bottomLeft" activeCell="B7" sqref="B7"/>
      <selection pane="bottomRight" activeCell="D20" sqref="D20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17" t="s">
        <v>1</v>
      </c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9"/>
      <c r="AH4" s="8"/>
      <c r="AI4" s="9"/>
      <c r="AJ4" s="9"/>
      <c r="AK4" s="517" t="s">
        <v>2</v>
      </c>
      <c r="AL4" s="518"/>
      <c r="AM4" s="518"/>
      <c r="AN4" s="518"/>
      <c r="AO4" s="518"/>
      <c r="AP4" s="518"/>
      <c r="AQ4" s="518"/>
      <c r="AR4" s="518"/>
      <c r="AS4" s="518"/>
      <c r="AT4" s="518"/>
      <c r="AU4" s="518"/>
      <c r="AV4" s="518"/>
      <c r="AW4" s="518"/>
      <c r="AX4" s="518"/>
      <c r="AY4" s="518"/>
      <c r="AZ4" s="518"/>
      <c r="BA4" s="518"/>
      <c r="BB4" s="518"/>
      <c r="BC4" s="518"/>
      <c r="BD4" s="518"/>
      <c r="BE4" s="518"/>
      <c r="BF4" s="518"/>
      <c r="BG4" s="518"/>
      <c r="BH4" s="518"/>
      <c r="BI4" s="518"/>
      <c r="BJ4" s="518"/>
      <c r="BK4" s="518"/>
      <c r="BL4" s="518"/>
      <c r="BM4" s="518"/>
      <c r="BN4" s="519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16" t="s">
        <v>3</v>
      </c>
      <c r="E5" s="514"/>
      <c r="F5" s="515"/>
      <c r="G5" s="516" t="s">
        <v>4</v>
      </c>
      <c r="H5" s="514"/>
      <c r="I5" s="515"/>
      <c r="J5" s="516" t="s">
        <v>5</v>
      </c>
      <c r="K5" s="514"/>
      <c r="L5" s="515"/>
      <c r="M5" s="516" t="s">
        <v>6</v>
      </c>
      <c r="N5" s="514"/>
      <c r="O5" s="515"/>
      <c r="P5" s="516" t="s">
        <v>7</v>
      </c>
      <c r="Q5" s="514"/>
      <c r="R5" s="515"/>
      <c r="S5" s="516" t="s">
        <v>8</v>
      </c>
      <c r="T5" s="514"/>
      <c r="U5" s="515"/>
      <c r="V5" s="516" t="s">
        <v>9</v>
      </c>
      <c r="W5" s="514"/>
      <c r="X5" s="515"/>
      <c r="Y5" s="516" t="s">
        <v>10</v>
      </c>
      <c r="Z5" s="514"/>
      <c r="AA5" s="515"/>
      <c r="AB5" s="516" t="s">
        <v>11</v>
      </c>
      <c r="AC5" s="514"/>
      <c r="AD5" s="515"/>
      <c r="AE5" s="516" t="s">
        <v>12</v>
      </c>
      <c r="AF5" s="514"/>
      <c r="AG5" s="515"/>
      <c r="AH5" s="527" t="s">
        <v>13</v>
      </c>
      <c r="AI5" s="528"/>
      <c r="AJ5" s="529"/>
      <c r="AK5" s="514" t="s">
        <v>14</v>
      </c>
      <c r="AL5" s="514"/>
      <c r="AM5" s="515"/>
      <c r="AN5" s="516" t="s">
        <v>15</v>
      </c>
      <c r="AO5" s="514"/>
      <c r="AP5" s="515"/>
      <c r="AQ5" s="516" t="s">
        <v>6</v>
      </c>
      <c r="AR5" s="514"/>
      <c r="AS5" s="515"/>
      <c r="AT5" s="516" t="s">
        <v>16</v>
      </c>
      <c r="AU5" s="514"/>
      <c r="AV5" s="515"/>
      <c r="AW5" s="516" t="s">
        <v>17</v>
      </c>
      <c r="AX5" s="514"/>
      <c r="AY5" s="515"/>
      <c r="AZ5" s="514" t="s">
        <v>18</v>
      </c>
      <c r="BA5" s="514"/>
      <c r="BB5" s="515"/>
      <c r="BC5" s="516" t="s">
        <v>19</v>
      </c>
      <c r="BD5" s="514"/>
      <c r="BE5" s="515"/>
      <c r="BF5" s="516" t="s">
        <v>19</v>
      </c>
      <c r="BG5" s="514"/>
      <c r="BH5" s="515"/>
      <c r="BI5" s="516" t="s">
        <v>19</v>
      </c>
      <c r="BJ5" s="514"/>
      <c r="BK5" s="515"/>
      <c r="BL5" s="516" t="s">
        <v>19</v>
      </c>
      <c r="BM5" s="514"/>
      <c r="BN5" s="515"/>
      <c r="BO5" s="517" t="s">
        <v>20</v>
      </c>
      <c r="BP5" s="518"/>
      <c r="BQ5" s="519"/>
      <c r="BR5" s="517" t="s">
        <v>21</v>
      </c>
      <c r="BS5" s="518"/>
      <c r="BT5" s="519"/>
      <c r="BX5" s="523"/>
      <c r="BY5" s="523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24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25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25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26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20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0.10823823109843089</v>
      </c>
      <c r="F11" s="25">
        <f>(F12/F13)-1</f>
        <v>0.10441671995671209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-2.348178137651824E-2</v>
      </c>
      <c r="R11" s="25">
        <f t="shared" si="9"/>
        <v>-0.23099190283400806</v>
      </c>
      <c r="S11" s="29">
        <f t="shared" si="9"/>
        <v>0.53541666666666665</v>
      </c>
      <c r="T11" s="70">
        <f t="shared" si="9"/>
        <v>3.4782608695652195E-2</v>
      </c>
      <c r="U11" s="70">
        <f t="shared" si="9"/>
        <v>0.58882246376811587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2.1965161298629576E-2</v>
      </c>
      <c r="AJ11" s="77">
        <f t="shared" si="9"/>
        <v>-0.11932716284761602</v>
      </c>
      <c r="AK11" s="28">
        <f t="shared" si="9"/>
        <v>6.893617021276599E-2</v>
      </c>
      <c r="AL11" s="70">
        <f t="shared" si="9"/>
        <v>-1.538461538461533E-2</v>
      </c>
      <c r="AM11" s="31">
        <f t="shared" si="9"/>
        <v>5.2490998363338814E-2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4.4736842105263186E-2</v>
      </c>
      <c r="AY11" s="31">
        <f t="shared" si="9"/>
        <v>-0.52986842105263166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8.6054997016873358E-3</v>
      </c>
      <c r="BQ11" s="31">
        <f t="shared" si="10"/>
        <v>-4.0931074207712026E-2</v>
      </c>
      <c r="BR11" s="29">
        <v>5.1400000000000001E-2</v>
      </c>
      <c r="BS11" s="70">
        <f t="shared" ref="BS11:BT11" si="11">BS12/BS13-1</f>
        <v>1.3504039780784627E-2</v>
      </c>
      <c r="BT11" s="31">
        <f t="shared" si="11"/>
        <v>-8.8958694506888647E-2</v>
      </c>
      <c r="BV11" s="71"/>
      <c r="BW11" s="72"/>
    </row>
    <row r="12" spans="1:77" x14ac:dyDescent="0.2">
      <c r="A12" s="39" t="e">
        <f>DATE(YEAR(A8),MONTH(A8)+2,1)-1</f>
        <v>#REF!</v>
      </c>
      <c r="B12" s="521"/>
      <c r="C12" s="40" t="s">
        <v>84</v>
      </c>
      <c r="D12" s="182">
        <v>578</v>
      </c>
      <c r="E12" s="183">
        <v>6215</v>
      </c>
      <c r="F12" s="184">
        <f>D12*E12</f>
        <v>3592270</v>
      </c>
      <c r="G12" s="183"/>
      <c r="H12" s="183"/>
      <c r="I12" s="184"/>
      <c r="J12" s="185">
        <v>83</v>
      </c>
      <c r="K12" s="183">
        <v>3997</v>
      </c>
      <c r="L12" s="184">
        <f>J12*K12</f>
        <v>331751</v>
      </c>
      <c r="M12" s="185">
        <v>24</v>
      </c>
      <c r="N12" s="183">
        <v>2772</v>
      </c>
      <c r="O12" s="275">
        <f>M12*N12</f>
        <v>66528</v>
      </c>
      <c r="P12" s="276">
        <v>630</v>
      </c>
      <c r="Q12" s="183">
        <v>3618</v>
      </c>
      <c r="R12" s="184">
        <f>P12*Q12</f>
        <v>2279340</v>
      </c>
      <c r="S12" s="185">
        <v>737</v>
      </c>
      <c r="T12" s="183">
        <v>3927</v>
      </c>
      <c r="U12" s="184">
        <f>S12*T12</f>
        <v>2894199</v>
      </c>
      <c r="V12" s="185">
        <v>176</v>
      </c>
      <c r="W12" s="183">
        <v>3176</v>
      </c>
      <c r="X12" s="184">
        <f>V12*W12</f>
        <v>558976</v>
      </c>
      <c r="Y12" s="185">
        <v>150</v>
      </c>
      <c r="Z12" s="183">
        <v>3476</v>
      </c>
      <c r="AA12" s="184">
        <f>Y12*Z12</f>
        <v>521400</v>
      </c>
      <c r="AB12" s="270"/>
      <c r="AC12" s="268"/>
      <c r="AD12" s="269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4305.8395632087359</v>
      </c>
      <c r="AJ12" s="178">
        <f>SUMIF($D$6:$AG$6,AJ$6,$D12:$AG12)</f>
        <v>10252204</v>
      </c>
      <c r="AK12" s="179">
        <v>1256</v>
      </c>
      <c r="AL12" s="173">
        <v>3840</v>
      </c>
      <c r="AM12" s="174">
        <f>AK12*AL12</f>
        <v>4823040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3970</v>
      </c>
      <c r="AY12" s="174">
        <f>AW12*AX12</f>
        <v>142920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3759.1416400425983</v>
      </c>
      <c r="BQ12" s="47">
        <f>SUMIF($AK$6:$BN$6,BQ$6,$AK12:$BN12)</f>
        <v>7059668</v>
      </c>
      <c r="BR12" s="45">
        <f>BO12+AH12</f>
        <v>4259</v>
      </c>
      <c r="BS12" s="46">
        <f t="shared" si="7"/>
        <v>4064.7738905846445</v>
      </c>
      <c r="BT12" s="47">
        <f>BQ12+AJ12</f>
        <v>17311872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21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22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20">
        <f>DATE(YEAR(B11),MONTH(B11)+2,1)-1</f>
        <v>91</v>
      </c>
      <c r="C15" s="24" t="s">
        <v>27</v>
      </c>
      <c r="D15" s="25">
        <f>(D16/D17)-1</f>
        <v>0.27</v>
      </c>
      <c r="E15" s="26">
        <f>(E16/E17)-1</f>
        <v>3.4236804564907297E-2</v>
      </c>
      <c r="F15" s="25">
        <f>(F16/F17)-1</f>
        <v>0.31348074179743235</v>
      </c>
      <c r="G15" s="27"/>
      <c r="H15" s="26"/>
      <c r="I15" s="28"/>
      <c r="J15" s="29">
        <f t="shared" ref="J15:AY15" si="12">J16/J17-1</f>
        <v>-0.5</v>
      </c>
      <c r="K15" s="70">
        <f t="shared" si="12"/>
        <v>-4.6875E-2</v>
      </c>
      <c r="L15" s="25">
        <f t="shared" si="12"/>
        <v>-0.5234375</v>
      </c>
      <c r="M15" s="29">
        <f t="shared" si="12"/>
        <v>-0.2592592592592593</v>
      </c>
      <c r="N15" s="70">
        <f t="shared" si="12"/>
        <v>8.8390501319261183E-2</v>
      </c>
      <c r="O15" s="25">
        <f t="shared" si="12"/>
        <v>-0.19378481383758428</v>
      </c>
      <c r="P15" s="29">
        <f t="shared" si="12"/>
        <v>-6.8965517241379337E-2</v>
      </c>
      <c r="Q15" s="70">
        <f t="shared" si="12"/>
        <v>1.0101010101010166E-2</v>
      </c>
      <c r="R15" s="25">
        <f t="shared" si="12"/>
        <v>-5.9561128526645746E-2</v>
      </c>
      <c r="S15" s="29">
        <f t="shared" si="12"/>
        <v>7.547169811320753E-2</v>
      </c>
      <c r="T15" s="70">
        <f t="shared" si="12"/>
        <v>0.3417643429981494</v>
      </c>
      <c r="U15" s="70">
        <f t="shared" si="12"/>
        <v>0.44302957643197183</v>
      </c>
      <c r="V15" s="29">
        <f t="shared" si="12"/>
        <v>0</v>
      </c>
      <c r="W15" s="70">
        <f t="shared" si="12"/>
        <v>1.4375000000000027E-2</v>
      </c>
      <c r="X15" s="25">
        <f t="shared" si="12"/>
        <v>1.4375000000000027E-2</v>
      </c>
      <c r="Y15" s="29">
        <f t="shared" si="12"/>
        <v>4.5751633986928164E-2</v>
      </c>
      <c r="Z15" s="70">
        <f t="shared" si="12"/>
        <v>9.8585418933623492E-2</v>
      </c>
      <c r="AA15" s="25">
        <f t="shared" si="12"/>
        <v>0.14884749692405075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1</v>
      </c>
      <c r="AF15" s="70">
        <f t="shared" si="12"/>
        <v>0.38095238095238093</v>
      </c>
      <c r="AG15" s="28">
        <f t="shared" si="12"/>
        <v>1.7619047619047619</v>
      </c>
      <c r="AH15" s="154">
        <f t="shared" si="12"/>
        <v>-3.155963302752296E-2</v>
      </c>
      <c r="AI15" s="76">
        <f t="shared" si="12"/>
        <v>9.8054152931230654E-2</v>
      </c>
      <c r="AJ15" s="77">
        <f t="shared" si="12"/>
        <v>6.3399966820373521E-2</v>
      </c>
      <c r="AK15" s="28">
        <f t="shared" si="12"/>
        <v>-0.56322580645161291</v>
      </c>
      <c r="AL15" s="70">
        <f t="shared" si="12"/>
        <v>-1.4871794871794908E-2</v>
      </c>
      <c r="AM15" s="31">
        <f t="shared" si="12"/>
        <v>-0.56972142266335812</v>
      </c>
      <c r="AN15" s="28">
        <f t="shared" si="12"/>
        <v>1.4285714285714284</v>
      </c>
      <c r="AO15" s="70">
        <f t="shared" si="12"/>
        <v>0.89113373467393719</v>
      </c>
      <c r="AP15" s="25">
        <f t="shared" si="12"/>
        <v>3.5927533556367042</v>
      </c>
      <c r="AQ15" s="29">
        <f t="shared" si="12"/>
        <v>3</v>
      </c>
      <c r="AR15" s="70">
        <f t="shared" si="12"/>
        <v>0.25989920806335487</v>
      </c>
      <c r="AS15" s="25">
        <f t="shared" si="12"/>
        <v>4.0395968322534195</v>
      </c>
      <c r="AT15" s="29">
        <f t="shared" si="12"/>
        <v>-0.52368421052631575</v>
      </c>
      <c r="AU15" s="70">
        <f t="shared" si="12"/>
        <v>-9.8161523309258092E-2</v>
      </c>
      <c r="AV15" s="25">
        <f t="shared" si="12"/>
        <v>-0.57044009399730444</v>
      </c>
      <c r="AW15" s="29">
        <f t="shared" si="12"/>
        <v>0</v>
      </c>
      <c r="AX15" s="70">
        <f t="shared" si="12"/>
        <v>0</v>
      </c>
      <c r="AY15" s="31">
        <f t="shared" si="12"/>
        <v>0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-0.11286307053941913</v>
      </c>
      <c r="BP15" s="70">
        <f t="shared" si="13"/>
        <v>0.25813025806209722</v>
      </c>
      <c r="BQ15" s="31">
        <f t="shared" si="13"/>
        <v>0.11613381399865719</v>
      </c>
      <c r="BR15" s="29">
        <v>0.1036</v>
      </c>
      <c r="BS15" s="70">
        <f t="shared" ref="BS15:BT15" si="14">BS16/BS17-1</f>
        <v>0.16802611891744212</v>
      </c>
      <c r="BT15" s="31">
        <f t="shared" si="14"/>
        <v>8.6594112963704228E-2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21"/>
      <c r="C16" s="40" t="s">
        <v>34</v>
      </c>
      <c r="D16" s="182">
        <v>635</v>
      </c>
      <c r="E16" s="183">
        <v>5800</v>
      </c>
      <c r="F16" s="184">
        <f>D16*E16</f>
        <v>3683000</v>
      </c>
      <c r="G16" s="277"/>
      <c r="H16" s="183"/>
      <c r="I16" s="184"/>
      <c r="J16" s="185">
        <v>140</v>
      </c>
      <c r="K16" s="183">
        <f>4325+250</f>
        <v>4575</v>
      </c>
      <c r="L16" s="184">
        <f>J16*K16</f>
        <v>640500</v>
      </c>
      <c r="M16" s="185">
        <v>200</v>
      </c>
      <c r="N16" s="183">
        <f>3000+300</f>
        <v>3300</v>
      </c>
      <c r="O16" s="275">
        <f>M16*N16</f>
        <v>660000</v>
      </c>
      <c r="P16" s="276">
        <f>810</f>
        <v>810</v>
      </c>
      <c r="Q16" s="183">
        <v>3800</v>
      </c>
      <c r="R16" s="184">
        <f>P16*Q16</f>
        <v>3078000</v>
      </c>
      <c r="S16" s="185">
        <v>570</v>
      </c>
      <c r="T16" s="183">
        <v>4350</v>
      </c>
      <c r="U16" s="184">
        <f>S16*T16</f>
        <v>2479500</v>
      </c>
      <c r="V16" s="185">
        <v>120</v>
      </c>
      <c r="W16" s="183">
        <f>2996+250</f>
        <v>3246</v>
      </c>
      <c r="X16" s="184">
        <f>V16*W16</f>
        <v>389520</v>
      </c>
      <c r="Y16" s="185">
        <v>160</v>
      </c>
      <c r="Z16" s="183">
        <v>5048</v>
      </c>
      <c r="AA16" s="184">
        <f>Y16*Z16</f>
        <v>807680</v>
      </c>
      <c r="AB16" s="267"/>
      <c r="AC16" s="265"/>
      <c r="AD16" s="266">
        <f>AB16*AC16</f>
        <v>0</v>
      </c>
      <c r="AE16" s="185">
        <v>4</v>
      </c>
      <c r="AF16" s="183">
        <v>2813</v>
      </c>
      <c r="AG16" s="275">
        <f>AE16*AF16</f>
        <v>11252</v>
      </c>
      <c r="AH16" s="186">
        <f>SUMIF($D$6:$AG$6,AH$6,$D16:$AG16)</f>
        <v>2639</v>
      </c>
      <c r="AI16" s="187">
        <f>IF(AH16=0,0,AJ16/AH16)</f>
        <v>4452.2364532019701</v>
      </c>
      <c r="AJ16" s="188">
        <f>SUMIF($D$6:$AG$6,AJ$6,$D16:$AG16)</f>
        <v>11749452</v>
      </c>
      <c r="AK16" s="182">
        <v>677</v>
      </c>
      <c r="AL16" s="183">
        <f>3357+485</f>
        <v>3842</v>
      </c>
      <c r="AM16" s="184">
        <f>AK16*AL16</f>
        <v>2601034</v>
      </c>
      <c r="AN16" s="185">
        <v>850</v>
      </c>
      <c r="AO16" s="183">
        <v>6000</v>
      </c>
      <c r="AP16" s="184">
        <f>AN16*AO16</f>
        <v>5100000</v>
      </c>
      <c r="AQ16" s="185">
        <v>400</v>
      </c>
      <c r="AR16" s="183">
        <v>3500</v>
      </c>
      <c r="AS16" s="184">
        <f>AQ16*AR16</f>
        <v>1400000</v>
      </c>
      <c r="AT16" s="185">
        <v>181</v>
      </c>
      <c r="AU16" s="183">
        <v>2747</v>
      </c>
      <c r="AV16" s="184">
        <f>AT16*AU16</f>
        <v>497207</v>
      </c>
      <c r="AW16" s="185">
        <v>30</v>
      </c>
      <c r="AX16" s="183">
        <v>2825</v>
      </c>
      <c r="AY16" s="184">
        <f>AW16*AX16</f>
        <v>84750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2138</v>
      </c>
      <c r="BP16" s="46">
        <f t="shared" si="6"/>
        <v>4528.9948550046774</v>
      </c>
      <c r="BQ16" s="47">
        <f>SUMIF($AK$6:$BN$6,BQ$6,$AK16:$BN16)</f>
        <v>9682991</v>
      </c>
      <c r="BR16" s="45">
        <f>BO16+AH16</f>
        <v>4777</v>
      </c>
      <c r="BS16" s="46">
        <f t="shared" si="7"/>
        <v>4486.5905379945571</v>
      </c>
      <c r="BT16" s="47">
        <f>BQ16+AJ16</f>
        <v>21432443</v>
      </c>
      <c r="BV16" s="50">
        <f>261*31</f>
        <v>8091</v>
      </c>
      <c r="BW16" s="51">
        <f t="shared" si="8"/>
        <v>0.59040909652700535</v>
      </c>
    </row>
    <row r="17" spans="1:76" x14ac:dyDescent="0.2">
      <c r="A17" s="39" t="e">
        <f>DATE(YEAR(A13),MONTH(A13)+2,1)-1</f>
        <v>#REF!</v>
      </c>
      <c r="B17" s="521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22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20">
        <f>DATE(YEAR(B15),MONTH(B15)+2,1)-1</f>
        <v>121</v>
      </c>
      <c r="C19" s="24" t="s">
        <v>27</v>
      </c>
      <c r="D19" s="25">
        <f>(D20/D21)-1</f>
        <v>-0.53200000000000003</v>
      </c>
      <c r="E19" s="26">
        <f>(E20/E21)-1</f>
        <v>0.21261836403516599</v>
      </c>
      <c r="F19" s="25">
        <f>(F20/F21)-1</f>
        <v>-0.43249460563154229</v>
      </c>
      <c r="G19" s="27"/>
      <c r="H19" s="26"/>
      <c r="I19" s="28"/>
      <c r="J19" s="29">
        <f t="shared" ref="J19:AY19" si="19">J20/J21-1</f>
        <v>-0.94666666666666666</v>
      </c>
      <c r="K19" s="70">
        <f t="shared" si="19"/>
        <v>8.2677165354330784E-2</v>
      </c>
      <c r="L19" s="25">
        <f t="shared" si="19"/>
        <v>-0.94225721784776906</v>
      </c>
      <c r="M19" s="29">
        <f t="shared" si="19"/>
        <v>-0.13043478260869568</v>
      </c>
      <c r="N19" s="70">
        <f t="shared" si="19"/>
        <v>-9.8114238863077352E-2</v>
      </c>
      <c r="O19" s="25">
        <f t="shared" si="19"/>
        <v>-0.21575151205484988</v>
      </c>
      <c r="P19" s="29">
        <f t="shared" si="19"/>
        <v>-0.82857142857142851</v>
      </c>
      <c r="Q19" s="70">
        <f t="shared" si="19"/>
        <v>0.26296296296296306</v>
      </c>
      <c r="R19" s="25">
        <f t="shared" si="19"/>
        <v>-0.78349206349206346</v>
      </c>
      <c r="S19" s="29">
        <f t="shared" si="19"/>
        <v>-0.62615384615384617</v>
      </c>
      <c r="T19" s="70">
        <f t="shared" si="19"/>
        <v>0.16149999999999998</v>
      </c>
      <c r="U19" s="70">
        <f t="shared" si="19"/>
        <v>-0.56577769230769226</v>
      </c>
      <c r="V19" s="29">
        <f t="shared" si="19"/>
        <v>-0.49411764705882355</v>
      </c>
      <c r="W19" s="70">
        <f t="shared" si="19"/>
        <v>-0.17500000000000004</v>
      </c>
      <c r="X19" s="25">
        <f t="shared" si="19"/>
        <v>-0.58264705882352941</v>
      </c>
      <c r="Y19" s="29">
        <f t="shared" si="19"/>
        <v>0</v>
      </c>
      <c r="Z19" s="70">
        <f t="shared" si="19"/>
        <v>0.62362102530824148</v>
      </c>
      <c r="AA19" s="25">
        <f t="shared" si="19"/>
        <v>0.62362102530824148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-0.54545454545454541</v>
      </c>
      <c r="AF19" s="70">
        <f t="shared" si="19"/>
        <v>0.28741418764302051</v>
      </c>
      <c r="AG19" s="28">
        <f t="shared" si="19"/>
        <v>-0.4148117328895361</v>
      </c>
      <c r="AH19" s="154">
        <f t="shared" si="19"/>
        <v>-0.62047043865225682</v>
      </c>
      <c r="AI19" s="76">
        <f t="shared" si="19"/>
        <v>0.23049605142632568</v>
      </c>
      <c r="AJ19" s="77">
        <f t="shared" si="19"/>
        <v>-0.5329903733620367</v>
      </c>
      <c r="AK19" s="28">
        <f t="shared" si="19"/>
        <v>0</v>
      </c>
      <c r="AL19" s="70">
        <f t="shared" si="19"/>
        <v>0.11764705882352944</v>
      </c>
      <c r="AM19" s="31">
        <f t="shared" si="19"/>
        <v>0.11764705882352944</v>
      </c>
      <c r="AN19" s="28">
        <f t="shared" si="19"/>
        <v>-0.29850746268656714</v>
      </c>
      <c r="AO19" s="70">
        <f t="shared" si="19"/>
        <v>6.0927553804183132E-2</v>
      </c>
      <c r="AP19" s="25">
        <f t="shared" si="19"/>
        <v>-0.2557672383761701</v>
      </c>
      <c r="AQ19" s="29">
        <f t="shared" si="19"/>
        <v>0.57241379310344831</v>
      </c>
      <c r="AR19" s="70">
        <f t="shared" si="19"/>
        <v>9.4806007509386836E-2</v>
      </c>
      <c r="AS19" s="25">
        <f t="shared" si="19"/>
        <v>0.72148806698027701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-0.16666666666666663</v>
      </c>
      <c r="AX19" s="70">
        <f t="shared" si="19"/>
        <v>0</v>
      </c>
      <c r="AY19" s="31">
        <f t="shared" si="19"/>
        <v>-0.16666666666666663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-6.2314540059347223E-2</v>
      </c>
      <c r="BP19" s="70">
        <f t="shared" si="20"/>
        <v>9.9271257456428064E-2</v>
      </c>
      <c r="BQ19" s="31">
        <f t="shared" si="20"/>
        <v>3.077067464757044E-2</v>
      </c>
      <c r="BR19" s="32">
        <v>0.18890000000000001</v>
      </c>
      <c r="BS19" s="70">
        <f t="shared" ref="BS19:BT19" si="21">BS20/BS21-1</f>
        <v>8.9122220440564837E-2</v>
      </c>
      <c r="BT19" s="31">
        <f t="shared" si="21"/>
        <v>-0.3488026971437026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21"/>
      <c r="C20" s="40" t="s">
        <v>34</v>
      </c>
      <c r="D20" s="307">
        <v>468</v>
      </c>
      <c r="E20" s="308">
        <v>6800</v>
      </c>
      <c r="F20" s="184">
        <f>D20*E20</f>
        <v>3182400</v>
      </c>
      <c r="G20" s="185"/>
      <c r="H20" s="183"/>
      <c r="I20" s="184"/>
      <c r="J20" s="311">
        <v>20</v>
      </c>
      <c r="K20" s="183">
        <v>4400</v>
      </c>
      <c r="L20" s="184">
        <f>J20*K20</f>
        <v>88000</v>
      </c>
      <c r="M20" s="185">
        <v>200</v>
      </c>
      <c r="N20" s="183">
        <v>3300</v>
      </c>
      <c r="O20" s="184">
        <f>M20*N20</f>
        <v>660000</v>
      </c>
      <c r="P20" s="311">
        <v>120</v>
      </c>
      <c r="Q20" s="308">
        <v>4433</v>
      </c>
      <c r="R20" s="184">
        <f>P20*Q20</f>
        <v>531960</v>
      </c>
      <c r="S20" s="311">
        <v>243</v>
      </c>
      <c r="T20" s="308">
        <v>4646</v>
      </c>
      <c r="U20" s="184">
        <f>S20*T20</f>
        <v>1128978</v>
      </c>
      <c r="V20" s="311">
        <v>43</v>
      </c>
      <c r="W20" s="308">
        <v>3300</v>
      </c>
      <c r="X20" s="184">
        <f>V20*W20</f>
        <v>141900</v>
      </c>
      <c r="Y20" s="185">
        <v>95</v>
      </c>
      <c r="Z20" s="183">
        <v>7506</v>
      </c>
      <c r="AA20" s="184">
        <f>Y20*Z20</f>
        <v>713070</v>
      </c>
      <c r="AB20" s="267">
        <v>0</v>
      </c>
      <c r="AC20" s="265">
        <v>0</v>
      </c>
      <c r="AD20" s="266">
        <f>AB20*AC20</f>
        <v>0</v>
      </c>
      <c r="AE20" s="185">
        <v>5</v>
      </c>
      <c r="AF20" s="183">
        <v>2813</v>
      </c>
      <c r="AG20" s="275">
        <f>AE20*AF20</f>
        <v>14065</v>
      </c>
      <c r="AH20" s="186">
        <f>SUMIF($D$6:$AG$6,AH$6,$D20:$AG20)</f>
        <v>1194</v>
      </c>
      <c r="AI20" s="187">
        <f>IF(AH20=0,0,AJ20/AH20)</f>
        <v>5410.6976549413739</v>
      </c>
      <c r="AJ20" s="188">
        <f>SUMIF($D$6:$AG$6,AJ$6,$D20:$AG20)</f>
        <v>6460373</v>
      </c>
      <c r="AK20" s="182">
        <v>960</v>
      </c>
      <c r="AL20" s="183">
        <v>3800</v>
      </c>
      <c r="AM20" s="184">
        <f>AK20*AL20</f>
        <v>3648000</v>
      </c>
      <c r="AN20" s="185">
        <v>470</v>
      </c>
      <c r="AO20" s="183">
        <v>3500</v>
      </c>
      <c r="AP20" s="184">
        <f>AN20*AO20</f>
        <v>1645000</v>
      </c>
      <c r="AQ20" s="185">
        <v>456</v>
      </c>
      <c r="AR20" s="183">
        <v>3499</v>
      </c>
      <c r="AS20" s="184">
        <f>AQ20*AR20</f>
        <v>1595544</v>
      </c>
      <c r="AT20" s="311">
        <v>0</v>
      </c>
      <c r="AU20" s="308">
        <v>0</v>
      </c>
      <c r="AV20" s="184">
        <f>AT20*AU20</f>
        <v>0</v>
      </c>
      <c r="AW20" s="185">
        <v>10</v>
      </c>
      <c r="AX20" s="183">
        <v>3070</v>
      </c>
      <c r="AY20" s="184">
        <f>AW20*AX20</f>
        <v>30700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1896</v>
      </c>
      <c r="BP20" s="46">
        <f t="shared" si="6"/>
        <v>3649.3902953586498</v>
      </c>
      <c r="BQ20" s="47">
        <f>SUMIF($AK$6:$BN$6,BQ$6,$AK20:$BN20)</f>
        <v>6919244</v>
      </c>
      <c r="BR20" s="45">
        <f>BO20+AH20</f>
        <v>3090</v>
      </c>
      <c r="BS20" s="46">
        <f t="shared" si="7"/>
        <v>4329.9731391585765</v>
      </c>
      <c r="BT20" s="47">
        <f>BQ20+AJ20</f>
        <v>13379617</v>
      </c>
      <c r="BV20" s="50">
        <f>261*30</f>
        <v>7830</v>
      </c>
      <c r="BW20" s="51">
        <f t="shared" si="8"/>
        <v>0.3946360153256705</v>
      </c>
      <c r="BX20" s="271"/>
    </row>
    <row r="21" spans="1:76" x14ac:dyDescent="0.2">
      <c r="A21" s="39" t="e">
        <f>DATE(YEAR(A17),MONTH(A17)+2,1)-1</f>
        <v>#REF!</v>
      </c>
      <c r="B21" s="521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22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20">
        <f>DATE(YEAR(B19),MONTH(B19)+2,1)-1</f>
        <v>152</v>
      </c>
      <c r="C23" s="24" t="s">
        <v>27</v>
      </c>
      <c r="D23" s="25">
        <f>(D24/D25)-1</f>
        <v>-0.55499999999999994</v>
      </c>
      <c r="E23" s="26">
        <f>(E24/E25)-1</f>
        <v>-9.9999999999999978E-2</v>
      </c>
      <c r="F23" s="25">
        <f>(F24/F25)-1</f>
        <v>-0.59949999999999992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0.11111111111111116</v>
      </c>
      <c r="Q23" s="70">
        <f t="shared" si="26"/>
        <v>0</v>
      </c>
      <c r="R23" s="25">
        <f t="shared" si="26"/>
        <v>0.11111111111111116</v>
      </c>
      <c r="S23" s="29">
        <f t="shared" si="26"/>
        <v>8.6206896551723755E-3</v>
      </c>
      <c r="T23" s="70">
        <f t="shared" si="26"/>
        <v>0</v>
      </c>
      <c r="U23" s="70">
        <f t="shared" si="26"/>
        <v>8.6206896551723755E-3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-0.11798561151079134</v>
      </c>
      <c r="AI23" s="76">
        <f t="shared" si="26"/>
        <v>-8.1026838079604424E-2</v>
      </c>
      <c r="AJ23" s="77">
        <f t="shared" si="26"/>
        <v>-0.1894524485507878</v>
      </c>
      <c r="AK23" s="28">
        <f t="shared" si="26"/>
        <v>-0.45454545454545459</v>
      </c>
      <c r="AL23" s="70">
        <f t="shared" si="26"/>
        <v>2.7777777777777679E-2</v>
      </c>
      <c r="AM23" s="31">
        <f t="shared" si="26"/>
        <v>-0.43939393939393945</v>
      </c>
      <c r="AN23" s="28">
        <f t="shared" si="26"/>
        <v>0.78571428571428581</v>
      </c>
      <c r="AO23" s="70">
        <f t="shared" si="26"/>
        <v>-0.125</v>
      </c>
      <c r="AP23" s="25">
        <f t="shared" si="26"/>
        <v>0.5625</v>
      </c>
      <c r="AQ23" s="29">
        <f t="shared" si="26"/>
        <v>-0.41666666666666663</v>
      </c>
      <c r="AR23" s="70">
        <f t="shared" si="26"/>
        <v>3.5419126328217754E-3</v>
      </c>
      <c r="AS23" s="25">
        <f t="shared" si="26"/>
        <v>-0.41460055096418735</v>
      </c>
      <c r="AT23" s="29">
        <f t="shared" si="26"/>
        <v>0</v>
      </c>
      <c r="AU23" s="70">
        <f t="shared" si="26"/>
        <v>0</v>
      </c>
      <c r="AV23" s="25">
        <f t="shared" si="26"/>
        <v>0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-0.1116573033707865</v>
      </c>
      <c r="BP23" s="70">
        <f t="shared" si="27"/>
        <v>5.2927254885639652E-3</v>
      </c>
      <c r="BQ23" s="31">
        <f t="shared" si="27"/>
        <v>-0.10695554933775742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21"/>
      <c r="C24" s="40" t="s">
        <v>34</v>
      </c>
      <c r="D24" s="310">
        <v>267</v>
      </c>
      <c r="E24" s="309">
        <v>5400</v>
      </c>
      <c r="F24" s="174">
        <f>D24*E24</f>
        <v>1441800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175">
        <v>1000</v>
      </c>
      <c r="Q24" s="173">
        <v>3460</v>
      </c>
      <c r="R24" s="174">
        <f>P24*Q24</f>
        <v>3460000</v>
      </c>
      <c r="S24" s="175">
        <v>585</v>
      </c>
      <c r="T24" s="173">
        <v>4000</v>
      </c>
      <c r="U24" s="174">
        <f>S24*T24</f>
        <v>2340000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2452</v>
      </c>
      <c r="AI24" s="177">
        <f>IF(AH24=0,0,AJ24/AH24)</f>
        <v>3964.6455401712883</v>
      </c>
      <c r="AJ24" s="178">
        <f>SUMIF($D$6:$AG$6,AJ$6,$D24:$AG24)</f>
        <v>9721310.8644999992</v>
      </c>
      <c r="AK24" s="301">
        <v>600</v>
      </c>
      <c r="AL24" s="268">
        <v>3700</v>
      </c>
      <c r="AM24" s="174">
        <f>AK24*AL24</f>
        <v>2220000</v>
      </c>
      <c r="AN24" s="270">
        <v>1250</v>
      </c>
      <c r="AO24" s="268">
        <v>4200</v>
      </c>
      <c r="AP24" s="174">
        <f>AN24*AO24</f>
        <v>5250000</v>
      </c>
      <c r="AQ24" s="270">
        <v>350</v>
      </c>
      <c r="AR24" s="268">
        <v>3400</v>
      </c>
      <c r="AS24" s="174">
        <f>AQ24*AR24</f>
        <v>1190000</v>
      </c>
      <c r="AT24" s="175">
        <v>330</v>
      </c>
      <c r="AU24" s="173">
        <v>2483</v>
      </c>
      <c r="AV24" s="174">
        <f>AT24*AU24</f>
        <v>819390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2530</v>
      </c>
      <c r="BP24" s="46">
        <f t="shared" si="6"/>
        <v>3746.794466403162</v>
      </c>
      <c r="BQ24" s="47">
        <f>SUMIF($AK$6:$BN$6,BQ$6,$AK24:$BN24)</f>
        <v>9479390</v>
      </c>
      <c r="BR24" s="45">
        <f>BO24+AH24</f>
        <v>4982</v>
      </c>
      <c r="BS24" s="46">
        <f t="shared" si="7"/>
        <v>3854.0146255519876</v>
      </c>
      <c r="BT24" s="47">
        <f>BQ24+AJ24</f>
        <v>19200700.864500001</v>
      </c>
      <c r="BV24" s="50">
        <f>261*31</f>
        <v>8091</v>
      </c>
      <c r="BW24" s="51">
        <f t="shared" si="8"/>
        <v>0.61574589049561246</v>
      </c>
    </row>
    <row r="25" spans="1:76" x14ac:dyDescent="0.2">
      <c r="A25" s="39" t="e">
        <f>DATE(YEAR(A21),MONTH(A21)+2,1)-1</f>
        <v>#REF!</v>
      </c>
      <c r="B25" s="521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21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20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0</v>
      </c>
      <c r="U27" s="70">
        <f t="shared" si="32"/>
        <v>0</v>
      </c>
      <c r="V27" s="29">
        <f t="shared" si="32"/>
        <v>0</v>
      </c>
      <c r="W27" s="70">
        <f t="shared" si="32"/>
        <v>0</v>
      </c>
      <c r="X27" s="25">
        <f t="shared" si="32"/>
        <v>0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4.3903256122515E-3</v>
      </c>
      <c r="AJ27" s="77">
        <f t="shared" si="32"/>
        <v>4.390325612251722E-3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21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175">
        <v>455</v>
      </c>
      <c r="T28" s="173">
        <v>3791</v>
      </c>
      <c r="U28" s="174">
        <f>S28*T28</f>
        <v>1724905</v>
      </c>
      <c r="V28" s="175">
        <v>106</v>
      </c>
      <c r="W28" s="173">
        <v>2785</v>
      </c>
      <c r="X28" s="174">
        <f>V28*W28</f>
        <v>295210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3856.4438223217617</v>
      </c>
      <c r="AJ28" s="178">
        <f>SUMIF($D$6:$AG$6,AJ$6,$D28:$AG28)</f>
        <v>10331413</v>
      </c>
      <c r="AK28" s="179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175">
        <v>80</v>
      </c>
      <c r="AR28" s="173">
        <v>3225</v>
      </c>
      <c r="AS28" s="174">
        <f>AQ28*AR28</f>
        <v>258000</v>
      </c>
      <c r="AT28" s="175">
        <v>150</v>
      </c>
      <c r="AU28" s="173">
        <v>2555</v>
      </c>
      <c r="AV28" s="174">
        <f>AT28*AU28</f>
        <v>383250</v>
      </c>
      <c r="AW28" s="175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3654.6313920454545</v>
      </c>
      <c r="BT28" s="47">
        <f>BQ28+AJ28</f>
        <v>15437163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21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22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20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0</v>
      </c>
      <c r="U31" s="70">
        <f t="shared" si="38"/>
        <v>3.8000000000000034E-2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1.5835281059667139E-2</v>
      </c>
      <c r="AJ31" s="77">
        <f t="shared" si="38"/>
        <v>4.1393610092725019E-2</v>
      </c>
      <c r="AK31" s="28">
        <f t="shared" si="38"/>
        <v>9.0909090909090828E-2</v>
      </c>
      <c r="AL31" s="70">
        <f t="shared" si="38"/>
        <v>9.6774193548387011E-2</v>
      </c>
      <c r="AM31" s="31">
        <f t="shared" si="38"/>
        <v>0.19648093841642233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0.1272727272727272</v>
      </c>
      <c r="BP31" s="70">
        <f t="shared" si="39"/>
        <v>5.5654747920875769E-2</v>
      </c>
      <c r="BQ31" s="31">
        <f t="shared" si="39"/>
        <v>0.19001080674716908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21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175">
        <v>519</v>
      </c>
      <c r="T32" s="173">
        <v>3661</v>
      </c>
      <c r="U32" s="174">
        <f>S32*T32</f>
        <v>1900059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3784.6210482529118</v>
      </c>
      <c r="AJ32" s="178">
        <f>SUMIF($D$6:$AG$6,AJ$6,$D32:$AG32)</f>
        <v>9098229</v>
      </c>
      <c r="AK32" s="179">
        <v>1200</v>
      </c>
      <c r="AL32" s="173">
        <v>3400</v>
      </c>
      <c r="AM32" s="174">
        <f>AK32*AL32</f>
        <v>4080000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1860</v>
      </c>
      <c r="BP32" s="46">
        <f t="shared" si="6"/>
        <v>3404.1666666666665</v>
      </c>
      <c r="BQ32" s="47">
        <f>SUMIF($AK$6:$BN$6,BQ$6,$AK32:$BN32)</f>
        <v>6331750</v>
      </c>
      <c r="BR32" s="45">
        <f>BO32+AH32</f>
        <v>4264</v>
      </c>
      <c r="BS32" s="46">
        <f t="shared" si="7"/>
        <v>3618.6629924953095</v>
      </c>
      <c r="BT32" s="47">
        <f>BQ32+AJ32</f>
        <v>15429979</v>
      </c>
      <c r="BV32" s="50">
        <f>261*31</f>
        <v>8091</v>
      </c>
      <c r="BW32" s="51">
        <f t="shared" si="8"/>
        <v>0.52700531454702759</v>
      </c>
    </row>
    <row r="33" spans="1:75" x14ac:dyDescent="0.2">
      <c r="A33" s="39" t="e">
        <f>DATE(YEAR(A29),MONTH(A29)+2,1)-1</f>
        <v>#REF!</v>
      </c>
      <c r="B33" s="521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22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20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21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21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22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21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21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21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21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20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0.33333333333333326</v>
      </c>
      <c r="AL43" s="70">
        <f t="shared" si="58"/>
        <v>0</v>
      </c>
      <c r="AM43" s="31">
        <f t="shared" si="58"/>
        <v>0.33333333333333326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0.14519056261343022</v>
      </c>
      <c r="BP43" s="70">
        <f t="shared" si="59"/>
        <v>3.6383654285336853E-3</v>
      </c>
      <c r="BQ43" s="31">
        <f t="shared" si="59"/>
        <v>0.1493571843655257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21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182">
        <v>1600</v>
      </c>
      <c r="AL44" s="183">
        <v>3800</v>
      </c>
      <c r="AM44" s="184">
        <f>AK44*AL44</f>
        <v>6080000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3155</v>
      </c>
      <c r="BP44" s="46">
        <f t="shared" ref="BP44:BP46" si="64">IF(BO44=0,0,BQ44/BO44)</f>
        <v>3707.4313787638671</v>
      </c>
      <c r="BQ44" s="47">
        <f>SUMIF($AK$6:$BN$6,BQ$6,$AK44:$BN44)</f>
        <v>11696946</v>
      </c>
      <c r="BR44" s="45">
        <f>BO44+AH44</f>
        <v>5920</v>
      </c>
      <c r="BS44" s="46">
        <f t="shared" si="7"/>
        <v>3847.6267567567565</v>
      </c>
      <c r="BT44" s="47">
        <f>BQ44+AJ44</f>
        <v>22777950.399999999</v>
      </c>
      <c r="BV44" s="50">
        <f>261*31</f>
        <v>8091</v>
      </c>
      <c r="BW44" s="51">
        <f t="shared" si="8"/>
        <v>0.73167717216660488</v>
      </c>
    </row>
    <row r="45" spans="1:75" x14ac:dyDescent="0.2">
      <c r="A45" s="39" t="e">
        <f>DATE(YEAR(A41),MONTH(A41)+2,1)-1</f>
        <v>#REF!</v>
      </c>
      <c r="B45" s="521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22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21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0</v>
      </c>
      <c r="AL47" s="30">
        <f t="shared" si="65"/>
        <v>0</v>
      </c>
      <c r="AM47" s="84">
        <f t="shared" si="65"/>
        <v>0</v>
      </c>
      <c r="AN47" s="82">
        <f t="shared" si="65"/>
        <v>0</v>
      </c>
      <c r="AO47" s="30">
        <f t="shared" si="65"/>
        <v>0</v>
      </c>
      <c r="AP47" s="79">
        <f t="shared" si="65"/>
        <v>0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</v>
      </c>
      <c r="AU47" s="30">
        <f t="shared" si="65"/>
        <v>0</v>
      </c>
      <c r="AV47" s="79">
        <f t="shared" si="65"/>
        <v>0</v>
      </c>
      <c r="AW47" s="83">
        <f t="shared" si="65"/>
        <v>0</v>
      </c>
      <c r="AX47" s="30">
        <f t="shared" si="65"/>
        <v>0</v>
      </c>
      <c r="AY47" s="84">
        <f t="shared" si="65"/>
        <v>0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0</v>
      </c>
      <c r="BP47" s="30">
        <f t="shared" si="66"/>
        <v>0</v>
      </c>
      <c r="BQ47" s="84">
        <f t="shared" si="66"/>
        <v>0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21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182">
        <v>1850</v>
      </c>
      <c r="AL48" s="183">
        <v>3800</v>
      </c>
      <c r="AM48" s="184">
        <f>AK48*AL48</f>
        <v>7030000</v>
      </c>
      <c r="AN48" s="185">
        <v>700</v>
      </c>
      <c r="AO48" s="183">
        <v>3800</v>
      </c>
      <c r="AP48" s="184">
        <f>AN48*AO48</f>
        <v>2660000</v>
      </c>
      <c r="AQ48" s="185">
        <v>600</v>
      </c>
      <c r="AR48" s="183">
        <v>3600</v>
      </c>
      <c r="AS48" s="184">
        <f>AQ48*AR48</f>
        <v>2160000</v>
      </c>
      <c r="AT48" s="185">
        <v>220</v>
      </c>
      <c r="AU48" s="183">
        <v>3311.5</v>
      </c>
      <c r="AV48" s="184">
        <f>AT48*AU48</f>
        <v>728530</v>
      </c>
      <c r="AW48" s="185">
        <v>70</v>
      </c>
      <c r="AX48" s="183">
        <v>3000</v>
      </c>
      <c r="AY48" s="184">
        <f>AW48*AX48</f>
        <v>210000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3440</v>
      </c>
      <c r="BP48" s="46">
        <f t="shared" ref="BP48:BP50" si="71">IF(BO48=0,0,BQ48/BO48)</f>
        <v>3717.5959302325582</v>
      </c>
      <c r="BQ48" s="47">
        <f>SUMIF($AK$6:$BN$6,BQ$6,$AK48:$BN48)</f>
        <v>12788530</v>
      </c>
      <c r="BR48" s="45">
        <f>BO48+AH48</f>
        <v>6719</v>
      </c>
      <c r="BS48" s="46">
        <f t="shared" si="7"/>
        <v>3984.2223545170414</v>
      </c>
      <c r="BT48" s="47">
        <f>BQ48+AJ48</f>
        <v>26769990</v>
      </c>
      <c r="BV48" s="50">
        <f>261*30</f>
        <v>7830</v>
      </c>
      <c r="BW48" s="51">
        <f t="shared" si="8"/>
        <v>0.85810983397190299</v>
      </c>
    </row>
    <row r="49" spans="1:77" x14ac:dyDescent="0.2">
      <c r="A49" s="39" t="e">
        <f>DATE(YEAR(A45),MONTH(A45)+2,1)-1</f>
        <v>#REF!</v>
      </c>
      <c r="B49" s="521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22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20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21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21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22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20" t="s">
        <v>28</v>
      </c>
      <c r="C55" s="286" t="s">
        <v>27</v>
      </c>
      <c r="D55" s="156">
        <f>(D56/D57)-1</f>
        <v>-7.3033707865168496E-2</v>
      </c>
      <c r="E55" s="70">
        <f>(E56/E57)-1</f>
        <v>0.1049329915324011</v>
      </c>
      <c r="F55" s="157">
        <f>(F56/F57)-1</f>
        <v>2.4235638218236932E-2</v>
      </c>
      <c r="G55" s="290"/>
      <c r="H55" s="148"/>
      <c r="I55" s="146"/>
      <c r="J55" s="25">
        <f t="shared" ref="J55:AG55" si="82">(J56/J57)-1</f>
        <v>-0.57796610169491525</v>
      </c>
      <c r="K55" s="26">
        <f t="shared" si="82"/>
        <v>-0.19346462516733598</v>
      </c>
      <c r="L55" s="28">
        <f t="shared" si="82"/>
        <v>-0.65961473163841799</v>
      </c>
      <c r="M55" s="27">
        <f t="shared" si="82"/>
        <v>-0.92131147540983604</v>
      </c>
      <c r="N55" s="26">
        <f t="shared" si="82"/>
        <v>-0.16203143893591299</v>
      </c>
      <c r="O55" s="31">
        <f t="shared" si="82"/>
        <v>-0.93406149027692431</v>
      </c>
      <c r="P55" s="25">
        <f t="shared" si="82"/>
        <v>0.14480000000000004</v>
      </c>
      <c r="Q55" s="26">
        <f t="shared" si="82"/>
        <v>-1.1535134433173222E-2</v>
      </c>
      <c r="R55" s="28">
        <f t="shared" si="82"/>
        <v>0.13159457810090336</v>
      </c>
      <c r="S55" s="27">
        <f t="shared" si="82"/>
        <v>1.2759036144578313</v>
      </c>
      <c r="T55" s="26">
        <f t="shared" si="82"/>
        <v>-5.9101839676410139E-2</v>
      </c>
      <c r="U55" s="31">
        <f t="shared" si="82"/>
        <v>1.1413935239171824</v>
      </c>
      <c r="V55" s="25">
        <f t="shared" si="82"/>
        <v>-0.35037593984962401</v>
      </c>
      <c r="W55" s="26">
        <f t="shared" si="82"/>
        <v>1.1973024337613714E-2</v>
      </c>
      <c r="X55" s="28">
        <f t="shared" si="82"/>
        <v>-0.34259797516714419</v>
      </c>
      <c r="Y55" s="27">
        <f t="shared" si="82"/>
        <v>0.58181818181818179</v>
      </c>
      <c r="Z55" s="26">
        <f t="shared" si="82"/>
        <v>-0.2204100652376515</v>
      </c>
      <c r="AA55" s="31">
        <f t="shared" si="82"/>
        <v>0.23316953316953315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-0.70833333333333326</v>
      </c>
      <c r="AF55" s="26">
        <f t="shared" si="82"/>
        <v>-1.9216564368694011E-2</v>
      </c>
      <c r="AG55" s="28">
        <f t="shared" si="82"/>
        <v>-0.71393816460753579</v>
      </c>
      <c r="AH55" s="154">
        <f>AH56/AH57-1</f>
        <v>6.9592586116453914E-2</v>
      </c>
      <c r="AI55" s="76">
        <f>AI56/AI57-1</f>
        <v>-1.352760702326683E-2</v>
      </c>
      <c r="AJ55" s="77">
        <f>AJ56/AJ57-1</f>
        <v>5.5123557936470835E-2</v>
      </c>
      <c r="AK55" s="25">
        <f t="shared" ref="AK55:BB55" si="83">(AK56/AK57)-1</f>
        <v>-0.21421487603305789</v>
      </c>
      <c r="AL55" s="26">
        <f t="shared" si="83"/>
        <v>-5.8465469294413319E-2</v>
      </c>
      <c r="AM55" s="28">
        <f t="shared" si="83"/>
        <v>-0.2601561720703538</v>
      </c>
      <c r="AN55" s="27">
        <f t="shared" si="83"/>
        <v>-0.48705882352941177</v>
      </c>
      <c r="AO55" s="26">
        <f t="shared" si="83"/>
        <v>-0.18802816901408448</v>
      </c>
      <c r="AP55" s="31">
        <f t="shared" si="83"/>
        <v>-0.58350621375310685</v>
      </c>
      <c r="AQ55" s="25">
        <f t="shared" si="83"/>
        <v>-0.88363636363636366</v>
      </c>
      <c r="AR55" s="26">
        <f t="shared" si="83"/>
        <v>0.61382330647651662</v>
      </c>
      <c r="AS55" s="28">
        <f t="shared" si="83"/>
        <v>-0.81220965161000536</v>
      </c>
      <c r="AT55" s="27">
        <f t="shared" si="83"/>
        <v>0.37000000000000011</v>
      </c>
      <c r="AU55" s="26">
        <f t="shared" si="83"/>
        <v>-8.1527927021088908E-3</v>
      </c>
      <c r="AV55" s="31">
        <f t="shared" si="83"/>
        <v>0.35883067399811086</v>
      </c>
      <c r="AW55" s="25">
        <f t="shared" si="83"/>
        <v>-0.6</v>
      </c>
      <c r="AX55" s="26">
        <f t="shared" si="83"/>
        <v>0.14896385243041599</v>
      </c>
      <c r="AY55" s="28">
        <f t="shared" si="83"/>
        <v>-0.54041445902783369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-0.33008298755186727</v>
      </c>
      <c r="BP55" s="70">
        <f t="shared" ref="BP55:BQ55" si="84">BP56/BP57-1</f>
        <v>-5.6339439580595729E-2</v>
      </c>
      <c r="BQ55" s="157">
        <f t="shared" si="84"/>
        <v>-0.36782573659870199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21"/>
      <c r="C56" s="287" t="s">
        <v>29</v>
      </c>
      <c r="D56" s="296">
        <f>+D8+D12</f>
        <v>1650</v>
      </c>
      <c r="E56" s="295">
        <f>+F56/D56</f>
        <v>6302.2398242424251</v>
      </c>
      <c r="F56" s="297">
        <f>+F8+F12</f>
        <v>10398695.710000001</v>
      </c>
      <c r="G56" s="291"/>
      <c r="H56" s="144"/>
      <c r="I56" s="143"/>
      <c r="J56" s="296">
        <f t="shared" ref="J56:J58" si="85">+J8+J12</f>
        <v>249</v>
      </c>
      <c r="K56" s="295">
        <f t="shared" ref="K56:K58" si="86">+L56/J56</f>
        <v>3871.3697991967874</v>
      </c>
      <c r="L56" s="297">
        <f t="shared" ref="L56:AG58" si="87">+L8+L12</f>
        <v>963971.08000000007</v>
      </c>
      <c r="M56" s="296">
        <f t="shared" si="87"/>
        <v>24</v>
      </c>
      <c r="N56" s="295">
        <f t="shared" ref="N56:N58" si="88">+O56/M56</f>
        <v>2772</v>
      </c>
      <c r="O56" s="297">
        <f t="shared" ref="O56:P56" si="89">+O8+O12</f>
        <v>66528</v>
      </c>
      <c r="P56" s="296">
        <f t="shared" si="89"/>
        <v>1431</v>
      </c>
      <c r="Q56" s="295">
        <f t="shared" ref="Q56:Q58" si="90">+R56/P56</f>
        <v>3589.3136198462612</v>
      </c>
      <c r="R56" s="297">
        <f t="shared" ref="R56:S56" si="91">+R8+R12</f>
        <v>5136307.79</v>
      </c>
      <c r="S56" s="296">
        <f t="shared" si="91"/>
        <v>1889</v>
      </c>
      <c r="T56" s="295">
        <f t="shared" ref="T56:T58" si="92">+U56/S56</f>
        <v>3810.7509105346744</v>
      </c>
      <c r="U56" s="297">
        <f t="shared" ref="U56:V56" si="93">+U8+U12</f>
        <v>7198508.4699999997</v>
      </c>
      <c r="V56" s="296">
        <f t="shared" si="93"/>
        <v>432</v>
      </c>
      <c r="W56" s="295">
        <f t="shared" ref="W56:W58" si="94">+X56/V56</f>
        <v>3186.5737037037038</v>
      </c>
      <c r="X56" s="297">
        <f t="shared" ref="X56:Y56" si="95">+X8+X12</f>
        <v>1376599.84</v>
      </c>
      <c r="Y56" s="296">
        <f t="shared" si="95"/>
        <v>435</v>
      </c>
      <c r="Z56" s="295">
        <f t="shared" ref="Z56:Z58" si="96">+AA56/Y56</f>
        <v>3501.7620689655173</v>
      </c>
      <c r="AA56" s="297">
        <f t="shared" ref="AA56:AB56" si="97">+AA8+AA12</f>
        <v>1523266.5</v>
      </c>
      <c r="AB56" s="296">
        <f t="shared" si="97"/>
        <v>0</v>
      </c>
      <c r="AC56" s="295" t="e">
        <f t="shared" ref="AC56:AC58" si="98">+AD56/AB56</f>
        <v>#DIV/0!</v>
      </c>
      <c r="AD56" s="297">
        <f t="shared" ref="AD56:AE56" si="99">+AD8+AD12</f>
        <v>0</v>
      </c>
      <c r="AE56" s="296">
        <f t="shared" si="99"/>
        <v>7</v>
      </c>
      <c r="AF56" s="295">
        <f t="shared" ref="AF56:AF58" si="100">+AG56/AE56</f>
        <v>2659.3942857142861</v>
      </c>
      <c r="AG56" s="297">
        <f t="shared" ref="AG56:AH58" si="101">+AG8+AG12</f>
        <v>18615.760000000002</v>
      </c>
      <c r="AH56" s="296">
        <f t="shared" si="101"/>
        <v>6117</v>
      </c>
      <c r="AI56" s="295">
        <f t="shared" ref="AI56:AI58" si="102">+AJ56/AH56</f>
        <v>4362.0227480791236</v>
      </c>
      <c r="AJ56" s="297">
        <f t="shared" ref="AJ56:AK58" si="103">+AJ8+AJ12</f>
        <v>26682493.149999999</v>
      </c>
      <c r="AK56" s="296">
        <f t="shared" si="103"/>
        <v>2377</v>
      </c>
      <c r="AL56" s="295">
        <f t="shared" ref="AL56:AL58" si="104">+AM56/AK56</f>
        <v>3671.9846697517883</v>
      </c>
      <c r="AM56" s="297">
        <f t="shared" ref="AM56:AN58" si="105">+AM8+AM12</f>
        <v>8728307.5600000005</v>
      </c>
      <c r="AN56" s="296">
        <f t="shared" si="105"/>
        <v>436</v>
      </c>
      <c r="AO56" s="295">
        <f t="shared" ref="AO56:AO58" si="106">+AP56/AN56</f>
        <v>3459</v>
      </c>
      <c r="AP56" s="297">
        <f t="shared" ref="AP56:AQ58" si="107">+AP8+AP12</f>
        <v>1508124</v>
      </c>
      <c r="AQ56" s="296">
        <f t="shared" si="107"/>
        <v>64</v>
      </c>
      <c r="AR56" s="295">
        <f t="shared" ref="AR56:AR58" si="108">+AS56/AQ56</f>
        <v>5226</v>
      </c>
      <c r="AS56" s="297">
        <f t="shared" ref="AS56:AT58" si="109">+AS8+AS12</f>
        <v>334464</v>
      </c>
      <c r="AT56" s="296">
        <f t="shared" si="109"/>
        <v>274</v>
      </c>
      <c r="AU56" s="295">
        <f t="shared" ref="AU56:AU58" si="110">+AV56/AT56</f>
        <v>2940.2318613138686</v>
      </c>
      <c r="AV56" s="297">
        <f t="shared" ref="AV56:AW58" si="111">+AV8+AV12</f>
        <v>805623.53</v>
      </c>
      <c r="AW56" s="296">
        <f t="shared" si="111"/>
        <v>78</v>
      </c>
      <c r="AX56" s="295">
        <f t="shared" ref="AX56:AX58" si="112">+AY56/AW56</f>
        <v>4390.4560256410259</v>
      </c>
      <c r="AY56" s="297">
        <f t="shared" ref="AY56:AY58" si="113">+AY8+AY12</f>
        <v>342455.57</v>
      </c>
      <c r="AZ56" s="161">
        <f t="shared" ref="AZ56:BL58" si="114">+AZ8</f>
        <v>0</v>
      </c>
      <c r="BA56" s="162" t="e">
        <f t="shared" ref="BA56:BM58" si="115">+BB56/AZ56</f>
        <v>#DIV/0!</v>
      </c>
      <c r="BB56" s="163">
        <f t="shared" ref="BB56:BN58" si="116">+BB8</f>
        <v>0</v>
      </c>
      <c r="BC56" s="161">
        <f t="shared" si="116"/>
        <v>0</v>
      </c>
      <c r="BD56" s="162" t="e">
        <f t="shared" ref="BD56" si="117">+BE56/BC56</f>
        <v>#DIV/0!</v>
      </c>
      <c r="BE56" s="163">
        <f t="shared" ref="BE56:BF56" si="118">+BE8</f>
        <v>0</v>
      </c>
      <c r="BF56" s="161">
        <f t="shared" si="118"/>
        <v>0</v>
      </c>
      <c r="BG56" s="162" t="e">
        <f t="shared" ref="BG56" si="119">+BH56/BF56</f>
        <v>#DIV/0!</v>
      </c>
      <c r="BH56" s="163">
        <f t="shared" ref="BH56:BI56" si="120">+BH8</f>
        <v>0</v>
      </c>
      <c r="BI56" s="161">
        <f t="shared" si="120"/>
        <v>0</v>
      </c>
      <c r="BJ56" s="162" t="e">
        <f t="shared" ref="BJ56" si="121">+BK56/BI56</f>
        <v>#DIV/0!</v>
      </c>
      <c r="BK56" s="163">
        <f t="shared" ref="BK56:BL56" si="122">+BK8</f>
        <v>0</v>
      </c>
      <c r="BL56" s="161">
        <f t="shared" si="122"/>
        <v>0</v>
      </c>
      <c r="BM56" s="162" t="e">
        <f t="shared" ref="BM56" si="123">+BN56/BL56</f>
        <v>#DIV/0!</v>
      </c>
      <c r="BN56" s="163">
        <f t="shared" ref="BN56" si="124">+BN8</f>
        <v>0</v>
      </c>
      <c r="BO56" s="296">
        <f t="shared" ref="BO56:BO58" si="125">+BO8+BO12</f>
        <v>3229</v>
      </c>
      <c r="BP56" s="295">
        <f t="shared" ref="BP56:BP58" si="126">+BQ56/BO56</f>
        <v>3629.2891483431404</v>
      </c>
      <c r="BQ56" s="297">
        <f t="shared" ref="BQ56:BR58" si="127">+BQ8+BQ12</f>
        <v>11718974.66</v>
      </c>
      <c r="BR56" s="296">
        <f t="shared" si="127"/>
        <v>9346</v>
      </c>
      <c r="BS56" s="295">
        <f t="shared" ref="BS56:BS58" si="128">+BT56/BR56</f>
        <v>4108.8666606034667</v>
      </c>
      <c r="BT56" s="297">
        <f t="shared" ref="BT56:BT58" si="129">+BT8+BT12</f>
        <v>38401467.810000002</v>
      </c>
      <c r="BV56" s="161">
        <f>+BV8+BV12</f>
        <v>15399</v>
      </c>
      <c r="BW56" s="51">
        <f t="shared" si="79"/>
        <v>0.6069225274368466</v>
      </c>
    </row>
    <row r="57" spans="1:77" x14ac:dyDescent="0.2">
      <c r="A57" s="39"/>
      <c r="B57" s="521"/>
      <c r="C57" s="288" t="s">
        <v>30</v>
      </c>
      <c r="D57" s="296">
        <f>+D9+D13</f>
        <v>1780</v>
      </c>
      <c r="E57" s="295">
        <f t="shared" ref="E57:E58" si="130">+F57/D57</f>
        <v>5703.7303370786512</v>
      </c>
      <c r="F57" s="297">
        <f t="shared" ref="F57:F58" si="131">+F9+F13</f>
        <v>10152640</v>
      </c>
      <c r="G57" s="291"/>
      <c r="H57" s="144"/>
      <c r="I57" s="143"/>
      <c r="J57" s="296">
        <f t="shared" si="85"/>
        <v>590</v>
      </c>
      <c r="K57" s="295">
        <f t="shared" si="86"/>
        <v>4800</v>
      </c>
      <c r="L57" s="297">
        <f t="shared" si="87"/>
        <v>2832000</v>
      </c>
      <c r="M57" s="296">
        <f t="shared" si="87"/>
        <v>305</v>
      </c>
      <c r="N57" s="295">
        <f t="shared" si="88"/>
        <v>3308</v>
      </c>
      <c r="O57" s="297">
        <f t="shared" si="87"/>
        <v>1008940</v>
      </c>
      <c r="P57" s="296">
        <f t="shared" si="87"/>
        <v>1250</v>
      </c>
      <c r="Q57" s="295">
        <f t="shared" si="90"/>
        <v>3631.2</v>
      </c>
      <c r="R57" s="297">
        <f t="shared" si="87"/>
        <v>4539000</v>
      </c>
      <c r="S57" s="296">
        <f t="shared" si="87"/>
        <v>830</v>
      </c>
      <c r="T57" s="295">
        <f t="shared" si="92"/>
        <v>4050.1204819277109</v>
      </c>
      <c r="U57" s="297">
        <f t="shared" si="87"/>
        <v>3361600</v>
      </c>
      <c r="V57" s="296">
        <f t="shared" si="87"/>
        <v>665</v>
      </c>
      <c r="W57" s="295">
        <f t="shared" si="94"/>
        <v>3148.8721804511279</v>
      </c>
      <c r="X57" s="297">
        <f t="shared" si="87"/>
        <v>2094000</v>
      </c>
      <c r="Y57" s="296">
        <f t="shared" si="87"/>
        <v>275</v>
      </c>
      <c r="Z57" s="295">
        <f t="shared" si="96"/>
        <v>4491.8</v>
      </c>
      <c r="AA57" s="297">
        <f t="shared" si="87"/>
        <v>1235245</v>
      </c>
      <c r="AB57" s="296">
        <f t="shared" si="87"/>
        <v>0</v>
      </c>
      <c r="AC57" s="295" t="e">
        <f t="shared" si="98"/>
        <v>#DIV/0!</v>
      </c>
      <c r="AD57" s="297">
        <f t="shared" si="87"/>
        <v>0</v>
      </c>
      <c r="AE57" s="296">
        <f t="shared" si="87"/>
        <v>24</v>
      </c>
      <c r="AF57" s="295">
        <f t="shared" si="100"/>
        <v>2711.5</v>
      </c>
      <c r="AG57" s="297">
        <f t="shared" si="87"/>
        <v>65076</v>
      </c>
      <c r="AH57" s="296">
        <f t="shared" si="101"/>
        <v>5719</v>
      </c>
      <c r="AI57" s="295">
        <f t="shared" si="102"/>
        <v>4421.8396572827414</v>
      </c>
      <c r="AJ57" s="297">
        <f t="shared" si="103"/>
        <v>25288501</v>
      </c>
      <c r="AK57" s="296">
        <f t="shared" si="103"/>
        <v>3025</v>
      </c>
      <c r="AL57" s="295">
        <f t="shared" si="104"/>
        <v>3900</v>
      </c>
      <c r="AM57" s="297">
        <f t="shared" si="105"/>
        <v>11797500</v>
      </c>
      <c r="AN57" s="296">
        <f t="shared" si="105"/>
        <v>850</v>
      </c>
      <c r="AO57" s="295">
        <f t="shared" si="106"/>
        <v>4260</v>
      </c>
      <c r="AP57" s="297">
        <f t="shared" si="107"/>
        <v>3621000</v>
      </c>
      <c r="AQ57" s="296">
        <f t="shared" si="107"/>
        <v>550</v>
      </c>
      <c r="AR57" s="295">
        <f t="shared" si="108"/>
        <v>3238.2727272727275</v>
      </c>
      <c r="AS57" s="297">
        <f t="shared" si="109"/>
        <v>1781050</v>
      </c>
      <c r="AT57" s="296">
        <f t="shared" si="109"/>
        <v>200</v>
      </c>
      <c r="AU57" s="295">
        <f t="shared" si="110"/>
        <v>2964.4</v>
      </c>
      <c r="AV57" s="297">
        <f t="shared" si="111"/>
        <v>592880</v>
      </c>
      <c r="AW57" s="296">
        <f t="shared" si="111"/>
        <v>195</v>
      </c>
      <c r="AX57" s="295">
        <f t="shared" si="112"/>
        <v>3821.2307692307691</v>
      </c>
      <c r="AY57" s="297">
        <f t="shared" si="113"/>
        <v>745140</v>
      </c>
      <c r="AZ57" s="161">
        <f t="shared" si="114"/>
        <v>0</v>
      </c>
      <c r="BA57" s="162" t="e">
        <f t="shared" si="115"/>
        <v>#DIV/0!</v>
      </c>
      <c r="BB57" s="163">
        <f t="shared" si="116"/>
        <v>0</v>
      </c>
      <c r="BC57" s="161">
        <f t="shared" si="114"/>
        <v>0</v>
      </c>
      <c r="BD57" s="162" t="e">
        <f t="shared" si="115"/>
        <v>#DIV/0!</v>
      </c>
      <c r="BE57" s="163">
        <f t="shared" si="116"/>
        <v>0</v>
      </c>
      <c r="BF57" s="161">
        <f t="shared" si="114"/>
        <v>0</v>
      </c>
      <c r="BG57" s="162" t="e">
        <f t="shared" si="115"/>
        <v>#DIV/0!</v>
      </c>
      <c r="BH57" s="163">
        <f t="shared" si="116"/>
        <v>0</v>
      </c>
      <c r="BI57" s="161">
        <f t="shared" si="114"/>
        <v>0</v>
      </c>
      <c r="BJ57" s="162" t="e">
        <f t="shared" si="115"/>
        <v>#DIV/0!</v>
      </c>
      <c r="BK57" s="163">
        <f t="shared" si="116"/>
        <v>0</v>
      </c>
      <c r="BL57" s="161">
        <f t="shared" si="114"/>
        <v>0</v>
      </c>
      <c r="BM57" s="162" t="e">
        <f t="shared" si="115"/>
        <v>#DIV/0!</v>
      </c>
      <c r="BN57" s="163">
        <f t="shared" si="116"/>
        <v>0</v>
      </c>
      <c r="BO57" s="296">
        <f t="shared" si="125"/>
        <v>4820</v>
      </c>
      <c r="BP57" s="295">
        <f t="shared" si="126"/>
        <v>3845.9688796680498</v>
      </c>
      <c r="BQ57" s="297">
        <f t="shared" si="127"/>
        <v>18537570</v>
      </c>
      <c r="BR57" s="296">
        <f t="shared" si="127"/>
        <v>10539</v>
      </c>
      <c r="BS57" s="295">
        <f t="shared" si="128"/>
        <v>4158.4657937185693</v>
      </c>
      <c r="BT57" s="297">
        <f t="shared" si="129"/>
        <v>43826071</v>
      </c>
      <c r="BV57" s="161">
        <f>+BV9+BV13</f>
        <v>15399</v>
      </c>
      <c r="BW57" s="61">
        <f t="shared" si="79"/>
        <v>0.68439509059029802</v>
      </c>
    </row>
    <row r="58" spans="1:77" ht="13.5" customHeight="1" x14ac:dyDescent="0.2">
      <c r="A58" s="39"/>
      <c r="B58" s="522"/>
      <c r="C58" s="289" t="s">
        <v>33</v>
      </c>
      <c r="D58" s="298">
        <f>+D10+D14</f>
        <v>1731</v>
      </c>
      <c r="E58" s="299">
        <f t="shared" si="130"/>
        <v>5731.1351819757365</v>
      </c>
      <c r="F58" s="300">
        <f t="shared" si="131"/>
        <v>9920595</v>
      </c>
      <c r="G58" s="292"/>
      <c r="H58" s="152"/>
      <c r="I58" s="151"/>
      <c r="J58" s="298">
        <f t="shared" si="85"/>
        <v>582</v>
      </c>
      <c r="K58" s="299">
        <f t="shared" si="86"/>
        <v>3246.7319587628867</v>
      </c>
      <c r="L58" s="300">
        <f t="shared" si="87"/>
        <v>1889598</v>
      </c>
      <c r="M58" s="298">
        <f t="shared" si="87"/>
        <v>296</v>
      </c>
      <c r="N58" s="299">
        <f t="shared" si="88"/>
        <v>3195.6959459459458</v>
      </c>
      <c r="O58" s="300">
        <f t="shared" si="87"/>
        <v>945926</v>
      </c>
      <c r="P58" s="298">
        <f t="shared" si="87"/>
        <v>826</v>
      </c>
      <c r="Q58" s="299">
        <f t="shared" si="90"/>
        <v>3455.4624697336562</v>
      </c>
      <c r="R58" s="300">
        <f t="shared" si="87"/>
        <v>2854212</v>
      </c>
      <c r="S58" s="298">
        <f t="shared" si="87"/>
        <v>780</v>
      </c>
      <c r="T58" s="299">
        <f t="shared" si="92"/>
        <v>3904.6358974358973</v>
      </c>
      <c r="U58" s="300">
        <f t="shared" si="87"/>
        <v>3045616</v>
      </c>
      <c r="V58" s="298">
        <f t="shared" si="87"/>
        <v>649</v>
      </c>
      <c r="W58" s="299">
        <f t="shared" si="94"/>
        <v>2974.2804314329737</v>
      </c>
      <c r="X58" s="300">
        <f t="shared" si="87"/>
        <v>1930308</v>
      </c>
      <c r="Y58" s="298">
        <f t="shared" si="87"/>
        <v>257</v>
      </c>
      <c r="Z58" s="299">
        <f t="shared" si="96"/>
        <v>4344.8132295719843</v>
      </c>
      <c r="AA58" s="300">
        <f t="shared" si="87"/>
        <v>1116617</v>
      </c>
      <c r="AB58" s="298">
        <f t="shared" si="87"/>
        <v>0</v>
      </c>
      <c r="AC58" s="299" t="e">
        <f t="shared" si="98"/>
        <v>#DIV/0!</v>
      </c>
      <c r="AD58" s="300">
        <f t="shared" si="87"/>
        <v>0</v>
      </c>
      <c r="AE58" s="298">
        <f t="shared" si="87"/>
        <v>24</v>
      </c>
      <c r="AF58" s="299">
        <f t="shared" si="100"/>
        <v>2711.5</v>
      </c>
      <c r="AG58" s="300">
        <f t="shared" si="87"/>
        <v>65076</v>
      </c>
      <c r="AH58" s="298">
        <f t="shared" si="101"/>
        <v>5145</v>
      </c>
      <c r="AI58" s="299">
        <f t="shared" si="102"/>
        <v>4230.8936831875608</v>
      </c>
      <c r="AJ58" s="300">
        <f t="shared" si="103"/>
        <v>21767948</v>
      </c>
      <c r="AK58" s="298">
        <f t="shared" si="103"/>
        <v>1727</v>
      </c>
      <c r="AL58" s="299">
        <f t="shared" si="104"/>
        <v>3648.8598726114651</v>
      </c>
      <c r="AM58" s="300">
        <f t="shared" si="105"/>
        <v>6301581</v>
      </c>
      <c r="AN58" s="298">
        <f t="shared" si="105"/>
        <v>573</v>
      </c>
      <c r="AO58" s="299">
        <f t="shared" si="106"/>
        <v>4379.2425828970336</v>
      </c>
      <c r="AP58" s="300">
        <f t="shared" si="107"/>
        <v>2509306</v>
      </c>
      <c r="AQ58" s="298">
        <f t="shared" si="107"/>
        <v>421</v>
      </c>
      <c r="AR58" s="299">
        <f t="shared" si="108"/>
        <v>3123.4251781472685</v>
      </c>
      <c r="AS58" s="300">
        <f t="shared" si="109"/>
        <v>1314962</v>
      </c>
      <c r="AT58" s="298">
        <f t="shared" si="109"/>
        <v>100</v>
      </c>
      <c r="AU58" s="299">
        <f t="shared" si="110"/>
        <v>2886.1</v>
      </c>
      <c r="AV58" s="300">
        <f t="shared" si="111"/>
        <v>288610</v>
      </c>
      <c r="AW58" s="298">
        <f t="shared" si="111"/>
        <v>162.982</v>
      </c>
      <c r="AX58" s="299">
        <f t="shared" si="112"/>
        <v>3729.8992081294869</v>
      </c>
      <c r="AY58" s="300">
        <f t="shared" si="113"/>
        <v>607906.43273936003</v>
      </c>
      <c r="AZ58" s="164">
        <f t="shared" si="114"/>
        <v>0</v>
      </c>
      <c r="BA58" s="193" t="e">
        <f t="shared" si="115"/>
        <v>#DIV/0!</v>
      </c>
      <c r="BB58" s="165">
        <f t="shared" si="116"/>
        <v>0</v>
      </c>
      <c r="BC58" s="164">
        <f t="shared" si="114"/>
        <v>0</v>
      </c>
      <c r="BD58" s="193" t="e">
        <f t="shared" si="115"/>
        <v>#DIV/0!</v>
      </c>
      <c r="BE58" s="165">
        <f t="shared" si="116"/>
        <v>0</v>
      </c>
      <c r="BF58" s="164">
        <f t="shared" si="114"/>
        <v>0</v>
      </c>
      <c r="BG58" s="193" t="e">
        <f t="shared" si="115"/>
        <v>#DIV/0!</v>
      </c>
      <c r="BH58" s="165">
        <f t="shared" si="116"/>
        <v>0</v>
      </c>
      <c r="BI58" s="164">
        <f t="shared" si="114"/>
        <v>0</v>
      </c>
      <c r="BJ58" s="193" t="e">
        <f t="shared" si="115"/>
        <v>#DIV/0!</v>
      </c>
      <c r="BK58" s="165">
        <f t="shared" si="116"/>
        <v>0</v>
      </c>
      <c r="BL58" s="164">
        <f t="shared" si="114"/>
        <v>0</v>
      </c>
      <c r="BM58" s="193" t="e">
        <f t="shared" si="115"/>
        <v>#DIV/0!</v>
      </c>
      <c r="BN58" s="165">
        <f t="shared" si="116"/>
        <v>0</v>
      </c>
      <c r="BO58" s="298">
        <f t="shared" si="125"/>
        <v>2983.982</v>
      </c>
      <c r="BP58" s="299">
        <f t="shared" si="126"/>
        <v>3693.8444778619173</v>
      </c>
      <c r="BQ58" s="300">
        <f t="shared" si="127"/>
        <v>11022365.43273936</v>
      </c>
      <c r="BR58" s="298">
        <f t="shared" si="127"/>
        <v>8128.982</v>
      </c>
      <c r="BS58" s="299">
        <f t="shared" si="128"/>
        <v>4033.7539722365432</v>
      </c>
      <c r="BT58" s="300">
        <f t="shared" si="129"/>
        <v>32790313.432739358</v>
      </c>
      <c r="BV58" s="164">
        <f>+BV10+BV14</f>
        <v>15399</v>
      </c>
      <c r="BW58" s="61">
        <f t="shared" si="79"/>
        <v>0.52789025261380607</v>
      </c>
    </row>
    <row r="59" spans="1:77" x14ac:dyDescent="0.2">
      <c r="A59" s="39"/>
      <c r="B59" s="530" t="s">
        <v>31</v>
      </c>
      <c r="C59" s="97" t="s">
        <v>27</v>
      </c>
      <c r="D59" s="79">
        <f>(D60/D61)-1</f>
        <v>-4.6361880231809427E-2</v>
      </c>
      <c r="E59" s="126">
        <f>(E60/E61)-1</f>
        <v>4.2103471550755334E-2</v>
      </c>
      <c r="F59" s="79">
        <f>(F60/F61)-1</f>
        <v>-6.2104047864336431E-3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2">J60/J61-1</f>
        <v>-0.52285298398835511</v>
      </c>
      <c r="K59" s="30">
        <f t="shared" si="132"/>
        <v>-3.5104659013995732E-2</v>
      </c>
      <c r="L59" s="79">
        <f t="shared" si="132"/>
        <v>-0.53960306728498941</v>
      </c>
      <c r="M59" s="83">
        <f t="shared" si="132"/>
        <v>-0.17549516351911565</v>
      </c>
      <c r="N59" s="30">
        <f t="shared" si="132"/>
        <v>2.5813593543924096E-3</v>
      </c>
      <c r="O59" s="79">
        <f t="shared" si="132"/>
        <v>-0.17336682024672379</v>
      </c>
      <c r="P59" s="83">
        <f t="shared" si="132"/>
        <v>-4.1968040370058857E-2</v>
      </c>
      <c r="Q59" s="30">
        <f t="shared" si="132"/>
        <v>1.0870195795019466E-2</v>
      </c>
      <c r="R59" s="79">
        <f t="shared" si="132"/>
        <v>-3.1554045390995267E-2</v>
      </c>
      <c r="S59" s="83">
        <f t="shared" si="132"/>
        <v>0.13897233201581027</v>
      </c>
      <c r="T59" s="30">
        <f t="shared" si="132"/>
        <v>1.6222744655540744E-2</v>
      </c>
      <c r="U59" s="79">
        <f t="shared" si="132"/>
        <v>0.15744958932782849</v>
      </c>
      <c r="V59" s="83">
        <f t="shared" si="132"/>
        <v>-0.14897074756229689</v>
      </c>
      <c r="W59" s="30">
        <f t="shared" si="132"/>
        <v>5.5877393679804044E-4</v>
      </c>
      <c r="X59" s="79">
        <f t="shared" si="132"/>
        <v>-0.14849521459658199</v>
      </c>
      <c r="Y59" s="83">
        <f t="shared" si="132"/>
        <v>7.9599618684461415E-2</v>
      </c>
      <c r="Z59" s="30">
        <f t="shared" si="132"/>
        <v>5.4477612144170351E-3</v>
      </c>
      <c r="AA59" s="79">
        <f t="shared" si="132"/>
        <v>8.5481019614230158E-2</v>
      </c>
      <c r="AB59" s="83" t="e">
        <f t="shared" si="132"/>
        <v>#DIV/0!</v>
      </c>
      <c r="AC59" s="30" t="e">
        <f t="shared" si="132"/>
        <v>#DIV/0!</v>
      </c>
      <c r="AD59" s="79" t="e">
        <f t="shared" si="132"/>
        <v>#DIV/0!</v>
      </c>
      <c r="AE59" s="83">
        <f t="shared" si="132"/>
        <v>-0.2441860465116279</v>
      </c>
      <c r="AF59" s="30">
        <f t="shared" si="132"/>
        <v>2.4913353805351646E-2</v>
      </c>
      <c r="AG59" s="84">
        <f t="shared" si="132"/>
        <v>-0.22535618607735064</v>
      </c>
      <c r="AH59" s="83">
        <f t="shared" si="132"/>
        <v>-6.418463611859837E-2</v>
      </c>
      <c r="AI59" s="30">
        <f t="shared" si="132"/>
        <v>1.3550197133676001E-2</v>
      </c>
      <c r="AJ59" s="84">
        <f t="shared" si="132"/>
        <v>-5.1504153457282764E-2</v>
      </c>
      <c r="AK59" s="82">
        <f t="shared" si="132"/>
        <v>-8.9059886249581832E-2</v>
      </c>
      <c r="AL59" s="30">
        <f t="shared" si="132"/>
        <v>2.3525481244504043E-3</v>
      </c>
      <c r="AM59" s="79">
        <f t="shared" si="132"/>
        <v>-8.6916855793491621E-2</v>
      </c>
      <c r="AN59" s="83">
        <f t="shared" si="132"/>
        <v>0.13588691290469668</v>
      </c>
      <c r="AO59" s="30">
        <f t="shared" si="132"/>
        <v>6.9099971358610901E-2</v>
      </c>
      <c r="AP59" s="79">
        <f t="shared" si="132"/>
        <v>0.21437666605303241</v>
      </c>
      <c r="AQ59" s="83">
        <f t="shared" si="132"/>
        <v>-6.6584463625154133E-2</v>
      </c>
      <c r="AR59" s="30">
        <f t="shared" si="132"/>
        <v>3.5168851255331424E-2</v>
      </c>
      <c r="AS59" s="79">
        <f t="shared" si="132"/>
        <v>-3.3757311466971696E-2</v>
      </c>
      <c r="AT59" s="83">
        <f t="shared" si="132"/>
        <v>-7.9335793357933615E-2</v>
      </c>
      <c r="AU59" s="30">
        <f t="shared" si="132"/>
        <v>-9.0605188337889997E-3</v>
      </c>
      <c r="AV59" s="79">
        <f t="shared" si="132"/>
        <v>-8.7677488741809251E-2</v>
      </c>
      <c r="AW59" s="83">
        <f t="shared" si="132"/>
        <v>0.13285714285714278</v>
      </c>
      <c r="AX59" s="30">
        <f t="shared" si="132"/>
        <v>4.3532564625186509E-2</v>
      </c>
      <c r="AY59" s="84">
        <f t="shared" si="132"/>
        <v>0.18217331963967553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3">BO60/BO61-1</f>
        <v>-4.2058516196447182E-2</v>
      </c>
      <c r="BP59" s="30">
        <f t="shared" si="133"/>
        <v>2.4879434880878071E-2</v>
      </c>
      <c r="BQ59" s="84">
        <f t="shared" si="133"/>
        <v>-1.8225473430464989E-2</v>
      </c>
      <c r="BR59" s="83">
        <f t="shared" si="133"/>
        <v>-5.4684996475036884E-2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30"/>
      <c r="C60" s="40" t="s">
        <v>35</v>
      </c>
      <c r="D60" s="125">
        <f>+D8+D12+D16+D20+D24+D28+D32+D36+D40+D44+D48+D52</f>
        <v>7405</v>
      </c>
      <c r="E60" s="105">
        <f>IF(D60=0,0,F60/D60)</f>
        <v>5932.1404604996624</v>
      </c>
      <c r="F60" s="103">
        <f>+F8+F12+F16+F20+F24+F28+F32+F36+F40+F44+F48+F52</f>
        <v>43927500.109999999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1639</v>
      </c>
      <c r="K60" s="105">
        <f>IF(J60=0,0,L60/J60)</f>
        <v>4341.2453203172663</v>
      </c>
      <c r="L60" s="103">
        <f>+L8+L12+L16+L20+L24+L28+L32+L36+L40+L44+L48+L52</f>
        <v>7115301.0800000001</v>
      </c>
      <c r="M60" s="125">
        <f>+M8+M12+M16+M20+M24+M28+M32+M36+M40+M44+M48+M52</f>
        <v>1790</v>
      </c>
      <c r="N60" s="105">
        <f>IF(M60=0,0,O60/M60)</f>
        <v>3416.5871508379887</v>
      </c>
      <c r="O60" s="103">
        <f>+O8+O12+O16+O20+O24+O28+O32+O36+O40+O44+O48+O52</f>
        <v>6115691</v>
      </c>
      <c r="P60" s="125">
        <f>+P8+P12+P16+P20+P24+P28+P32+P36+P40+P44+P48+P52</f>
        <v>11391</v>
      </c>
      <c r="Q60" s="105">
        <f>IF(P60=0,0,R60/P60)</f>
        <v>3694.8062321130715</v>
      </c>
      <c r="R60" s="103">
        <f>+R8+R12+R16+R20+R24+R28+R32+R36+R40+R44+R48+R52</f>
        <v>42087537.789999999</v>
      </c>
      <c r="S60" s="285">
        <f>+S8+S12+S16+S20+S24+S28+S32+S36+S40+S44+S48+S52</f>
        <v>7204</v>
      </c>
      <c r="T60" s="105">
        <f>IF(S60=0,0,U60/S60)</f>
        <v>3952.3119752915045</v>
      </c>
      <c r="U60" s="103">
        <f>+U8+U12+U16+U20+U24+U28+U32+U36+U40+U44+U48+U52</f>
        <v>28472455.469999999</v>
      </c>
      <c r="V60" s="125">
        <f>+V8+V12+V16+V20+V24+V28+V32+V36+V40+V44+V48+V52</f>
        <v>1571</v>
      </c>
      <c r="W60" s="105">
        <f>IF(V60=0,0,X60/V60)</f>
        <v>3321.4702991725017</v>
      </c>
      <c r="X60" s="103">
        <f>+X8+X12+X16+X20+X24+X28+X32+X36+X40+X44+X48+X52</f>
        <v>5218029.84</v>
      </c>
      <c r="Y60" s="125">
        <f>+Y8+Y12+Y16+Y20+Y24+Y28+Y32+Y36+Y40+Y44+Y48+Y52</f>
        <v>2265</v>
      </c>
      <c r="Z60" s="105">
        <f>IF(Y60=0,0,AA60/Y60)</f>
        <v>3736.9565121412802</v>
      </c>
      <c r="AA60" s="103">
        <f>+AA8+AA12+AA16+AA20+AA24+AA28+AA32+AA36+AA40+AA44+AA48+AA52</f>
        <v>8464206.5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65</v>
      </c>
      <c r="AF60" s="105">
        <f>IF(AE60=0,0,AG60/AE60)</f>
        <v>2604.6249923076925</v>
      </c>
      <c r="AG60" s="103">
        <f>+AG8+AG12+AG16+AG20+AG24+AG28+AG32+AG36+AG40+AG44+AG48+AG52</f>
        <v>169300.62450000001</v>
      </c>
      <c r="AH60" s="125">
        <f>+AH8+AH12+AH16+AH20+AH24+AH28+AH32+AH36+AH40+AH44+AH48+AH52</f>
        <v>33330</v>
      </c>
      <c r="AI60" s="105">
        <f>IF(AH60=0,0,AJ60/AH60)</f>
        <v>4247.525424977498</v>
      </c>
      <c r="AJ60" s="103">
        <f>+AJ8+AJ12+AJ16+AJ20+AJ24+AJ28+AJ32+AJ36+AJ40+AJ44+AJ48+AJ52</f>
        <v>141570022.4145</v>
      </c>
      <c r="AK60" s="125">
        <f>+AK8+AK12+AK16+AK20+AK24+AK28+AK32+AK36+AK40+AK44+AK48+AK52</f>
        <v>13614</v>
      </c>
      <c r="AL60" s="105">
        <f>IF(AK60=0,0,AM60/AK60)</f>
        <v>3628.422327016307</v>
      </c>
      <c r="AM60" s="103">
        <f>+AM8+AM12+AM16+AM20+AM24+AM28+AM32+AM36+AM40+AM44+AM48+AM52</f>
        <v>49397341.560000002</v>
      </c>
      <c r="AN60" s="125">
        <f>+AN8+AN12+AN16+AN20+AN24+AN28+AN32+AN36+AN40+AN44+AN48+AN52</f>
        <v>4982</v>
      </c>
      <c r="AO60" s="105">
        <f>IF(AN60=0,0,AP60/AN60)</f>
        <v>4203.9991971095942</v>
      </c>
      <c r="AP60" s="103">
        <f>+AP8+AP12+AP16+AP20+AP24+AP28+AP32+AP36+AP40+AP44+AP48+AP52</f>
        <v>20944324</v>
      </c>
      <c r="AQ60" s="125">
        <f>+AQ8+AQ12+AQ16+AQ20+AQ24+AQ28+AQ32+AQ36+AQ40+AQ44+AQ48+AQ52</f>
        <v>3785</v>
      </c>
      <c r="AR60" s="105">
        <f>IF(AQ60=0,0,AS60/AQ60)</f>
        <v>3439.9429326287977</v>
      </c>
      <c r="AS60" s="103">
        <f>+AS8+AS12+AS16+AS20+AS24+AS28+AS32+AS36+AS40+AS44+AS48+AS52</f>
        <v>13020184</v>
      </c>
      <c r="AT60" s="125">
        <f>+AT8+AT12+AT16+AT20+AT24+AT28+AT32+AT36+AT40+AT44+AT48+AT52</f>
        <v>2495</v>
      </c>
      <c r="AU60" s="105">
        <f>IF(AT60=0,0,AV60/AT60)</f>
        <v>3011.9857835671341</v>
      </c>
      <c r="AV60" s="103">
        <f>+AV8+AV12+AV16+AV20+AV24+AV28+AV32+AV36+AV40+AV44+AV48+AV52</f>
        <v>7514904.5300000003</v>
      </c>
      <c r="AW60" s="125">
        <f>+AW8+AW12+AW16+AW20+AW24+AW28+AW32+AW36+AW40+AW44+AW48+AW52</f>
        <v>793</v>
      </c>
      <c r="AX60" s="105">
        <f>IF(AW60=0,0,AY60/AW60)</f>
        <v>3614.3197604035313</v>
      </c>
      <c r="AY60" s="103">
        <f>+AY8+AY12+AY16+AY20+AY24+AY28+AY32+AY36+AY40+AY44+AY48+AY52</f>
        <v>2866155.5700000003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34">SUMIF($C$8:$C$54,$C60,BE$8:BE$54)</f>
        <v>0</v>
      </c>
      <c r="BF60" s="105">
        <f t="shared" si="134"/>
        <v>0</v>
      </c>
      <c r="BG60" s="105">
        <f>IF(BF60=0,0,BH60/BF60)</f>
        <v>0</v>
      </c>
      <c r="BH60" s="96">
        <f t="shared" ref="BH60:BI62" si="135">SUMIF($C$8:$C$54,$C60,BH$8:BH$54)</f>
        <v>0</v>
      </c>
      <c r="BI60" s="105">
        <f t="shared" si="135"/>
        <v>0</v>
      </c>
      <c r="BJ60" s="105">
        <f>IF(BI60=0,0,BK60/BI60)</f>
        <v>0</v>
      </c>
      <c r="BK60" s="96">
        <f t="shared" ref="BK60:BL62" si="136">SUMIF($C$8:$C$54,$C60,BK$8:BK$54)</f>
        <v>0</v>
      </c>
      <c r="BL60" s="105">
        <f t="shared" si="136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25669</v>
      </c>
      <c r="BP60" s="305">
        <f t="shared" si="6"/>
        <v>3651.9891565701819</v>
      </c>
      <c r="BQ60" s="103">
        <f>+BQ8+BQ12+BQ16+BQ20+BQ24+BQ28+BQ32+BQ36+BQ40+BQ44+BQ48+BQ52</f>
        <v>93742909.659999996</v>
      </c>
      <c r="BR60" s="108">
        <f>+BR8+BR12+BR16+BR20+BR24+BR28+BR32+BR36+BR40+BR44+BR48+BR52</f>
        <v>58999</v>
      </c>
      <c r="BS60" s="105">
        <f>IF(BR60=0,0,BT60/BR60)</f>
        <v>3988.4223813030731</v>
      </c>
      <c r="BT60" s="103">
        <f>+BT8+BT12+BT16+BT20+BT24+BT28+BT32+BT36+BT40+BT44+BT48+BT52</f>
        <v>235312932.07449999</v>
      </c>
      <c r="BU60" s="109"/>
      <c r="BV60" s="58">
        <v>95265</v>
      </c>
      <c r="BW60" s="110">
        <f t="shared" si="79"/>
        <v>0.61931454364142124</v>
      </c>
      <c r="BY60" s="111"/>
    </row>
    <row r="61" spans="1:77" s="2" customFormat="1" x14ac:dyDescent="0.2">
      <c r="B61" s="530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34"/>
        <v>0</v>
      </c>
      <c r="BF61" s="45">
        <f t="shared" si="134"/>
        <v>0</v>
      </c>
      <c r="BG61" s="46">
        <f>IF(BF61=0,0,BH61/BF61)</f>
        <v>0</v>
      </c>
      <c r="BH61" s="47">
        <f t="shared" si="135"/>
        <v>0</v>
      </c>
      <c r="BI61" s="45">
        <f t="shared" si="135"/>
        <v>0</v>
      </c>
      <c r="BJ61" s="46">
        <f>IF(BI61=0,0,BK61/BI61)</f>
        <v>0</v>
      </c>
      <c r="BK61" s="47">
        <f t="shared" si="136"/>
        <v>0</v>
      </c>
      <c r="BL61" s="45">
        <f t="shared" si="136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31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34"/>
        <v>0</v>
      </c>
      <c r="BF62" s="66">
        <f t="shared" si="134"/>
        <v>0</v>
      </c>
      <c r="BG62" s="67">
        <f>IF(BF62=0,0,BH62/BF62)</f>
        <v>0</v>
      </c>
      <c r="BH62" s="68">
        <f t="shared" si="135"/>
        <v>0</v>
      </c>
      <c r="BI62" s="66">
        <f t="shared" si="135"/>
        <v>0</v>
      </c>
      <c r="BJ62" s="67">
        <f>IF(BI62=0,0,BK62/BI62)</f>
        <v>0</v>
      </c>
      <c r="BK62" s="68">
        <f t="shared" si="136"/>
        <v>0</v>
      </c>
      <c r="BL62" s="66">
        <f t="shared" si="136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306" customFormat="1" x14ac:dyDescent="0.2">
      <c r="B64" s="306">
        <v>2</v>
      </c>
      <c r="C64" s="306">
        <f>B64+1</f>
        <v>3</v>
      </c>
      <c r="D64" s="306">
        <f>C64+1</f>
        <v>4</v>
      </c>
      <c r="E64" s="306">
        <f t="shared" ref="E64:BP64" si="137">D64+1</f>
        <v>5</v>
      </c>
      <c r="F64" s="306">
        <f t="shared" si="137"/>
        <v>6</v>
      </c>
      <c r="G64" s="306">
        <f>F64+1</f>
        <v>7</v>
      </c>
      <c r="H64" s="306">
        <f t="shared" si="137"/>
        <v>8</v>
      </c>
      <c r="I64" s="306">
        <f t="shared" si="137"/>
        <v>9</v>
      </c>
      <c r="J64" s="306">
        <f t="shared" si="137"/>
        <v>10</v>
      </c>
      <c r="K64" s="306">
        <f t="shared" si="137"/>
        <v>11</v>
      </c>
      <c r="L64" s="306">
        <f t="shared" si="137"/>
        <v>12</v>
      </c>
      <c r="M64" s="306">
        <f t="shared" si="137"/>
        <v>13</v>
      </c>
      <c r="N64" s="306">
        <f>M64+1</f>
        <v>14</v>
      </c>
      <c r="O64" s="306">
        <f t="shared" si="137"/>
        <v>15</v>
      </c>
      <c r="P64" s="306">
        <f t="shared" si="137"/>
        <v>16</v>
      </c>
      <c r="Q64" s="306">
        <f t="shared" si="137"/>
        <v>17</v>
      </c>
      <c r="R64" s="306">
        <f t="shared" si="137"/>
        <v>18</v>
      </c>
      <c r="S64" s="306">
        <f t="shared" si="137"/>
        <v>19</v>
      </c>
      <c r="T64" s="306">
        <f t="shared" si="137"/>
        <v>20</v>
      </c>
      <c r="U64" s="306">
        <f t="shared" si="137"/>
        <v>21</v>
      </c>
      <c r="V64" s="306">
        <f t="shared" si="137"/>
        <v>22</v>
      </c>
      <c r="W64" s="306">
        <f t="shared" si="137"/>
        <v>23</v>
      </c>
      <c r="X64" s="306">
        <f t="shared" si="137"/>
        <v>24</v>
      </c>
      <c r="Y64" s="306">
        <f t="shared" si="137"/>
        <v>25</v>
      </c>
      <c r="Z64" s="306">
        <f t="shared" si="137"/>
        <v>26</v>
      </c>
      <c r="AA64" s="306">
        <f t="shared" si="137"/>
        <v>27</v>
      </c>
      <c r="AB64" s="306">
        <f t="shared" si="137"/>
        <v>28</v>
      </c>
      <c r="AC64" s="306">
        <f t="shared" si="137"/>
        <v>29</v>
      </c>
      <c r="AD64" s="306">
        <f t="shared" si="137"/>
        <v>30</v>
      </c>
      <c r="AE64" s="306">
        <f t="shared" si="137"/>
        <v>31</v>
      </c>
      <c r="AF64" s="306">
        <f t="shared" si="137"/>
        <v>32</v>
      </c>
      <c r="AG64" s="306">
        <f t="shared" si="137"/>
        <v>33</v>
      </c>
      <c r="AH64" s="306">
        <f t="shared" si="137"/>
        <v>34</v>
      </c>
      <c r="AI64" s="306">
        <f t="shared" si="137"/>
        <v>35</v>
      </c>
      <c r="AJ64" s="306">
        <f t="shared" si="137"/>
        <v>36</v>
      </c>
      <c r="AK64" s="306">
        <f t="shared" si="137"/>
        <v>37</v>
      </c>
      <c r="AL64" s="306">
        <f t="shared" si="137"/>
        <v>38</v>
      </c>
      <c r="AM64" s="306">
        <f t="shared" si="137"/>
        <v>39</v>
      </c>
      <c r="AN64" s="306">
        <f t="shared" si="137"/>
        <v>40</v>
      </c>
      <c r="AO64" s="306">
        <f t="shared" si="137"/>
        <v>41</v>
      </c>
      <c r="AP64" s="306">
        <f t="shared" si="137"/>
        <v>42</v>
      </c>
      <c r="AQ64" s="306">
        <f t="shared" si="137"/>
        <v>43</v>
      </c>
      <c r="AR64" s="306">
        <f t="shared" si="137"/>
        <v>44</v>
      </c>
      <c r="AS64" s="306">
        <f t="shared" si="137"/>
        <v>45</v>
      </c>
      <c r="AT64" s="306">
        <f t="shared" si="137"/>
        <v>46</v>
      </c>
      <c r="AU64" s="306">
        <f t="shared" si="137"/>
        <v>47</v>
      </c>
      <c r="AV64" s="306">
        <f t="shared" si="137"/>
        <v>48</v>
      </c>
      <c r="AW64" s="306">
        <f t="shared" si="137"/>
        <v>49</v>
      </c>
      <c r="AX64" s="306">
        <f t="shared" si="137"/>
        <v>50</v>
      </c>
      <c r="AY64" s="306">
        <f t="shared" si="137"/>
        <v>51</v>
      </c>
      <c r="AZ64" s="306">
        <f t="shared" si="137"/>
        <v>52</v>
      </c>
      <c r="BA64" s="306">
        <f t="shared" si="137"/>
        <v>53</v>
      </c>
      <c r="BB64" s="306">
        <f t="shared" si="137"/>
        <v>54</v>
      </c>
      <c r="BC64" s="306">
        <f t="shared" si="137"/>
        <v>55</v>
      </c>
      <c r="BD64" s="306">
        <f t="shared" si="137"/>
        <v>56</v>
      </c>
      <c r="BE64" s="306">
        <f t="shared" si="137"/>
        <v>57</v>
      </c>
      <c r="BF64" s="306">
        <f t="shared" si="137"/>
        <v>58</v>
      </c>
      <c r="BG64" s="306">
        <f t="shared" si="137"/>
        <v>59</v>
      </c>
      <c r="BH64" s="306">
        <f t="shared" si="137"/>
        <v>60</v>
      </c>
      <c r="BI64" s="306">
        <f t="shared" si="137"/>
        <v>61</v>
      </c>
      <c r="BJ64" s="306">
        <f t="shared" si="137"/>
        <v>62</v>
      </c>
      <c r="BK64" s="306">
        <f t="shared" si="137"/>
        <v>63</v>
      </c>
      <c r="BL64" s="306">
        <f t="shared" si="137"/>
        <v>64</v>
      </c>
      <c r="BM64" s="306">
        <f t="shared" si="137"/>
        <v>65</v>
      </c>
      <c r="BN64" s="306">
        <f t="shared" si="137"/>
        <v>66</v>
      </c>
      <c r="BO64" s="306">
        <f t="shared" si="137"/>
        <v>67</v>
      </c>
      <c r="BP64" s="306">
        <f t="shared" si="137"/>
        <v>68</v>
      </c>
      <c r="BQ64" s="306">
        <f t="shared" ref="BQ64:BT64" si="138">BP64+1</f>
        <v>69</v>
      </c>
      <c r="BR64" s="306">
        <f t="shared" si="138"/>
        <v>70</v>
      </c>
      <c r="BS64" s="306">
        <f t="shared" si="138"/>
        <v>71</v>
      </c>
      <c r="BT64" s="306">
        <f t="shared" si="138"/>
        <v>72</v>
      </c>
      <c r="BU64" s="117"/>
    </row>
    <row r="65" spans="34:72" x14ac:dyDescent="0.2">
      <c r="AH65" s="122">
        <f>+D60+J60+M60+P60+S60+V60+Y570+Y60+AB60+AE60</f>
        <v>33330</v>
      </c>
      <c r="AI65" s="123"/>
      <c r="AJ65" s="121">
        <f>+AG60+AD60+AA60+X60+U60+R60+O60+L60+F60</f>
        <v>141570022.4145</v>
      </c>
      <c r="BO65" s="124">
        <f>+AK60+AN60+AQ60+AT60+AW60+AZ60</f>
        <v>25669</v>
      </c>
      <c r="BQ65" s="129">
        <f>+AM60+AP60+AS60+AV60+AY60+BB60</f>
        <v>93742909.659999996</v>
      </c>
      <c r="BR65" s="124">
        <f>+BO65+AH65</f>
        <v>58999</v>
      </c>
      <c r="BT65" s="130">
        <f>+BQ65+AJ65</f>
        <v>235312932.07449999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BO5:BQ5"/>
    <mergeCell ref="BR5:BT5"/>
    <mergeCell ref="BX5:BY5"/>
    <mergeCell ref="B7:B10"/>
    <mergeCell ref="BF5:BH5"/>
    <mergeCell ref="BI5:BK5"/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</mergeCells>
  <pageMargins left="0.7" right="0.7" top="0.75" bottom="0.75" header="0.3" footer="0.3"/>
  <pageSetup paperSize="8" scale="93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67"/>
  <sheetViews>
    <sheetView view="pageBreakPreview" topLeftCell="B1" zoomScaleNormal="100" zoomScaleSheetLayoutView="100" workbookViewId="0">
      <pane xSplit="1" ySplit="6" topLeftCell="C7" activePane="bottomRight" state="frozen"/>
      <selection activeCell="B1" sqref="B1"/>
      <selection pane="topRight" activeCell="C1" sqref="C1"/>
      <selection pane="bottomLeft" activeCell="B7" sqref="B7"/>
      <selection pane="bottomRight" activeCell="F76" sqref="F76"/>
    </sheetView>
  </sheetViews>
  <sheetFormatPr defaultColWidth="9.140625" defaultRowHeight="12.75" x14ac:dyDescent="0.2"/>
  <cols>
    <col min="1" max="1" width="10.7109375" style="1" hidden="1" customWidth="1"/>
    <col min="2" max="2" width="10.7109375" style="1" customWidth="1"/>
    <col min="3" max="3" width="13.140625" style="1" customWidth="1"/>
    <col min="4" max="6" width="8.28515625" style="1" customWidth="1"/>
    <col min="7" max="9" width="8.28515625" style="1" hidden="1" customWidth="1"/>
    <col min="10" max="51" width="8.28515625" style="1" customWidth="1"/>
    <col min="52" max="66" width="8.28515625" style="1" hidden="1" customWidth="1"/>
    <col min="67" max="68" width="8.28515625" style="2" customWidth="1"/>
    <col min="69" max="69" width="10.140625" style="2" customWidth="1"/>
    <col min="70" max="72" width="8.28515625" style="2" customWidth="1"/>
    <col min="73" max="73" width="1.7109375" style="3" customWidth="1"/>
    <col min="74" max="75" width="9.140625" style="1"/>
    <col min="76" max="76" width="10.42578125" style="1" bestFit="1" customWidth="1"/>
    <col min="77" max="77" width="12.5703125" style="1" customWidth="1"/>
    <col min="78" max="16384" width="9.140625" style="1"/>
  </cols>
  <sheetData>
    <row r="1" spans="1:77" x14ac:dyDescent="0.2">
      <c r="B1" s="2" t="s">
        <v>83</v>
      </c>
    </row>
    <row r="2" spans="1:77" x14ac:dyDescent="0.2">
      <c r="B2" s="2" t="s">
        <v>32</v>
      </c>
    </row>
    <row r="3" spans="1:77" x14ac:dyDescent="0.2">
      <c r="B3" s="4" t="s">
        <v>0</v>
      </c>
      <c r="C3" s="2"/>
    </row>
    <row r="4" spans="1:77" x14ac:dyDescent="0.2">
      <c r="A4" s="5"/>
      <c r="B4" s="6"/>
      <c r="C4" s="7"/>
      <c r="D4" s="517" t="s">
        <v>1</v>
      </c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8"/>
      <c r="AB4" s="518"/>
      <c r="AC4" s="518"/>
      <c r="AD4" s="518"/>
      <c r="AE4" s="518"/>
      <c r="AF4" s="518"/>
      <c r="AG4" s="519"/>
      <c r="AH4" s="8"/>
      <c r="AI4" s="9"/>
      <c r="AJ4" s="9"/>
      <c r="AK4" s="517" t="s">
        <v>2</v>
      </c>
      <c r="AL4" s="518"/>
      <c r="AM4" s="518"/>
      <c r="AN4" s="518"/>
      <c r="AO4" s="518"/>
      <c r="AP4" s="518"/>
      <c r="AQ4" s="518"/>
      <c r="AR4" s="518"/>
      <c r="AS4" s="518"/>
      <c r="AT4" s="518"/>
      <c r="AU4" s="518"/>
      <c r="AV4" s="518"/>
      <c r="AW4" s="518"/>
      <c r="AX4" s="518"/>
      <c r="AY4" s="518"/>
      <c r="AZ4" s="518"/>
      <c r="BA4" s="518"/>
      <c r="BB4" s="518"/>
      <c r="BC4" s="518"/>
      <c r="BD4" s="518"/>
      <c r="BE4" s="518"/>
      <c r="BF4" s="518"/>
      <c r="BG4" s="518"/>
      <c r="BH4" s="518"/>
      <c r="BI4" s="518"/>
      <c r="BJ4" s="518"/>
      <c r="BK4" s="518"/>
      <c r="BL4" s="518"/>
      <c r="BM4" s="518"/>
      <c r="BN4" s="519"/>
      <c r="BO4" s="158"/>
      <c r="BP4" s="159"/>
      <c r="BQ4" s="159"/>
      <c r="BR4" s="159"/>
      <c r="BS4" s="159"/>
      <c r="BT4" s="160"/>
    </row>
    <row r="5" spans="1:77" x14ac:dyDescent="0.2">
      <c r="A5" s="10"/>
      <c r="B5" s="11"/>
      <c r="C5" s="12"/>
      <c r="D5" s="516" t="s">
        <v>3</v>
      </c>
      <c r="E5" s="514"/>
      <c r="F5" s="515"/>
      <c r="G5" s="516" t="s">
        <v>4</v>
      </c>
      <c r="H5" s="514"/>
      <c r="I5" s="515"/>
      <c r="J5" s="516" t="s">
        <v>5</v>
      </c>
      <c r="K5" s="514"/>
      <c r="L5" s="515"/>
      <c r="M5" s="516" t="s">
        <v>6</v>
      </c>
      <c r="N5" s="514"/>
      <c r="O5" s="515"/>
      <c r="P5" s="516" t="s">
        <v>7</v>
      </c>
      <c r="Q5" s="514"/>
      <c r="R5" s="515"/>
      <c r="S5" s="516" t="s">
        <v>8</v>
      </c>
      <c r="T5" s="514"/>
      <c r="U5" s="515"/>
      <c r="V5" s="516" t="s">
        <v>9</v>
      </c>
      <c r="W5" s="514"/>
      <c r="X5" s="515"/>
      <c r="Y5" s="516" t="s">
        <v>10</v>
      </c>
      <c r="Z5" s="514"/>
      <c r="AA5" s="515"/>
      <c r="AB5" s="516" t="s">
        <v>11</v>
      </c>
      <c r="AC5" s="514"/>
      <c r="AD5" s="515"/>
      <c r="AE5" s="516" t="s">
        <v>12</v>
      </c>
      <c r="AF5" s="514"/>
      <c r="AG5" s="515"/>
      <c r="AH5" s="527" t="s">
        <v>13</v>
      </c>
      <c r="AI5" s="528"/>
      <c r="AJ5" s="529"/>
      <c r="AK5" s="514" t="s">
        <v>14</v>
      </c>
      <c r="AL5" s="514"/>
      <c r="AM5" s="515"/>
      <c r="AN5" s="516" t="s">
        <v>15</v>
      </c>
      <c r="AO5" s="514"/>
      <c r="AP5" s="515"/>
      <c r="AQ5" s="516" t="s">
        <v>6</v>
      </c>
      <c r="AR5" s="514"/>
      <c r="AS5" s="515"/>
      <c r="AT5" s="516" t="s">
        <v>16</v>
      </c>
      <c r="AU5" s="514"/>
      <c r="AV5" s="515"/>
      <c r="AW5" s="516" t="s">
        <v>17</v>
      </c>
      <c r="AX5" s="514"/>
      <c r="AY5" s="515"/>
      <c r="AZ5" s="514" t="s">
        <v>18</v>
      </c>
      <c r="BA5" s="514"/>
      <c r="BB5" s="515"/>
      <c r="BC5" s="516" t="s">
        <v>19</v>
      </c>
      <c r="BD5" s="514"/>
      <c r="BE5" s="515"/>
      <c r="BF5" s="516" t="s">
        <v>19</v>
      </c>
      <c r="BG5" s="514"/>
      <c r="BH5" s="515"/>
      <c r="BI5" s="516" t="s">
        <v>19</v>
      </c>
      <c r="BJ5" s="514"/>
      <c r="BK5" s="515"/>
      <c r="BL5" s="516" t="s">
        <v>19</v>
      </c>
      <c r="BM5" s="514"/>
      <c r="BN5" s="515"/>
      <c r="BO5" s="517" t="s">
        <v>20</v>
      </c>
      <c r="BP5" s="518"/>
      <c r="BQ5" s="519"/>
      <c r="BR5" s="517" t="s">
        <v>21</v>
      </c>
      <c r="BS5" s="518"/>
      <c r="BT5" s="519"/>
      <c r="BX5" s="523"/>
      <c r="BY5" s="523"/>
    </row>
    <row r="6" spans="1:77" s="23" customFormat="1" ht="38.25" x14ac:dyDescent="0.25">
      <c r="A6" s="13"/>
      <c r="B6" s="14"/>
      <c r="C6" s="15"/>
      <c r="D6" s="16" t="s">
        <v>22</v>
      </c>
      <c r="E6" s="16" t="s">
        <v>23</v>
      </c>
      <c r="F6" s="17" t="s">
        <v>24</v>
      </c>
      <c r="G6" s="18" t="s">
        <v>22</v>
      </c>
      <c r="H6" s="16" t="s">
        <v>23</v>
      </c>
      <c r="I6" s="17" t="s">
        <v>24</v>
      </c>
      <c r="J6" s="18" t="s">
        <v>22</v>
      </c>
      <c r="K6" s="16" t="s">
        <v>23</v>
      </c>
      <c r="L6" s="17" t="s">
        <v>24</v>
      </c>
      <c r="M6" s="18" t="s">
        <v>22</v>
      </c>
      <c r="N6" s="16" t="s">
        <v>23</v>
      </c>
      <c r="O6" s="17" t="s">
        <v>24</v>
      </c>
      <c r="P6" s="18" t="s">
        <v>22</v>
      </c>
      <c r="Q6" s="16" t="s">
        <v>23</v>
      </c>
      <c r="R6" s="17" t="s">
        <v>24</v>
      </c>
      <c r="S6" s="18" t="s">
        <v>22</v>
      </c>
      <c r="T6" s="16" t="s">
        <v>23</v>
      </c>
      <c r="U6" s="17" t="s">
        <v>24</v>
      </c>
      <c r="V6" s="18" t="s">
        <v>22</v>
      </c>
      <c r="W6" s="16" t="s">
        <v>23</v>
      </c>
      <c r="X6" s="17" t="s">
        <v>24</v>
      </c>
      <c r="Y6" s="18" t="s">
        <v>22</v>
      </c>
      <c r="Z6" s="16" t="s">
        <v>23</v>
      </c>
      <c r="AA6" s="17" t="s">
        <v>24</v>
      </c>
      <c r="AB6" s="18" t="s">
        <v>22</v>
      </c>
      <c r="AC6" s="16" t="s">
        <v>23</v>
      </c>
      <c r="AD6" s="17" t="s">
        <v>24</v>
      </c>
      <c r="AE6" s="18" t="s">
        <v>22</v>
      </c>
      <c r="AF6" s="16" t="s">
        <v>23</v>
      </c>
      <c r="AG6" s="17" t="s">
        <v>24</v>
      </c>
      <c r="AH6" s="153" t="s">
        <v>22</v>
      </c>
      <c r="AI6" s="19" t="s">
        <v>23</v>
      </c>
      <c r="AJ6" s="20" t="s">
        <v>24</v>
      </c>
      <c r="AK6" s="16" t="s">
        <v>22</v>
      </c>
      <c r="AL6" s="16" t="s">
        <v>23</v>
      </c>
      <c r="AM6" s="17" t="s">
        <v>24</v>
      </c>
      <c r="AN6" s="18" t="s">
        <v>22</v>
      </c>
      <c r="AO6" s="16" t="s">
        <v>23</v>
      </c>
      <c r="AP6" s="17" t="s">
        <v>24</v>
      </c>
      <c r="AQ6" s="18" t="s">
        <v>22</v>
      </c>
      <c r="AR6" s="16" t="s">
        <v>23</v>
      </c>
      <c r="AS6" s="17" t="s">
        <v>24</v>
      </c>
      <c r="AT6" s="18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6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7" t="s">
        <v>24</v>
      </c>
      <c r="BI6" s="18" t="s">
        <v>22</v>
      </c>
      <c r="BJ6" s="16" t="s">
        <v>23</v>
      </c>
      <c r="BK6" s="17" t="s">
        <v>24</v>
      </c>
      <c r="BL6" s="18" t="s">
        <v>22</v>
      </c>
      <c r="BM6" s="16" t="s">
        <v>23</v>
      </c>
      <c r="BN6" s="17" t="s">
        <v>24</v>
      </c>
      <c r="BO6" s="18" t="s">
        <v>22</v>
      </c>
      <c r="BP6" s="19" t="s">
        <v>23</v>
      </c>
      <c r="BQ6" s="20" t="s">
        <v>24</v>
      </c>
      <c r="BR6" s="18" t="s">
        <v>22</v>
      </c>
      <c r="BS6" s="16" t="s">
        <v>23</v>
      </c>
      <c r="BT6" s="17" t="s">
        <v>24</v>
      </c>
      <c r="BU6" s="21"/>
      <c r="BV6" s="18" t="s">
        <v>25</v>
      </c>
      <c r="BW6" s="17" t="s">
        <v>26</v>
      </c>
      <c r="BX6" s="22"/>
      <c r="BY6" s="22"/>
    </row>
    <row r="7" spans="1:77" s="23" customFormat="1" ht="12.75" customHeight="1" x14ac:dyDescent="0.25">
      <c r="A7" s="13"/>
      <c r="B7" s="524">
        <f>DATE($C$2,1,31)</f>
        <v>31</v>
      </c>
      <c r="C7" s="24" t="s">
        <v>27</v>
      </c>
      <c r="D7" s="25">
        <f>(D8/D9)-1</f>
        <v>-0.10666666666666669</v>
      </c>
      <c r="E7" s="26">
        <f>(E8/E9)-1</f>
        <v>0.10422221122647635</v>
      </c>
      <c r="F7" s="25">
        <f>(F8/F9)-1</f>
        <v>-1.3561491304347695E-2</v>
      </c>
      <c r="G7" s="27"/>
      <c r="H7" s="26"/>
      <c r="I7" s="28"/>
      <c r="J7" s="29">
        <f t="shared" ref="J7:AY7" si="0">J8/J9-1</f>
        <v>-0.46451612903225803</v>
      </c>
      <c r="K7" s="30">
        <f t="shared" si="0"/>
        <v>-0.20655110441767055</v>
      </c>
      <c r="L7" s="25">
        <f t="shared" si="0"/>
        <v>-0.57512091397849452</v>
      </c>
      <c r="M7" s="29">
        <f t="shared" si="0"/>
        <v>-1</v>
      </c>
      <c r="N7" s="30">
        <f t="shared" si="0"/>
        <v>-1</v>
      </c>
      <c r="O7" s="25">
        <f t="shared" si="0"/>
        <v>-1</v>
      </c>
      <c r="P7" s="29">
        <f t="shared" si="0"/>
        <v>0.78</v>
      </c>
      <c r="Q7" s="30">
        <f t="shared" si="0"/>
        <v>1.9071799536293899E-2</v>
      </c>
      <c r="R7" s="25">
        <f t="shared" si="0"/>
        <v>0.81394780317460325</v>
      </c>
      <c r="S7" s="29">
        <f t="shared" si="0"/>
        <v>2.2914285714285714</v>
      </c>
      <c r="T7" s="30">
        <f t="shared" si="0"/>
        <v>-0.15082278448547981</v>
      </c>
      <c r="U7" s="30">
        <f t="shared" si="0"/>
        <v>1.7950061493506491</v>
      </c>
      <c r="V7" s="29">
        <f t="shared" si="0"/>
        <v>-0.23582089552238805</v>
      </c>
      <c r="W7" s="30">
        <f t="shared" si="0"/>
        <v>6.4614375000000113E-2</v>
      </c>
      <c r="X7" s="25">
        <f t="shared" si="0"/>
        <v>-0.18644394029850742</v>
      </c>
      <c r="Y7" s="29">
        <f t="shared" si="0"/>
        <v>1.5909090909090908</v>
      </c>
      <c r="Z7" s="30">
        <f t="shared" si="0"/>
        <v>-0.18210305895030743</v>
      </c>
      <c r="AA7" s="25">
        <f t="shared" si="0"/>
        <v>1.1190966199923853</v>
      </c>
      <c r="AB7" s="29" t="e">
        <f t="shared" si="0"/>
        <v>#DIV/0!</v>
      </c>
      <c r="AC7" s="30" t="e">
        <f t="shared" si="0"/>
        <v>#DIV/0!</v>
      </c>
      <c r="AD7" s="25" t="e">
        <f t="shared" si="0"/>
        <v>#DIV/0!</v>
      </c>
      <c r="AE7" s="29">
        <f t="shared" si="0"/>
        <v>-0.77777777777777779</v>
      </c>
      <c r="AF7" s="30">
        <f t="shared" si="0"/>
        <v>-1.4876811594202843E-2</v>
      </c>
      <c r="AG7" s="28">
        <f t="shared" si="0"/>
        <v>-0.78108373590982283</v>
      </c>
      <c r="AH7" s="154">
        <f t="shared" si="0"/>
        <v>0.26387009472259804</v>
      </c>
      <c r="AI7" s="76">
        <f t="shared" si="0"/>
        <v>-4.7422833543707466E-2</v>
      </c>
      <c r="AJ7" s="77">
        <f t="shared" si="0"/>
        <v>0.20393379359969876</v>
      </c>
      <c r="AK7" s="28">
        <f t="shared" si="0"/>
        <v>-0.39405405405405403</v>
      </c>
      <c r="AL7" s="70">
        <f t="shared" si="0"/>
        <v>-0.10673447242617606</v>
      </c>
      <c r="AM7" s="31">
        <f t="shared" si="0"/>
        <v>-0.45872937491337473</v>
      </c>
      <c r="AN7" s="28">
        <f t="shared" si="0"/>
        <v>-1</v>
      </c>
      <c r="AO7" s="30">
        <f t="shared" si="0"/>
        <v>-1</v>
      </c>
      <c r="AP7" s="25">
        <f t="shared" si="0"/>
        <v>-1</v>
      </c>
      <c r="AQ7" s="29">
        <f t="shared" si="0"/>
        <v>-1</v>
      </c>
      <c r="AR7" s="30">
        <f t="shared" si="0"/>
        <v>-1</v>
      </c>
      <c r="AS7" s="25">
        <f t="shared" si="0"/>
        <v>-1</v>
      </c>
      <c r="AT7" s="29">
        <f t="shared" si="0"/>
        <v>1.35</v>
      </c>
      <c r="AU7" s="30">
        <f t="shared" si="0"/>
        <v>2.2706956207395379E-2</v>
      </c>
      <c r="AV7" s="25">
        <f t="shared" si="0"/>
        <v>1.4033613470873787</v>
      </c>
      <c r="AW7" s="29">
        <f t="shared" si="0"/>
        <v>-0.63478260869565217</v>
      </c>
      <c r="AX7" s="30">
        <f t="shared" si="0"/>
        <v>0.23848980833209188</v>
      </c>
      <c r="AY7" s="31">
        <f t="shared" si="0"/>
        <v>-0.54768198304393167</v>
      </c>
      <c r="AZ7" s="33"/>
      <c r="BA7" s="33"/>
      <c r="BB7" s="34"/>
      <c r="BC7" s="35"/>
      <c r="BD7" s="33"/>
      <c r="BE7" s="34"/>
      <c r="BF7" s="35"/>
      <c r="BG7" s="33"/>
      <c r="BH7" s="34"/>
      <c r="BI7" s="35"/>
      <c r="BJ7" s="33"/>
      <c r="BK7" s="34"/>
      <c r="BL7" s="35"/>
      <c r="BM7" s="33"/>
      <c r="BN7" s="34"/>
      <c r="BO7" s="29">
        <f t="shared" ref="BO7:BT7" si="1">BO8/BO9-1</f>
        <v>-0.52513181019332156</v>
      </c>
      <c r="BP7" s="30">
        <f t="shared" si="1"/>
        <v>-0.12211400625628865</v>
      </c>
      <c r="BQ7" s="31">
        <f t="shared" si="1"/>
        <v>-0.58311986729428678</v>
      </c>
      <c r="BR7" s="29">
        <v>0.13800000000000001</v>
      </c>
      <c r="BS7" s="30">
        <f t="shared" si="1"/>
        <v>-3.11836252322093E-2</v>
      </c>
      <c r="BT7" s="31">
        <f t="shared" si="1"/>
        <v>-0.1504277023885966</v>
      </c>
      <c r="BU7" s="36"/>
      <c r="BV7" s="37"/>
      <c r="BW7" s="38"/>
      <c r="BX7" s="22"/>
      <c r="BY7" s="22"/>
    </row>
    <row r="8" spans="1:77" ht="12.75" customHeight="1" x14ac:dyDescent="0.2">
      <c r="A8" s="39" t="e">
        <f>DATE([1]Table!$B$4,1,31)</f>
        <v>#REF!</v>
      </c>
      <c r="B8" s="525"/>
      <c r="C8" s="40" t="s">
        <v>84</v>
      </c>
      <c r="D8" s="166">
        <v>1072</v>
      </c>
      <c r="E8" s="167">
        <v>6349.2777145522396</v>
      </c>
      <c r="F8" s="168">
        <f>D8*E8</f>
        <v>6806425.7100000009</v>
      </c>
      <c r="G8" s="167"/>
      <c r="H8" s="167"/>
      <c r="I8" s="168"/>
      <c r="J8" s="169">
        <v>166</v>
      </c>
      <c r="K8" s="167">
        <v>3808.5546987951811</v>
      </c>
      <c r="L8" s="170">
        <f>J8*K8</f>
        <v>632220.08000000007</v>
      </c>
      <c r="M8" s="167">
        <v>0</v>
      </c>
      <c r="N8" s="167">
        <v>0</v>
      </c>
      <c r="O8" s="205">
        <f>M8*N8</f>
        <v>0</v>
      </c>
      <c r="P8" s="172">
        <v>801</v>
      </c>
      <c r="Q8" s="173">
        <v>3566.7512983770289</v>
      </c>
      <c r="R8" s="181">
        <f>P8*Q8</f>
        <v>2856967.79</v>
      </c>
      <c r="S8" s="175">
        <v>1152</v>
      </c>
      <c r="T8" s="173">
        <v>3736.3797482638888</v>
      </c>
      <c r="U8" s="181">
        <f>S8*T8</f>
        <v>4304309.47</v>
      </c>
      <c r="V8" s="175">
        <v>256</v>
      </c>
      <c r="W8" s="173">
        <v>3193.8431250000003</v>
      </c>
      <c r="X8" s="181">
        <f>V8*W8</f>
        <v>817623.84000000008</v>
      </c>
      <c r="Y8" s="175">
        <v>285</v>
      </c>
      <c r="Z8" s="173">
        <v>3515.3210526315788</v>
      </c>
      <c r="AA8" s="181">
        <f>Y8*Z8</f>
        <v>1001866.5</v>
      </c>
      <c r="AB8" s="175">
        <v>0</v>
      </c>
      <c r="AC8" s="173">
        <v>0</v>
      </c>
      <c r="AD8" s="174">
        <v>0</v>
      </c>
      <c r="AE8" s="175">
        <v>4</v>
      </c>
      <c r="AF8" s="173">
        <v>2718.94</v>
      </c>
      <c r="AG8" s="205">
        <f>AE8*AF8</f>
        <v>10875.76</v>
      </c>
      <c r="AH8" s="176">
        <f>SUMIF($D$6:$AG$6,AH$6,$D8:$AG8)</f>
        <v>3736</v>
      </c>
      <c r="AI8" s="177">
        <f>IF(AH8=0,0,AJ8/AH8)</f>
        <v>4397.8290016059955</v>
      </c>
      <c r="AJ8" s="178">
        <f>SUMIF($D$6:$AG$6,AJ$6,$D8:$AG8)</f>
        <v>16430289.15</v>
      </c>
      <c r="AK8" s="179">
        <v>1121</v>
      </c>
      <c r="AL8" s="173">
        <v>3483.7355575379133</v>
      </c>
      <c r="AM8" s="181">
        <f>AK8*AL8</f>
        <v>3905267.560000001</v>
      </c>
      <c r="AN8" s="175"/>
      <c r="AO8" s="173"/>
      <c r="AP8" s="181">
        <f>AN8*AO8</f>
        <v>0</v>
      </c>
      <c r="AQ8" s="175"/>
      <c r="AR8" s="173"/>
      <c r="AS8" s="181">
        <f>AQ8*AR8</f>
        <v>0</v>
      </c>
      <c r="AT8" s="175">
        <v>188</v>
      </c>
      <c r="AU8" s="173">
        <v>2949.486861702128</v>
      </c>
      <c r="AV8" s="181">
        <f>AT8*AU8</f>
        <v>554503.53</v>
      </c>
      <c r="AW8" s="175">
        <v>42</v>
      </c>
      <c r="AX8" s="173">
        <v>4750.8469047619046</v>
      </c>
      <c r="AY8" s="181">
        <f>AW8*AX8</f>
        <v>199535.57</v>
      </c>
      <c r="AZ8" s="55"/>
      <c r="BA8" s="56"/>
      <c r="BB8" s="43">
        <f>AZ8*BA8</f>
        <v>0</v>
      </c>
      <c r="BC8" s="49"/>
      <c r="BD8" s="42"/>
      <c r="BE8" s="43">
        <f t="shared" ref="BE8:BE14" si="2">BC8*BD8</f>
        <v>0</v>
      </c>
      <c r="BF8" s="49"/>
      <c r="BG8" s="42"/>
      <c r="BH8" s="43">
        <f t="shared" ref="BH8:BH14" si="3">BF8*BG8</f>
        <v>0</v>
      </c>
      <c r="BI8" s="49"/>
      <c r="BJ8" s="42"/>
      <c r="BK8" s="43">
        <f t="shared" ref="BK8:BK14" si="4">BI8*BJ8</f>
        <v>0</v>
      </c>
      <c r="BL8" s="49"/>
      <c r="BM8" s="42"/>
      <c r="BN8" s="43">
        <f t="shared" ref="BN8:BN14" si="5">BL8*BM8</f>
        <v>0</v>
      </c>
      <c r="BO8" s="45">
        <f>SUMIF($AK$6:$BN$6,BO$6,$AK8:$BN8)</f>
        <v>1351</v>
      </c>
      <c r="BP8" s="46">
        <f t="shared" ref="BP8:BP62" si="6">IF(BO8=0,0,BQ8/BO8)</f>
        <v>3448.783612139157</v>
      </c>
      <c r="BQ8" s="47">
        <f>SUMIF($AK$6:$BN$6,BQ$6,$AK8:$BN8)</f>
        <v>4659306.6600000011</v>
      </c>
      <c r="BR8" s="45">
        <f>BO8+AH8</f>
        <v>5087</v>
      </c>
      <c r="BS8" s="46">
        <f t="shared" ref="BS8:BS54" si="7">IF(BR8=0,0,BT8/BR8)</f>
        <v>4145.7825457047384</v>
      </c>
      <c r="BT8" s="47">
        <f>BQ8+AJ8</f>
        <v>21089595.810000002</v>
      </c>
      <c r="BV8" s="50">
        <f>261*31</f>
        <v>8091</v>
      </c>
      <c r="BW8" s="51">
        <f t="shared" ref="BW8:BW50" si="8">IF(BV8=0,0,BR8/BV8)</f>
        <v>0.62872327277221607</v>
      </c>
    </row>
    <row r="9" spans="1:77" x14ac:dyDescent="0.2">
      <c r="A9" s="39" t="e">
        <f>DATE(YEAR(A8)-1,1,31)</f>
        <v>#REF!</v>
      </c>
      <c r="B9" s="525"/>
      <c r="C9" s="52" t="s">
        <v>30</v>
      </c>
      <c r="D9" s="166">
        <v>1200</v>
      </c>
      <c r="E9" s="167">
        <v>5750</v>
      </c>
      <c r="F9" s="168">
        <f>D9*E9</f>
        <v>6900000</v>
      </c>
      <c r="G9" s="167"/>
      <c r="H9" s="167"/>
      <c r="I9" s="168"/>
      <c r="J9" s="169">
        <v>310</v>
      </c>
      <c r="K9" s="167">
        <v>4800</v>
      </c>
      <c r="L9" s="170">
        <f>J9*K9</f>
        <v>1488000</v>
      </c>
      <c r="M9" s="167">
        <v>183</v>
      </c>
      <c r="N9" s="167">
        <v>3370</v>
      </c>
      <c r="O9" s="171">
        <f>M9*N9</f>
        <v>616710</v>
      </c>
      <c r="P9" s="172">
        <v>450</v>
      </c>
      <c r="Q9" s="173">
        <v>3500</v>
      </c>
      <c r="R9" s="174">
        <f>P9*Q9</f>
        <v>1575000</v>
      </c>
      <c r="S9" s="175">
        <v>350</v>
      </c>
      <c r="T9" s="173">
        <v>4400</v>
      </c>
      <c r="U9" s="174">
        <f>S9*T9</f>
        <v>1540000</v>
      </c>
      <c r="V9" s="175">
        <v>335</v>
      </c>
      <c r="W9" s="173">
        <v>3000</v>
      </c>
      <c r="X9" s="174">
        <f>V9*W9</f>
        <v>1005000</v>
      </c>
      <c r="Y9" s="175">
        <v>110</v>
      </c>
      <c r="Z9" s="173">
        <v>4298</v>
      </c>
      <c r="AA9" s="174">
        <f>Y9*Z9</f>
        <v>472780</v>
      </c>
      <c r="AB9" s="175">
        <v>0</v>
      </c>
      <c r="AC9" s="173">
        <v>0</v>
      </c>
      <c r="AD9" s="174">
        <f>AB9*AC9</f>
        <v>0</v>
      </c>
      <c r="AE9" s="175">
        <v>18</v>
      </c>
      <c r="AF9" s="173">
        <v>2760</v>
      </c>
      <c r="AG9" s="171">
        <f>AE9*AF9</f>
        <v>49680</v>
      </c>
      <c r="AH9" s="176">
        <f>SUMIF($D$6:$AG$6,AH$6,$D9:$AG9)</f>
        <v>2956</v>
      </c>
      <c r="AI9" s="177">
        <f>IF(AH9=0,0,AJ9/AH9)</f>
        <v>4616.7692828146146</v>
      </c>
      <c r="AJ9" s="178">
        <f>SUMIF($D$6:$AG$6,AJ$6,$D9:$AG9)</f>
        <v>13647170</v>
      </c>
      <c r="AK9" s="179">
        <v>1850</v>
      </c>
      <c r="AL9" s="173">
        <v>3900</v>
      </c>
      <c r="AM9" s="174">
        <f>AK9*AL9</f>
        <v>7215000</v>
      </c>
      <c r="AN9" s="175">
        <v>550</v>
      </c>
      <c r="AO9" s="173">
        <v>4500</v>
      </c>
      <c r="AP9" s="174">
        <f>AN9*AO9</f>
        <v>2475000</v>
      </c>
      <c r="AQ9" s="175">
        <v>250</v>
      </c>
      <c r="AR9" s="173">
        <v>3259</v>
      </c>
      <c r="AS9" s="174">
        <f>AQ9*AR9</f>
        <v>814750</v>
      </c>
      <c r="AT9" s="175">
        <v>80</v>
      </c>
      <c r="AU9" s="173">
        <v>2884</v>
      </c>
      <c r="AV9" s="174">
        <f>AT9*AU9</f>
        <v>230720</v>
      </c>
      <c r="AW9" s="175">
        <v>115</v>
      </c>
      <c r="AX9" s="173">
        <v>3836</v>
      </c>
      <c r="AY9" s="174">
        <f>AW9*AX9</f>
        <v>441140</v>
      </c>
      <c r="AZ9" s="55"/>
      <c r="BA9" s="56"/>
      <c r="BB9" s="43">
        <f>AZ9*BA9</f>
        <v>0</v>
      </c>
      <c r="BC9" s="55"/>
      <c r="BD9" s="56"/>
      <c r="BE9" s="57">
        <f t="shared" si="2"/>
        <v>0</v>
      </c>
      <c r="BF9" s="55"/>
      <c r="BG9" s="56"/>
      <c r="BH9" s="57">
        <f t="shared" si="3"/>
        <v>0</v>
      </c>
      <c r="BI9" s="55"/>
      <c r="BJ9" s="56"/>
      <c r="BK9" s="57">
        <f t="shared" si="4"/>
        <v>0</v>
      </c>
      <c r="BL9" s="55"/>
      <c r="BM9" s="56"/>
      <c r="BN9" s="57">
        <f t="shared" si="5"/>
        <v>0</v>
      </c>
      <c r="BO9" s="58">
        <f>SUMIF($AK$6:$BN$6,BO$6,$AK9:$BN9)</f>
        <v>2845</v>
      </c>
      <c r="BP9" s="59">
        <f t="shared" si="6"/>
        <v>3928.5096660808435</v>
      </c>
      <c r="BQ9" s="60">
        <f>SUMIF($AK$6:$BN$6,BQ$6,$AK9:$BN9)</f>
        <v>11176610</v>
      </c>
      <c r="BR9" s="58">
        <f>BO9+AH9</f>
        <v>5801</v>
      </c>
      <c r="BS9" s="59">
        <f t="shared" si="7"/>
        <v>4279.2242716772971</v>
      </c>
      <c r="BT9" s="60">
        <f>BQ9+AJ9</f>
        <v>24823780</v>
      </c>
      <c r="BV9" s="55">
        <f>261*31</f>
        <v>8091</v>
      </c>
      <c r="BW9" s="61">
        <f t="shared" si="8"/>
        <v>0.7169694722531208</v>
      </c>
    </row>
    <row r="10" spans="1:77" x14ac:dyDescent="0.2">
      <c r="A10" s="39" t="e">
        <f>DATE(YEAR(A9)-1,1,31)</f>
        <v>#REF!</v>
      </c>
      <c r="B10" s="526"/>
      <c r="C10" s="52" t="s">
        <v>33</v>
      </c>
      <c r="D10" s="41">
        <v>1160</v>
      </c>
      <c r="E10" s="42">
        <v>5744</v>
      </c>
      <c r="F10" s="43">
        <f>D10*E10</f>
        <v>6663040</v>
      </c>
      <c r="G10" s="44">
        <f>+G11*(G9+1)</f>
        <v>0</v>
      </c>
      <c r="H10" s="42">
        <f>+H11*(H9+1)</f>
        <v>0</v>
      </c>
      <c r="I10" s="43">
        <f>G10*H10</f>
        <v>0</v>
      </c>
      <c r="J10" s="44">
        <v>306</v>
      </c>
      <c r="K10" s="42">
        <v>3665</v>
      </c>
      <c r="L10" s="43">
        <f>J10*K10</f>
        <v>1121490</v>
      </c>
      <c r="M10" s="44">
        <v>177</v>
      </c>
      <c r="N10" s="42">
        <v>3256</v>
      </c>
      <c r="O10" s="43">
        <f>M10*N10</f>
        <v>576312</v>
      </c>
      <c r="P10" s="44">
        <v>297</v>
      </c>
      <c r="Q10" s="42">
        <v>3011</v>
      </c>
      <c r="R10" s="43">
        <f>P10*Q10</f>
        <v>894267</v>
      </c>
      <c r="S10" s="44">
        <v>311</v>
      </c>
      <c r="T10" s="42">
        <v>4263</v>
      </c>
      <c r="U10" s="43">
        <f>S10*T10</f>
        <v>1325793</v>
      </c>
      <c r="V10" s="44">
        <v>328</v>
      </c>
      <c r="W10" s="42">
        <v>2679</v>
      </c>
      <c r="X10" s="43">
        <f>V10*W10</f>
        <v>878712</v>
      </c>
      <c r="Y10" s="44">
        <v>99</v>
      </c>
      <c r="Z10" s="42">
        <v>4153</v>
      </c>
      <c r="AA10" s="43">
        <f>Y10*Z10</f>
        <v>411147</v>
      </c>
      <c r="AB10" s="44">
        <v>0</v>
      </c>
      <c r="AC10" s="42">
        <v>0</v>
      </c>
      <c r="AD10" s="43">
        <f>AB10*AC10</f>
        <v>0</v>
      </c>
      <c r="AE10" s="44">
        <v>18</v>
      </c>
      <c r="AF10" s="42">
        <v>2760</v>
      </c>
      <c r="AG10" s="133">
        <f>AE10*AF10</f>
        <v>49680</v>
      </c>
      <c r="AH10" s="108">
        <f>SUMIF($D$6:$AG$6,AH$6,$D10:$AG10)</f>
        <v>2696</v>
      </c>
      <c r="AI10" s="105">
        <f>IF(AH10=0,0,AJ10/AH10)</f>
        <v>4421.5285608308604</v>
      </c>
      <c r="AJ10" s="103">
        <f>SUMIF($D$6:$AG$6,AJ$6,$D10:$AG10)</f>
        <v>11920441</v>
      </c>
      <c r="AK10" s="41">
        <v>924</v>
      </c>
      <c r="AL10" s="42">
        <v>3647</v>
      </c>
      <c r="AM10" s="43">
        <f>AK10*AL10</f>
        <v>3369828</v>
      </c>
      <c r="AN10" s="41">
        <v>541</v>
      </c>
      <c r="AO10" s="42">
        <v>4418</v>
      </c>
      <c r="AP10" s="43">
        <f>AN10*AO10</f>
        <v>2390138</v>
      </c>
      <c r="AQ10" s="44">
        <v>130</v>
      </c>
      <c r="AR10" s="42">
        <v>3149</v>
      </c>
      <c r="AS10" s="43">
        <f>AQ10*AR10</f>
        <v>409370</v>
      </c>
      <c r="AT10" s="44">
        <v>23</v>
      </c>
      <c r="AU10" s="42">
        <v>2786</v>
      </c>
      <c r="AV10" s="43">
        <f>AT10*AU10</f>
        <v>64078</v>
      </c>
      <c r="AW10" s="44">
        <v>109.9316</v>
      </c>
      <c r="AX10" s="42">
        <v>3706</v>
      </c>
      <c r="AY10" s="43">
        <f>AW10*AX10</f>
        <v>407406.50959999999</v>
      </c>
      <c r="AZ10" s="48"/>
      <c r="BA10" s="42"/>
      <c r="BB10" s="43">
        <f>AZ10*BA10</f>
        <v>0</v>
      </c>
      <c r="BC10" s="64"/>
      <c r="BD10" s="65"/>
      <c r="BE10" s="63">
        <f t="shared" si="2"/>
        <v>0</v>
      </c>
      <c r="BF10" s="64"/>
      <c r="BG10" s="65"/>
      <c r="BH10" s="63">
        <f t="shared" si="3"/>
        <v>0</v>
      </c>
      <c r="BI10" s="64"/>
      <c r="BJ10" s="65"/>
      <c r="BK10" s="63">
        <f t="shared" si="4"/>
        <v>0</v>
      </c>
      <c r="BL10" s="64"/>
      <c r="BM10" s="65"/>
      <c r="BN10" s="63">
        <f t="shared" si="5"/>
        <v>0</v>
      </c>
      <c r="BO10" s="66">
        <f>SUMIF($AK$6:$BN$6,BO$6,$AK10:$BN10)</f>
        <v>1727.9315999999999</v>
      </c>
      <c r="BP10" s="67">
        <f t="shared" si="6"/>
        <v>3843.2195519776365</v>
      </c>
      <c r="BQ10" s="68">
        <f>SUMIF($AK$6:$BN$6,BQ$6,$AK10:$BN10)</f>
        <v>6640820.5096000005</v>
      </c>
      <c r="BR10" s="66">
        <f>BO10+AH10</f>
        <v>4423.9315999999999</v>
      </c>
      <c r="BS10" s="67">
        <f t="shared" si="7"/>
        <v>4195.6483932979436</v>
      </c>
      <c r="BT10" s="68">
        <f>BQ10+AJ10</f>
        <v>18561261.509599999</v>
      </c>
      <c r="BV10" s="55">
        <f>261*31</f>
        <v>8091</v>
      </c>
      <c r="BW10" s="61">
        <f t="shared" si="8"/>
        <v>0.54677191941663572</v>
      </c>
    </row>
    <row r="11" spans="1:77" x14ac:dyDescent="0.2">
      <c r="A11" s="39"/>
      <c r="B11" s="520">
        <f>DATE(YEAR(B7),MONTH(B7)+2,1)-1</f>
        <v>60</v>
      </c>
      <c r="C11" s="69" t="s">
        <v>27</v>
      </c>
      <c r="D11" s="25">
        <f>(D12/D13)-1</f>
        <v>-3.4482758620689724E-3</v>
      </c>
      <c r="E11" s="26">
        <f>(E12/E13)-1</f>
        <v>0.10815845221112697</v>
      </c>
      <c r="F11" s="25">
        <f>(F12/F13)-1</f>
        <v>0.10433721616901948</v>
      </c>
      <c r="G11" s="27"/>
      <c r="H11" s="26"/>
      <c r="I11" s="28"/>
      <c r="J11" s="29">
        <f t="shared" ref="J11:AY11" si="9">J12/J13-1</f>
        <v>-0.70357142857142851</v>
      </c>
      <c r="K11" s="70">
        <f t="shared" si="9"/>
        <v>-0.16729166666666662</v>
      </c>
      <c r="L11" s="25">
        <f t="shared" si="9"/>
        <v>-0.75316145833333337</v>
      </c>
      <c r="M11" s="29">
        <f t="shared" si="9"/>
        <v>-0.80327868852459017</v>
      </c>
      <c r="N11" s="70">
        <f t="shared" si="9"/>
        <v>-0.13779160186625194</v>
      </c>
      <c r="O11" s="25">
        <f t="shared" si="9"/>
        <v>-0.8303852331540168</v>
      </c>
      <c r="P11" s="29">
        <f t="shared" si="9"/>
        <v>-0.21250000000000002</v>
      </c>
      <c r="Q11" s="70">
        <f t="shared" si="9"/>
        <v>-2.3574547908232102E-2</v>
      </c>
      <c r="R11" s="25">
        <f t="shared" si="9"/>
        <v>-0.23106495647773273</v>
      </c>
      <c r="S11" s="29">
        <f t="shared" si="9"/>
        <v>0.53541666666666665</v>
      </c>
      <c r="T11" s="70">
        <f t="shared" si="9"/>
        <v>3.4678234519104123E-2</v>
      </c>
      <c r="U11" s="70">
        <f t="shared" si="9"/>
        <v>0.58866220591787433</v>
      </c>
      <c r="V11" s="29">
        <f t="shared" si="9"/>
        <v>-0.46666666666666667</v>
      </c>
      <c r="W11" s="70">
        <f t="shared" si="9"/>
        <v>-3.7575757575757596E-2</v>
      </c>
      <c r="X11" s="25">
        <f t="shared" si="9"/>
        <v>-0.48670707070707075</v>
      </c>
      <c r="Y11" s="29">
        <f t="shared" si="9"/>
        <v>-9.0909090909090939E-2</v>
      </c>
      <c r="Z11" s="70">
        <f t="shared" si="9"/>
        <v>-0.24778186539710023</v>
      </c>
      <c r="AA11" s="25">
        <f t="shared" si="9"/>
        <v>-0.31616533217918197</v>
      </c>
      <c r="AB11" s="29" t="e">
        <f t="shared" si="9"/>
        <v>#DIV/0!</v>
      </c>
      <c r="AC11" s="70" t="e">
        <f t="shared" si="9"/>
        <v>#DIV/0!</v>
      </c>
      <c r="AD11" s="25" t="e">
        <f t="shared" si="9"/>
        <v>#DIV/0!</v>
      </c>
      <c r="AE11" s="29">
        <f t="shared" si="9"/>
        <v>-0.5</v>
      </c>
      <c r="AF11" s="70">
        <f t="shared" si="9"/>
        <v>5.4559625876851037E-3</v>
      </c>
      <c r="AG11" s="28">
        <f t="shared" si="9"/>
        <v>-0.49727201870615745</v>
      </c>
      <c r="AH11" s="154">
        <f t="shared" si="9"/>
        <v>-0.13825551936301117</v>
      </c>
      <c r="AI11" s="76">
        <f t="shared" si="9"/>
        <v>2.1888699460508088E-2</v>
      </c>
      <c r="AJ11" s="77">
        <f t="shared" si="9"/>
        <v>-0.11939305341459661</v>
      </c>
      <c r="AK11" s="28">
        <f t="shared" si="9"/>
        <v>6.893617021276599E-2</v>
      </c>
      <c r="AL11" s="70">
        <f t="shared" si="9"/>
        <v>-1.5410307692307668E-2</v>
      </c>
      <c r="AM11" s="31">
        <f t="shared" si="9"/>
        <v>5.2463534926350475E-2</v>
      </c>
      <c r="AN11" s="28">
        <f t="shared" si="9"/>
        <v>0.45333333333333337</v>
      </c>
      <c r="AO11" s="70">
        <f t="shared" si="9"/>
        <v>-9.4502617801047073E-2</v>
      </c>
      <c r="AP11" s="25">
        <f t="shared" si="9"/>
        <v>0.31598952879581144</v>
      </c>
      <c r="AQ11" s="29">
        <f t="shared" si="9"/>
        <v>-0.78666666666666663</v>
      </c>
      <c r="AR11" s="70">
        <f t="shared" si="9"/>
        <v>0.62247749146227882</v>
      </c>
      <c r="AS11" s="25">
        <f t="shared" si="9"/>
        <v>-0.65387146848804711</v>
      </c>
      <c r="AT11" s="29">
        <f t="shared" si="9"/>
        <v>-0.28333333333333333</v>
      </c>
      <c r="AU11" s="70">
        <f t="shared" si="9"/>
        <v>-3.2471835652750136E-2</v>
      </c>
      <c r="AV11" s="25">
        <f t="shared" si="9"/>
        <v>-0.30660481555113761</v>
      </c>
      <c r="AW11" s="29">
        <f t="shared" si="9"/>
        <v>-0.55000000000000004</v>
      </c>
      <c r="AX11" s="70">
        <f t="shared" si="9"/>
        <v>4.463836842105251E-2</v>
      </c>
      <c r="AY11" s="31">
        <f t="shared" si="9"/>
        <v>-0.52991273421052631</v>
      </c>
      <c r="AZ11" s="33"/>
      <c r="BA11" s="33"/>
      <c r="BB11" s="34"/>
      <c r="BC11" s="35"/>
      <c r="BD11" s="33"/>
      <c r="BE11" s="34"/>
      <c r="BF11" s="35"/>
      <c r="BG11" s="33"/>
      <c r="BH11" s="34"/>
      <c r="BI11" s="35"/>
      <c r="BJ11" s="33"/>
      <c r="BK11" s="34"/>
      <c r="BL11" s="35"/>
      <c r="BM11" s="33"/>
      <c r="BN11" s="34"/>
      <c r="BO11" s="29">
        <f t="shared" ref="BO11:BQ11" si="10">BO12/BO13-1</f>
        <v>-4.9113924050632862E-2</v>
      </c>
      <c r="BP11" s="70">
        <f t="shared" si="10"/>
        <v>8.5855948932924697E-3</v>
      </c>
      <c r="BQ11" s="31">
        <f t="shared" si="10"/>
        <v>-4.0950001412859094E-2</v>
      </c>
      <c r="BR11" s="29">
        <v>5.1400000000000001E-2</v>
      </c>
      <c r="BS11" s="70">
        <f t="shared" ref="BS11:BT11" si="11">BS12/BS13-1</f>
        <v>1.3450977001576714E-2</v>
      </c>
      <c r="BT11" s="31">
        <f t="shared" si="11"/>
        <v>-8.9006392771271647E-2</v>
      </c>
      <c r="BV11" s="71"/>
      <c r="BW11" s="72"/>
    </row>
    <row r="12" spans="1:77" x14ac:dyDescent="0.2">
      <c r="A12" s="39" t="e">
        <f>DATE(YEAR(A8),MONTH(A8)+2,1)-1</f>
        <v>#REF!</v>
      </c>
      <c r="B12" s="521"/>
      <c r="C12" s="40" t="s">
        <v>84</v>
      </c>
      <c r="D12" s="179">
        <v>578</v>
      </c>
      <c r="E12" s="173">
        <v>6214.5526</v>
      </c>
      <c r="F12" s="174">
        <f>D12*E12</f>
        <v>3592011.4027999998</v>
      </c>
      <c r="G12" s="173"/>
      <c r="H12" s="173"/>
      <c r="I12" s="174"/>
      <c r="J12" s="175">
        <v>83</v>
      </c>
      <c r="K12" s="173">
        <v>3997</v>
      </c>
      <c r="L12" s="174">
        <f>J12*K12</f>
        <v>331751</v>
      </c>
      <c r="M12" s="175">
        <v>24</v>
      </c>
      <c r="N12" s="173">
        <v>2772</v>
      </c>
      <c r="O12" s="171">
        <f>M12*N12</f>
        <v>66528</v>
      </c>
      <c r="P12" s="172">
        <v>630</v>
      </c>
      <c r="Q12" s="173">
        <v>3617.6563000000001</v>
      </c>
      <c r="R12" s="174">
        <f>P12*Q12</f>
        <v>2279123.469</v>
      </c>
      <c r="S12" s="175">
        <v>737</v>
      </c>
      <c r="T12" s="173">
        <v>3926.6039000000001</v>
      </c>
      <c r="U12" s="174">
        <f>S12*T12</f>
        <v>2893907.0743</v>
      </c>
      <c r="V12" s="175">
        <v>176</v>
      </c>
      <c r="W12" s="173">
        <v>3176</v>
      </c>
      <c r="X12" s="174">
        <f>V12*W12</f>
        <v>558976</v>
      </c>
      <c r="Y12" s="175">
        <v>150</v>
      </c>
      <c r="Z12" s="173">
        <v>3476</v>
      </c>
      <c r="AA12" s="174">
        <f>Y12*Z12</f>
        <v>521400</v>
      </c>
      <c r="AB12" s="175"/>
      <c r="AC12" s="173"/>
      <c r="AD12" s="174">
        <f>AB12*AC12</f>
        <v>0</v>
      </c>
      <c r="AE12" s="175">
        <v>3</v>
      </c>
      <c r="AF12" s="173">
        <v>2580</v>
      </c>
      <c r="AG12" s="171">
        <f>AE12*AF12</f>
        <v>7740</v>
      </c>
      <c r="AH12" s="176">
        <f>SUMIF($D$6:$AG$6,AH$6,$D12:$AG12)</f>
        <v>2381</v>
      </c>
      <c r="AI12" s="177">
        <f>IF(AH12=0,0,AJ12/AH12)</f>
        <v>4305.5174070138601</v>
      </c>
      <c r="AJ12" s="178">
        <f>SUMIF($D$6:$AG$6,AJ$6,$D12:$AG12)</f>
        <v>10251436.9461</v>
      </c>
      <c r="AK12" s="179">
        <v>1256</v>
      </c>
      <c r="AL12" s="173">
        <v>3839.8998000000001</v>
      </c>
      <c r="AM12" s="174">
        <f>AK12*AL12</f>
        <v>4822914.1488000005</v>
      </c>
      <c r="AN12" s="175">
        <v>436</v>
      </c>
      <c r="AO12" s="173">
        <v>3459</v>
      </c>
      <c r="AP12" s="174">
        <f>AN12*AO12</f>
        <v>1508124</v>
      </c>
      <c r="AQ12" s="175">
        <v>64</v>
      </c>
      <c r="AR12" s="173">
        <v>5226</v>
      </c>
      <c r="AS12" s="174">
        <f>AQ12*AR12</f>
        <v>334464</v>
      </c>
      <c r="AT12" s="175">
        <v>86</v>
      </c>
      <c r="AU12" s="173">
        <v>2920</v>
      </c>
      <c r="AV12" s="174">
        <f>AT12*AU12</f>
        <v>251120</v>
      </c>
      <c r="AW12" s="175">
        <v>36</v>
      </c>
      <c r="AX12" s="173">
        <v>3969.6257999999998</v>
      </c>
      <c r="AY12" s="174">
        <f>AW12*AX12</f>
        <v>142906.5288</v>
      </c>
      <c r="AZ12" s="55"/>
      <c r="BA12" s="56"/>
      <c r="BB12" s="43">
        <f>AZ12*BA12</f>
        <v>0</v>
      </c>
      <c r="BC12" s="50"/>
      <c r="BD12" s="74"/>
      <c r="BE12" s="43">
        <f t="shared" si="2"/>
        <v>0</v>
      </c>
      <c r="BF12" s="50"/>
      <c r="BG12" s="74"/>
      <c r="BH12" s="43">
        <f t="shared" si="3"/>
        <v>0</v>
      </c>
      <c r="BI12" s="50"/>
      <c r="BJ12" s="74"/>
      <c r="BK12" s="43">
        <f t="shared" si="4"/>
        <v>0</v>
      </c>
      <c r="BL12" s="50"/>
      <c r="BM12" s="74"/>
      <c r="BN12" s="43">
        <f t="shared" si="5"/>
        <v>0</v>
      </c>
      <c r="BO12" s="45">
        <f>SUMIF($AK$6:$BN$6,BO$6,$AK12:$BN12)</f>
        <v>1878</v>
      </c>
      <c r="BP12" s="46">
        <f t="shared" si="6"/>
        <v>3759.0674534611294</v>
      </c>
      <c r="BQ12" s="47">
        <f>SUMIF($AK$6:$BN$6,BQ$6,$AK12:$BN12)</f>
        <v>7059528.677600001</v>
      </c>
      <c r="BR12" s="45">
        <f>BO12+AH12</f>
        <v>4259</v>
      </c>
      <c r="BS12" s="46">
        <f t="shared" si="7"/>
        <v>4064.5610762385536</v>
      </c>
      <c r="BT12" s="47">
        <f>BQ12+AJ12</f>
        <v>17310965.6237</v>
      </c>
      <c r="BV12" s="50">
        <f>261*28</f>
        <v>7308</v>
      </c>
      <c r="BW12" s="51">
        <f t="shared" si="8"/>
        <v>0.58278598795840175</v>
      </c>
    </row>
    <row r="13" spans="1:77" x14ac:dyDescent="0.2">
      <c r="A13" s="39" t="e">
        <f>DATE(YEAR(A9),MONTH(A9)+2,1)-1</f>
        <v>#REF!</v>
      </c>
      <c r="B13" s="521"/>
      <c r="C13" s="52" t="s">
        <v>30</v>
      </c>
      <c r="D13" s="179">
        <v>580</v>
      </c>
      <c r="E13" s="173">
        <v>5608</v>
      </c>
      <c r="F13" s="174">
        <f>D13*E13</f>
        <v>3252640</v>
      </c>
      <c r="G13" s="173"/>
      <c r="H13" s="173"/>
      <c r="I13" s="174"/>
      <c r="J13" s="175">
        <v>280</v>
      </c>
      <c r="K13" s="173">
        <v>4800</v>
      </c>
      <c r="L13" s="174">
        <f>J13*K13</f>
        <v>1344000</v>
      </c>
      <c r="M13" s="175">
        <v>122</v>
      </c>
      <c r="N13" s="173">
        <v>3215</v>
      </c>
      <c r="O13" s="171">
        <f>M13*N13</f>
        <v>392230</v>
      </c>
      <c r="P13" s="172">
        <v>800</v>
      </c>
      <c r="Q13" s="173">
        <v>3705</v>
      </c>
      <c r="R13" s="174">
        <f>P13*Q13</f>
        <v>2964000</v>
      </c>
      <c r="S13" s="175">
        <v>480</v>
      </c>
      <c r="T13" s="173">
        <v>3795</v>
      </c>
      <c r="U13" s="174">
        <f>S13*T13</f>
        <v>1821600</v>
      </c>
      <c r="V13" s="175">
        <v>330</v>
      </c>
      <c r="W13" s="173">
        <v>3300</v>
      </c>
      <c r="X13" s="174">
        <f>V13*W13</f>
        <v>1089000</v>
      </c>
      <c r="Y13" s="175">
        <v>165</v>
      </c>
      <c r="Z13" s="173">
        <v>4621</v>
      </c>
      <c r="AA13" s="174">
        <f>Y13*Z13</f>
        <v>762465</v>
      </c>
      <c r="AB13" s="175"/>
      <c r="AC13" s="173"/>
      <c r="AD13" s="174">
        <f>AB13*AC13</f>
        <v>0</v>
      </c>
      <c r="AE13" s="175">
        <v>6</v>
      </c>
      <c r="AF13" s="173">
        <v>2566</v>
      </c>
      <c r="AG13" s="171">
        <f>AE13*AF13</f>
        <v>15396</v>
      </c>
      <c r="AH13" s="176">
        <f>SUMIF($D$6:$AG$6,AH$6,$D13:$AG13)</f>
        <v>2763</v>
      </c>
      <c r="AI13" s="177">
        <f>IF(AH13=0,0,AJ13/AH13)</f>
        <v>4213.2938834600072</v>
      </c>
      <c r="AJ13" s="178">
        <f>SUMIF($D$6:$AG$6,AJ$6,$D13:$AG13)</f>
        <v>11641331</v>
      </c>
      <c r="AK13" s="179">
        <v>1175</v>
      </c>
      <c r="AL13" s="173">
        <v>3900</v>
      </c>
      <c r="AM13" s="174">
        <f>AK13*AL13</f>
        <v>4582500</v>
      </c>
      <c r="AN13" s="175">
        <v>300</v>
      </c>
      <c r="AO13" s="173">
        <v>3820</v>
      </c>
      <c r="AP13" s="174">
        <f>AN13*AO13</f>
        <v>1146000</v>
      </c>
      <c r="AQ13" s="175">
        <v>300</v>
      </c>
      <c r="AR13" s="173">
        <v>3221</v>
      </c>
      <c r="AS13" s="174">
        <f>AQ13*AR13</f>
        <v>966300</v>
      </c>
      <c r="AT13" s="175">
        <v>120</v>
      </c>
      <c r="AU13" s="173">
        <v>3018</v>
      </c>
      <c r="AV13" s="174">
        <f>AT13*AU13</f>
        <v>362160</v>
      </c>
      <c r="AW13" s="175">
        <v>80</v>
      </c>
      <c r="AX13" s="173">
        <v>3800</v>
      </c>
      <c r="AY13" s="174">
        <f>AW13*AX13</f>
        <v>304000</v>
      </c>
      <c r="AZ13" s="55"/>
      <c r="BA13" s="56"/>
      <c r="BB13" s="43">
        <f>AZ13*BA13</f>
        <v>0</v>
      </c>
      <c r="BC13" s="55"/>
      <c r="BD13" s="56"/>
      <c r="BE13" s="57">
        <f t="shared" si="2"/>
        <v>0</v>
      </c>
      <c r="BF13" s="55"/>
      <c r="BG13" s="56"/>
      <c r="BH13" s="57">
        <f t="shared" si="3"/>
        <v>0</v>
      </c>
      <c r="BI13" s="55"/>
      <c r="BJ13" s="56"/>
      <c r="BK13" s="57">
        <f t="shared" si="4"/>
        <v>0</v>
      </c>
      <c r="BL13" s="55"/>
      <c r="BM13" s="56"/>
      <c r="BN13" s="57">
        <f t="shared" si="5"/>
        <v>0</v>
      </c>
      <c r="BO13" s="58">
        <f>SUMIF($AK$6:$BN$6,BO$6,$AK13:$BN13)</f>
        <v>1975</v>
      </c>
      <c r="BP13" s="59">
        <f t="shared" si="6"/>
        <v>3727.0683544303797</v>
      </c>
      <c r="BQ13" s="60">
        <f>SUMIF($AK$6:$BN$6,BQ$6,$AK13:$BN13)</f>
        <v>7360960</v>
      </c>
      <c r="BR13" s="58">
        <f>BO13+AH13</f>
        <v>4738</v>
      </c>
      <c r="BS13" s="59">
        <f t="shared" si="7"/>
        <v>4010.6143942591812</v>
      </c>
      <c r="BT13" s="60">
        <f>BQ13+AJ13</f>
        <v>19002291</v>
      </c>
      <c r="BV13" s="55">
        <f>261*28</f>
        <v>7308</v>
      </c>
      <c r="BW13" s="61">
        <f t="shared" si="8"/>
        <v>0.64833059660645864</v>
      </c>
    </row>
    <row r="14" spans="1:77" x14ac:dyDescent="0.2">
      <c r="A14" s="39" t="e">
        <f>DATE(YEAR(A10),MONTH(A10)+2,1)-1</f>
        <v>#REF!</v>
      </c>
      <c r="B14" s="522"/>
      <c r="C14" s="62" t="s">
        <v>33</v>
      </c>
      <c r="D14" s="41">
        <v>571</v>
      </c>
      <c r="E14" s="42">
        <v>5705</v>
      </c>
      <c r="F14" s="43">
        <f>D14*E14</f>
        <v>3257555</v>
      </c>
      <c r="G14" s="44">
        <f>+G15*(G13+1)</f>
        <v>0</v>
      </c>
      <c r="H14" s="42">
        <f>+H15*(H13+1)</f>
        <v>0</v>
      </c>
      <c r="I14" s="43">
        <f>G14*H14</f>
        <v>0</v>
      </c>
      <c r="J14" s="44">
        <v>276</v>
      </c>
      <c r="K14" s="42">
        <v>2783</v>
      </c>
      <c r="L14" s="43">
        <f>J14*K14</f>
        <v>768108</v>
      </c>
      <c r="M14" s="44">
        <v>119</v>
      </c>
      <c r="N14" s="42">
        <v>3106</v>
      </c>
      <c r="O14" s="43">
        <f>M14*N14</f>
        <v>369614</v>
      </c>
      <c r="P14" s="44">
        <v>529</v>
      </c>
      <c r="Q14" s="42">
        <v>3705</v>
      </c>
      <c r="R14" s="43">
        <f>P14*Q14</f>
        <v>1959945</v>
      </c>
      <c r="S14" s="44">
        <v>469</v>
      </c>
      <c r="T14" s="42">
        <v>3667</v>
      </c>
      <c r="U14" s="43">
        <f>S14*T14</f>
        <v>1719823</v>
      </c>
      <c r="V14" s="44">
        <v>321</v>
      </c>
      <c r="W14" s="42">
        <v>3276</v>
      </c>
      <c r="X14" s="43">
        <f>V14*W14</f>
        <v>1051596</v>
      </c>
      <c r="Y14" s="44">
        <v>158</v>
      </c>
      <c r="Z14" s="42">
        <v>4465</v>
      </c>
      <c r="AA14" s="43">
        <f>Y14*Z14</f>
        <v>705470</v>
      </c>
      <c r="AB14" s="44"/>
      <c r="AC14" s="42"/>
      <c r="AD14" s="43">
        <f>AB14*AC14</f>
        <v>0</v>
      </c>
      <c r="AE14" s="44">
        <v>6</v>
      </c>
      <c r="AF14" s="42">
        <v>2566</v>
      </c>
      <c r="AG14" s="133">
        <f>AE14*AF14</f>
        <v>15396</v>
      </c>
      <c r="AH14" s="108">
        <f>SUMIF($D$6:$AG$6,AH$6,$D14:$AG14)</f>
        <v>2449</v>
      </c>
      <c r="AI14" s="105">
        <f>IF(AH14=0,0,AJ14/AH14)</f>
        <v>4021.0318497345856</v>
      </c>
      <c r="AJ14" s="103">
        <f>SUMIF($D$6:$AG$6,AJ$6,$D14:$AG14)</f>
        <v>9847507</v>
      </c>
      <c r="AK14" s="41">
        <v>803</v>
      </c>
      <c r="AL14" s="42">
        <v>3651</v>
      </c>
      <c r="AM14" s="43">
        <f>AK14*AL14</f>
        <v>2931753</v>
      </c>
      <c r="AN14" s="41">
        <v>32</v>
      </c>
      <c r="AO14" s="42">
        <v>3724</v>
      </c>
      <c r="AP14" s="43">
        <f>AN14*AO14</f>
        <v>119168</v>
      </c>
      <c r="AQ14" s="44">
        <v>291</v>
      </c>
      <c r="AR14" s="42">
        <v>3112</v>
      </c>
      <c r="AS14" s="43">
        <f>AQ14*AR14</f>
        <v>905592</v>
      </c>
      <c r="AT14" s="44">
        <v>77</v>
      </c>
      <c r="AU14" s="42">
        <v>2916</v>
      </c>
      <c r="AV14" s="43">
        <f>AT14*AU14</f>
        <v>224532</v>
      </c>
      <c r="AW14" s="44">
        <v>53.050400000000003</v>
      </c>
      <c r="AX14" s="42">
        <v>3779.4234000000001</v>
      </c>
      <c r="AY14" s="43">
        <f>AW14*AX14</f>
        <v>200499.92313936001</v>
      </c>
      <c r="AZ14" s="73"/>
      <c r="BA14" s="74"/>
      <c r="BB14" s="43">
        <v>0</v>
      </c>
      <c r="BC14" s="64"/>
      <c r="BD14" s="65"/>
      <c r="BE14" s="63">
        <f t="shared" si="2"/>
        <v>0</v>
      </c>
      <c r="BF14" s="64"/>
      <c r="BG14" s="65"/>
      <c r="BH14" s="63">
        <f t="shared" si="3"/>
        <v>0</v>
      </c>
      <c r="BI14" s="64"/>
      <c r="BJ14" s="65"/>
      <c r="BK14" s="63">
        <f t="shared" si="4"/>
        <v>0</v>
      </c>
      <c r="BL14" s="64"/>
      <c r="BM14" s="65"/>
      <c r="BN14" s="63">
        <f t="shared" si="5"/>
        <v>0</v>
      </c>
      <c r="BO14" s="66">
        <f>SUMIF($AK$6:$BN$6,BO$6,$AK14:$BN14)</f>
        <v>1256.0504000000001</v>
      </c>
      <c r="BP14" s="67">
        <f t="shared" si="6"/>
        <v>3488.3512024193928</v>
      </c>
      <c r="BQ14" s="68">
        <f>SUMIF($AK$6:$BN$6,BQ$6,$AK14:$BN14)</f>
        <v>4381544.9231393598</v>
      </c>
      <c r="BR14" s="66">
        <f>BO14+AH14</f>
        <v>3705.0504000000001</v>
      </c>
      <c r="BS14" s="67">
        <f t="shared" si="7"/>
        <v>3840.4476017760403</v>
      </c>
      <c r="BT14" s="68">
        <f>BQ14+AJ14</f>
        <v>14229051.92313936</v>
      </c>
      <c r="BV14" s="55">
        <f>261*28</f>
        <v>7308</v>
      </c>
      <c r="BW14" s="61">
        <f t="shared" si="8"/>
        <v>0.50698555008210178</v>
      </c>
    </row>
    <row r="15" spans="1:77" x14ac:dyDescent="0.2">
      <c r="A15" s="39"/>
      <c r="B15" s="520">
        <f>DATE(YEAR(B11),MONTH(B11)+2,1)-1</f>
        <v>91</v>
      </c>
      <c r="C15" s="24" t="s">
        <v>27</v>
      </c>
      <c r="D15" s="25">
        <f>(D16/D17)-1</f>
        <v>-0.10599999999999998</v>
      </c>
      <c r="E15" s="26">
        <f>(E16/E17)-1</f>
        <v>7.0256776034236745E-2</v>
      </c>
      <c r="F15" s="25">
        <f>(F16/F17)-1</f>
        <v>-4.3190442225392256E-2</v>
      </c>
      <c r="G15" s="27"/>
      <c r="H15" s="26"/>
      <c r="I15" s="28"/>
      <c r="J15" s="29">
        <f t="shared" ref="J15:AY15" si="12">J16/J17-1</f>
        <v>-0.53928571428571437</v>
      </c>
      <c r="K15" s="70">
        <f t="shared" si="12"/>
        <v>-0.24833333333333329</v>
      </c>
      <c r="L15" s="25">
        <f t="shared" si="12"/>
        <v>-0.65369642857142862</v>
      </c>
      <c r="M15" s="29">
        <f t="shared" si="12"/>
        <v>-0.9555555555555556</v>
      </c>
      <c r="N15" s="70">
        <f t="shared" si="12"/>
        <v>-0.1012532981530343</v>
      </c>
      <c r="O15" s="25">
        <f t="shared" si="12"/>
        <v>-0.9600557021401348</v>
      </c>
      <c r="P15" s="29">
        <f t="shared" si="12"/>
        <v>-0.16781609195402303</v>
      </c>
      <c r="Q15" s="70">
        <f t="shared" si="12"/>
        <v>2.6790164805954308E-2</v>
      </c>
      <c r="R15" s="25">
        <f t="shared" si="12"/>
        <v>-0.14552174790860817</v>
      </c>
      <c r="S15" s="29">
        <f t="shared" si="12"/>
        <v>-0.16415094339622638</v>
      </c>
      <c r="T15" s="70">
        <f t="shared" si="12"/>
        <v>0.35256014805675506</v>
      </c>
      <c r="U15" s="70">
        <f t="shared" si="12"/>
        <v>0.13053612375309909</v>
      </c>
      <c r="V15" s="29">
        <f t="shared" si="12"/>
        <v>-0.46666666666666667</v>
      </c>
      <c r="W15" s="70">
        <f t="shared" si="12"/>
        <v>8.3124999999999893E-2</v>
      </c>
      <c r="X15" s="25">
        <f t="shared" si="12"/>
        <v>-0.42233333333333334</v>
      </c>
      <c r="Y15" s="29">
        <f t="shared" si="12"/>
        <v>-0.4836601307189542</v>
      </c>
      <c r="Z15" s="70">
        <f t="shared" si="12"/>
        <v>0.32013057671381939</v>
      </c>
      <c r="AA15" s="25">
        <f t="shared" si="12"/>
        <v>-0.31836395058567502</v>
      </c>
      <c r="AB15" s="29" t="e">
        <f t="shared" si="12"/>
        <v>#DIV/0!</v>
      </c>
      <c r="AC15" s="70" t="e">
        <f t="shared" si="12"/>
        <v>#DIV/0!</v>
      </c>
      <c r="AD15" s="25" t="e">
        <f t="shared" si="12"/>
        <v>#DIV/0!</v>
      </c>
      <c r="AE15" s="29">
        <f t="shared" si="12"/>
        <v>-1</v>
      </c>
      <c r="AF15" s="70">
        <f t="shared" si="12"/>
        <v>-1</v>
      </c>
      <c r="AG15" s="28">
        <f t="shared" si="12"/>
        <v>-1</v>
      </c>
      <c r="AH15" s="154">
        <f t="shared" si="12"/>
        <v>-0.3034862385321101</v>
      </c>
      <c r="AI15" s="76">
        <f t="shared" si="12"/>
        <v>0.12026516194920722</v>
      </c>
      <c r="AJ15" s="77">
        <f t="shared" si="12"/>
        <v>-0.21971989820932292</v>
      </c>
      <c r="AK15" s="28">
        <f t="shared" si="12"/>
        <v>-0.33806451612903221</v>
      </c>
      <c r="AL15" s="70">
        <f t="shared" si="12"/>
        <v>-3.1431256410256458E-2</v>
      </c>
      <c r="AM15" s="31">
        <f t="shared" si="12"/>
        <v>-0.35886998004962789</v>
      </c>
      <c r="AN15" s="28">
        <f t="shared" si="12"/>
        <v>-0.63714285714285712</v>
      </c>
      <c r="AO15" s="70">
        <f t="shared" si="12"/>
        <v>-5.8215400132379358E-2</v>
      </c>
      <c r="AP15" s="25">
        <f t="shared" si="12"/>
        <v>-0.65826673090517773</v>
      </c>
      <c r="AQ15" s="29">
        <f t="shared" si="12"/>
        <v>7.27</v>
      </c>
      <c r="AR15" s="70">
        <f t="shared" si="12"/>
        <v>1.5410367170626351</v>
      </c>
      <c r="AS15" s="25">
        <f t="shared" si="12"/>
        <v>20.014373650107991</v>
      </c>
      <c r="AT15" s="29">
        <f t="shared" si="12"/>
        <v>-0.86315789473684212</v>
      </c>
      <c r="AU15" s="70">
        <f t="shared" si="12"/>
        <v>-1.871306631648062E-2</v>
      </c>
      <c r="AV15" s="25">
        <f t="shared" si="12"/>
        <v>-0.86571863012751837</v>
      </c>
      <c r="AW15" s="29">
        <f t="shared" si="12"/>
        <v>2.2666666666666666</v>
      </c>
      <c r="AX15" s="70">
        <f t="shared" si="12"/>
        <v>0.16460176991150433</v>
      </c>
      <c r="AY15" s="31">
        <f t="shared" si="12"/>
        <v>2.8043657817109144</v>
      </c>
      <c r="AZ15" s="33"/>
      <c r="BA15" s="33"/>
      <c r="BB15" s="34"/>
      <c r="BC15" s="35"/>
      <c r="BD15" s="33"/>
      <c r="BE15" s="34"/>
      <c r="BF15" s="35"/>
      <c r="BG15" s="33"/>
      <c r="BH15" s="34"/>
      <c r="BI15" s="35"/>
      <c r="BJ15" s="33"/>
      <c r="BK15" s="34"/>
      <c r="BL15" s="35"/>
      <c r="BM15" s="33"/>
      <c r="BN15" s="34"/>
      <c r="BO15" s="29">
        <f t="shared" ref="BO15:BQ15" si="13">BO16/BO17-1</f>
        <v>-0.11618257261410792</v>
      </c>
      <c r="BP15" s="70">
        <f t="shared" si="13"/>
        <v>0.37863688886762126</v>
      </c>
      <c r="BQ15" s="31">
        <f t="shared" si="13"/>
        <v>0.218463308418271</v>
      </c>
      <c r="BR15" s="29">
        <v>0.1036</v>
      </c>
      <c r="BS15" s="70">
        <f t="shared" ref="BS15:BT15" si="14">BS16/BS17-1</f>
        <v>0.24041615078579315</v>
      </c>
      <c r="BT15" s="31">
        <f t="shared" si="14"/>
        <v>-2.6991965849040844E-2</v>
      </c>
      <c r="BU15" s="75"/>
      <c r="BV15" s="50"/>
      <c r="BW15" s="51"/>
    </row>
    <row r="16" spans="1:77" x14ac:dyDescent="0.2">
      <c r="A16" s="39" t="e">
        <f>DATE(YEAR(A12),MONTH(A12)+2,1)-1</f>
        <v>#REF!</v>
      </c>
      <c r="B16" s="521"/>
      <c r="C16" s="40" t="s">
        <v>84</v>
      </c>
      <c r="D16" s="182">
        <v>447</v>
      </c>
      <c r="E16" s="183">
        <v>6002</v>
      </c>
      <c r="F16" s="184">
        <f>D16*E16</f>
        <v>2682894</v>
      </c>
      <c r="G16" s="277"/>
      <c r="H16" s="183"/>
      <c r="I16" s="184"/>
      <c r="J16" s="185">
        <v>129</v>
      </c>
      <c r="K16" s="183">
        <v>3608</v>
      </c>
      <c r="L16" s="184">
        <f>J16*K16</f>
        <v>465432</v>
      </c>
      <c r="M16" s="185">
        <v>12</v>
      </c>
      <c r="N16" s="183">
        <v>2725</v>
      </c>
      <c r="O16" s="275">
        <f>M16*N16</f>
        <v>32700</v>
      </c>
      <c r="P16" s="276">
        <v>724</v>
      </c>
      <c r="Q16" s="183">
        <v>3862.7846</v>
      </c>
      <c r="R16" s="184">
        <f>P16*Q16</f>
        <v>2796656.0504000001</v>
      </c>
      <c r="S16" s="185">
        <v>443</v>
      </c>
      <c r="T16" s="183">
        <v>4385</v>
      </c>
      <c r="U16" s="184">
        <f>S16*T16</f>
        <v>1942555</v>
      </c>
      <c r="V16" s="185">
        <v>64</v>
      </c>
      <c r="W16" s="183">
        <v>3466</v>
      </c>
      <c r="X16" s="184">
        <f>V16*W16</f>
        <v>221824</v>
      </c>
      <c r="Y16" s="185">
        <v>79</v>
      </c>
      <c r="Z16" s="183">
        <v>6066</v>
      </c>
      <c r="AA16" s="184">
        <f>Y16*Z16</f>
        <v>479214</v>
      </c>
      <c r="AB16" s="267"/>
      <c r="AC16" s="265"/>
      <c r="AD16" s="266">
        <f>AB16*AC16</f>
        <v>0</v>
      </c>
      <c r="AE16" s="185">
        <v>0</v>
      </c>
      <c r="AF16" s="183"/>
      <c r="AG16" s="275">
        <f>AE16*AF16</f>
        <v>0</v>
      </c>
      <c r="AH16" s="186">
        <f>SUMIF($D$6:$AG$6,AH$6,$D16:$AG16)</f>
        <v>1898</v>
      </c>
      <c r="AI16" s="187">
        <f>IF(AH16=0,0,AJ16/AH16)</f>
        <v>4542.2945471022131</v>
      </c>
      <c r="AJ16" s="188">
        <f>SUMIF($D$6:$AG$6,AJ$6,$D16:$AG16)</f>
        <v>8621275.0504000001</v>
      </c>
      <c r="AK16" s="312">
        <v>1026</v>
      </c>
      <c r="AL16" s="313">
        <v>3777.4180999999999</v>
      </c>
      <c r="AM16" s="184">
        <f>AK16*AL16</f>
        <v>3875630.9705999997</v>
      </c>
      <c r="AN16" s="314">
        <v>127</v>
      </c>
      <c r="AO16" s="313">
        <v>2988</v>
      </c>
      <c r="AP16" s="184">
        <f>AN16*AO16</f>
        <v>379476</v>
      </c>
      <c r="AQ16" s="314">
        <v>827</v>
      </c>
      <c r="AR16" s="313">
        <v>7059</v>
      </c>
      <c r="AS16" s="184">
        <f>AQ16*AR16</f>
        <v>5837793</v>
      </c>
      <c r="AT16" s="185">
        <v>52</v>
      </c>
      <c r="AU16" s="183">
        <v>2989</v>
      </c>
      <c r="AV16" s="184">
        <f>AT16*AU16</f>
        <v>155428</v>
      </c>
      <c r="AW16" s="185">
        <v>98</v>
      </c>
      <c r="AX16" s="183">
        <v>3290</v>
      </c>
      <c r="AY16" s="184">
        <f>AW16*AX16</f>
        <v>322420</v>
      </c>
      <c r="AZ16" s="55"/>
      <c r="BA16" s="56"/>
      <c r="BB16" s="43">
        <f>AZ16*BA16</f>
        <v>0</v>
      </c>
      <c r="BC16" s="49"/>
      <c r="BD16" s="42"/>
      <c r="BE16" s="43">
        <f t="shared" ref="BE16:BE18" si="15">BC16*BD16</f>
        <v>0</v>
      </c>
      <c r="BF16" s="49"/>
      <c r="BG16" s="42"/>
      <c r="BH16" s="43">
        <f t="shared" ref="BH16:BH18" si="16">BF16*BG16</f>
        <v>0</v>
      </c>
      <c r="BI16" s="49"/>
      <c r="BJ16" s="42"/>
      <c r="BK16" s="43">
        <f t="shared" ref="BK16:BK18" si="17">BI16*BJ16</f>
        <v>0</v>
      </c>
      <c r="BL16" s="49"/>
      <c r="BM16" s="42"/>
      <c r="BN16" s="43">
        <f t="shared" ref="BN16:BN18" si="18">BL16*BM16</f>
        <v>0</v>
      </c>
      <c r="BO16" s="45">
        <f>SUMIF($AK$6:$BN$6,BO$6,$AK16:$BN16)</f>
        <v>2130</v>
      </c>
      <c r="BP16" s="46">
        <f t="shared" si="6"/>
        <v>4962.7924744600941</v>
      </c>
      <c r="BQ16" s="47">
        <f>SUMIF($AK$6:$BN$6,BQ$6,$AK16:$BN16)</f>
        <v>10570747.9706</v>
      </c>
      <c r="BR16" s="45">
        <f>BO16+AH16</f>
        <v>4028</v>
      </c>
      <c r="BS16" s="46">
        <f t="shared" si="7"/>
        <v>4764.6531829692149</v>
      </c>
      <c r="BT16" s="47">
        <f>BQ16+AJ16</f>
        <v>19192023.020999998</v>
      </c>
      <c r="BV16" s="50">
        <f>261*31</f>
        <v>8091</v>
      </c>
      <c r="BW16" s="51">
        <f t="shared" si="8"/>
        <v>0.49783710295389938</v>
      </c>
    </row>
    <row r="17" spans="1:76" x14ac:dyDescent="0.2">
      <c r="A17" s="39" t="e">
        <f>DATE(YEAR(A13),MONTH(A13)+2,1)-1</f>
        <v>#REF!</v>
      </c>
      <c r="B17" s="521"/>
      <c r="C17" s="52" t="s">
        <v>30</v>
      </c>
      <c r="D17" s="179">
        <v>500</v>
      </c>
      <c r="E17" s="173">
        <v>5608</v>
      </c>
      <c r="F17" s="174">
        <f>D17*E17</f>
        <v>2804000</v>
      </c>
      <c r="G17" s="180"/>
      <c r="H17" s="173"/>
      <c r="I17" s="174"/>
      <c r="J17" s="175">
        <v>280</v>
      </c>
      <c r="K17" s="173">
        <v>4800</v>
      </c>
      <c r="L17" s="174">
        <f>J17*K17</f>
        <v>1344000</v>
      </c>
      <c r="M17" s="175">
        <v>270</v>
      </c>
      <c r="N17" s="173">
        <v>3032</v>
      </c>
      <c r="O17" s="171">
        <f>M17*N17</f>
        <v>818640</v>
      </c>
      <c r="P17" s="172">
        <v>870</v>
      </c>
      <c r="Q17" s="173">
        <v>3762</v>
      </c>
      <c r="R17" s="174">
        <f>P17*Q17</f>
        <v>3272940</v>
      </c>
      <c r="S17" s="175">
        <v>530</v>
      </c>
      <c r="T17" s="173">
        <v>3242</v>
      </c>
      <c r="U17" s="174">
        <f>S17*T17</f>
        <v>1718260</v>
      </c>
      <c r="V17" s="175">
        <v>120</v>
      </c>
      <c r="W17" s="173">
        <v>3200</v>
      </c>
      <c r="X17" s="174">
        <f>V17*W17</f>
        <v>384000</v>
      </c>
      <c r="Y17" s="175">
        <v>153</v>
      </c>
      <c r="Z17" s="173">
        <v>4595</v>
      </c>
      <c r="AA17" s="174">
        <f>Y17*Z17</f>
        <v>703035</v>
      </c>
      <c r="AB17" s="175"/>
      <c r="AC17" s="173"/>
      <c r="AD17" s="174">
        <f>AB17*AC17</f>
        <v>0</v>
      </c>
      <c r="AE17" s="175">
        <v>2</v>
      </c>
      <c r="AF17" s="173">
        <v>2037</v>
      </c>
      <c r="AG17" s="171">
        <f>AE17*AF17</f>
        <v>4074</v>
      </c>
      <c r="AH17" s="176">
        <f>SUMIF($D$6:$AG$6,AH$6,$D17:$AG17)</f>
        <v>2725</v>
      </c>
      <c r="AI17" s="177">
        <f>IF(AH17=0,0,AJ17/AH17)</f>
        <v>4054.6601834862386</v>
      </c>
      <c r="AJ17" s="178">
        <f>SUMIF($D$6:$AG$6,AJ$6,$D17:$AG17)</f>
        <v>11048949</v>
      </c>
      <c r="AK17" s="179">
        <v>1550</v>
      </c>
      <c r="AL17" s="173">
        <v>3900</v>
      </c>
      <c r="AM17" s="174">
        <f>AK17*AL17</f>
        <v>6045000</v>
      </c>
      <c r="AN17" s="175">
        <v>350</v>
      </c>
      <c r="AO17" s="173">
        <v>3172.7</v>
      </c>
      <c r="AP17" s="174">
        <f>AN17*AO17</f>
        <v>1110445</v>
      </c>
      <c r="AQ17" s="175">
        <v>100</v>
      </c>
      <c r="AR17" s="173">
        <v>2778</v>
      </c>
      <c r="AS17" s="174">
        <f>AQ17*AR17</f>
        <v>277800</v>
      </c>
      <c r="AT17" s="175">
        <v>380</v>
      </c>
      <c r="AU17" s="173">
        <v>3046</v>
      </c>
      <c r="AV17" s="174">
        <f>AT17*AU17</f>
        <v>1157480</v>
      </c>
      <c r="AW17" s="175">
        <v>30</v>
      </c>
      <c r="AX17" s="173">
        <v>2825</v>
      </c>
      <c r="AY17" s="174">
        <f>AW17*AX17</f>
        <v>84750</v>
      </c>
      <c r="AZ17" s="55"/>
      <c r="BA17" s="56"/>
      <c r="BB17" s="43">
        <f>AZ17*BA17</f>
        <v>0</v>
      </c>
      <c r="BC17" s="55"/>
      <c r="BD17" s="56"/>
      <c r="BE17" s="57">
        <f t="shared" si="15"/>
        <v>0</v>
      </c>
      <c r="BF17" s="55"/>
      <c r="BG17" s="56"/>
      <c r="BH17" s="57">
        <f t="shared" si="16"/>
        <v>0</v>
      </c>
      <c r="BI17" s="55"/>
      <c r="BJ17" s="56"/>
      <c r="BK17" s="57">
        <f t="shared" si="17"/>
        <v>0</v>
      </c>
      <c r="BL17" s="55"/>
      <c r="BM17" s="56"/>
      <c r="BN17" s="57">
        <f t="shared" si="18"/>
        <v>0</v>
      </c>
      <c r="BO17" s="58">
        <f>SUMIF($AK$6:$BN$6,BO$6,$AK17:$BN17)</f>
        <v>2410</v>
      </c>
      <c r="BP17" s="59">
        <f t="shared" si="6"/>
        <v>3599.7821576763486</v>
      </c>
      <c r="BQ17" s="60">
        <f>SUMIF($AK$6:$BN$6,BQ$6,$AK17:$BN17)</f>
        <v>8675475</v>
      </c>
      <c r="BR17" s="58">
        <f>BO17+AH17</f>
        <v>5135</v>
      </c>
      <c r="BS17" s="59">
        <f t="shared" si="7"/>
        <v>3841.1731256085686</v>
      </c>
      <c r="BT17" s="60">
        <f>BQ17+AJ17</f>
        <v>19724424</v>
      </c>
      <c r="BV17" s="50">
        <f>261*31</f>
        <v>8091</v>
      </c>
      <c r="BW17" s="61">
        <f t="shared" si="8"/>
        <v>0.63465579038437769</v>
      </c>
    </row>
    <row r="18" spans="1:76" x14ac:dyDescent="0.2">
      <c r="A18" s="39" t="e">
        <f>DATE(YEAR(A14),MONTH(A14)+2,1)-1</f>
        <v>#REF!</v>
      </c>
      <c r="B18" s="522"/>
      <c r="C18" s="52" t="s">
        <v>33</v>
      </c>
      <c r="D18" s="41">
        <v>453</v>
      </c>
      <c r="E18" s="42">
        <v>5149</v>
      </c>
      <c r="F18" s="43">
        <f>D18*E18</f>
        <v>2332497</v>
      </c>
      <c r="G18" s="44">
        <f>+G19*(G17+1)</f>
        <v>0</v>
      </c>
      <c r="H18" s="42">
        <f>+H19*(H17+1)</f>
        <v>0</v>
      </c>
      <c r="I18" s="43">
        <f>G18*H18</f>
        <v>0</v>
      </c>
      <c r="J18" s="44">
        <v>251</v>
      </c>
      <c r="K18" s="42">
        <v>3587</v>
      </c>
      <c r="L18" s="43">
        <f>J18*K18</f>
        <v>900337</v>
      </c>
      <c r="M18" s="44">
        <v>267</v>
      </c>
      <c r="N18" s="42">
        <v>2929</v>
      </c>
      <c r="O18" s="43">
        <f>M18*N18</f>
        <v>782043</v>
      </c>
      <c r="P18" s="44">
        <v>831</v>
      </c>
      <c r="Q18" s="42">
        <v>3762</v>
      </c>
      <c r="R18" s="43">
        <f>P18*Q18</f>
        <v>3126222</v>
      </c>
      <c r="S18" s="44">
        <v>510</v>
      </c>
      <c r="T18" s="42">
        <v>3132</v>
      </c>
      <c r="U18" s="43">
        <f>S18*T18</f>
        <v>1597320</v>
      </c>
      <c r="V18" s="44">
        <v>110</v>
      </c>
      <c r="W18" s="42">
        <v>3178</v>
      </c>
      <c r="X18" s="43">
        <f>V18*W18</f>
        <v>349580</v>
      </c>
      <c r="Y18" s="44">
        <v>148</v>
      </c>
      <c r="Z18" s="42">
        <v>4440</v>
      </c>
      <c r="AA18" s="43">
        <f>Y18*Z18</f>
        <v>657120</v>
      </c>
      <c r="AB18" s="44"/>
      <c r="AC18" s="42"/>
      <c r="AD18" s="43">
        <f>AB18*AC18</f>
        <v>0</v>
      </c>
      <c r="AE18" s="44">
        <v>2</v>
      </c>
      <c r="AF18" s="42">
        <v>2037</v>
      </c>
      <c r="AG18" s="133">
        <f>AE18*AF18</f>
        <v>4074</v>
      </c>
      <c r="AH18" s="108">
        <f>SUMIF($D$6:$AG$6,AH$6,$D18:$AG18)</f>
        <v>2572</v>
      </c>
      <c r="AI18" s="105">
        <f>IF(AH18=0,0,AJ18/AH18)</f>
        <v>3790.5104976671851</v>
      </c>
      <c r="AJ18" s="103">
        <f>SUMIF($D$6:$AG$6,AJ$6,$D18:$AG18)</f>
        <v>9749193</v>
      </c>
      <c r="AK18" s="41">
        <v>1172</v>
      </c>
      <c r="AL18" s="42">
        <v>3312</v>
      </c>
      <c r="AM18" s="43">
        <f>AK18*AL18</f>
        <v>3881664</v>
      </c>
      <c r="AN18" s="41">
        <v>342</v>
      </c>
      <c r="AO18" s="42">
        <v>3066</v>
      </c>
      <c r="AP18" s="43">
        <f>AN18*AO18</f>
        <v>1048572</v>
      </c>
      <c r="AQ18" s="44">
        <v>29</v>
      </c>
      <c r="AR18" s="42">
        <v>2684</v>
      </c>
      <c r="AS18" s="43">
        <f>AQ18*AR18</f>
        <v>77836</v>
      </c>
      <c r="AT18" s="44">
        <v>361</v>
      </c>
      <c r="AU18" s="42">
        <v>2942.5122999999999</v>
      </c>
      <c r="AV18" s="43">
        <f>AT18*AU18</f>
        <v>1062246.9402999999</v>
      </c>
      <c r="AW18" s="44">
        <v>22.366499999999998</v>
      </c>
      <c r="AX18" s="42">
        <v>2729.5261</v>
      </c>
      <c r="AY18" s="43">
        <f>AW18*AX18</f>
        <v>61049.945515649997</v>
      </c>
      <c r="AZ18" s="48"/>
      <c r="BA18" s="42"/>
      <c r="BB18" s="43">
        <f>AZ18*BA18</f>
        <v>0</v>
      </c>
      <c r="BC18" s="64"/>
      <c r="BD18" s="65"/>
      <c r="BE18" s="63">
        <f t="shared" si="15"/>
        <v>0</v>
      </c>
      <c r="BF18" s="64"/>
      <c r="BG18" s="65"/>
      <c r="BH18" s="63">
        <f t="shared" si="16"/>
        <v>0</v>
      </c>
      <c r="BI18" s="64"/>
      <c r="BJ18" s="65"/>
      <c r="BK18" s="63">
        <f t="shared" si="17"/>
        <v>0</v>
      </c>
      <c r="BL18" s="64"/>
      <c r="BM18" s="65"/>
      <c r="BN18" s="63">
        <f t="shared" si="18"/>
        <v>0</v>
      </c>
      <c r="BO18" s="66">
        <f>SUMIF($AK$6:$BN$6,BO$6,$AK18:$BN18)</f>
        <v>1926.3665000000001</v>
      </c>
      <c r="BP18" s="67">
        <f t="shared" si="6"/>
        <v>3182.8672715268094</v>
      </c>
      <c r="BQ18" s="68">
        <f>SUMIF($AK$6:$BN$6,BQ$6,$AK18:$BN18)</f>
        <v>6131368.8858156502</v>
      </c>
      <c r="BR18" s="66">
        <f>BO18+AH18</f>
        <v>4498.3665000000001</v>
      </c>
      <c r="BS18" s="67">
        <f t="shared" si="7"/>
        <v>3530.2952495790751</v>
      </c>
      <c r="BT18" s="68">
        <f>BQ18+AJ18</f>
        <v>15880561.88581565</v>
      </c>
      <c r="BV18" s="50">
        <f>261*31</f>
        <v>8091</v>
      </c>
      <c r="BW18" s="61">
        <f t="shared" si="8"/>
        <v>0.5559716351501669</v>
      </c>
    </row>
    <row r="19" spans="1:76" x14ac:dyDescent="0.2">
      <c r="A19" s="39"/>
      <c r="B19" s="520">
        <f>DATE(YEAR(B15),MONTH(B15)+2,1)-1</f>
        <v>121</v>
      </c>
      <c r="C19" s="24" t="s">
        <v>27</v>
      </c>
      <c r="D19" s="25">
        <f>(D20/D21)-1</f>
        <v>7.4000000000000066E-2</v>
      </c>
      <c r="E19" s="26">
        <f>(E20/E21)-1</f>
        <v>6.3478841592809809E-2</v>
      </c>
      <c r="F19" s="25">
        <f>(F20/F21)-1</f>
        <v>0.14217627587067772</v>
      </c>
      <c r="G19" s="27"/>
      <c r="H19" s="26"/>
      <c r="I19" s="28"/>
      <c r="J19" s="29">
        <f t="shared" ref="J19:AY19" si="19">J20/J21-1</f>
        <v>-0.59733333333333327</v>
      </c>
      <c r="K19" s="70">
        <f t="shared" si="19"/>
        <v>-3.0019685039370025E-2</v>
      </c>
      <c r="L19" s="25">
        <f t="shared" si="19"/>
        <v>-0.60942125984251971</v>
      </c>
      <c r="M19" s="29">
        <f t="shared" si="19"/>
        <v>-0.9956521739130435</v>
      </c>
      <c r="N19" s="70">
        <f t="shared" si="19"/>
        <v>-0.32112599070784364</v>
      </c>
      <c r="O19" s="25">
        <f t="shared" si="19"/>
        <v>-0.99704837387264278</v>
      </c>
      <c r="P19" s="29">
        <f t="shared" si="19"/>
        <v>-0.2371428571428571</v>
      </c>
      <c r="Q19" s="70">
        <f t="shared" si="19"/>
        <v>0.21794871794871784</v>
      </c>
      <c r="R19" s="25">
        <f t="shared" si="19"/>
        <v>-7.0879120879120849E-2</v>
      </c>
      <c r="S19" s="29">
        <f t="shared" si="19"/>
        <v>-3.0769230769230771E-2</v>
      </c>
      <c r="T19" s="70">
        <f t="shared" si="19"/>
        <v>0.1319999999999999</v>
      </c>
      <c r="U19" s="70">
        <f t="shared" si="19"/>
        <v>9.7169230769230674E-2</v>
      </c>
      <c r="V19" s="29">
        <f t="shared" si="19"/>
        <v>3.529411764705892E-2</v>
      </c>
      <c r="W19" s="70">
        <f t="shared" si="19"/>
        <v>-0.20974999999999999</v>
      </c>
      <c r="X19" s="25">
        <f t="shared" si="19"/>
        <v>-0.18185882352941174</v>
      </c>
      <c r="Y19" s="29">
        <f t="shared" si="19"/>
        <v>-0.88421052631578945</v>
      </c>
      <c r="Z19" s="70">
        <f t="shared" si="19"/>
        <v>0.11961929483019684</v>
      </c>
      <c r="AA19" s="25">
        <f t="shared" si="19"/>
        <v>-0.87035987112492452</v>
      </c>
      <c r="AB19" s="29" t="e">
        <f t="shared" si="19"/>
        <v>#DIV/0!</v>
      </c>
      <c r="AC19" s="70" t="e">
        <f t="shared" si="19"/>
        <v>#DIV/0!</v>
      </c>
      <c r="AD19" s="25" t="e">
        <f t="shared" si="19"/>
        <v>#DIV/0!</v>
      </c>
      <c r="AE19" s="29">
        <f t="shared" si="19"/>
        <v>-0.36363636363636365</v>
      </c>
      <c r="AF19" s="70">
        <f t="shared" si="19"/>
        <v>-6.7734553775743667E-2</v>
      </c>
      <c r="AG19" s="28">
        <f t="shared" si="19"/>
        <v>-0.40674017058456413</v>
      </c>
      <c r="AH19" s="154">
        <f t="shared" si="19"/>
        <v>-0.20661157024793386</v>
      </c>
      <c r="AI19" s="76">
        <f t="shared" si="19"/>
        <v>0.13778445548794371</v>
      </c>
      <c r="AJ19" s="77">
        <f t="shared" si="19"/>
        <v>-9.7294977464110755E-2</v>
      </c>
      <c r="AK19" s="28">
        <f t="shared" si="19"/>
        <v>6.7708333333333259E-2</v>
      </c>
      <c r="AL19" s="70">
        <f t="shared" si="19"/>
        <v>0.23588235294117643</v>
      </c>
      <c r="AM19" s="31">
        <f t="shared" si="19"/>
        <v>0.31956188725490198</v>
      </c>
      <c r="AN19" s="28">
        <f t="shared" si="19"/>
        <v>-0.33432835820895523</v>
      </c>
      <c r="AO19" s="70">
        <f t="shared" si="19"/>
        <v>0.11063958775386484</v>
      </c>
      <c r="AP19" s="25">
        <f t="shared" si="19"/>
        <v>-0.2606787221817557</v>
      </c>
      <c r="AQ19" s="29">
        <f t="shared" si="19"/>
        <v>-0.56896551724137934</v>
      </c>
      <c r="AR19" s="70">
        <f t="shared" si="19"/>
        <v>0.35481852315394247</v>
      </c>
      <c r="AS19" s="25">
        <f t="shared" si="19"/>
        <v>-0.41602649864054209</v>
      </c>
      <c r="AT19" s="29">
        <f t="shared" si="19"/>
        <v>-1</v>
      </c>
      <c r="AU19" s="70">
        <f t="shared" si="19"/>
        <v>-1</v>
      </c>
      <c r="AV19" s="25">
        <f t="shared" si="19"/>
        <v>-1</v>
      </c>
      <c r="AW19" s="29">
        <f t="shared" si="19"/>
        <v>6.333333333333333</v>
      </c>
      <c r="AX19" s="70">
        <f t="shared" si="19"/>
        <v>0.69706840390879488</v>
      </c>
      <c r="AY19" s="31">
        <f t="shared" si="19"/>
        <v>11.445168295331161</v>
      </c>
      <c r="AZ19" s="33"/>
      <c r="BA19" s="33"/>
      <c r="BB19" s="34"/>
      <c r="BC19" s="35"/>
      <c r="BD19" s="33"/>
      <c r="BE19" s="34"/>
      <c r="BF19" s="35"/>
      <c r="BG19" s="33"/>
      <c r="BH19" s="34"/>
      <c r="BI19" s="35"/>
      <c r="BJ19" s="33"/>
      <c r="BK19" s="34"/>
      <c r="BL19" s="35"/>
      <c r="BM19" s="33"/>
      <c r="BN19" s="34"/>
      <c r="BO19" s="29">
        <f t="shared" ref="BO19:BQ19" si="20">BO20/BO21-1</f>
        <v>-0.16716122650840748</v>
      </c>
      <c r="BP19" s="70">
        <f t="shared" si="20"/>
        <v>0.24153727143713266</v>
      </c>
      <c r="BQ19" s="31">
        <f t="shared" si="20"/>
        <v>3.400037838779979E-2</v>
      </c>
      <c r="BR19" s="32">
        <v>0.18890000000000001</v>
      </c>
      <c r="BS19" s="70">
        <f t="shared" ref="BS19:BT19" si="21">BS20/BS21-1</f>
        <v>0.16910648318665555</v>
      </c>
      <c r="BT19" s="31">
        <f t="shared" si="21"/>
        <v>-5.4399168010793364E-2</v>
      </c>
      <c r="BU19" s="75"/>
      <c r="BV19" s="50"/>
      <c r="BW19" s="51"/>
    </row>
    <row r="20" spans="1:76" x14ac:dyDescent="0.2">
      <c r="A20" s="39" t="e">
        <f>DATE(YEAR(A16),MONTH(A16)+2,1)-1</f>
        <v>#REF!</v>
      </c>
      <c r="B20" s="521"/>
      <c r="C20" s="40" t="s">
        <v>84</v>
      </c>
      <c r="D20" s="182">
        <v>1074</v>
      </c>
      <c r="E20" s="183">
        <v>5963.6702999999998</v>
      </c>
      <c r="F20" s="184">
        <f>D20*E20</f>
        <v>6404981.9021999994</v>
      </c>
      <c r="G20" s="185"/>
      <c r="H20" s="183"/>
      <c r="I20" s="184"/>
      <c r="J20" s="185">
        <v>151</v>
      </c>
      <c r="K20" s="183">
        <v>3942</v>
      </c>
      <c r="L20" s="184">
        <f>J20*K20</f>
        <v>595242</v>
      </c>
      <c r="M20" s="185">
        <v>1</v>
      </c>
      <c r="N20" s="183">
        <v>2484</v>
      </c>
      <c r="O20" s="184">
        <f>M20*N20</f>
        <v>2484</v>
      </c>
      <c r="P20" s="185">
        <v>534</v>
      </c>
      <c r="Q20" s="183">
        <v>4275</v>
      </c>
      <c r="R20" s="184">
        <f>P20*Q20</f>
        <v>2282850</v>
      </c>
      <c r="S20" s="185">
        <v>630</v>
      </c>
      <c r="T20" s="183">
        <v>4528</v>
      </c>
      <c r="U20" s="184">
        <f>S20*T20</f>
        <v>2852640</v>
      </c>
      <c r="V20" s="185">
        <v>88</v>
      </c>
      <c r="W20" s="183">
        <v>3161</v>
      </c>
      <c r="X20" s="184">
        <f>V20*W20</f>
        <v>278168</v>
      </c>
      <c r="Y20" s="185">
        <v>11</v>
      </c>
      <c r="Z20" s="183">
        <v>5176</v>
      </c>
      <c r="AA20" s="184">
        <f>Y20*Z20</f>
        <v>56936</v>
      </c>
      <c r="AB20" s="267">
        <v>0</v>
      </c>
      <c r="AC20" s="265">
        <v>0</v>
      </c>
      <c r="AD20" s="266">
        <f>AB20*AC20</f>
        <v>0</v>
      </c>
      <c r="AE20" s="185">
        <v>7</v>
      </c>
      <c r="AF20" s="183">
        <v>2037</v>
      </c>
      <c r="AG20" s="275">
        <f>AE20*AF20</f>
        <v>14259</v>
      </c>
      <c r="AH20" s="186">
        <f>SUMIF($D$6:$AG$6,AH$6,$D20:$AG20)</f>
        <v>2496</v>
      </c>
      <c r="AI20" s="187">
        <f>IF(AH20=0,0,AJ20/AH20)</f>
        <v>5003.0292076121787</v>
      </c>
      <c r="AJ20" s="188">
        <f>SUMIF($D$6:$AG$6,AJ$6,$D20:$AG20)</f>
        <v>12487560.902199998</v>
      </c>
      <c r="AK20" s="312">
        <v>1025</v>
      </c>
      <c r="AL20" s="313">
        <v>4202</v>
      </c>
      <c r="AM20" s="184">
        <f>AK20*AL20</f>
        <v>4307050</v>
      </c>
      <c r="AN20" s="314">
        <v>446</v>
      </c>
      <c r="AO20" s="313">
        <v>3664</v>
      </c>
      <c r="AP20" s="184">
        <f>AN20*AO20</f>
        <v>1634144</v>
      </c>
      <c r="AQ20" s="267">
        <v>125</v>
      </c>
      <c r="AR20" s="313">
        <v>4330</v>
      </c>
      <c r="AS20" s="184">
        <f>AQ20*AR20</f>
        <v>541250</v>
      </c>
      <c r="AT20" s="315">
        <v>0</v>
      </c>
      <c r="AU20" s="183">
        <v>0</v>
      </c>
      <c r="AV20" s="184">
        <f>AT20*AU20</f>
        <v>0</v>
      </c>
      <c r="AW20" s="185">
        <v>88</v>
      </c>
      <c r="AX20" s="183">
        <v>5210</v>
      </c>
      <c r="AY20" s="184">
        <f>AW20*AX20</f>
        <v>458480</v>
      </c>
      <c r="AZ20" s="55"/>
      <c r="BA20" s="56"/>
      <c r="BB20" s="43">
        <f>AZ20*BA20</f>
        <v>0</v>
      </c>
      <c r="BC20" s="49"/>
      <c r="BD20" s="42"/>
      <c r="BE20" s="43">
        <f t="shared" ref="BE20:BE22" si="22">BC20*BD20</f>
        <v>0</v>
      </c>
      <c r="BF20" s="49"/>
      <c r="BG20" s="42"/>
      <c r="BH20" s="43">
        <f t="shared" ref="BH20:BH22" si="23">BF20*BG20</f>
        <v>0</v>
      </c>
      <c r="BI20" s="49"/>
      <c r="BJ20" s="42"/>
      <c r="BK20" s="43">
        <f t="shared" ref="BK20:BK22" si="24">BI20*BJ20</f>
        <v>0</v>
      </c>
      <c r="BL20" s="49"/>
      <c r="BM20" s="42"/>
      <c r="BN20" s="43">
        <f t="shared" ref="BN20:BN22" si="25">BL20*BM20</f>
        <v>0</v>
      </c>
      <c r="BO20" s="45">
        <f>SUMIF($AK$6:$BN$6,BO$6,$AK20:$BN20)</f>
        <v>1684</v>
      </c>
      <c r="BP20" s="46">
        <f t="shared" si="6"/>
        <v>4121.688836104513</v>
      </c>
      <c r="BQ20" s="47">
        <f>SUMIF($AK$6:$BN$6,BQ$6,$AK20:$BN20)</f>
        <v>6940924</v>
      </c>
      <c r="BR20" s="45">
        <f>BO20+AH20</f>
        <v>4180</v>
      </c>
      <c r="BS20" s="46">
        <f t="shared" si="7"/>
        <v>4647.9628952631574</v>
      </c>
      <c r="BT20" s="47">
        <f>BQ20+AJ20</f>
        <v>19428484.902199998</v>
      </c>
      <c r="BV20" s="50">
        <f>261*30</f>
        <v>7830</v>
      </c>
      <c r="BW20" s="51">
        <f t="shared" si="8"/>
        <v>0.5338441890166028</v>
      </c>
      <c r="BX20" s="271"/>
    </row>
    <row r="21" spans="1:76" x14ac:dyDescent="0.2">
      <c r="A21" s="39" t="e">
        <f>DATE(YEAR(A17),MONTH(A17)+2,1)-1</f>
        <v>#REF!</v>
      </c>
      <c r="B21" s="521"/>
      <c r="C21" s="52" t="s">
        <v>30</v>
      </c>
      <c r="D21" s="179">
        <v>1000</v>
      </c>
      <c r="E21" s="173">
        <v>5607.7</v>
      </c>
      <c r="F21" s="174">
        <f>D21*E21</f>
        <v>5607700</v>
      </c>
      <c r="G21" s="175"/>
      <c r="H21" s="173"/>
      <c r="I21" s="174"/>
      <c r="J21" s="175">
        <v>375</v>
      </c>
      <c r="K21" s="173">
        <v>4064</v>
      </c>
      <c r="L21" s="174">
        <f>J21*K21</f>
        <v>1524000</v>
      </c>
      <c r="M21" s="175">
        <v>230</v>
      </c>
      <c r="N21" s="173">
        <v>3659</v>
      </c>
      <c r="O21" s="174">
        <f>M21*N21</f>
        <v>841570</v>
      </c>
      <c r="P21" s="175">
        <v>700</v>
      </c>
      <c r="Q21" s="173">
        <v>3510</v>
      </c>
      <c r="R21" s="174">
        <f>P21*Q21</f>
        <v>2457000</v>
      </c>
      <c r="S21" s="175">
        <v>650</v>
      </c>
      <c r="T21" s="173">
        <v>4000</v>
      </c>
      <c r="U21" s="174">
        <f>S21*T21</f>
        <v>2600000</v>
      </c>
      <c r="V21" s="175">
        <v>85</v>
      </c>
      <c r="W21" s="173">
        <v>4000</v>
      </c>
      <c r="X21" s="174">
        <f>V21*W21</f>
        <v>340000</v>
      </c>
      <c r="Y21" s="175">
        <v>95</v>
      </c>
      <c r="Z21" s="173">
        <v>4623</v>
      </c>
      <c r="AA21" s="174">
        <f>Y21*Z21</f>
        <v>439185</v>
      </c>
      <c r="AB21" s="175">
        <v>0</v>
      </c>
      <c r="AC21" s="173">
        <v>0</v>
      </c>
      <c r="AD21" s="174">
        <f>AB21*AC21</f>
        <v>0</v>
      </c>
      <c r="AE21" s="175">
        <v>11</v>
      </c>
      <c r="AF21" s="173">
        <v>2185</v>
      </c>
      <c r="AG21" s="171">
        <f>AE21*AF21</f>
        <v>24035</v>
      </c>
      <c r="AH21" s="176">
        <f>SUMIF($D$6:$AG$6,AH$6,$D21:$AG21)</f>
        <v>3146</v>
      </c>
      <c r="AI21" s="177">
        <f>IF(AH21=0,0,AJ21/AH21)</f>
        <v>4397.1678321678319</v>
      </c>
      <c r="AJ21" s="178">
        <f>SUMIF($D$6:$AG$6,AJ$6,$D21:$AG21)</f>
        <v>13833490</v>
      </c>
      <c r="AK21" s="179">
        <v>960</v>
      </c>
      <c r="AL21" s="173">
        <v>3400</v>
      </c>
      <c r="AM21" s="174">
        <f>AK21*AL21</f>
        <v>3264000</v>
      </c>
      <c r="AN21" s="175">
        <v>670</v>
      </c>
      <c r="AO21" s="173">
        <v>3299</v>
      </c>
      <c r="AP21" s="174">
        <f>AN21*AO21</f>
        <v>2210330</v>
      </c>
      <c r="AQ21" s="175">
        <v>290</v>
      </c>
      <c r="AR21" s="173">
        <v>3196</v>
      </c>
      <c r="AS21" s="174">
        <f>AQ21*AR21</f>
        <v>926840</v>
      </c>
      <c r="AT21" s="175">
        <v>90</v>
      </c>
      <c r="AU21" s="173">
        <v>3052</v>
      </c>
      <c r="AV21" s="174">
        <f>AT21*AU21</f>
        <v>274680</v>
      </c>
      <c r="AW21" s="175">
        <v>12</v>
      </c>
      <c r="AX21" s="173">
        <v>3070</v>
      </c>
      <c r="AY21" s="174">
        <f>AW21*AX21</f>
        <v>36840</v>
      </c>
      <c r="AZ21" s="55"/>
      <c r="BA21" s="56"/>
      <c r="BB21" s="43">
        <f>AZ21*BA21</f>
        <v>0</v>
      </c>
      <c r="BC21" s="55"/>
      <c r="BD21" s="56"/>
      <c r="BE21" s="57">
        <f t="shared" si="22"/>
        <v>0</v>
      </c>
      <c r="BF21" s="55"/>
      <c r="BG21" s="56"/>
      <c r="BH21" s="57">
        <f t="shared" si="23"/>
        <v>0</v>
      </c>
      <c r="BI21" s="55"/>
      <c r="BJ21" s="56"/>
      <c r="BK21" s="57">
        <f t="shared" si="24"/>
        <v>0</v>
      </c>
      <c r="BL21" s="55"/>
      <c r="BM21" s="56"/>
      <c r="BN21" s="57">
        <f t="shared" si="25"/>
        <v>0</v>
      </c>
      <c r="BO21" s="272">
        <f>SUMIF($AK$6:$BN$6,BO$6,$AK21:$BN21)</f>
        <v>2022</v>
      </c>
      <c r="BP21" s="273">
        <f t="shared" si="6"/>
        <v>3319.8269040553905</v>
      </c>
      <c r="BQ21" s="274">
        <f>SUMIF($AK$6:$BN$6,BQ$6,$AK21:$BN21)</f>
        <v>6712690</v>
      </c>
      <c r="BR21" s="58">
        <f>BO21+AH21</f>
        <v>5168</v>
      </c>
      <c r="BS21" s="59">
        <f t="shared" si="7"/>
        <v>3975.6540247678017</v>
      </c>
      <c r="BT21" s="60">
        <f>BQ21+AJ21</f>
        <v>20546180</v>
      </c>
      <c r="BV21" s="50">
        <f>261*30</f>
        <v>7830</v>
      </c>
      <c r="BW21" s="61">
        <f t="shared" si="8"/>
        <v>0.66002554278416348</v>
      </c>
      <c r="BX21" s="271"/>
    </row>
    <row r="22" spans="1:76" x14ac:dyDescent="0.2">
      <c r="A22" s="39" t="e">
        <f>DATE(YEAR(A18),MONTH(A18)+2,1)-1</f>
        <v>#REF!</v>
      </c>
      <c r="B22" s="522"/>
      <c r="C22" s="62" t="s">
        <v>33</v>
      </c>
      <c r="D22" s="41">
        <v>885</v>
      </c>
      <c r="E22" s="42">
        <v>5421</v>
      </c>
      <c r="F22" s="43">
        <f>D22*E22</f>
        <v>4797585</v>
      </c>
      <c r="G22" s="44">
        <f>+G23*(G21+1)</f>
        <v>0</v>
      </c>
      <c r="H22" s="42">
        <f>+H23*(H21+1)</f>
        <v>0</v>
      </c>
      <c r="I22" s="43">
        <f>G22*H22</f>
        <v>0</v>
      </c>
      <c r="J22" s="44">
        <v>368</v>
      </c>
      <c r="K22" s="42">
        <v>3037</v>
      </c>
      <c r="L22" s="43">
        <f>J22*K22</f>
        <v>1117616</v>
      </c>
      <c r="M22" s="44">
        <v>227</v>
      </c>
      <c r="N22" s="42">
        <v>3535</v>
      </c>
      <c r="O22" s="43">
        <f>M22*N22</f>
        <v>802445</v>
      </c>
      <c r="P22" s="44">
        <v>1023</v>
      </c>
      <c r="Q22" s="42">
        <v>3430</v>
      </c>
      <c r="R22" s="43">
        <f>P22*Q22</f>
        <v>3508890</v>
      </c>
      <c r="S22" s="44">
        <v>641</v>
      </c>
      <c r="T22" s="42">
        <v>3531</v>
      </c>
      <c r="U22" s="43">
        <f>S22*T22</f>
        <v>2263371</v>
      </c>
      <c r="V22" s="44">
        <v>48</v>
      </c>
      <c r="W22" s="42">
        <v>3956</v>
      </c>
      <c r="X22" s="43">
        <f>V22*W22</f>
        <v>189888</v>
      </c>
      <c r="Y22" s="44">
        <v>95</v>
      </c>
      <c r="Z22" s="42">
        <v>4563</v>
      </c>
      <c r="AA22" s="43">
        <f>Y22*Z22</f>
        <v>433485</v>
      </c>
      <c r="AB22" s="44">
        <v>0</v>
      </c>
      <c r="AC22" s="42">
        <v>0</v>
      </c>
      <c r="AD22" s="43">
        <f>AB22*AC22</f>
        <v>0</v>
      </c>
      <c r="AE22" s="44">
        <v>11</v>
      </c>
      <c r="AF22" s="42">
        <v>2185</v>
      </c>
      <c r="AG22" s="133">
        <f>AE22*AF22</f>
        <v>24035</v>
      </c>
      <c r="AH22" s="108">
        <f>SUMIF($D$6:$AG$6,AH$6,$D22:$AG22)</f>
        <v>3298</v>
      </c>
      <c r="AI22" s="105">
        <f>IF(AH22=0,0,AJ22/AH22)</f>
        <v>3983.4187386294725</v>
      </c>
      <c r="AJ22" s="103">
        <f>SUMIF($D$6:$AG$6,AJ$6,$D22:$AG22)</f>
        <v>13137315</v>
      </c>
      <c r="AK22" s="41">
        <v>814</v>
      </c>
      <c r="AL22" s="42">
        <v>3320</v>
      </c>
      <c r="AM22" s="43">
        <f>AK22*AL22</f>
        <v>2702480</v>
      </c>
      <c r="AN22" s="41">
        <v>669</v>
      </c>
      <c r="AO22" s="42">
        <v>3187</v>
      </c>
      <c r="AP22" s="43">
        <f>AN22*AO22</f>
        <v>2132103</v>
      </c>
      <c r="AQ22" s="44">
        <v>238</v>
      </c>
      <c r="AR22" s="42">
        <v>3088</v>
      </c>
      <c r="AS22" s="43">
        <f>AQ22*AR22</f>
        <v>734944</v>
      </c>
      <c r="AT22" s="44">
        <v>69</v>
      </c>
      <c r="AU22" s="42">
        <v>2949</v>
      </c>
      <c r="AV22" s="43">
        <f>AT22*AU22</f>
        <v>203481</v>
      </c>
      <c r="AW22" s="44">
        <v>9.8073999999999995</v>
      </c>
      <c r="AX22" s="42">
        <v>2965.8881999999999</v>
      </c>
      <c r="AY22" s="43">
        <f>AW22*AX22</f>
        <v>29087.651932679997</v>
      </c>
      <c r="AZ22" s="48"/>
      <c r="BA22" s="42"/>
      <c r="BB22" s="43">
        <f>AZ22*BA22</f>
        <v>0</v>
      </c>
      <c r="BC22" s="64"/>
      <c r="BD22" s="65"/>
      <c r="BE22" s="63">
        <f t="shared" si="22"/>
        <v>0</v>
      </c>
      <c r="BF22" s="64"/>
      <c r="BG22" s="65"/>
      <c r="BH22" s="63">
        <f t="shared" si="23"/>
        <v>0</v>
      </c>
      <c r="BI22" s="64"/>
      <c r="BJ22" s="65"/>
      <c r="BK22" s="63">
        <f t="shared" si="24"/>
        <v>0</v>
      </c>
      <c r="BL22" s="64"/>
      <c r="BM22" s="65"/>
      <c r="BN22" s="63">
        <f t="shared" si="25"/>
        <v>0</v>
      </c>
      <c r="BO22" s="66">
        <f>SUMIF($AK$6:$BN$6,BO$6,$AK22:$BN22)</f>
        <v>1799.8073999999999</v>
      </c>
      <c r="BP22" s="67">
        <f t="shared" si="6"/>
        <v>3223.731412557077</v>
      </c>
      <c r="BQ22" s="68">
        <f>SUMIF($AK$6:$BN$6,BQ$6,$AK22:$BN22)</f>
        <v>5802095.65193268</v>
      </c>
      <c r="BR22" s="66">
        <f>BO22+AH22</f>
        <v>5097.8073999999997</v>
      </c>
      <c r="BS22" s="67">
        <f t="shared" si="7"/>
        <v>3715.2071794498711</v>
      </c>
      <c r="BT22" s="68">
        <f>BQ22+AJ22</f>
        <v>18939410.651932679</v>
      </c>
      <c r="BV22" s="50">
        <f>261*30</f>
        <v>7830</v>
      </c>
      <c r="BW22" s="61">
        <f t="shared" si="8"/>
        <v>0.65106097062579815</v>
      </c>
      <c r="BX22" s="271"/>
    </row>
    <row r="23" spans="1:76" x14ac:dyDescent="0.2">
      <c r="A23" s="39"/>
      <c r="B23" s="520">
        <f>DATE(YEAR(B19),MONTH(B19)+2,1)-1</f>
        <v>152</v>
      </c>
      <c r="C23" s="24" t="s">
        <v>27</v>
      </c>
      <c r="D23" s="25">
        <f>(D24/D25)-1</f>
        <v>0.33333333333333326</v>
      </c>
      <c r="E23" s="26">
        <f>(E24/E25)-1</f>
        <v>-4.166666666666663E-2</v>
      </c>
      <c r="F23" s="25">
        <f>(F24/F25)-1</f>
        <v>0.27777777777777768</v>
      </c>
      <c r="G23" s="27"/>
      <c r="H23" s="26"/>
      <c r="I23" s="28"/>
      <c r="J23" s="29">
        <f t="shared" ref="J23:AY23" si="26">J24/J25-1</f>
        <v>-0.4</v>
      </c>
      <c r="K23" s="70">
        <f t="shared" si="26"/>
        <v>0</v>
      </c>
      <c r="L23" s="25">
        <f t="shared" si="26"/>
        <v>-0.4</v>
      </c>
      <c r="M23" s="29">
        <f t="shared" si="26"/>
        <v>0</v>
      </c>
      <c r="N23" s="70">
        <f t="shared" si="26"/>
        <v>0</v>
      </c>
      <c r="O23" s="25">
        <f t="shared" si="26"/>
        <v>0</v>
      </c>
      <c r="P23" s="29">
        <f t="shared" si="26"/>
        <v>-0.22222222222222221</v>
      </c>
      <c r="Q23" s="70">
        <f t="shared" si="26"/>
        <v>0.24277456647398843</v>
      </c>
      <c r="R23" s="25">
        <f t="shared" si="26"/>
        <v>-3.3397559409120148E-2</v>
      </c>
      <c r="S23" s="29">
        <f t="shared" si="26"/>
        <v>0.13793103448275867</v>
      </c>
      <c r="T23" s="70">
        <f t="shared" si="26"/>
        <v>7.4999999999999956E-2</v>
      </c>
      <c r="U23" s="70">
        <f t="shared" si="26"/>
        <v>0.22327586206896544</v>
      </c>
      <c r="V23" s="29">
        <f t="shared" si="26"/>
        <v>0</v>
      </c>
      <c r="W23" s="70">
        <f t="shared" si="26"/>
        <v>0</v>
      </c>
      <c r="X23" s="25">
        <f t="shared" si="26"/>
        <v>0</v>
      </c>
      <c r="Y23" s="29">
        <f t="shared" si="26"/>
        <v>0</v>
      </c>
      <c r="Z23" s="70">
        <f t="shared" si="26"/>
        <v>0</v>
      </c>
      <c r="AA23" s="25">
        <f t="shared" si="26"/>
        <v>0</v>
      </c>
      <c r="AB23" s="29" t="e">
        <f t="shared" si="26"/>
        <v>#DIV/0!</v>
      </c>
      <c r="AC23" s="70" t="e">
        <f t="shared" si="26"/>
        <v>#DIV/0!</v>
      </c>
      <c r="AD23" s="25" t="e">
        <f t="shared" si="26"/>
        <v>#DIV/0!</v>
      </c>
      <c r="AE23" s="29">
        <f t="shared" si="26"/>
        <v>0</v>
      </c>
      <c r="AF23" s="70">
        <f t="shared" si="26"/>
        <v>0</v>
      </c>
      <c r="AG23" s="28">
        <f t="shared" si="26"/>
        <v>0</v>
      </c>
      <c r="AH23" s="154">
        <f t="shared" si="26"/>
        <v>-7.194244604316502E-3</v>
      </c>
      <c r="AI23" s="76">
        <f t="shared" si="26"/>
        <v>8.5686136992797035E-2</v>
      </c>
      <c r="AJ23" s="77">
        <f t="shared" si="26"/>
        <v>7.7875445359755213E-2</v>
      </c>
      <c r="AK23" s="28">
        <f t="shared" si="26"/>
        <v>-0.49090909090909096</v>
      </c>
      <c r="AL23" s="70">
        <f t="shared" si="26"/>
        <v>2.7777777777777679E-2</v>
      </c>
      <c r="AM23" s="31">
        <f t="shared" si="26"/>
        <v>-0.47676767676767673</v>
      </c>
      <c r="AN23" s="28">
        <f t="shared" si="26"/>
        <v>0.74285714285714288</v>
      </c>
      <c r="AO23" s="70">
        <f t="shared" si="26"/>
        <v>-0.16666666666666663</v>
      </c>
      <c r="AP23" s="25">
        <f t="shared" si="26"/>
        <v>0.45238095238095233</v>
      </c>
      <c r="AQ23" s="29">
        <f t="shared" si="26"/>
        <v>-0.52500000000000002</v>
      </c>
      <c r="AR23" s="70">
        <f t="shared" si="26"/>
        <v>5.9031877213699957E-4</v>
      </c>
      <c r="AS23" s="25">
        <f t="shared" si="26"/>
        <v>-0.52471959858323491</v>
      </c>
      <c r="AT23" s="29">
        <f t="shared" si="26"/>
        <v>0</v>
      </c>
      <c r="AU23" s="70">
        <f t="shared" si="26"/>
        <v>0.22915827627869523</v>
      </c>
      <c r="AV23" s="25">
        <f t="shared" si="26"/>
        <v>0.22915827627869523</v>
      </c>
      <c r="AW23" s="29">
        <f t="shared" si="26"/>
        <v>-1</v>
      </c>
      <c r="AX23" s="70">
        <f t="shared" si="26"/>
        <v>0</v>
      </c>
      <c r="AY23" s="31">
        <f t="shared" si="26"/>
        <v>-1</v>
      </c>
      <c r="AZ23" s="33"/>
      <c r="BA23" s="33"/>
      <c r="BB23" s="34"/>
      <c r="BC23" s="35"/>
      <c r="BD23" s="33"/>
      <c r="BE23" s="34"/>
      <c r="BF23" s="35"/>
      <c r="BG23" s="33"/>
      <c r="BH23" s="34"/>
      <c r="BI23" s="35"/>
      <c r="BJ23" s="33"/>
      <c r="BK23" s="34"/>
      <c r="BL23" s="35"/>
      <c r="BM23" s="33"/>
      <c r="BN23" s="34"/>
      <c r="BO23" s="29">
        <f t="shared" ref="BO23:BQ23" si="27">BO24/BO25-1</f>
        <v>-0.1590589887640449</v>
      </c>
      <c r="BP23" s="70">
        <f t="shared" si="27"/>
        <v>-1.1406062379959447E-4</v>
      </c>
      <c r="BQ23" s="31">
        <f t="shared" si="27"/>
        <v>-0.15915490702036517</v>
      </c>
      <c r="BR23" s="32">
        <v>5.8299999999999998E-2</v>
      </c>
      <c r="BS23" s="76">
        <v>0.10730000000000001</v>
      </c>
      <c r="BT23" s="77">
        <v>0.17169999999999999</v>
      </c>
      <c r="BU23" s="75"/>
      <c r="BV23" s="50"/>
      <c r="BW23" s="51"/>
    </row>
    <row r="24" spans="1:76" x14ac:dyDescent="0.2">
      <c r="A24" s="39" t="e">
        <f>DATE(YEAR(A20),MONTH(A20)+2,1)-1</f>
        <v>#REF!</v>
      </c>
      <c r="B24" s="521"/>
      <c r="C24" s="319" t="s">
        <v>34</v>
      </c>
      <c r="D24" s="310">
        <v>800</v>
      </c>
      <c r="E24" s="309">
        <v>5750</v>
      </c>
      <c r="F24" s="320">
        <f>D24*E24</f>
        <v>4600000</v>
      </c>
      <c r="G24" s="175"/>
      <c r="H24" s="173"/>
      <c r="I24" s="174"/>
      <c r="J24" s="175">
        <v>150</v>
      </c>
      <c r="K24" s="173">
        <v>4800</v>
      </c>
      <c r="L24" s="174">
        <f>J24*K24</f>
        <v>720000</v>
      </c>
      <c r="M24" s="175">
        <v>193</v>
      </c>
      <c r="N24" s="173">
        <v>3557</v>
      </c>
      <c r="O24" s="174">
        <f>M24*N24</f>
        <v>686501</v>
      </c>
      <c r="P24" s="318">
        <v>700</v>
      </c>
      <c r="Q24" s="309">
        <v>4300</v>
      </c>
      <c r="R24" s="320">
        <f>P24*Q24</f>
        <v>3010000</v>
      </c>
      <c r="S24" s="318">
        <v>660</v>
      </c>
      <c r="T24" s="309">
        <v>4300</v>
      </c>
      <c r="U24" s="320">
        <f>S24*T24</f>
        <v>2838000</v>
      </c>
      <c r="V24" s="175">
        <v>100</v>
      </c>
      <c r="W24" s="173">
        <v>3500</v>
      </c>
      <c r="X24" s="174">
        <f>V24*W24</f>
        <v>350000</v>
      </c>
      <c r="Y24" s="175">
        <v>150</v>
      </c>
      <c r="Z24" s="173">
        <v>4725</v>
      </c>
      <c r="AA24" s="174">
        <f>Y24*Z24</f>
        <v>708750</v>
      </c>
      <c r="AB24" s="175">
        <v>0</v>
      </c>
      <c r="AC24" s="173"/>
      <c r="AD24" s="174">
        <f>AB24*AC24</f>
        <v>0</v>
      </c>
      <c r="AE24" s="175">
        <v>7</v>
      </c>
      <c r="AF24" s="173">
        <v>2037.1234999999999</v>
      </c>
      <c r="AG24" s="171">
        <f>AE24*AF24</f>
        <v>14259.8645</v>
      </c>
      <c r="AH24" s="176">
        <f>SUMIF($D$6:$AG$6,AH$6,$D24:$AG24)</f>
        <v>2760</v>
      </c>
      <c r="AI24" s="177">
        <f>IF(AH24=0,0,AJ24/AH24)</f>
        <v>4683.8807480072464</v>
      </c>
      <c r="AJ24" s="178">
        <f>SUMIF($D$6:$AG$6,AJ$6,$D24:$AG24)</f>
        <v>12927510.864499999</v>
      </c>
      <c r="AK24" s="312">
        <v>560</v>
      </c>
      <c r="AL24" s="313">
        <v>3700</v>
      </c>
      <c r="AM24" s="174">
        <f>AK24*AL24</f>
        <v>2072000</v>
      </c>
      <c r="AN24" s="314">
        <v>1220</v>
      </c>
      <c r="AO24" s="313">
        <v>4000</v>
      </c>
      <c r="AP24" s="174">
        <f>AN24*AO24</f>
        <v>4880000</v>
      </c>
      <c r="AQ24" s="314">
        <v>285</v>
      </c>
      <c r="AR24" s="313">
        <v>3390</v>
      </c>
      <c r="AS24" s="174">
        <f>AQ24*AR24</f>
        <v>966150</v>
      </c>
      <c r="AT24" s="175">
        <v>330</v>
      </c>
      <c r="AU24" s="173">
        <v>3052</v>
      </c>
      <c r="AV24" s="174">
        <f>AT24*AU24</f>
        <v>1007160</v>
      </c>
      <c r="AW24" s="175">
        <f>118-118</f>
        <v>0</v>
      </c>
      <c r="AX24" s="173">
        <v>3750</v>
      </c>
      <c r="AY24" s="181">
        <f>AW24*AX24</f>
        <v>0</v>
      </c>
      <c r="AZ24" s="55"/>
      <c r="BA24" s="56"/>
      <c r="BB24" s="43">
        <f>AZ24*BA24</f>
        <v>0</v>
      </c>
      <c r="BC24" s="49"/>
      <c r="BD24" s="42"/>
      <c r="BE24" s="43">
        <f t="shared" ref="BE24:BE26" si="28">BC24*BD24</f>
        <v>0</v>
      </c>
      <c r="BF24" s="49"/>
      <c r="BG24" s="42"/>
      <c r="BH24" s="43">
        <f t="shared" ref="BH24:BH26" si="29">BF24*BG24</f>
        <v>0</v>
      </c>
      <c r="BI24" s="49"/>
      <c r="BJ24" s="42"/>
      <c r="BK24" s="43">
        <f t="shared" ref="BK24:BK26" si="30">BI24*BJ24</f>
        <v>0</v>
      </c>
      <c r="BL24" s="49"/>
      <c r="BM24" s="42"/>
      <c r="BN24" s="43">
        <f t="shared" ref="BN24:BN26" si="31">BL24*BM24</f>
        <v>0</v>
      </c>
      <c r="BO24" s="45">
        <f>SUMIF($AK$6:$BN$6,BO$6,$AK24:$BN24)</f>
        <v>2395</v>
      </c>
      <c r="BP24" s="46">
        <f t="shared" si="6"/>
        <v>3726.6430062630479</v>
      </c>
      <c r="BQ24" s="47">
        <f>SUMIF($AK$6:$BN$6,BQ$6,$AK24:$BN24)</f>
        <v>8925310</v>
      </c>
      <c r="BR24" s="45">
        <f>BO24+AH24</f>
        <v>5155</v>
      </c>
      <c r="BS24" s="46">
        <f t="shared" si="7"/>
        <v>4239.1505071774982</v>
      </c>
      <c r="BT24" s="47">
        <f>BQ24+AJ24</f>
        <v>21852820.864500001</v>
      </c>
      <c r="BV24" s="50">
        <f>261*31</f>
        <v>8091</v>
      </c>
      <c r="BW24" s="51">
        <f t="shared" si="8"/>
        <v>0.63712767272277837</v>
      </c>
    </row>
    <row r="25" spans="1:76" x14ac:dyDescent="0.2">
      <c r="A25" s="39" t="e">
        <f>DATE(YEAR(A21),MONTH(A21)+2,1)-1</f>
        <v>#REF!</v>
      </c>
      <c r="B25" s="521"/>
      <c r="C25" s="52" t="s">
        <v>30</v>
      </c>
      <c r="D25" s="179">
        <v>600</v>
      </c>
      <c r="E25" s="173">
        <v>6000</v>
      </c>
      <c r="F25" s="174">
        <f>D25*E25</f>
        <v>3600000</v>
      </c>
      <c r="G25" s="175"/>
      <c r="H25" s="173"/>
      <c r="I25" s="174"/>
      <c r="J25" s="175">
        <v>250</v>
      </c>
      <c r="K25" s="173">
        <v>4800</v>
      </c>
      <c r="L25" s="174">
        <f>J25*K25</f>
        <v>1200000</v>
      </c>
      <c r="M25" s="175">
        <v>193</v>
      </c>
      <c r="N25" s="173">
        <v>3557</v>
      </c>
      <c r="O25" s="174">
        <f>M25*N25</f>
        <v>686501</v>
      </c>
      <c r="P25" s="175">
        <v>900</v>
      </c>
      <c r="Q25" s="173">
        <v>3460</v>
      </c>
      <c r="R25" s="174">
        <f>P25*Q25</f>
        <v>3114000</v>
      </c>
      <c r="S25" s="175">
        <v>580</v>
      </c>
      <c r="T25" s="173">
        <v>4000</v>
      </c>
      <c r="U25" s="174">
        <f>S25*T25</f>
        <v>2320000</v>
      </c>
      <c r="V25" s="175">
        <v>100</v>
      </c>
      <c r="W25" s="173">
        <v>3500</v>
      </c>
      <c r="X25" s="174">
        <f>V25*W25</f>
        <v>350000</v>
      </c>
      <c r="Y25" s="175">
        <v>150</v>
      </c>
      <c r="Z25" s="173">
        <v>4725</v>
      </c>
      <c r="AA25" s="174">
        <f>Y25*Z25</f>
        <v>708750</v>
      </c>
      <c r="AB25" s="175">
        <v>0</v>
      </c>
      <c r="AC25" s="173"/>
      <c r="AD25" s="174">
        <f>AB25*AC25</f>
        <v>0</v>
      </c>
      <c r="AE25" s="175">
        <v>7</v>
      </c>
      <c r="AF25" s="173">
        <v>2037.1234999999999</v>
      </c>
      <c r="AG25" s="171">
        <f>AE25*AF25</f>
        <v>14259.8645</v>
      </c>
      <c r="AH25" s="176">
        <f>SUMIF($D$6:$AG$6,AH$6,$D25:$AG25)</f>
        <v>2780</v>
      </c>
      <c r="AI25" s="177">
        <f>IF(AH25=0,0,AJ25/AH25)</f>
        <v>4314.2125411870502</v>
      </c>
      <c r="AJ25" s="178">
        <f>SUMIF($D$6:$AG$6,AJ$6,$D25:$AG25)</f>
        <v>11993510.864499999</v>
      </c>
      <c r="AK25" s="179">
        <v>1100</v>
      </c>
      <c r="AL25" s="173">
        <v>3600</v>
      </c>
      <c r="AM25" s="174">
        <f>AK25*AL25</f>
        <v>3960000</v>
      </c>
      <c r="AN25" s="175">
        <v>700</v>
      </c>
      <c r="AO25" s="173">
        <v>4800</v>
      </c>
      <c r="AP25" s="174">
        <f>AN25*AO25</f>
        <v>3360000</v>
      </c>
      <c r="AQ25" s="175">
        <v>600</v>
      </c>
      <c r="AR25" s="173">
        <v>3388</v>
      </c>
      <c r="AS25" s="174">
        <f>AQ25*AR25</f>
        <v>2032800</v>
      </c>
      <c r="AT25" s="175">
        <v>330</v>
      </c>
      <c r="AU25" s="173">
        <v>2483</v>
      </c>
      <c r="AV25" s="174">
        <f>AT25*AU25</f>
        <v>819390</v>
      </c>
      <c r="AW25" s="175">
        <v>118</v>
      </c>
      <c r="AX25" s="173">
        <v>3750</v>
      </c>
      <c r="AY25" s="181">
        <f>AW25*AX25</f>
        <v>442500</v>
      </c>
      <c r="AZ25" s="55"/>
      <c r="BA25" s="56"/>
      <c r="BB25" s="43">
        <f>AZ25*BA25</f>
        <v>0</v>
      </c>
      <c r="BC25" s="55"/>
      <c r="BD25" s="56"/>
      <c r="BE25" s="57">
        <f t="shared" si="28"/>
        <v>0</v>
      </c>
      <c r="BF25" s="55"/>
      <c r="BG25" s="56"/>
      <c r="BH25" s="57">
        <f t="shared" si="29"/>
        <v>0</v>
      </c>
      <c r="BI25" s="55"/>
      <c r="BJ25" s="56"/>
      <c r="BK25" s="57">
        <f t="shared" si="30"/>
        <v>0</v>
      </c>
      <c r="BL25" s="55"/>
      <c r="BM25" s="56"/>
      <c r="BN25" s="57">
        <f t="shared" si="31"/>
        <v>0</v>
      </c>
      <c r="BO25" s="58">
        <f>SUMIF($AK$6:$BN$6,BO$6,$AK25:$BN25)</f>
        <v>2848</v>
      </c>
      <c r="BP25" s="59">
        <f t="shared" si="6"/>
        <v>3727.0681179775279</v>
      </c>
      <c r="BQ25" s="60">
        <f>SUMIF($AK$6:$BN$6,BQ$6,$AK25:$BN25)</f>
        <v>10614690</v>
      </c>
      <c r="BR25" s="58">
        <f>BO25+AH25</f>
        <v>5628</v>
      </c>
      <c r="BS25" s="59">
        <f t="shared" si="7"/>
        <v>4017.0932595060412</v>
      </c>
      <c r="BT25" s="60">
        <f>BQ25+AJ25</f>
        <v>22608200.864500001</v>
      </c>
      <c r="BV25" s="50">
        <f>261*31</f>
        <v>8091</v>
      </c>
      <c r="BW25" s="61">
        <f t="shared" si="8"/>
        <v>0.69558769002595477</v>
      </c>
    </row>
    <row r="26" spans="1:76" x14ac:dyDescent="0.2">
      <c r="A26" s="39" t="e">
        <f>DATE(YEAR(A22),MONTH(A22)+2,1)-1</f>
        <v>#REF!</v>
      </c>
      <c r="B26" s="521"/>
      <c r="C26" s="90" t="s">
        <v>33</v>
      </c>
      <c r="D26" s="41">
        <v>479</v>
      </c>
      <c r="E26" s="42">
        <v>5900</v>
      </c>
      <c r="F26" s="43">
        <f>D26*E26</f>
        <v>2826100</v>
      </c>
      <c r="G26" s="44">
        <f>+G27*(G25+1)</f>
        <v>0</v>
      </c>
      <c r="H26" s="42">
        <f>+H27*(H25+1)</f>
        <v>0</v>
      </c>
      <c r="I26" s="43">
        <f>G26*H26</f>
        <v>0</v>
      </c>
      <c r="J26" s="44">
        <v>212</v>
      </c>
      <c r="K26" s="42">
        <v>3484</v>
      </c>
      <c r="L26" s="43">
        <f>J26*K26</f>
        <v>738608</v>
      </c>
      <c r="M26" s="44">
        <v>187</v>
      </c>
      <c r="N26" s="42">
        <v>3437</v>
      </c>
      <c r="O26" s="43">
        <f>M26*N26</f>
        <v>642719</v>
      </c>
      <c r="P26" s="44">
        <v>1517</v>
      </c>
      <c r="Q26" s="42">
        <v>3344</v>
      </c>
      <c r="R26" s="43">
        <f>P26*Q26</f>
        <v>5072848</v>
      </c>
      <c r="S26" s="44">
        <v>553</v>
      </c>
      <c r="T26" s="42">
        <v>3738</v>
      </c>
      <c r="U26" s="43">
        <f>S26*T26</f>
        <v>2067114</v>
      </c>
      <c r="V26" s="44">
        <v>68</v>
      </c>
      <c r="W26" s="42">
        <v>3429</v>
      </c>
      <c r="X26" s="43">
        <f>V26*W26</f>
        <v>233172</v>
      </c>
      <c r="Y26" s="44">
        <v>143</v>
      </c>
      <c r="Z26" s="42">
        <v>4673</v>
      </c>
      <c r="AA26" s="43">
        <f>Y26*Z26</f>
        <v>668239</v>
      </c>
      <c r="AB26" s="44">
        <v>0</v>
      </c>
      <c r="AC26" s="42"/>
      <c r="AD26" s="43">
        <f>AB26*AC26</f>
        <v>0</v>
      </c>
      <c r="AE26" s="44">
        <v>7</v>
      </c>
      <c r="AF26" s="42">
        <v>2037.1234999999999</v>
      </c>
      <c r="AG26" s="133">
        <f>AE26*AF26</f>
        <v>14259.8645</v>
      </c>
      <c r="AH26" s="108">
        <f>SUMIF($D$6:$AG$6,AH$6,$D26:$AG26)</f>
        <v>3166</v>
      </c>
      <c r="AI26" s="105">
        <f>IF(AH26=0,0,AJ26/AH26)</f>
        <v>3873.3606647188881</v>
      </c>
      <c r="AJ26" s="103">
        <f>SUMIF($D$6:$AG$6,AJ$6,$D26:$AG26)</f>
        <v>12263059.864499999</v>
      </c>
      <c r="AK26" s="41">
        <v>1066</v>
      </c>
      <c r="AL26" s="42">
        <v>3099</v>
      </c>
      <c r="AM26" s="43">
        <f>AK26*AL26</f>
        <v>3303534</v>
      </c>
      <c r="AN26" s="41">
        <v>0</v>
      </c>
      <c r="AO26" s="42">
        <v>0</v>
      </c>
      <c r="AP26" s="43">
        <f>AN26*AO26</f>
        <v>0</v>
      </c>
      <c r="AQ26" s="44">
        <v>113</v>
      </c>
      <c r="AR26" s="42">
        <v>3273</v>
      </c>
      <c r="AS26" s="43">
        <f>AQ26*AR26</f>
        <v>369849</v>
      </c>
      <c r="AT26" s="44">
        <v>315</v>
      </c>
      <c r="AU26" s="42">
        <v>2399.0223999999998</v>
      </c>
      <c r="AV26" s="43">
        <f>AT26*AU26</f>
        <v>755692.05599999998</v>
      </c>
      <c r="AW26" s="44">
        <v>112.08</v>
      </c>
      <c r="AX26" s="42">
        <v>3706.4992000000002</v>
      </c>
      <c r="AY26" s="43">
        <f>AW26*AX26</f>
        <v>415424.43033599999</v>
      </c>
      <c r="AZ26" s="48"/>
      <c r="BA26" s="42"/>
      <c r="BB26" s="43">
        <f>AZ26*BA26</f>
        <v>0</v>
      </c>
      <c r="BC26" s="92"/>
      <c r="BD26" s="93"/>
      <c r="BE26" s="91">
        <f t="shared" si="28"/>
        <v>0</v>
      </c>
      <c r="BF26" s="92"/>
      <c r="BG26" s="93"/>
      <c r="BH26" s="91">
        <f t="shared" si="29"/>
        <v>0</v>
      </c>
      <c r="BI26" s="92"/>
      <c r="BJ26" s="93"/>
      <c r="BK26" s="91">
        <f t="shared" si="30"/>
        <v>0</v>
      </c>
      <c r="BL26" s="92"/>
      <c r="BM26" s="93"/>
      <c r="BN26" s="91">
        <f t="shared" si="31"/>
        <v>0</v>
      </c>
      <c r="BO26" s="94">
        <f>SUMIF($AK$6:$BN$6,BO$6,$AK26:$BN26)</f>
        <v>1606.08</v>
      </c>
      <c r="BP26" s="95">
        <f t="shared" si="6"/>
        <v>3016.3500487746564</v>
      </c>
      <c r="BQ26" s="96">
        <f>SUMIF($AK$6:$BN$6,BQ$6,$AK26:$BN26)</f>
        <v>4844499.4863360003</v>
      </c>
      <c r="BR26" s="94">
        <f>BO26+AH26</f>
        <v>4772.08</v>
      </c>
      <c r="BS26" s="95">
        <f t="shared" si="7"/>
        <v>3584.9271912532904</v>
      </c>
      <c r="BT26" s="96">
        <f>BQ26+AJ26</f>
        <v>17107559.350836001</v>
      </c>
      <c r="BV26" s="50">
        <f>261*31</f>
        <v>8091</v>
      </c>
      <c r="BW26" s="61">
        <f t="shared" si="8"/>
        <v>0.58980101347175873</v>
      </c>
    </row>
    <row r="27" spans="1:76" x14ac:dyDescent="0.2">
      <c r="A27" s="39"/>
      <c r="B27" s="520">
        <f>DATE(YEAR(B23),MONTH(B23)+2,1)-1</f>
        <v>182</v>
      </c>
      <c r="C27" s="24" t="s">
        <v>27</v>
      </c>
      <c r="D27" s="25">
        <f>(D28/D29)-1</f>
        <v>9.0909090909090828E-2</v>
      </c>
      <c r="E27" s="26">
        <f>(E28/E29)-1</f>
        <v>0</v>
      </c>
      <c r="F27" s="25">
        <f>(F28/F29)-1</f>
        <v>9.0909090909090828E-2</v>
      </c>
      <c r="G27" s="27"/>
      <c r="H27" s="26"/>
      <c r="I27" s="28"/>
      <c r="J27" s="29">
        <f t="shared" ref="J27:AY27" si="32">J28/J29-1</f>
        <v>-0.2857142857142857</v>
      </c>
      <c r="K27" s="70">
        <f t="shared" si="32"/>
        <v>0</v>
      </c>
      <c r="L27" s="25">
        <f t="shared" si="32"/>
        <v>-0.2857142857142857</v>
      </c>
      <c r="M27" s="29">
        <f t="shared" si="32"/>
        <v>0</v>
      </c>
      <c r="N27" s="70">
        <f t="shared" si="32"/>
        <v>0</v>
      </c>
      <c r="O27" s="25">
        <f t="shared" si="32"/>
        <v>0</v>
      </c>
      <c r="P27" s="29">
        <f t="shared" si="32"/>
        <v>1.6666666666666607E-2</v>
      </c>
      <c r="Q27" s="70">
        <f t="shared" si="32"/>
        <v>0</v>
      </c>
      <c r="R27" s="25">
        <f t="shared" si="32"/>
        <v>1.6666666666666607E-2</v>
      </c>
      <c r="S27" s="29">
        <f t="shared" si="32"/>
        <v>0</v>
      </c>
      <c r="T27" s="70">
        <f t="shared" si="32"/>
        <v>2.8752308098127122E-2</v>
      </c>
      <c r="U27" s="70">
        <f t="shared" si="32"/>
        <v>2.8752308098127122E-2</v>
      </c>
      <c r="V27" s="29">
        <f t="shared" si="32"/>
        <v>0</v>
      </c>
      <c r="W27" s="70">
        <f t="shared" si="32"/>
        <v>7.719928186714542E-2</v>
      </c>
      <c r="X27" s="25">
        <f t="shared" si="32"/>
        <v>7.719928186714542E-2</v>
      </c>
      <c r="Y27" s="29">
        <f t="shared" si="32"/>
        <v>0</v>
      </c>
      <c r="Z27" s="70">
        <f t="shared" si="32"/>
        <v>0</v>
      </c>
      <c r="AA27" s="25">
        <f t="shared" si="32"/>
        <v>0</v>
      </c>
      <c r="AB27" s="29" t="e">
        <f t="shared" si="32"/>
        <v>#DIV/0!</v>
      </c>
      <c r="AC27" s="70" t="e">
        <f t="shared" si="32"/>
        <v>#DIV/0!</v>
      </c>
      <c r="AD27" s="25" t="e">
        <f t="shared" si="32"/>
        <v>#DIV/0!</v>
      </c>
      <c r="AE27" s="29">
        <f t="shared" si="32"/>
        <v>0</v>
      </c>
      <c r="AF27" s="70">
        <f t="shared" si="32"/>
        <v>0</v>
      </c>
      <c r="AG27" s="28">
        <f t="shared" si="32"/>
        <v>0</v>
      </c>
      <c r="AH27" s="154">
        <f t="shared" si="32"/>
        <v>0</v>
      </c>
      <c r="AI27" s="76">
        <f t="shared" si="32"/>
        <v>1.1427387601685268E-2</v>
      </c>
      <c r="AJ27" s="77">
        <f t="shared" si="32"/>
        <v>1.142738760168549E-2</v>
      </c>
      <c r="AK27" s="28">
        <f t="shared" si="32"/>
        <v>0.14285714285714279</v>
      </c>
      <c r="AL27" s="70">
        <f t="shared" si="32"/>
        <v>9.6774193548387011E-2</v>
      </c>
      <c r="AM27" s="31">
        <f t="shared" si="32"/>
        <v>0.25345622119815658</v>
      </c>
      <c r="AN27" s="28" t="e">
        <f t="shared" si="32"/>
        <v>#DIV/0!</v>
      </c>
      <c r="AO27" s="70" t="e">
        <f t="shared" si="32"/>
        <v>#DIV/0!</v>
      </c>
      <c r="AP27" s="25" t="e">
        <f t="shared" si="32"/>
        <v>#DIV/0!</v>
      </c>
      <c r="AQ27" s="29">
        <f t="shared" si="32"/>
        <v>0</v>
      </c>
      <c r="AR27" s="70">
        <f t="shared" si="32"/>
        <v>0.20335820895522394</v>
      </c>
      <c r="AS27" s="25">
        <f t="shared" si="32"/>
        <v>0.20335820895522394</v>
      </c>
      <c r="AT27" s="29">
        <f t="shared" si="32"/>
        <v>0</v>
      </c>
      <c r="AU27" s="70">
        <f t="shared" si="32"/>
        <v>0</v>
      </c>
      <c r="AV27" s="25">
        <f t="shared" si="32"/>
        <v>0</v>
      </c>
      <c r="AW27" s="29">
        <f t="shared" si="32"/>
        <v>0</v>
      </c>
      <c r="AX27" s="70">
        <f t="shared" si="32"/>
        <v>0</v>
      </c>
      <c r="AY27" s="31">
        <f t="shared" si="32"/>
        <v>0</v>
      </c>
      <c r="AZ27" s="33"/>
      <c r="BA27" s="33"/>
      <c r="BB27" s="34"/>
      <c r="BC27" s="35"/>
      <c r="BD27" s="33"/>
      <c r="BE27" s="34"/>
      <c r="BF27" s="35"/>
      <c r="BG27" s="33"/>
      <c r="BH27" s="34"/>
      <c r="BI27" s="35"/>
      <c r="BJ27" s="33"/>
      <c r="BK27" s="34"/>
      <c r="BL27" s="35"/>
      <c r="BM27" s="33"/>
      <c r="BN27" s="34"/>
      <c r="BO27" s="29">
        <f t="shared" ref="BO27:BQ27" si="33">BO28/BO29-1</f>
        <v>0.17490494296577941</v>
      </c>
      <c r="BP27" s="70">
        <f t="shared" si="33"/>
        <v>8.937260117421264E-2</v>
      </c>
      <c r="BQ27" s="31">
        <f t="shared" si="33"/>
        <v>0.27990925385107102</v>
      </c>
      <c r="BR27" s="32">
        <v>5.833E-2</v>
      </c>
      <c r="BS27" s="76">
        <v>2.3800000000000002E-2</v>
      </c>
      <c r="BT27" s="77">
        <v>8.3400000000000002E-2</v>
      </c>
      <c r="BU27" s="75"/>
      <c r="BV27" s="50"/>
      <c r="BW27" s="51"/>
    </row>
    <row r="28" spans="1:76" x14ac:dyDescent="0.2">
      <c r="A28" s="39" t="e">
        <f>DATE(YEAR(A24),MONTH(A24)+2,1)-1</f>
        <v>#REF!</v>
      </c>
      <c r="B28" s="521"/>
      <c r="C28" s="40" t="s">
        <v>34</v>
      </c>
      <c r="D28" s="179">
        <v>480</v>
      </c>
      <c r="E28" s="173">
        <v>5530</v>
      </c>
      <c r="F28" s="174">
        <f>D28*E28</f>
        <v>2654400</v>
      </c>
      <c r="G28" s="175"/>
      <c r="H28" s="173"/>
      <c r="I28" s="174"/>
      <c r="J28" s="175">
        <v>150</v>
      </c>
      <c r="K28" s="173">
        <v>4064</v>
      </c>
      <c r="L28" s="174">
        <f>J28*K28</f>
        <v>609600</v>
      </c>
      <c r="M28" s="175">
        <v>75</v>
      </c>
      <c r="N28" s="173">
        <v>3596</v>
      </c>
      <c r="O28" s="171">
        <f>M28*N28</f>
        <v>269700</v>
      </c>
      <c r="P28" s="172">
        <v>1220</v>
      </c>
      <c r="Q28" s="173">
        <v>3390</v>
      </c>
      <c r="R28" s="174">
        <f>P28*Q28</f>
        <v>4135800</v>
      </c>
      <c r="S28" s="318">
        <v>455</v>
      </c>
      <c r="T28" s="309">
        <v>3900</v>
      </c>
      <c r="U28" s="174">
        <f>S28*T28</f>
        <v>1774500</v>
      </c>
      <c r="V28" s="318">
        <v>106</v>
      </c>
      <c r="W28" s="309">
        <v>3000</v>
      </c>
      <c r="X28" s="174">
        <f>V28*W28</f>
        <v>318000</v>
      </c>
      <c r="Y28" s="175">
        <v>190</v>
      </c>
      <c r="Z28" s="173">
        <v>3335</v>
      </c>
      <c r="AA28" s="174">
        <f>Y28*Z28</f>
        <v>633650</v>
      </c>
      <c r="AB28" s="175">
        <v>0</v>
      </c>
      <c r="AC28" s="173">
        <v>0</v>
      </c>
      <c r="AD28" s="174">
        <f>AB28*AC28</f>
        <v>0</v>
      </c>
      <c r="AE28" s="175">
        <v>3</v>
      </c>
      <c r="AF28" s="173">
        <v>2716</v>
      </c>
      <c r="AG28" s="171">
        <f>AE28*AF28</f>
        <v>8148</v>
      </c>
      <c r="AH28" s="176">
        <f>SUMIF($D$6:$AG$6,AH$6,$D28:$AG28)</f>
        <v>2679</v>
      </c>
      <c r="AI28" s="177">
        <f>IF(AH28=0,0,AJ28/AH28)</f>
        <v>3883.4632325494586</v>
      </c>
      <c r="AJ28" s="178">
        <f>SUMIF($D$6:$AG$6,AJ$6,$D28:$AG28)</f>
        <v>10403798</v>
      </c>
      <c r="AK28" s="301">
        <v>1200</v>
      </c>
      <c r="AL28" s="173">
        <v>3400</v>
      </c>
      <c r="AM28" s="174">
        <f>AK28*AL28</f>
        <v>4080000</v>
      </c>
      <c r="AN28" s="270">
        <v>80</v>
      </c>
      <c r="AO28" s="268">
        <v>3100</v>
      </c>
      <c r="AP28" s="174">
        <f>AN28*AO28</f>
        <v>248000</v>
      </c>
      <c r="AQ28" s="270">
        <v>80</v>
      </c>
      <c r="AR28" s="173">
        <v>3225</v>
      </c>
      <c r="AS28" s="174">
        <f>AQ28*AR28</f>
        <v>258000</v>
      </c>
      <c r="AT28" s="270">
        <v>150</v>
      </c>
      <c r="AU28" s="173">
        <v>2555</v>
      </c>
      <c r="AV28" s="174">
        <f>AT28*AU28</f>
        <v>383250</v>
      </c>
      <c r="AW28" s="270">
        <v>35</v>
      </c>
      <c r="AX28" s="173">
        <v>3900</v>
      </c>
      <c r="AY28" s="174">
        <f>AW28*AX28</f>
        <v>136500</v>
      </c>
      <c r="AZ28" s="53"/>
      <c r="BA28" s="54"/>
      <c r="BB28" s="43">
        <f>AZ28*BA28</f>
        <v>0</v>
      </c>
      <c r="BC28" s="49"/>
      <c r="BD28" s="42"/>
      <c r="BE28" s="43">
        <f t="shared" ref="BE28:BE30" si="34">BC28*BD28</f>
        <v>0</v>
      </c>
      <c r="BF28" s="49"/>
      <c r="BG28" s="42"/>
      <c r="BH28" s="43">
        <f t="shared" ref="BH28:BH30" si="35">BF28*BG28</f>
        <v>0</v>
      </c>
      <c r="BI28" s="49"/>
      <c r="BJ28" s="42"/>
      <c r="BK28" s="43">
        <f t="shared" ref="BK28:BK30" si="36">BI28*BJ28</f>
        <v>0</v>
      </c>
      <c r="BL28" s="49"/>
      <c r="BM28" s="42"/>
      <c r="BN28" s="43">
        <f t="shared" ref="BN28:BN30" si="37">BL28*BM28</f>
        <v>0</v>
      </c>
      <c r="BO28" s="45">
        <f>SUMIF($AK$6:$BN$6,BO$6,$AK28:$BN28)</f>
        <v>1545</v>
      </c>
      <c r="BP28" s="46">
        <f t="shared" si="6"/>
        <v>3304.6925566343043</v>
      </c>
      <c r="BQ28" s="47">
        <f>SUMIF($AK$6:$BN$6,BQ$6,$AK28:$BN28)</f>
        <v>5105750</v>
      </c>
      <c r="BR28" s="45">
        <f>BO28+AH28</f>
        <v>4224</v>
      </c>
      <c r="BS28" s="46">
        <f t="shared" si="7"/>
        <v>3671.7679924242425</v>
      </c>
      <c r="BT28" s="47">
        <f>BQ28+AJ28</f>
        <v>15509548</v>
      </c>
      <c r="BV28" s="50">
        <f>261*30</f>
        <v>7830</v>
      </c>
      <c r="BW28" s="51">
        <f t="shared" si="8"/>
        <v>0.53946360153256701</v>
      </c>
    </row>
    <row r="29" spans="1:76" x14ac:dyDescent="0.2">
      <c r="A29" s="39" t="e">
        <f>DATE(YEAR(A25),MONTH(A25)+2,1)-1</f>
        <v>#REF!</v>
      </c>
      <c r="B29" s="521"/>
      <c r="C29" s="52" t="s">
        <v>30</v>
      </c>
      <c r="D29" s="179">
        <v>440</v>
      </c>
      <c r="E29" s="173">
        <v>5530</v>
      </c>
      <c r="F29" s="174">
        <f>D29*E29</f>
        <v>2433200</v>
      </c>
      <c r="G29" s="175"/>
      <c r="H29" s="173"/>
      <c r="I29" s="174"/>
      <c r="J29" s="175">
        <v>210</v>
      </c>
      <c r="K29" s="173">
        <v>4064</v>
      </c>
      <c r="L29" s="174">
        <f>J29*K29</f>
        <v>853440</v>
      </c>
      <c r="M29" s="175">
        <v>75</v>
      </c>
      <c r="N29" s="173">
        <v>3596</v>
      </c>
      <c r="O29" s="171">
        <f>M29*N29</f>
        <v>269700</v>
      </c>
      <c r="P29" s="172">
        <v>1200</v>
      </c>
      <c r="Q29" s="173">
        <v>3390</v>
      </c>
      <c r="R29" s="174">
        <f>P29*Q29</f>
        <v>4068000</v>
      </c>
      <c r="S29" s="175">
        <v>455</v>
      </c>
      <c r="T29" s="173">
        <v>3791</v>
      </c>
      <c r="U29" s="174">
        <f>S29*T29</f>
        <v>1724905</v>
      </c>
      <c r="V29" s="175">
        <v>106</v>
      </c>
      <c r="W29" s="173">
        <v>2785</v>
      </c>
      <c r="X29" s="174">
        <f>V29*W29</f>
        <v>295210</v>
      </c>
      <c r="Y29" s="175">
        <v>190</v>
      </c>
      <c r="Z29" s="173">
        <v>3335</v>
      </c>
      <c r="AA29" s="174">
        <f>Y29*Z29</f>
        <v>633650</v>
      </c>
      <c r="AB29" s="175">
        <v>0</v>
      </c>
      <c r="AC29" s="173">
        <v>0</v>
      </c>
      <c r="AD29" s="174">
        <f>AB29*AC29</f>
        <v>0</v>
      </c>
      <c r="AE29" s="175">
        <v>3</v>
      </c>
      <c r="AF29" s="173">
        <v>2716</v>
      </c>
      <c r="AG29" s="171">
        <f>AE29*AF29</f>
        <v>8148</v>
      </c>
      <c r="AH29" s="176">
        <f>SUMIF($D$6:$AG$6,AH$6,$D29:$AG29)</f>
        <v>2679</v>
      </c>
      <c r="AI29" s="177">
        <f>IF(AH29=0,0,AJ29/AH29)</f>
        <v>3839.5867861142219</v>
      </c>
      <c r="AJ29" s="178">
        <f>SUMIF($D$6:$AG$6,AJ$6,$D29:$AG29)</f>
        <v>10286253</v>
      </c>
      <c r="AK29" s="179">
        <v>1050</v>
      </c>
      <c r="AL29" s="173">
        <v>3100</v>
      </c>
      <c r="AM29" s="174">
        <f>AK29*AL29</f>
        <v>3255000</v>
      </c>
      <c r="AN29" s="175">
        <v>0</v>
      </c>
      <c r="AO29" s="173">
        <v>0</v>
      </c>
      <c r="AP29" s="174">
        <f>AN29*AO29</f>
        <v>0</v>
      </c>
      <c r="AQ29" s="175">
        <v>80</v>
      </c>
      <c r="AR29" s="173">
        <v>2680</v>
      </c>
      <c r="AS29" s="174">
        <f>AQ29*AR29</f>
        <v>214400</v>
      </c>
      <c r="AT29" s="175">
        <v>150</v>
      </c>
      <c r="AU29" s="173">
        <v>2555</v>
      </c>
      <c r="AV29" s="174">
        <f>AT29*AU29</f>
        <v>383250</v>
      </c>
      <c r="AW29" s="175">
        <v>35</v>
      </c>
      <c r="AX29" s="173">
        <v>3900</v>
      </c>
      <c r="AY29" s="174">
        <f>AW29*AX29</f>
        <v>136500</v>
      </c>
      <c r="AZ29" s="53"/>
      <c r="BA29" s="54"/>
      <c r="BB29" s="43">
        <f>AZ29*BA29</f>
        <v>0</v>
      </c>
      <c r="BC29" s="55"/>
      <c r="BD29" s="56"/>
      <c r="BE29" s="57">
        <f t="shared" si="34"/>
        <v>0</v>
      </c>
      <c r="BF29" s="55"/>
      <c r="BG29" s="56"/>
      <c r="BH29" s="57">
        <f t="shared" si="35"/>
        <v>0</v>
      </c>
      <c r="BI29" s="55"/>
      <c r="BJ29" s="56"/>
      <c r="BK29" s="57">
        <f t="shared" si="36"/>
        <v>0</v>
      </c>
      <c r="BL29" s="55"/>
      <c r="BM29" s="56"/>
      <c r="BN29" s="57">
        <f t="shared" si="37"/>
        <v>0</v>
      </c>
      <c r="BO29" s="58">
        <f>SUMIF($AK$6:$BN$6,BO$6,$AK29:$BN29)</f>
        <v>1315</v>
      </c>
      <c r="BP29" s="59">
        <f t="shared" si="6"/>
        <v>3033.5741444866921</v>
      </c>
      <c r="BQ29" s="60">
        <f>SUMIF($AK$6:$BN$6,BQ$6,$AK29:$BN29)</f>
        <v>3989150</v>
      </c>
      <c r="BR29" s="58">
        <f>BO29+AH29</f>
        <v>3994</v>
      </c>
      <c r="BS29" s="59">
        <f t="shared" si="7"/>
        <v>3574.2120681021534</v>
      </c>
      <c r="BT29" s="60">
        <f>BQ29+AJ29</f>
        <v>14275403</v>
      </c>
      <c r="BV29" s="50">
        <f>261*30</f>
        <v>7830</v>
      </c>
      <c r="BW29" s="61">
        <f t="shared" si="8"/>
        <v>0.51008939974457213</v>
      </c>
    </row>
    <row r="30" spans="1:76" x14ac:dyDescent="0.2">
      <c r="A30" s="39" t="e">
        <f>DATE(YEAR(A26),MONTH(A26)+2,1)-1</f>
        <v>#REF!</v>
      </c>
      <c r="B30" s="522"/>
      <c r="C30" s="62" t="s">
        <v>33</v>
      </c>
      <c r="D30" s="41">
        <v>433</v>
      </c>
      <c r="E30" s="42">
        <v>5513</v>
      </c>
      <c r="F30" s="43">
        <f>D30*E30</f>
        <v>2387129</v>
      </c>
      <c r="G30" s="44">
        <f>+G31*(G29+1)</f>
        <v>0</v>
      </c>
      <c r="H30" s="42">
        <f>+H31*(H29+1)</f>
        <v>0</v>
      </c>
      <c r="I30" s="43">
        <f>G30*H30</f>
        <v>0</v>
      </c>
      <c r="J30" s="44">
        <v>123</v>
      </c>
      <c r="K30" s="42">
        <v>3393</v>
      </c>
      <c r="L30" s="43">
        <f>J30*K30</f>
        <v>417339</v>
      </c>
      <c r="M30" s="44">
        <v>55</v>
      </c>
      <c r="N30" s="42">
        <v>3474</v>
      </c>
      <c r="O30" s="43">
        <f>M30*N30</f>
        <v>191070</v>
      </c>
      <c r="P30" s="44">
        <v>1192</v>
      </c>
      <c r="Q30" s="42">
        <v>3379</v>
      </c>
      <c r="R30" s="43">
        <f>P30*Q30</f>
        <v>4027768</v>
      </c>
      <c r="S30" s="44">
        <v>450</v>
      </c>
      <c r="T30" s="42">
        <v>3663</v>
      </c>
      <c r="U30" s="43">
        <f>S30*T30</f>
        <v>1648350</v>
      </c>
      <c r="V30" s="44">
        <v>100</v>
      </c>
      <c r="W30" s="42">
        <v>2691</v>
      </c>
      <c r="X30" s="43">
        <f>V30*W30</f>
        <v>269100</v>
      </c>
      <c r="Y30" s="44">
        <v>182</v>
      </c>
      <c r="Z30" s="42">
        <v>3222</v>
      </c>
      <c r="AA30" s="43">
        <f>Y30*Z30</f>
        <v>586404</v>
      </c>
      <c r="AB30" s="44">
        <v>0</v>
      </c>
      <c r="AC30" s="42">
        <v>0</v>
      </c>
      <c r="AD30" s="43">
        <f>AB30*AC30</f>
        <v>0</v>
      </c>
      <c r="AE30" s="44">
        <v>3</v>
      </c>
      <c r="AF30" s="42">
        <v>2716</v>
      </c>
      <c r="AG30" s="133">
        <f>AE30*AF30</f>
        <v>8148</v>
      </c>
      <c r="AH30" s="108">
        <f>SUMIF($D$6:$AG$6,AH$6,$D30:$AG30)</f>
        <v>2538</v>
      </c>
      <c r="AI30" s="105">
        <f>IF(AH30=0,0,AJ30/AH30)</f>
        <v>3757.0165484633571</v>
      </c>
      <c r="AJ30" s="103">
        <f>SUMIF($D$6:$AG$6,AJ$6,$D30:$AG30)</f>
        <v>9535308</v>
      </c>
      <c r="AK30" s="41">
        <v>1040</v>
      </c>
      <c r="AL30" s="42">
        <v>2762.2004000000002</v>
      </c>
      <c r="AM30" s="43">
        <f>AK30*AL30</f>
        <v>2872688.4160000002</v>
      </c>
      <c r="AN30" s="41">
        <v>0</v>
      </c>
      <c r="AO30" s="42">
        <v>0</v>
      </c>
      <c r="AP30" s="43">
        <f>AN30*AO30</f>
        <v>0</v>
      </c>
      <c r="AQ30" s="44">
        <v>68</v>
      </c>
      <c r="AR30" s="42">
        <v>2589.4423000000002</v>
      </c>
      <c r="AS30" s="43">
        <f>AQ30*AR30</f>
        <v>176082.07640000002</v>
      </c>
      <c r="AT30" s="44">
        <v>134</v>
      </c>
      <c r="AU30" s="42">
        <v>2468.4263000000001</v>
      </c>
      <c r="AV30" s="43">
        <f>AT30*AU30</f>
        <v>330769.12420000002</v>
      </c>
      <c r="AW30" s="44">
        <v>33</v>
      </c>
      <c r="AX30" s="42">
        <v>3840.4234999999999</v>
      </c>
      <c r="AY30" s="43">
        <f>AW30*AX30</f>
        <v>126733.9755</v>
      </c>
      <c r="AZ30" s="48"/>
      <c r="BA30" s="42"/>
      <c r="BB30" s="43">
        <f>AZ30*BA30</f>
        <v>0</v>
      </c>
      <c r="BC30" s="64"/>
      <c r="BD30" s="65"/>
      <c r="BE30" s="63">
        <f t="shared" si="34"/>
        <v>0</v>
      </c>
      <c r="BF30" s="64"/>
      <c r="BG30" s="65"/>
      <c r="BH30" s="63">
        <f t="shared" si="35"/>
        <v>0</v>
      </c>
      <c r="BI30" s="64"/>
      <c r="BJ30" s="65"/>
      <c r="BK30" s="63">
        <f t="shared" si="36"/>
        <v>0</v>
      </c>
      <c r="BL30" s="64"/>
      <c r="BM30" s="65"/>
      <c r="BN30" s="63">
        <f t="shared" si="37"/>
        <v>0</v>
      </c>
      <c r="BO30" s="66">
        <f>SUMIF($AK$6:$BN$6,BO$6,$AK30:$BN30)</f>
        <v>1275</v>
      </c>
      <c r="BP30" s="67">
        <f t="shared" si="6"/>
        <v>2750.0185036078433</v>
      </c>
      <c r="BQ30" s="68">
        <f>SUMIF($AK$6:$BN$6,BQ$6,$AK30:$BN30)</f>
        <v>3506273.5921000005</v>
      </c>
      <c r="BR30" s="66">
        <f>BO30+AH30</f>
        <v>3813</v>
      </c>
      <c r="BS30" s="67">
        <f t="shared" si="7"/>
        <v>3420.2941495148179</v>
      </c>
      <c r="BT30" s="68">
        <f>BQ30+AJ30</f>
        <v>13041581.5921</v>
      </c>
      <c r="BV30" s="50">
        <f>261*30</f>
        <v>7830</v>
      </c>
      <c r="BW30" s="61">
        <f t="shared" si="8"/>
        <v>0.48697318007662838</v>
      </c>
    </row>
    <row r="31" spans="1:76" x14ac:dyDescent="0.2">
      <c r="A31" s="39"/>
      <c r="B31" s="520">
        <f>DATE(YEAR(B27),MONTH(B27)+2,1)-1</f>
        <v>213</v>
      </c>
      <c r="C31" s="24" t="s">
        <v>27</v>
      </c>
      <c r="D31" s="25">
        <f>(D32/D33)-1</f>
        <v>0.5</v>
      </c>
      <c r="E31" s="26">
        <f>(E32/E33)-1</f>
        <v>0</v>
      </c>
      <c r="F31" s="25">
        <f>(F32/F33)-1</f>
        <v>0.5</v>
      </c>
      <c r="G31" s="27"/>
      <c r="H31" s="26"/>
      <c r="I31" s="28"/>
      <c r="J31" s="29">
        <f t="shared" ref="J31:AY31" si="38">J32/J33-1</f>
        <v>-0.36</v>
      </c>
      <c r="K31" s="70">
        <f t="shared" si="38"/>
        <v>0</v>
      </c>
      <c r="L31" s="25">
        <f t="shared" si="38"/>
        <v>-0.36</v>
      </c>
      <c r="M31" s="29">
        <f t="shared" si="38"/>
        <v>0</v>
      </c>
      <c r="N31" s="70">
        <f t="shared" si="38"/>
        <v>0</v>
      </c>
      <c r="O31" s="25">
        <f t="shared" si="38"/>
        <v>0</v>
      </c>
      <c r="P31" s="29">
        <f t="shared" si="38"/>
        <v>2.7272727272727337E-2</v>
      </c>
      <c r="Q31" s="70">
        <f t="shared" si="38"/>
        <v>0</v>
      </c>
      <c r="R31" s="25">
        <f t="shared" si="38"/>
        <v>2.7272727272727337E-2</v>
      </c>
      <c r="S31" s="29">
        <f t="shared" si="38"/>
        <v>3.8000000000000034E-2</v>
      </c>
      <c r="T31" s="70">
        <f t="shared" si="38"/>
        <v>2.4310297732859976E-2</v>
      </c>
      <c r="U31" s="70">
        <f t="shared" si="38"/>
        <v>6.3234089046708464E-2</v>
      </c>
      <c r="V31" s="29">
        <f t="shared" si="38"/>
        <v>0</v>
      </c>
      <c r="W31" s="70">
        <f t="shared" si="38"/>
        <v>0</v>
      </c>
      <c r="X31" s="25">
        <f t="shared" si="38"/>
        <v>0</v>
      </c>
      <c r="Y31" s="29">
        <f t="shared" si="38"/>
        <v>0</v>
      </c>
      <c r="Z31" s="70">
        <f t="shared" si="38"/>
        <v>0</v>
      </c>
      <c r="AA31" s="25">
        <f t="shared" si="38"/>
        <v>0</v>
      </c>
      <c r="AB31" s="29" t="e">
        <f t="shared" si="38"/>
        <v>#DIV/0!</v>
      </c>
      <c r="AC31" s="70" t="e">
        <f t="shared" si="38"/>
        <v>#DIV/0!</v>
      </c>
      <c r="AD31" s="25" t="e">
        <f t="shared" si="38"/>
        <v>#DIV/0!</v>
      </c>
      <c r="AE31" s="29">
        <f t="shared" si="38"/>
        <v>0</v>
      </c>
      <c r="AF31" s="70">
        <f t="shared" si="38"/>
        <v>0</v>
      </c>
      <c r="AG31" s="28">
        <f t="shared" si="38"/>
        <v>0</v>
      </c>
      <c r="AH31" s="154">
        <f t="shared" si="38"/>
        <v>2.5159914712153508E-2</v>
      </c>
      <c r="AI31" s="76">
        <f t="shared" si="38"/>
        <v>2.0992597661329659E-2</v>
      </c>
      <c r="AJ31" s="77">
        <f t="shared" si="38"/>
        <v>4.6680684340228762E-2</v>
      </c>
      <c r="AK31" s="28">
        <f t="shared" si="38"/>
        <v>0.17272727272727262</v>
      </c>
      <c r="AL31" s="70">
        <f t="shared" si="38"/>
        <v>9.6774193548387011E-2</v>
      </c>
      <c r="AM31" s="31">
        <f t="shared" si="38"/>
        <v>0.28621700879765388</v>
      </c>
      <c r="AN31" s="28" t="e">
        <f t="shared" si="38"/>
        <v>#DIV/0!</v>
      </c>
      <c r="AO31" s="70" t="e">
        <f t="shared" si="38"/>
        <v>#DIV/0!</v>
      </c>
      <c r="AP31" s="25" t="e">
        <f t="shared" si="38"/>
        <v>#DIV/0!</v>
      </c>
      <c r="AQ31" s="29">
        <f t="shared" si="38"/>
        <v>0</v>
      </c>
      <c r="AR31" s="70">
        <f t="shared" si="38"/>
        <v>0</v>
      </c>
      <c r="AS31" s="25">
        <f t="shared" si="38"/>
        <v>0</v>
      </c>
      <c r="AT31" s="29">
        <f t="shared" si="38"/>
        <v>0</v>
      </c>
      <c r="AU31" s="70">
        <f t="shared" si="38"/>
        <v>0</v>
      </c>
      <c r="AV31" s="25">
        <f t="shared" si="38"/>
        <v>0</v>
      </c>
      <c r="AW31" s="29" t="e">
        <f t="shared" si="38"/>
        <v>#DIV/0!</v>
      </c>
      <c r="AX31" s="70" t="e">
        <f t="shared" si="38"/>
        <v>#DIV/0!</v>
      </c>
      <c r="AY31" s="31" t="e">
        <f t="shared" si="38"/>
        <v>#DIV/0!</v>
      </c>
      <c r="AZ31" s="33"/>
      <c r="BA31" s="33"/>
      <c r="BB31" s="34"/>
      <c r="BC31" s="35"/>
      <c r="BD31" s="33"/>
      <c r="BE31" s="34"/>
      <c r="BF31" s="35"/>
      <c r="BG31" s="33"/>
      <c r="BH31" s="34"/>
      <c r="BI31" s="35"/>
      <c r="BJ31" s="33"/>
      <c r="BK31" s="34"/>
      <c r="BL31" s="35"/>
      <c r="BM31" s="33"/>
      <c r="BN31" s="34"/>
      <c r="BO31" s="29">
        <f t="shared" ref="BO31:BQ31" si="39">BO32/BO33-1</f>
        <v>0.18181818181818188</v>
      </c>
      <c r="BP31" s="70">
        <f t="shared" si="39"/>
        <v>5.559511202512657E-2</v>
      </c>
      <c r="BQ31" s="31">
        <f t="shared" si="39"/>
        <v>0.24752149602969498</v>
      </c>
      <c r="BR31" s="32">
        <v>4.0399999999999998E-2</v>
      </c>
      <c r="BS31" s="76">
        <v>3.95E-2</v>
      </c>
      <c r="BT31" s="77">
        <v>8.1799999999999998E-2</v>
      </c>
      <c r="BU31" s="75"/>
      <c r="BV31" s="50"/>
      <c r="BW31" s="51"/>
    </row>
    <row r="32" spans="1:76" x14ac:dyDescent="0.2">
      <c r="A32" s="39" t="e">
        <f>DATE(YEAR(A28),MONTH(A28)+2,1)-1</f>
        <v>#REF!</v>
      </c>
      <c r="B32" s="521"/>
      <c r="C32" s="40" t="s">
        <v>34</v>
      </c>
      <c r="D32" s="179">
        <v>300</v>
      </c>
      <c r="E32" s="173">
        <v>5631</v>
      </c>
      <c r="F32" s="174">
        <f>D32*E32</f>
        <v>1689300</v>
      </c>
      <c r="G32" s="175"/>
      <c r="H32" s="173"/>
      <c r="I32" s="174"/>
      <c r="J32" s="175">
        <v>160</v>
      </c>
      <c r="K32" s="173">
        <v>4131</v>
      </c>
      <c r="L32" s="174">
        <f>J32*K32</f>
        <v>660960</v>
      </c>
      <c r="M32" s="175">
        <v>160</v>
      </c>
      <c r="N32" s="173">
        <v>3244</v>
      </c>
      <c r="O32" s="171">
        <f>M32*N32</f>
        <v>519040</v>
      </c>
      <c r="P32" s="172">
        <v>1130</v>
      </c>
      <c r="Q32" s="173">
        <v>3359</v>
      </c>
      <c r="R32" s="174">
        <f>P32*Q32</f>
        <v>3795670</v>
      </c>
      <c r="S32" s="318">
        <v>519</v>
      </c>
      <c r="T32" s="309">
        <v>3750</v>
      </c>
      <c r="U32" s="174">
        <f>S32*T32</f>
        <v>1946250</v>
      </c>
      <c r="V32" s="175">
        <v>50</v>
      </c>
      <c r="W32" s="173">
        <v>3200</v>
      </c>
      <c r="X32" s="174">
        <f>V32*W32</f>
        <v>160000</v>
      </c>
      <c r="Y32" s="175">
        <v>80</v>
      </c>
      <c r="Z32" s="173">
        <v>4500</v>
      </c>
      <c r="AA32" s="174">
        <f>Y32*Z32</f>
        <v>360000</v>
      </c>
      <c r="AB32" s="175">
        <v>0</v>
      </c>
      <c r="AC32" s="173">
        <v>0</v>
      </c>
      <c r="AD32" s="174">
        <f>AB32*AC32</f>
        <v>0</v>
      </c>
      <c r="AE32" s="175">
        <v>5</v>
      </c>
      <c r="AF32" s="173">
        <v>2640</v>
      </c>
      <c r="AG32" s="171">
        <f>AE32*AF32</f>
        <v>13200</v>
      </c>
      <c r="AH32" s="176">
        <f>SUMIF($D$6:$AG$6,AH$6,$D32:$AG32)</f>
        <v>2404</v>
      </c>
      <c r="AI32" s="177">
        <f>IF(AH32=0,0,AJ32/AH32)</f>
        <v>3803.8352745424295</v>
      </c>
      <c r="AJ32" s="178">
        <f>SUMIF($D$6:$AG$6,AJ$6,$D32:$AG32)</f>
        <v>9144420</v>
      </c>
      <c r="AK32" s="301">
        <v>1290</v>
      </c>
      <c r="AL32" s="173">
        <v>3400</v>
      </c>
      <c r="AM32" s="174">
        <f>AK32*AL32</f>
        <v>4386000</v>
      </c>
      <c r="AN32" s="270">
        <v>80</v>
      </c>
      <c r="AO32" s="268">
        <v>3100</v>
      </c>
      <c r="AP32" s="174">
        <f>AN32*AO32</f>
        <v>248000</v>
      </c>
      <c r="AQ32" s="175">
        <v>200</v>
      </c>
      <c r="AR32" s="173">
        <v>3000</v>
      </c>
      <c r="AS32" s="174">
        <f>AQ32*AR32</f>
        <v>600000</v>
      </c>
      <c r="AT32" s="175">
        <v>350</v>
      </c>
      <c r="AU32" s="173">
        <v>3745</v>
      </c>
      <c r="AV32" s="174">
        <f>AT32*AU32</f>
        <v>1310750</v>
      </c>
      <c r="AW32" s="270">
        <v>30</v>
      </c>
      <c r="AX32" s="268">
        <v>3100</v>
      </c>
      <c r="AY32" s="174">
        <f>AW32*AX32</f>
        <v>93000</v>
      </c>
      <c r="AZ32" s="55"/>
      <c r="BA32" s="56"/>
      <c r="BB32" s="43">
        <f>AZ32*BA32</f>
        <v>0</v>
      </c>
      <c r="BC32" s="49"/>
      <c r="BD32" s="42"/>
      <c r="BE32" s="43">
        <f t="shared" ref="BE32:BE34" si="40">BC32*BD32</f>
        <v>0</v>
      </c>
      <c r="BF32" s="49"/>
      <c r="BG32" s="42"/>
      <c r="BH32" s="43">
        <f t="shared" ref="BH32:BH34" si="41">BF32*BG32</f>
        <v>0</v>
      </c>
      <c r="BI32" s="49"/>
      <c r="BJ32" s="42"/>
      <c r="BK32" s="43">
        <f t="shared" ref="BK32:BK34" si="42">BI32*BJ32</f>
        <v>0</v>
      </c>
      <c r="BL32" s="49"/>
      <c r="BM32" s="42"/>
      <c r="BN32" s="43">
        <f t="shared" ref="BN32:BN34" si="43">BL32*BM32</f>
        <v>0</v>
      </c>
      <c r="BO32" s="45">
        <f>SUMIF($AK$6:$BN$6,BO$6,$AK32:$BN32)</f>
        <v>1950</v>
      </c>
      <c r="BP32" s="46">
        <f t="shared" si="6"/>
        <v>3403.9743589743589</v>
      </c>
      <c r="BQ32" s="47">
        <f>SUMIF($AK$6:$BN$6,BQ$6,$AK32:$BN32)</f>
        <v>6637750</v>
      </c>
      <c r="BR32" s="45">
        <f>BO32+AH32</f>
        <v>4354</v>
      </c>
      <c r="BS32" s="46">
        <f t="shared" si="7"/>
        <v>3624.7519522278367</v>
      </c>
      <c r="BT32" s="47">
        <f>BQ32+AJ32</f>
        <v>15782170</v>
      </c>
      <c r="BV32" s="50">
        <f>261*31</f>
        <v>8091</v>
      </c>
      <c r="BW32" s="51">
        <f t="shared" si="8"/>
        <v>0.53812878506983064</v>
      </c>
    </row>
    <row r="33" spans="1:75" x14ac:dyDescent="0.2">
      <c r="A33" s="39" t="e">
        <f>DATE(YEAR(A29),MONTH(A29)+2,1)-1</f>
        <v>#REF!</v>
      </c>
      <c r="B33" s="521"/>
      <c r="C33" s="52" t="s">
        <v>30</v>
      </c>
      <c r="D33" s="179">
        <v>200</v>
      </c>
      <c r="E33" s="173">
        <v>5631</v>
      </c>
      <c r="F33" s="174">
        <f>D33*E33</f>
        <v>1126200</v>
      </c>
      <c r="G33" s="175"/>
      <c r="H33" s="173"/>
      <c r="I33" s="174"/>
      <c r="J33" s="175">
        <v>250</v>
      </c>
      <c r="K33" s="173">
        <v>4131</v>
      </c>
      <c r="L33" s="174">
        <f>J33*K33</f>
        <v>1032750</v>
      </c>
      <c r="M33" s="175">
        <v>160</v>
      </c>
      <c r="N33" s="173">
        <v>3244</v>
      </c>
      <c r="O33" s="171">
        <f>M33*N33</f>
        <v>519040</v>
      </c>
      <c r="P33" s="172">
        <v>1100</v>
      </c>
      <c r="Q33" s="173">
        <v>3359</v>
      </c>
      <c r="R33" s="174">
        <f>P33*Q33</f>
        <v>3694900</v>
      </c>
      <c r="S33" s="175">
        <v>500</v>
      </c>
      <c r="T33" s="173">
        <v>3661</v>
      </c>
      <c r="U33" s="174">
        <f>S33*T33</f>
        <v>1830500</v>
      </c>
      <c r="V33" s="175">
        <v>50</v>
      </c>
      <c r="W33" s="173">
        <v>3200</v>
      </c>
      <c r="X33" s="174">
        <f>V33*W33</f>
        <v>160000</v>
      </c>
      <c r="Y33" s="175">
        <v>80</v>
      </c>
      <c r="Z33" s="173">
        <v>4500</v>
      </c>
      <c r="AA33" s="174">
        <f>Y33*Z33</f>
        <v>360000</v>
      </c>
      <c r="AB33" s="175">
        <v>0</v>
      </c>
      <c r="AC33" s="173">
        <v>0</v>
      </c>
      <c r="AD33" s="174">
        <f>AB33*AC33</f>
        <v>0</v>
      </c>
      <c r="AE33" s="175">
        <v>5</v>
      </c>
      <c r="AF33" s="173">
        <v>2640</v>
      </c>
      <c r="AG33" s="171">
        <f>AE33*AF33</f>
        <v>13200</v>
      </c>
      <c r="AH33" s="176">
        <f>SUMIF($D$6:$AG$6,AH$6,$D33:$AG33)</f>
        <v>2345</v>
      </c>
      <c r="AI33" s="177">
        <f>IF(AH33=0,0,AJ33/AH33)</f>
        <v>3725.6247334754798</v>
      </c>
      <c r="AJ33" s="178">
        <f>SUMIF($D$6:$AG$6,AJ$6,$D33:$AG33)</f>
        <v>8736590</v>
      </c>
      <c r="AK33" s="179">
        <v>1100</v>
      </c>
      <c r="AL33" s="173">
        <v>3100</v>
      </c>
      <c r="AM33" s="174">
        <f>AK33*AL33</f>
        <v>3410000</v>
      </c>
      <c r="AN33" s="175">
        <v>0</v>
      </c>
      <c r="AO33" s="173">
        <v>0</v>
      </c>
      <c r="AP33" s="174">
        <f>AN33*AO33</f>
        <v>0</v>
      </c>
      <c r="AQ33" s="175">
        <v>200</v>
      </c>
      <c r="AR33" s="173">
        <v>3000</v>
      </c>
      <c r="AS33" s="174">
        <f>AQ33*AR33</f>
        <v>600000</v>
      </c>
      <c r="AT33" s="175">
        <v>350</v>
      </c>
      <c r="AU33" s="173">
        <v>3745</v>
      </c>
      <c r="AV33" s="174">
        <f>AT33*AU33</f>
        <v>1310750</v>
      </c>
      <c r="AW33" s="175">
        <v>0</v>
      </c>
      <c r="AX33" s="173">
        <v>0</v>
      </c>
      <c r="AY33" s="174">
        <f>AW33*AX33</f>
        <v>0</v>
      </c>
      <c r="AZ33" s="55"/>
      <c r="BA33" s="56"/>
      <c r="BB33" s="43">
        <f>AZ33*BA33</f>
        <v>0</v>
      </c>
      <c r="BC33" s="55"/>
      <c r="BD33" s="56"/>
      <c r="BE33" s="57">
        <f t="shared" si="40"/>
        <v>0</v>
      </c>
      <c r="BF33" s="55"/>
      <c r="BG33" s="56"/>
      <c r="BH33" s="57">
        <f t="shared" si="41"/>
        <v>0</v>
      </c>
      <c r="BI33" s="55"/>
      <c r="BJ33" s="56"/>
      <c r="BK33" s="57">
        <f t="shared" si="42"/>
        <v>0</v>
      </c>
      <c r="BL33" s="55"/>
      <c r="BM33" s="56"/>
      <c r="BN33" s="57">
        <f t="shared" si="43"/>
        <v>0</v>
      </c>
      <c r="BO33" s="58">
        <f>SUMIF($AK$6:$BN$6,BO$6,$AK33:$BN33)</f>
        <v>1650</v>
      </c>
      <c r="BP33" s="59">
        <f t="shared" si="6"/>
        <v>3224.6969696969695</v>
      </c>
      <c r="BQ33" s="60">
        <f>SUMIF($AK$6:$BN$6,BQ$6,$AK33:$BN33)</f>
        <v>5320750</v>
      </c>
      <c r="BR33" s="58">
        <f>BO33+AH33</f>
        <v>3995</v>
      </c>
      <c r="BS33" s="59">
        <f t="shared" si="7"/>
        <v>3518.7334167709637</v>
      </c>
      <c r="BT33" s="60">
        <f>BQ33+AJ33</f>
        <v>14057340</v>
      </c>
      <c r="BV33" s="50">
        <f>261*31</f>
        <v>8091</v>
      </c>
      <c r="BW33" s="61">
        <f t="shared" si="8"/>
        <v>0.49375849709553826</v>
      </c>
    </row>
    <row r="34" spans="1:75" x14ac:dyDescent="0.2">
      <c r="A34" s="39" t="e">
        <f>DATE(YEAR(A30),MONTH(A30)+2,1)-1</f>
        <v>#REF!</v>
      </c>
      <c r="B34" s="522"/>
      <c r="C34" s="62" t="s">
        <v>33</v>
      </c>
      <c r="D34" s="134">
        <v>164.96879999999999</v>
      </c>
      <c r="E34" s="135">
        <v>5630.5069000000003</v>
      </c>
      <c r="F34" s="136">
        <f>D34*E34</f>
        <v>928857.96668472001</v>
      </c>
      <c r="G34" s="137">
        <f>+G35*(G33+1)</f>
        <v>0</v>
      </c>
      <c r="H34" s="135">
        <f>+H35*(H33+1)</f>
        <v>0</v>
      </c>
      <c r="I34" s="136">
        <f>G34*H34</f>
        <v>0</v>
      </c>
      <c r="J34" s="137">
        <v>97</v>
      </c>
      <c r="K34" s="135">
        <v>3230</v>
      </c>
      <c r="L34" s="136">
        <f>J34*K34</f>
        <v>313310</v>
      </c>
      <c r="M34" s="137">
        <v>25</v>
      </c>
      <c r="N34" s="135">
        <v>3134</v>
      </c>
      <c r="O34" s="136">
        <f>M34*N34</f>
        <v>78350</v>
      </c>
      <c r="P34" s="137">
        <v>507</v>
      </c>
      <c r="Q34" s="135">
        <v>3277</v>
      </c>
      <c r="R34" s="136">
        <f>P34*Q34</f>
        <v>1661439</v>
      </c>
      <c r="S34" s="137">
        <v>258</v>
      </c>
      <c r="T34" s="135">
        <v>3537</v>
      </c>
      <c r="U34" s="136">
        <f>S34*T34</f>
        <v>912546</v>
      </c>
      <c r="V34" s="137">
        <v>24</v>
      </c>
      <c r="W34" s="135">
        <v>3103</v>
      </c>
      <c r="X34" s="136">
        <f>V34*W34</f>
        <v>74472</v>
      </c>
      <c r="Y34" s="137">
        <v>14</v>
      </c>
      <c r="Z34" s="135">
        <v>4398</v>
      </c>
      <c r="AA34" s="136">
        <f>Y34*Z34</f>
        <v>61572</v>
      </c>
      <c r="AB34" s="137">
        <v>0</v>
      </c>
      <c r="AC34" s="135">
        <v>0</v>
      </c>
      <c r="AD34" s="136">
        <f>AB34*AC34</f>
        <v>0</v>
      </c>
      <c r="AE34" s="137">
        <v>1</v>
      </c>
      <c r="AF34" s="135">
        <v>2037</v>
      </c>
      <c r="AG34" s="138">
        <f>AE34*AF34</f>
        <v>2037</v>
      </c>
      <c r="AH34" s="139">
        <f>SUMIF($D$6:$AG$6,AH$6,$D34:$AG34)</f>
        <v>1090.9688000000001</v>
      </c>
      <c r="AI34" s="140">
        <f>IF(AH34=0,0,AJ34/AH34)</f>
        <v>3696.3329901686643</v>
      </c>
      <c r="AJ34" s="141">
        <f>SUMIF($D$6:$AG$6,AJ$6,$D34:$AG34)</f>
        <v>4032583.96668472</v>
      </c>
      <c r="AK34" s="134">
        <v>509.50689999999997</v>
      </c>
      <c r="AL34" s="135">
        <v>2764.5052000000001</v>
      </c>
      <c r="AM34" s="136">
        <f>AK34*AL34</f>
        <v>1408534.47448588</v>
      </c>
      <c r="AN34" s="134">
        <v>0</v>
      </c>
      <c r="AO34" s="135">
        <v>0</v>
      </c>
      <c r="AP34" s="136">
        <f>AN34*AO34</f>
        <v>0</v>
      </c>
      <c r="AQ34" s="137">
        <v>0</v>
      </c>
      <c r="AR34" s="135">
        <v>0</v>
      </c>
      <c r="AS34" s="136">
        <f>AQ34*AR34</f>
        <v>0</v>
      </c>
      <c r="AT34" s="137">
        <v>334.52600000000001</v>
      </c>
      <c r="AU34" s="135">
        <v>3618.6559000000002</v>
      </c>
      <c r="AV34" s="136">
        <f>AT34*AU34</f>
        <v>1210534.4836034002</v>
      </c>
      <c r="AW34" s="137">
        <v>0</v>
      </c>
      <c r="AX34" s="135">
        <v>0</v>
      </c>
      <c r="AY34" s="136">
        <f>AW34*AX34</f>
        <v>0</v>
      </c>
      <c r="AZ34" s="142"/>
      <c r="BA34" s="135"/>
      <c r="BB34" s="136">
        <f>AZ34*BA34</f>
        <v>0</v>
      </c>
      <c r="BC34" s="64"/>
      <c r="BD34" s="65"/>
      <c r="BE34" s="63">
        <f t="shared" si="40"/>
        <v>0</v>
      </c>
      <c r="BF34" s="64"/>
      <c r="BG34" s="65"/>
      <c r="BH34" s="63">
        <f t="shared" si="41"/>
        <v>0</v>
      </c>
      <c r="BI34" s="64"/>
      <c r="BJ34" s="65"/>
      <c r="BK34" s="63">
        <f t="shared" si="42"/>
        <v>0</v>
      </c>
      <c r="BL34" s="64"/>
      <c r="BM34" s="65"/>
      <c r="BN34" s="63">
        <f t="shared" si="43"/>
        <v>0</v>
      </c>
      <c r="BO34" s="66">
        <f>SUMIF($AK$6:$BN$6,BO$6,$AK34:$BN34)</f>
        <v>844.03289999999993</v>
      </c>
      <c r="BP34" s="67">
        <f t="shared" si="6"/>
        <v>3103.0413128318578</v>
      </c>
      <c r="BQ34" s="68">
        <f>SUMIF($AK$6:$BN$6,BQ$6,$AK34:$BN34)</f>
        <v>2619068.9580892799</v>
      </c>
      <c r="BR34" s="66">
        <f>BO34+AH34</f>
        <v>1935.0017</v>
      </c>
      <c r="BS34" s="67">
        <f t="shared" si="7"/>
        <v>3437.5437110851117</v>
      </c>
      <c r="BT34" s="68">
        <f>BQ34+AJ34</f>
        <v>6651652.9247740004</v>
      </c>
      <c r="BV34" s="50">
        <f>261*31</f>
        <v>8091</v>
      </c>
      <c r="BW34" s="61">
        <f t="shared" si="8"/>
        <v>0.23915482635026572</v>
      </c>
    </row>
    <row r="35" spans="1:75" x14ac:dyDescent="0.2">
      <c r="A35" s="39"/>
      <c r="B35" s="520">
        <f>DATE(YEAR(B31),MONTH(B31)+2,1)-1</f>
        <v>244</v>
      </c>
      <c r="C35" s="24" t="s">
        <v>27</v>
      </c>
      <c r="D35" s="25">
        <f>(D36/D37)-1</f>
        <v>0.16999999999999993</v>
      </c>
      <c r="E35" s="26">
        <f>(E36/E37)-1</f>
        <v>0</v>
      </c>
      <c r="F35" s="25">
        <f>(F36/F37)-1</f>
        <v>0.16999999999999993</v>
      </c>
      <c r="G35" s="27"/>
      <c r="H35" s="26"/>
      <c r="I35" s="28"/>
      <c r="J35" s="29">
        <f t="shared" ref="J35:AY35" si="44">J36/J37-1</f>
        <v>-0.34782608695652173</v>
      </c>
      <c r="K35" s="70">
        <f t="shared" si="44"/>
        <v>0</v>
      </c>
      <c r="L35" s="25">
        <f t="shared" si="44"/>
        <v>-0.34782608695652173</v>
      </c>
      <c r="M35" s="29">
        <f t="shared" si="44"/>
        <v>0</v>
      </c>
      <c r="N35" s="70">
        <f t="shared" si="44"/>
        <v>0</v>
      </c>
      <c r="O35" s="25">
        <f t="shared" si="44"/>
        <v>0</v>
      </c>
      <c r="P35" s="29">
        <f t="shared" si="44"/>
        <v>0</v>
      </c>
      <c r="Q35" s="70">
        <f t="shared" si="44"/>
        <v>0</v>
      </c>
      <c r="R35" s="25">
        <f t="shared" si="44"/>
        <v>0</v>
      </c>
      <c r="S35" s="29">
        <f t="shared" si="44"/>
        <v>2.4999999999999911E-2</v>
      </c>
      <c r="T35" s="70">
        <f t="shared" si="44"/>
        <v>0</v>
      </c>
      <c r="U35" s="70">
        <f t="shared" si="44"/>
        <v>2.4999999999999911E-2</v>
      </c>
      <c r="V35" s="29">
        <f t="shared" si="44"/>
        <v>0</v>
      </c>
      <c r="W35" s="70">
        <f t="shared" si="44"/>
        <v>0</v>
      </c>
      <c r="X35" s="25">
        <f t="shared" si="44"/>
        <v>0</v>
      </c>
      <c r="Y35" s="29">
        <f t="shared" si="44"/>
        <v>0</v>
      </c>
      <c r="Z35" s="70">
        <f t="shared" si="44"/>
        <v>0</v>
      </c>
      <c r="AA35" s="25">
        <f t="shared" si="44"/>
        <v>0</v>
      </c>
      <c r="AB35" s="29" t="e">
        <f t="shared" si="44"/>
        <v>#DIV/0!</v>
      </c>
      <c r="AC35" s="70" t="e">
        <f t="shared" si="44"/>
        <v>#DIV/0!</v>
      </c>
      <c r="AD35" s="25" t="e">
        <f t="shared" si="44"/>
        <v>#DIV/0!</v>
      </c>
      <c r="AE35" s="29">
        <f t="shared" si="44"/>
        <v>0</v>
      </c>
      <c r="AF35" s="70">
        <f t="shared" si="44"/>
        <v>0</v>
      </c>
      <c r="AG35" s="28">
        <f t="shared" si="44"/>
        <v>0</v>
      </c>
      <c r="AH35" s="154">
        <f t="shared" si="44"/>
        <v>7.2332730560578096E-3</v>
      </c>
      <c r="AI35" s="76">
        <f t="shared" si="44"/>
        <v>1.096094759603905E-2</v>
      </c>
      <c r="AJ35" s="77">
        <f t="shared" si="44"/>
        <v>1.8273504179012079E-2</v>
      </c>
      <c r="AK35" s="28">
        <f t="shared" si="44"/>
        <v>0</v>
      </c>
      <c r="AL35" s="70">
        <f t="shared" si="44"/>
        <v>0</v>
      </c>
      <c r="AM35" s="31">
        <f t="shared" si="44"/>
        <v>0</v>
      </c>
      <c r="AN35" s="28" t="e">
        <f t="shared" si="44"/>
        <v>#DIV/0!</v>
      </c>
      <c r="AO35" s="70" t="e">
        <f t="shared" si="44"/>
        <v>#DIV/0!</v>
      </c>
      <c r="AP35" s="25" t="e">
        <f t="shared" si="44"/>
        <v>#DIV/0!</v>
      </c>
      <c r="AQ35" s="29">
        <f t="shared" si="44"/>
        <v>0</v>
      </c>
      <c r="AR35" s="70">
        <f t="shared" si="44"/>
        <v>0</v>
      </c>
      <c r="AS35" s="25">
        <f t="shared" si="44"/>
        <v>0</v>
      </c>
      <c r="AT35" s="29">
        <f t="shared" si="44"/>
        <v>0</v>
      </c>
      <c r="AU35" s="70">
        <f t="shared" si="44"/>
        <v>0</v>
      </c>
      <c r="AV35" s="25">
        <f t="shared" si="44"/>
        <v>0</v>
      </c>
      <c r="AW35" s="29">
        <f t="shared" si="44"/>
        <v>0</v>
      </c>
      <c r="AX35" s="70">
        <f t="shared" si="44"/>
        <v>0</v>
      </c>
      <c r="AY35" s="31">
        <f t="shared" si="44"/>
        <v>0</v>
      </c>
      <c r="AZ35" s="33"/>
      <c r="BA35" s="33"/>
      <c r="BB35" s="34"/>
      <c r="BC35" s="35"/>
      <c r="BD35" s="33"/>
      <c r="BE35" s="34"/>
      <c r="BF35" s="35"/>
      <c r="BG35" s="33"/>
      <c r="BH35" s="34"/>
      <c r="BI35" s="35"/>
      <c r="BJ35" s="33"/>
      <c r="BK35" s="34"/>
      <c r="BL35" s="35"/>
      <c r="BM35" s="33"/>
      <c r="BN35" s="34"/>
      <c r="BO35" s="29">
        <f t="shared" ref="BO35:BQ35" si="45">BO36/BO37-1</f>
        <v>0</v>
      </c>
      <c r="BP35" s="70">
        <f t="shared" si="45"/>
        <v>0</v>
      </c>
      <c r="BQ35" s="31">
        <f t="shared" si="45"/>
        <v>0</v>
      </c>
      <c r="BR35" s="32">
        <v>8.5900000000000004E-2</v>
      </c>
      <c r="BS35" s="70">
        <v>4.8999999999999998E-3</v>
      </c>
      <c r="BT35" s="77">
        <f t="shared" ref="BT35" si="46">BT36/BT37-1</f>
        <v>1.2980574785309562E-2</v>
      </c>
      <c r="BU35" s="75"/>
      <c r="BV35" s="50"/>
      <c r="BW35" s="51"/>
    </row>
    <row r="36" spans="1:75" x14ac:dyDescent="0.2">
      <c r="A36" s="39" t="e">
        <f>DATE(YEAR(A32),MONTH(A32)+2,1)-1</f>
        <v>#REF!</v>
      </c>
      <c r="B36" s="521"/>
      <c r="C36" s="40" t="s">
        <v>34</v>
      </c>
      <c r="D36" s="179">
        <v>585</v>
      </c>
      <c r="E36" s="173">
        <v>5500</v>
      </c>
      <c r="F36" s="174">
        <f>D36*E36</f>
        <v>3217500</v>
      </c>
      <c r="G36" s="175"/>
      <c r="H36" s="173"/>
      <c r="I36" s="174"/>
      <c r="J36" s="175">
        <v>150</v>
      </c>
      <c r="K36" s="173">
        <v>4064</v>
      </c>
      <c r="L36" s="174">
        <f>J36*K36</f>
        <v>609600</v>
      </c>
      <c r="M36" s="175">
        <v>100</v>
      </c>
      <c r="N36" s="173">
        <v>3050</v>
      </c>
      <c r="O36" s="174">
        <f>M36*N36</f>
        <v>305000</v>
      </c>
      <c r="P36" s="175">
        <v>1100</v>
      </c>
      <c r="Q36" s="173">
        <v>3510</v>
      </c>
      <c r="R36" s="174">
        <f>P36*Q36</f>
        <v>3861000</v>
      </c>
      <c r="S36" s="175">
        <v>615</v>
      </c>
      <c r="T36" s="173">
        <v>3731</v>
      </c>
      <c r="U36" s="174">
        <f>S36*T36</f>
        <v>2294565</v>
      </c>
      <c r="V36" s="175">
        <v>150</v>
      </c>
      <c r="W36" s="173">
        <v>3300</v>
      </c>
      <c r="X36" s="174">
        <f>V36*W36</f>
        <v>495000</v>
      </c>
      <c r="Y36" s="175">
        <v>80</v>
      </c>
      <c r="Z36" s="173">
        <v>3209</v>
      </c>
      <c r="AA36" s="174">
        <f>Y36*Z36</f>
        <v>256720</v>
      </c>
      <c r="AB36" s="175">
        <v>0</v>
      </c>
      <c r="AC36" s="173">
        <v>0</v>
      </c>
      <c r="AD36" s="174">
        <f>AB36*AC36</f>
        <v>0</v>
      </c>
      <c r="AE36" s="175">
        <v>5</v>
      </c>
      <c r="AF36" s="173">
        <v>2640</v>
      </c>
      <c r="AG36" s="171">
        <f>AE36*AF36</f>
        <v>13200</v>
      </c>
      <c r="AH36" s="176">
        <f>SUMIF($D$6:$AG$6,AH$6,$D36:$AG36)</f>
        <v>2785</v>
      </c>
      <c r="AI36" s="177">
        <f>IF(AH36=0,0,AJ36/AH36)</f>
        <v>3968.612208258528</v>
      </c>
      <c r="AJ36" s="178">
        <f>SUMIF($D$6:$AG$6,AJ$6,$D36:$AG36)</f>
        <v>11052585</v>
      </c>
      <c r="AK36" s="179">
        <v>800</v>
      </c>
      <c r="AL36" s="173">
        <v>3200</v>
      </c>
      <c r="AM36" s="174">
        <f>AK36*AL36</f>
        <v>2560000</v>
      </c>
      <c r="AN36" s="175">
        <v>0</v>
      </c>
      <c r="AO36" s="173">
        <v>0</v>
      </c>
      <c r="AP36" s="174">
        <f>AN36*AO36</f>
        <v>0</v>
      </c>
      <c r="AQ36" s="175">
        <v>375</v>
      </c>
      <c r="AR36" s="173">
        <v>2800</v>
      </c>
      <c r="AS36" s="174">
        <f>AQ36*AR36</f>
        <v>1050000</v>
      </c>
      <c r="AT36" s="175">
        <v>250</v>
      </c>
      <c r="AU36" s="173">
        <v>2483.6</v>
      </c>
      <c r="AV36" s="174">
        <f>AT36*AU36</f>
        <v>620900</v>
      </c>
      <c r="AW36" s="175">
        <v>65</v>
      </c>
      <c r="AX36" s="173">
        <v>3000</v>
      </c>
      <c r="AY36" s="174">
        <f>AW36*AX36</f>
        <v>195000</v>
      </c>
      <c r="AZ36" s="55"/>
      <c r="BA36" s="56"/>
      <c r="BB36" s="43">
        <f>AZ36*BA36</f>
        <v>0</v>
      </c>
      <c r="BC36" s="49"/>
      <c r="BD36" s="42"/>
      <c r="BE36" s="43">
        <f t="shared" ref="BE36:BE38" si="47">BC36*BD36</f>
        <v>0</v>
      </c>
      <c r="BF36" s="49"/>
      <c r="BG36" s="42"/>
      <c r="BH36" s="43">
        <f t="shared" ref="BH36:BH38" si="48">BF36*BG36</f>
        <v>0</v>
      </c>
      <c r="BI36" s="49"/>
      <c r="BJ36" s="42"/>
      <c r="BK36" s="43">
        <f t="shared" ref="BK36:BK38" si="49">BI36*BJ36</f>
        <v>0</v>
      </c>
      <c r="BL36" s="49"/>
      <c r="BM36" s="42"/>
      <c r="BN36" s="43">
        <f t="shared" ref="BN36:BN38" si="50">BL36*BM36</f>
        <v>0</v>
      </c>
      <c r="BO36" s="45">
        <f>SUMIF($AK$6:$BN$6,BO$6,$AK36:$BN36)</f>
        <v>1490</v>
      </c>
      <c r="BP36" s="46">
        <f t="shared" si="6"/>
        <v>2970.4026845637586</v>
      </c>
      <c r="BQ36" s="47">
        <f>SUMIF($AK$6:$BN$6,BQ$6,$AK36:$BN36)</f>
        <v>4425900</v>
      </c>
      <c r="BR36" s="45">
        <f>BO36+AH36</f>
        <v>4275</v>
      </c>
      <c r="BS36" s="46">
        <f t="shared" si="7"/>
        <v>3620.6982456140349</v>
      </c>
      <c r="BT36" s="47">
        <f>BQ36+AJ36</f>
        <v>15478485</v>
      </c>
      <c r="BV36" s="50">
        <f>261*31</f>
        <v>8091</v>
      </c>
      <c r="BW36" s="51">
        <f t="shared" si="8"/>
        <v>0.52836484983314791</v>
      </c>
    </row>
    <row r="37" spans="1:75" x14ac:dyDescent="0.2">
      <c r="A37" s="39" t="e">
        <f>DATE(YEAR(A33),MONTH(A33)+2,1)-1</f>
        <v>#REF!</v>
      </c>
      <c r="B37" s="521"/>
      <c r="C37" s="52" t="s">
        <v>30</v>
      </c>
      <c r="D37" s="179">
        <v>500</v>
      </c>
      <c r="E37" s="173">
        <v>5500</v>
      </c>
      <c r="F37" s="174">
        <f>D37*E37</f>
        <v>2750000</v>
      </c>
      <c r="G37" s="175"/>
      <c r="H37" s="173"/>
      <c r="I37" s="174"/>
      <c r="J37" s="175">
        <v>230</v>
      </c>
      <c r="K37" s="173">
        <v>4064</v>
      </c>
      <c r="L37" s="174">
        <f>J37*K37</f>
        <v>934720</v>
      </c>
      <c r="M37" s="175">
        <v>100</v>
      </c>
      <c r="N37" s="173">
        <v>3050</v>
      </c>
      <c r="O37" s="174">
        <f>M37*N37</f>
        <v>305000</v>
      </c>
      <c r="P37" s="175">
        <v>1100</v>
      </c>
      <c r="Q37" s="173">
        <v>3510</v>
      </c>
      <c r="R37" s="174">
        <f>P37*Q37</f>
        <v>3861000</v>
      </c>
      <c r="S37" s="175">
        <v>600</v>
      </c>
      <c r="T37" s="173">
        <v>3731</v>
      </c>
      <c r="U37" s="174">
        <f>S37*T37</f>
        <v>2238600</v>
      </c>
      <c r="V37" s="175">
        <v>150</v>
      </c>
      <c r="W37" s="173">
        <v>3300</v>
      </c>
      <c r="X37" s="174">
        <f>V37*W37</f>
        <v>495000</v>
      </c>
      <c r="Y37" s="175">
        <v>80</v>
      </c>
      <c r="Z37" s="173">
        <v>3209</v>
      </c>
      <c r="AA37" s="174">
        <f>Y37*Z37</f>
        <v>256720</v>
      </c>
      <c r="AB37" s="175">
        <v>0</v>
      </c>
      <c r="AC37" s="173">
        <v>0</v>
      </c>
      <c r="AD37" s="174">
        <f>AB37*AC37</f>
        <v>0</v>
      </c>
      <c r="AE37" s="175">
        <v>5</v>
      </c>
      <c r="AF37" s="173">
        <v>2640</v>
      </c>
      <c r="AG37" s="171">
        <f>AE37*AF37</f>
        <v>13200</v>
      </c>
      <c r="AH37" s="176">
        <f>SUMIF($D$6:$AG$6,AH$6,$D37:$AG37)</f>
        <v>2765</v>
      </c>
      <c r="AI37" s="177">
        <f>IF(AH37=0,0,AJ37/AH37)</f>
        <v>3925.5840867992765</v>
      </c>
      <c r="AJ37" s="178">
        <f>SUMIF($D$6:$AG$6,AJ$6,$D37:$AG37)</f>
        <v>10854240</v>
      </c>
      <c r="AK37" s="179">
        <v>800</v>
      </c>
      <c r="AL37" s="173">
        <v>3200</v>
      </c>
      <c r="AM37" s="174">
        <f>AK37*AL37</f>
        <v>2560000</v>
      </c>
      <c r="AN37" s="175">
        <v>0</v>
      </c>
      <c r="AO37" s="173">
        <v>0</v>
      </c>
      <c r="AP37" s="174">
        <f>AN37*AO37</f>
        <v>0</v>
      </c>
      <c r="AQ37" s="175">
        <v>375</v>
      </c>
      <c r="AR37" s="173">
        <v>2800</v>
      </c>
      <c r="AS37" s="174">
        <f>AQ37*AR37</f>
        <v>1050000</v>
      </c>
      <c r="AT37" s="175">
        <v>250</v>
      </c>
      <c r="AU37" s="173">
        <v>2483.6</v>
      </c>
      <c r="AV37" s="174">
        <f>AT37*AU37</f>
        <v>620900</v>
      </c>
      <c r="AW37" s="175">
        <v>65</v>
      </c>
      <c r="AX37" s="173">
        <v>3000</v>
      </c>
      <c r="AY37" s="174">
        <f>AW37*AX37</f>
        <v>195000</v>
      </c>
      <c r="AZ37" s="55"/>
      <c r="BA37" s="56"/>
      <c r="BB37" s="43">
        <f>AZ37*BA37</f>
        <v>0</v>
      </c>
      <c r="BC37" s="55"/>
      <c r="BD37" s="56"/>
      <c r="BE37" s="57">
        <f t="shared" si="47"/>
        <v>0</v>
      </c>
      <c r="BF37" s="55"/>
      <c r="BG37" s="56"/>
      <c r="BH37" s="57">
        <f t="shared" si="48"/>
        <v>0</v>
      </c>
      <c r="BI37" s="55"/>
      <c r="BJ37" s="56"/>
      <c r="BK37" s="57">
        <f t="shared" si="49"/>
        <v>0</v>
      </c>
      <c r="BL37" s="55"/>
      <c r="BM37" s="56"/>
      <c r="BN37" s="57">
        <f t="shared" si="50"/>
        <v>0</v>
      </c>
      <c r="BO37" s="58">
        <f>SUMIF($AK$6:$BN$6,BO$6,$AK37:$BN37)</f>
        <v>1490</v>
      </c>
      <c r="BP37" s="59">
        <f t="shared" si="6"/>
        <v>2970.4026845637586</v>
      </c>
      <c r="BQ37" s="60">
        <f>SUMIF($AK$6:$BN$6,BQ$6,$AK37:$BN37)</f>
        <v>4425900</v>
      </c>
      <c r="BR37" s="58">
        <f>BO37+AH37</f>
        <v>4255</v>
      </c>
      <c r="BS37" s="59">
        <f t="shared" si="7"/>
        <v>3591.1022326674502</v>
      </c>
      <c r="BT37" s="60">
        <f>BQ37+AJ37</f>
        <v>15280140</v>
      </c>
      <c r="BV37" s="50">
        <f>261*31</f>
        <v>8091</v>
      </c>
      <c r="BW37" s="61">
        <f t="shared" si="8"/>
        <v>0.52589296749474723</v>
      </c>
    </row>
    <row r="38" spans="1:75" x14ac:dyDescent="0.2">
      <c r="A38" s="39" t="e">
        <f>DATE(YEAR(A34),MONTH(A34)+2,1)-1</f>
        <v>#REF!</v>
      </c>
      <c r="B38" s="522"/>
      <c r="C38" s="62" t="s">
        <v>33</v>
      </c>
      <c r="D38" s="196">
        <v>266</v>
      </c>
      <c r="E38" s="197">
        <v>5784.4268000000002</v>
      </c>
      <c r="F38" s="198">
        <f>D38*E38</f>
        <v>1538657.5288</v>
      </c>
      <c r="G38" s="199">
        <f>+G39*(G37+1)</f>
        <v>0</v>
      </c>
      <c r="H38" s="197">
        <f>+H39*(H37+1)</f>
        <v>0</v>
      </c>
      <c r="I38" s="198">
        <f>G38*H38</f>
        <v>0</v>
      </c>
      <c r="J38" s="199">
        <v>70</v>
      </c>
      <c r="K38" s="197">
        <v>3663.4234999999999</v>
      </c>
      <c r="L38" s="198">
        <f>J38*K38</f>
        <v>256439.64499999999</v>
      </c>
      <c r="M38" s="199">
        <v>49</v>
      </c>
      <c r="N38" s="197">
        <v>3183.4234999999999</v>
      </c>
      <c r="O38" s="198">
        <f>M38*N38</f>
        <v>155987.75149999998</v>
      </c>
      <c r="P38" s="199">
        <v>496</v>
      </c>
      <c r="Q38" s="197">
        <v>3036.3841000000002</v>
      </c>
      <c r="R38" s="198">
        <f>P38*Q38</f>
        <v>1506046.5136000002</v>
      </c>
      <c r="S38" s="199">
        <v>361</v>
      </c>
      <c r="T38" s="197">
        <v>3576</v>
      </c>
      <c r="U38" s="198">
        <f>S38*T38</f>
        <v>1290936</v>
      </c>
      <c r="V38" s="199">
        <v>19</v>
      </c>
      <c r="W38" s="197">
        <v>3302</v>
      </c>
      <c r="X38" s="198">
        <f>V38*W38</f>
        <v>62738</v>
      </c>
      <c r="Y38" s="199">
        <v>12</v>
      </c>
      <c r="Z38" s="197">
        <v>4093</v>
      </c>
      <c r="AA38" s="198">
        <f>Y38*Z38</f>
        <v>49116</v>
      </c>
      <c r="AB38" s="199">
        <v>0</v>
      </c>
      <c r="AC38" s="197">
        <v>0</v>
      </c>
      <c r="AD38" s="198">
        <f>AB38*AC38</f>
        <v>0</v>
      </c>
      <c r="AE38" s="199">
        <v>2</v>
      </c>
      <c r="AF38" s="197">
        <v>2037</v>
      </c>
      <c r="AG38" s="200">
        <f>AE38*AF38</f>
        <v>4074</v>
      </c>
      <c r="AH38" s="201">
        <f>SUMIF($D$6:$AG$6,AH$6,$D38:$AG38)</f>
        <v>1275</v>
      </c>
      <c r="AI38" s="202">
        <f>IF(AH38=0,0,AJ38/AH38)</f>
        <v>3814.8983834509809</v>
      </c>
      <c r="AJ38" s="203">
        <f>SUMIF($D$6:$AG$6,AJ$6,$D38:$AG38)</f>
        <v>4863995.4389000004</v>
      </c>
      <c r="AK38" s="196">
        <v>193</v>
      </c>
      <c r="AL38" s="197">
        <v>3371.4834999999998</v>
      </c>
      <c r="AM38" s="198">
        <f>AK38*AL38</f>
        <v>650696.31549999991</v>
      </c>
      <c r="AN38" s="196">
        <v>0</v>
      </c>
      <c r="AO38" s="197">
        <v>0</v>
      </c>
      <c r="AP38" s="198">
        <f>AN38*AO38</f>
        <v>0</v>
      </c>
      <c r="AQ38" s="199">
        <v>0</v>
      </c>
      <c r="AR38" s="197">
        <v>0</v>
      </c>
      <c r="AS38" s="198">
        <f>AQ38*AR38</f>
        <v>0</v>
      </c>
      <c r="AT38" s="199">
        <v>17</v>
      </c>
      <c r="AU38" s="197">
        <v>2692.4324999999999</v>
      </c>
      <c r="AV38" s="198">
        <f>AT38*AU38</f>
        <v>45771.352500000001</v>
      </c>
      <c r="AW38" s="199">
        <v>20</v>
      </c>
      <c r="AX38" s="197">
        <v>4667.4233999999997</v>
      </c>
      <c r="AY38" s="198">
        <f>AW38*AX38</f>
        <v>93348.467999999993</v>
      </c>
      <c r="AZ38" s="204"/>
      <c r="BA38" s="197"/>
      <c r="BB38" s="198">
        <f>AZ38*BA38</f>
        <v>0</v>
      </c>
      <c r="BC38" s="64"/>
      <c r="BD38" s="65"/>
      <c r="BE38" s="63">
        <f t="shared" si="47"/>
        <v>0</v>
      </c>
      <c r="BF38" s="64"/>
      <c r="BG38" s="65"/>
      <c r="BH38" s="63">
        <f t="shared" si="48"/>
        <v>0</v>
      </c>
      <c r="BI38" s="64"/>
      <c r="BJ38" s="65"/>
      <c r="BK38" s="63">
        <f t="shared" si="49"/>
        <v>0</v>
      </c>
      <c r="BL38" s="64"/>
      <c r="BM38" s="65"/>
      <c r="BN38" s="63">
        <f t="shared" si="50"/>
        <v>0</v>
      </c>
      <c r="BO38" s="66">
        <f>SUMIF($AK$6:$BN$6,BO$6,$AK38:$BN38)</f>
        <v>230</v>
      </c>
      <c r="BP38" s="67">
        <f t="shared" si="6"/>
        <v>3433.9831999999997</v>
      </c>
      <c r="BQ38" s="68">
        <f>SUMIF($AK$6:$BN$6,BQ$6,$AK38:$BN38)</f>
        <v>789816.13599999994</v>
      </c>
      <c r="BR38" s="66">
        <f>BO38+AH38</f>
        <v>1505</v>
      </c>
      <c r="BS38" s="67">
        <f t="shared" si="7"/>
        <v>3756.6854318272426</v>
      </c>
      <c r="BT38" s="68">
        <f>BQ38+AJ38</f>
        <v>5653811.5749000004</v>
      </c>
      <c r="BV38" s="50">
        <f>261*31</f>
        <v>8091</v>
      </c>
      <c r="BW38" s="61">
        <f t="shared" si="8"/>
        <v>0.1860091459646521</v>
      </c>
    </row>
    <row r="39" spans="1:75" x14ac:dyDescent="0.2">
      <c r="A39" s="39"/>
      <c r="B39" s="521">
        <f>DATE(YEAR(B35),MONTH(B35)+2,1)-1</f>
        <v>274</v>
      </c>
      <c r="C39" s="78" t="s">
        <v>27</v>
      </c>
      <c r="D39" s="79">
        <f>(D40/D41)-1</f>
        <v>8.6486486486486491E-2</v>
      </c>
      <c r="E39" s="80">
        <f>(E40/E41)-1</f>
        <v>0</v>
      </c>
      <c r="F39" s="79">
        <f>(F40/F41)-1</f>
        <v>8.6486486486486491E-2</v>
      </c>
      <c r="G39" s="81"/>
      <c r="H39" s="80"/>
      <c r="I39" s="82"/>
      <c r="J39" s="83">
        <f t="shared" ref="J39:AY39" si="51">J40/J41-1</f>
        <v>-0.4</v>
      </c>
      <c r="K39" s="30">
        <f t="shared" si="51"/>
        <v>0</v>
      </c>
      <c r="L39" s="79">
        <f t="shared" si="51"/>
        <v>-0.4</v>
      </c>
      <c r="M39" s="83">
        <f t="shared" si="51"/>
        <v>0</v>
      </c>
      <c r="N39" s="30">
        <f t="shared" si="51"/>
        <v>0</v>
      </c>
      <c r="O39" s="79">
        <f t="shared" si="51"/>
        <v>0</v>
      </c>
      <c r="P39" s="83">
        <f t="shared" si="51"/>
        <v>5.4945054945054972E-2</v>
      </c>
      <c r="Q39" s="30">
        <f t="shared" si="51"/>
        <v>0</v>
      </c>
      <c r="R39" s="79">
        <f t="shared" si="51"/>
        <v>5.4945054945054972E-2</v>
      </c>
      <c r="S39" s="83">
        <f t="shared" si="51"/>
        <v>5.0000000000000044E-2</v>
      </c>
      <c r="T39" s="30">
        <f t="shared" si="51"/>
        <v>0</v>
      </c>
      <c r="U39" s="30">
        <f t="shared" si="51"/>
        <v>5.0000000000000044E-2</v>
      </c>
      <c r="V39" s="83">
        <f t="shared" si="51"/>
        <v>0</v>
      </c>
      <c r="W39" s="30">
        <f t="shared" si="51"/>
        <v>0</v>
      </c>
      <c r="X39" s="79">
        <f t="shared" si="51"/>
        <v>0</v>
      </c>
      <c r="Y39" s="83">
        <f t="shared" si="51"/>
        <v>0</v>
      </c>
      <c r="Z39" s="30">
        <f t="shared" si="51"/>
        <v>0</v>
      </c>
      <c r="AA39" s="79">
        <f t="shared" si="51"/>
        <v>0</v>
      </c>
      <c r="AB39" s="83" t="e">
        <f t="shared" si="51"/>
        <v>#DIV/0!</v>
      </c>
      <c r="AC39" s="30" t="e">
        <f t="shared" si="51"/>
        <v>#DIV/0!</v>
      </c>
      <c r="AD39" s="79" t="e">
        <f t="shared" si="51"/>
        <v>#DIV/0!</v>
      </c>
      <c r="AE39" s="83">
        <f t="shared" si="51"/>
        <v>0</v>
      </c>
      <c r="AF39" s="30">
        <f t="shared" si="51"/>
        <v>0</v>
      </c>
      <c r="AG39" s="82">
        <f t="shared" si="51"/>
        <v>0</v>
      </c>
      <c r="AH39" s="194">
        <f t="shared" si="51"/>
        <v>0</v>
      </c>
      <c r="AI39" s="195">
        <f t="shared" si="51"/>
        <v>3.535938825975915E-4</v>
      </c>
      <c r="AJ39" s="89">
        <f t="shared" si="51"/>
        <v>3.5359388259781355E-4</v>
      </c>
      <c r="AK39" s="82">
        <f t="shared" si="51"/>
        <v>0</v>
      </c>
      <c r="AL39" s="30">
        <f t="shared" si="51"/>
        <v>0</v>
      </c>
      <c r="AM39" s="84">
        <f t="shared" si="51"/>
        <v>0</v>
      </c>
      <c r="AN39" s="82">
        <f t="shared" si="51"/>
        <v>0</v>
      </c>
      <c r="AO39" s="30">
        <f t="shared" si="51"/>
        <v>0</v>
      </c>
      <c r="AP39" s="79">
        <f t="shared" si="51"/>
        <v>0</v>
      </c>
      <c r="AQ39" s="83">
        <f t="shared" si="51"/>
        <v>0</v>
      </c>
      <c r="AR39" s="30">
        <f t="shared" si="51"/>
        <v>0</v>
      </c>
      <c r="AS39" s="79">
        <f t="shared" si="51"/>
        <v>0</v>
      </c>
      <c r="AT39" s="83">
        <f t="shared" si="51"/>
        <v>0</v>
      </c>
      <c r="AU39" s="30">
        <f t="shared" si="51"/>
        <v>0</v>
      </c>
      <c r="AV39" s="79">
        <f t="shared" si="51"/>
        <v>0</v>
      </c>
      <c r="AW39" s="83">
        <f t="shared" si="51"/>
        <v>0</v>
      </c>
      <c r="AX39" s="30">
        <f t="shared" si="51"/>
        <v>0</v>
      </c>
      <c r="AY39" s="84">
        <f t="shared" si="51"/>
        <v>0</v>
      </c>
      <c r="AZ39" s="86"/>
      <c r="BA39" s="86"/>
      <c r="BB39" s="87"/>
      <c r="BC39" s="88"/>
      <c r="BD39" s="86"/>
      <c r="BE39" s="87"/>
      <c r="BF39" s="88"/>
      <c r="BG39" s="86"/>
      <c r="BH39" s="87"/>
      <c r="BI39" s="88"/>
      <c r="BJ39" s="86"/>
      <c r="BK39" s="87"/>
      <c r="BL39" s="88"/>
      <c r="BM39" s="86"/>
      <c r="BN39" s="87"/>
      <c r="BO39" s="83">
        <f t="shared" ref="BO39:BQ39" si="52">BO40/BO41-1</f>
        <v>0</v>
      </c>
      <c r="BP39" s="30">
        <f t="shared" si="52"/>
        <v>0</v>
      </c>
      <c r="BQ39" s="84">
        <f t="shared" si="52"/>
        <v>0</v>
      </c>
      <c r="BR39" s="85">
        <v>9.6000000000000002E-2</v>
      </c>
      <c r="BS39" s="30">
        <v>5.8999999999999999E-3</v>
      </c>
      <c r="BT39" s="89">
        <v>0.1028</v>
      </c>
      <c r="BU39" s="75"/>
      <c r="BV39" s="50"/>
      <c r="BW39" s="51"/>
    </row>
    <row r="40" spans="1:75" x14ac:dyDescent="0.2">
      <c r="A40" s="39" t="e">
        <f>DATE(YEAR(A36),MONTH(A36)+2,1)-1</f>
        <v>#REF!</v>
      </c>
      <c r="B40" s="521"/>
      <c r="C40" s="40" t="s">
        <v>34</v>
      </c>
      <c r="D40" s="179">
        <v>402</v>
      </c>
      <c r="E40" s="173">
        <v>5500</v>
      </c>
      <c r="F40" s="174">
        <f>D40*E40</f>
        <v>2211000</v>
      </c>
      <c r="G40" s="175"/>
      <c r="H40" s="173"/>
      <c r="I40" s="174"/>
      <c r="J40" s="175">
        <v>150</v>
      </c>
      <c r="K40" s="173">
        <v>4064</v>
      </c>
      <c r="L40" s="174">
        <f>J40*K40</f>
        <v>609600</v>
      </c>
      <c r="M40" s="175">
        <v>130</v>
      </c>
      <c r="N40" s="173">
        <v>3519</v>
      </c>
      <c r="O40" s="174">
        <f>M40*N40</f>
        <v>457470</v>
      </c>
      <c r="P40" s="175">
        <v>960</v>
      </c>
      <c r="Q40" s="173">
        <v>3320</v>
      </c>
      <c r="R40" s="174">
        <f>P40*Q40</f>
        <v>3187200</v>
      </c>
      <c r="S40" s="175">
        <v>378</v>
      </c>
      <c r="T40" s="173">
        <v>3750</v>
      </c>
      <c r="U40" s="174">
        <f>S40*T40</f>
        <v>1417500</v>
      </c>
      <c r="V40" s="175">
        <v>100</v>
      </c>
      <c r="W40" s="173">
        <v>3650</v>
      </c>
      <c r="X40" s="174">
        <f>V40*W40</f>
        <v>365000</v>
      </c>
      <c r="Y40" s="175">
        <v>150</v>
      </c>
      <c r="Z40" s="173">
        <v>3395</v>
      </c>
      <c r="AA40" s="174">
        <f>Y40*Z40</f>
        <v>509250</v>
      </c>
      <c r="AB40" s="175">
        <v>0</v>
      </c>
      <c r="AC40" s="173">
        <v>0</v>
      </c>
      <c r="AD40" s="174">
        <f>AB40*AC40</f>
        <v>0</v>
      </c>
      <c r="AE40" s="175">
        <v>5</v>
      </c>
      <c r="AF40" s="173">
        <v>2640</v>
      </c>
      <c r="AG40" s="174">
        <f>AE40*AF40</f>
        <v>13200</v>
      </c>
      <c r="AH40" s="176">
        <f>SUMIF($D$6:$AG$6,AH$6,$D40:$AG40)</f>
        <v>2275</v>
      </c>
      <c r="AI40" s="177">
        <f>IF(AH40=0,0,AJ40/AH40)</f>
        <v>3855.0417582417581</v>
      </c>
      <c r="AJ40" s="178">
        <f>SUMIF($D$6:$AG$6,AJ$6,$D40:$AG40)</f>
        <v>8770220</v>
      </c>
      <c r="AK40" s="179">
        <v>1400</v>
      </c>
      <c r="AL40" s="173">
        <v>3400</v>
      </c>
      <c r="AM40" s="174">
        <f>AK40*AL40</f>
        <v>4760000</v>
      </c>
      <c r="AN40" s="175">
        <v>100</v>
      </c>
      <c r="AO40" s="173">
        <v>3800</v>
      </c>
      <c r="AP40" s="174">
        <f>AN40*AO40</f>
        <v>380000</v>
      </c>
      <c r="AQ40" s="175">
        <v>360</v>
      </c>
      <c r="AR40" s="173">
        <v>3311.6</v>
      </c>
      <c r="AS40" s="174">
        <f>AQ40*AR40</f>
        <v>1192176</v>
      </c>
      <c r="AT40" s="175">
        <v>230</v>
      </c>
      <c r="AU40" s="173">
        <v>3104.6</v>
      </c>
      <c r="AV40" s="174">
        <f>AT40*AU40</f>
        <v>714058</v>
      </c>
      <c r="AW40" s="175">
        <v>100</v>
      </c>
      <c r="AX40" s="173">
        <v>3000</v>
      </c>
      <c r="AY40" s="174">
        <f>AW40*AX40</f>
        <v>300000</v>
      </c>
      <c r="AZ40" s="55"/>
      <c r="BA40" s="56"/>
      <c r="BB40" s="43">
        <f>AZ40*BA40</f>
        <v>0</v>
      </c>
      <c r="BC40" s="49"/>
      <c r="BD40" s="42"/>
      <c r="BE40" s="43">
        <f t="shared" ref="BE40:BE42" si="53">BC40*BD40</f>
        <v>0</v>
      </c>
      <c r="BF40" s="49"/>
      <c r="BG40" s="42"/>
      <c r="BH40" s="43">
        <f t="shared" ref="BH40:BH42" si="54">BF40*BG40</f>
        <v>0</v>
      </c>
      <c r="BI40" s="49"/>
      <c r="BJ40" s="42"/>
      <c r="BK40" s="43">
        <f t="shared" ref="BK40:BK42" si="55">BI40*BJ40</f>
        <v>0</v>
      </c>
      <c r="BL40" s="49"/>
      <c r="BM40" s="42"/>
      <c r="BN40" s="43">
        <f t="shared" ref="BN40:BN42" si="56">BL40*BM40</f>
        <v>0</v>
      </c>
      <c r="BO40" s="45">
        <f>SUMIF($AK$6:$BN$6,BO$6,$AK40:$BN40)</f>
        <v>2190</v>
      </c>
      <c r="BP40" s="46">
        <f t="shared" ref="BP40:BP42" si="57">IF(BO40=0,0,BQ40/BO40)</f>
        <v>3354.4447488584474</v>
      </c>
      <c r="BQ40" s="47">
        <f>SUMIF($AK$6:$BN$6,BQ$6,$AK40:$BN40)</f>
        <v>7346234</v>
      </c>
      <c r="BR40" s="45">
        <f>BO40+AH40</f>
        <v>4465</v>
      </c>
      <c r="BS40" s="46">
        <f t="shared" si="7"/>
        <v>3609.5081746920491</v>
      </c>
      <c r="BT40" s="47">
        <f>BQ40+AJ40</f>
        <v>16116454</v>
      </c>
      <c r="BV40" s="50">
        <f>261*30</f>
        <v>7830</v>
      </c>
      <c r="BW40" s="51">
        <f t="shared" si="8"/>
        <v>0.57024265644955296</v>
      </c>
    </row>
    <row r="41" spans="1:75" x14ac:dyDescent="0.2">
      <c r="A41" s="39" t="e">
        <f>DATE(YEAR(A37),MONTH(A37)+2,1)-1</f>
        <v>#REF!</v>
      </c>
      <c r="B41" s="521"/>
      <c r="C41" s="52" t="s">
        <v>30</v>
      </c>
      <c r="D41" s="179">
        <v>370</v>
      </c>
      <c r="E41" s="173">
        <v>5500</v>
      </c>
      <c r="F41" s="174">
        <f>D41*E41</f>
        <v>2035000</v>
      </c>
      <c r="G41" s="175"/>
      <c r="H41" s="173"/>
      <c r="I41" s="174"/>
      <c r="J41" s="175">
        <v>250</v>
      </c>
      <c r="K41" s="173">
        <v>4064</v>
      </c>
      <c r="L41" s="174">
        <f>J41*K41</f>
        <v>1016000</v>
      </c>
      <c r="M41" s="175">
        <v>130</v>
      </c>
      <c r="N41" s="173">
        <v>3519</v>
      </c>
      <c r="O41" s="174">
        <f>M41*N41</f>
        <v>457470</v>
      </c>
      <c r="P41" s="175">
        <v>910</v>
      </c>
      <c r="Q41" s="173">
        <v>3320</v>
      </c>
      <c r="R41" s="174">
        <f>P41*Q41</f>
        <v>3021200</v>
      </c>
      <c r="S41" s="175">
        <v>360</v>
      </c>
      <c r="T41" s="173">
        <v>3750</v>
      </c>
      <c r="U41" s="174">
        <f>S41*T41</f>
        <v>1350000</v>
      </c>
      <c r="V41" s="175">
        <v>100</v>
      </c>
      <c r="W41" s="173">
        <v>3650</v>
      </c>
      <c r="X41" s="174">
        <f>V41*W41</f>
        <v>365000</v>
      </c>
      <c r="Y41" s="175">
        <v>150</v>
      </c>
      <c r="Z41" s="173">
        <v>3395</v>
      </c>
      <c r="AA41" s="174">
        <f>Y41*Z41</f>
        <v>509250</v>
      </c>
      <c r="AB41" s="175">
        <v>0</v>
      </c>
      <c r="AC41" s="173">
        <v>0</v>
      </c>
      <c r="AD41" s="174">
        <f>AB41*AC41</f>
        <v>0</v>
      </c>
      <c r="AE41" s="175">
        <v>5</v>
      </c>
      <c r="AF41" s="173">
        <v>2640</v>
      </c>
      <c r="AG41" s="174">
        <f>AE41*AF41</f>
        <v>13200</v>
      </c>
      <c r="AH41" s="176">
        <f>SUMIF($D$6:$AG$6,AH$6,$D41:$AG41)</f>
        <v>2275</v>
      </c>
      <c r="AI41" s="177">
        <f>IF(AH41=0,0,AJ41/AH41)</f>
        <v>3853.679120879121</v>
      </c>
      <c r="AJ41" s="178">
        <f>SUMIF($D$6:$AG$6,AJ$6,$D41:$AG41)</f>
        <v>8767120</v>
      </c>
      <c r="AK41" s="179">
        <v>1400</v>
      </c>
      <c r="AL41" s="173">
        <v>3400</v>
      </c>
      <c r="AM41" s="174">
        <f>AK41*AL41</f>
        <v>4760000</v>
      </c>
      <c r="AN41" s="175">
        <v>100</v>
      </c>
      <c r="AO41" s="173">
        <v>3800</v>
      </c>
      <c r="AP41" s="174">
        <f>AN41*AO41</f>
        <v>380000</v>
      </c>
      <c r="AQ41" s="175">
        <v>360</v>
      </c>
      <c r="AR41" s="173">
        <v>3311.6</v>
      </c>
      <c r="AS41" s="174">
        <f>AQ41*AR41</f>
        <v>1192176</v>
      </c>
      <c r="AT41" s="175">
        <v>230</v>
      </c>
      <c r="AU41" s="173">
        <v>3104.6</v>
      </c>
      <c r="AV41" s="174">
        <f>AT41*AU41</f>
        <v>714058</v>
      </c>
      <c r="AW41" s="175">
        <v>100</v>
      </c>
      <c r="AX41" s="173">
        <v>3000</v>
      </c>
      <c r="AY41" s="174">
        <f>AW41*AX41</f>
        <v>300000</v>
      </c>
      <c r="AZ41" s="55"/>
      <c r="BA41" s="56"/>
      <c r="BB41" s="43">
        <f>AZ41*BA41</f>
        <v>0</v>
      </c>
      <c r="BC41" s="55"/>
      <c r="BD41" s="56"/>
      <c r="BE41" s="57">
        <f t="shared" si="53"/>
        <v>0</v>
      </c>
      <c r="BF41" s="55"/>
      <c r="BG41" s="56"/>
      <c r="BH41" s="57">
        <f t="shared" si="54"/>
        <v>0</v>
      </c>
      <c r="BI41" s="55"/>
      <c r="BJ41" s="56"/>
      <c r="BK41" s="57">
        <f t="shared" si="55"/>
        <v>0</v>
      </c>
      <c r="BL41" s="55"/>
      <c r="BM41" s="56"/>
      <c r="BN41" s="57">
        <f t="shared" si="56"/>
        <v>0</v>
      </c>
      <c r="BO41" s="58">
        <f>SUMIF($AK$6:$BN$6,BO$6,$AK41:$BN41)</f>
        <v>2190</v>
      </c>
      <c r="BP41" s="59">
        <f t="shared" si="57"/>
        <v>3354.4447488584474</v>
      </c>
      <c r="BQ41" s="60">
        <f>SUMIF($AK$6:$BN$6,BQ$6,$AK41:$BN41)</f>
        <v>7346234</v>
      </c>
      <c r="BR41" s="58">
        <f>BO41+AH41</f>
        <v>4465</v>
      </c>
      <c r="BS41" s="59">
        <f t="shared" si="7"/>
        <v>3608.8138857782756</v>
      </c>
      <c r="BT41" s="60">
        <f>BQ41+AJ41</f>
        <v>16113354</v>
      </c>
      <c r="BV41" s="50">
        <f>261*30</f>
        <v>7830</v>
      </c>
      <c r="BW41" s="61">
        <f t="shared" si="8"/>
        <v>0.57024265644955296</v>
      </c>
    </row>
    <row r="42" spans="1:75" x14ac:dyDescent="0.2">
      <c r="A42" s="39" t="e">
        <f>DATE(YEAR(A38),MONTH(A38)+2,1)-1</f>
        <v>#REF!</v>
      </c>
      <c r="B42" s="521"/>
      <c r="C42" s="62" t="s">
        <v>33</v>
      </c>
      <c r="D42" s="134">
        <v>354</v>
      </c>
      <c r="E42" s="135">
        <v>5405</v>
      </c>
      <c r="F42" s="136">
        <f>D42*E42</f>
        <v>1913370</v>
      </c>
      <c r="G42" s="137">
        <f>+G43*(G41+1)</f>
        <v>0</v>
      </c>
      <c r="H42" s="135">
        <f>+H43*(H41+1)</f>
        <v>0</v>
      </c>
      <c r="I42" s="136">
        <f>G42*H42</f>
        <v>0</v>
      </c>
      <c r="J42" s="137">
        <v>145</v>
      </c>
      <c r="K42" s="135">
        <v>2993</v>
      </c>
      <c r="L42" s="136">
        <f>J42*K42</f>
        <v>433985</v>
      </c>
      <c r="M42" s="137">
        <v>129</v>
      </c>
      <c r="N42" s="135">
        <v>3211</v>
      </c>
      <c r="O42" s="136">
        <f>M42*N42</f>
        <v>414219</v>
      </c>
      <c r="P42" s="137">
        <v>720</v>
      </c>
      <c r="Q42" s="135">
        <v>3115</v>
      </c>
      <c r="R42" s="136">
        <f>P42*Q42</f>
        <v>2242800</v>
      </c>
      <c r="S42" s="137">
        <v>592</v>
      </c>
      <c r="T42" s="135">
        <v>3621</v>
      </c>
      <c r="U42" s="136">
        <f>S42*T42</f>
        <v>2143632</v>
      </c>
      <c r="V42" s="137">
        <v>29</v>
      </c>
      <c r="W42" s="135">
        <v>3284</v>
      </c>
      <c r="X42" s="136">
        <f>V42*W42</f>
        <v>95236</v>
      </c>
      <c r="Y42" s="137">
        <v>56</v>
      </c>
      <c r="Z42" s="135">
        <v>3691</v>
      </c>
      <c r="AA42" s="136">
        <f>Y42*Z42</f>
        <v>206696</v>
      </c>
      <c r="AB42" s="137">
        <v>0</v>
      </c>
      <c r="AC42" s="135">
        <v>0</v>
      </c>
      <c r="AD42" s="136">
        <f>AB42*AC42</f>
        <v>0</v>
      </c>
      <c r="AE42" s="137">
        <v>7</v>
      </c>
      <c r="AF42" s="135">
        <v>2246</v>
      </c>
      <c r="AG42" s="138">
        <f>AE42*AF42</f>
        <v>15722</v>
      </c>
      <c r="AH42" s="139">
        <f>SUMIF($D$6:$AG$6,AH$6,$D42:$AG42)</f>
        <v>2032</v>
      </c>
      <c r="AI42" s="140">
        <f>IF(AH42=0,0,AJ42/AH42)</f>
        <v>3674.0452755905512</v>
      </c>
      <c r="AJ42" s="141">
        <f>SUMIF($D$6:$AG$6,AJ$6,$D42:$AG42)</f>
        <v>7465660</v>
      </c>
      <c r="AK42" s="134">
        <v>412</v>
      </c>
      <c r="AL42" s="135">
        <v>3123</v>
      </c>
      <c r="AM42" s="136">
        <f>AK42*AL42</f>
        <v>1286676</v>
      </c>
      <c r="AN42" s="134">
        <v>20</v>
      </c>
      <c r="AO42" s="135">
        <v>2443</v>
      </c>
      <c r="AP42" s="136">
        <f>AN42*AO42</f>
        <v>48860</v>
      </c>
      <c r="AQ42" s="137">
        <v>329</v>
      </c>
      <c r="AR42" s="135">
        <v>2819</v>
      </c>
      <c r="AS42" s="136">
        <f>AQ42*AR42</f>
        <v>927451</v>
      </c>
      <c r="AT42" s="137">
        <v>14.994199999999999</v>
      </c>
      <c r="AU42" s="135">
        <v>2792.5911999999998</v>
      </c>
      <c r="AV42" s="136">
        <f>AT42*AU42</f>
        <v>41872.670971039995</v>
      </c>
      <c r="AW42" s="137">
        <v>0</v>
      </c>
      <c r="AX42" s="135">
        <v>0</v>
      </c>
      <c r="AY42" s="136">
        <f>AW42*AX42</f>
        <v>0</v>
      </c>
      <c r="AZ42" s="142">
        <v>0</v>
      </c>
      <c r="BA42" s="135"/>
      <c r="BB42" s="136">
        <f>AZ42*BA42</f>
        <v>0</v>
      </c>
      <c r="BC42" s="92"/>
      <c r="BD42" s="93"/>
      <c r="BE42" s="91">
        <f t="shared" si="53"/>
        <v>0</v>
      </c>
      <c r="BF42" s="92"/>
      <c r="BG42" s="93"/>
      <c r="BH42" s="91">
        <f t="shared" si="54"/>
        <v>0</v>
      </c>
      <c r="BI42" s="92"/>
      <c r="BJ42" s="93"/>
      <c r="BK42" s="91">
        <f t="shared" si="55"/>
        <v>0</v>
      </c>
      <c r="BL42" s="92"/>
      <c r="BM42" s="93"/>
      <c r="BN42" s="91">
        <f t="shared" si="56"/>
        <v>0</v>
      </c>
      <c r="BO42" s="94">
        <f>SUMIF($AK$6:$BN$6,BO$6,$AK42:$BN42)</f>
        <v>775.99419999999998</v>
      </c>
      <c r="BP42" s="95">
        <f t="shared" si="57"/>
        <v>2970.2021883295524</v>
      </c>
      <c r="BQ42" s="96">
        <f>SUMIF($AK$6:$BN$6,BQ$6,$AK42:$BN42)</f>
        <v>2304859.6709710401</v>
      </c>
      <c r="BR42" s="94">
        <f>BO42+AH42</f>
        <v>2807.9942000000001</v>
      </c>
      <c r="BS42" s="95">
        <f t="shared" si="7"/>
        <v>3479.5369844321758</v>
      </c>
      <c r="BT42" s="96">
        <f>BQ42+AJ42</f>
        <v>9770519.6709710397</v>
      </c>
      <c r="BV42" s="50">
        <f>261*30</f>
        <v>7830</v>
      </c>
      <c r="BW42" s="61">
        <f t="shared" si="8"/>
        <v>0.35861994891443166</v>
      </c>
    </row>
    <row r="43" spans="1:75" x14ac:dyDescent="0.2">
      <c r="A43" s="39"/>
      <c r="B43" s="520">
        <f>DATE(YEAR(B39),MONTH(B39)+2,1)-1</f>
        <v>305</v>
      </c>
      <c r="C43" s="24" t="s">
        <v>27</v>
      </c>
      <c r="D43" s="25">
        <f>(D44/D45)-1</f>
        <v>0.34588235294117653</v>
      </c>
      <c r="E43" s="26">
        <f>(E44/E45)-1</f>
        <v>0</v>
      </c>
      <c r="F43" s="25">
        <f>(F44/F45)-1</f>
        <v>0.34588235294117653</v>
      </c>
      <c r="G43" s="27"/>
      <c r="H43" s="26"/>
      <c r="I43" s="28"/>
      <c r="J43" s="29">
        <f t="shared" ref="J43:AY43" si="58">J44/J45-1</f>
        <v>-0.46666666666666667</v>
      </c>
      <c r="K43" s="70">
        <f t="shared" si="58"/>
        <v>0</v>
      </c>
      <c r="L43" s="25">
        <f t="shared" si="58"/>
        <v>-0.46666666666666667</v>
      </c>
      <c r="M43" s="29">
        <f t="shared" si="58"/>
        <v>0</v>
      </c>
      <c r="N43" s="70">
        <f t="shared" si="58"/>
        <v>0</v>
      </c>
      <c r="O43" s="25">
        <f t="shared" si="58"/>
        <v>0</v>
      </c>
      <c r="P43" s="29">
        <f t="shared" si="58"/>
        <v>-0.19672131147540983</v>
      </c>
      <c r="Q43" s="70">
        <f t="shared" si="58"/>
        <v>0</v>
      </c>
      <c r="R43" s="25">
        <f t="shared" si="58"/>
        <v>-0.19672131147540983</v>
      </c>
      <c r="S43" s="29">
        <f t="shared" si="58"/>
        <v>0</v>
      </c>
      <c r="T43" s="70">
        <f t="shared" si="58"/>
        <v>0</v>
      </c>
      <c r="U43" s="70">
        <f t="shared" si="58"/>
        <v>0</v>
      </c>
      <c r="V43" s="29">
        <f t="shared" si="58"/>
        <v>0</v>
      </c>
      <c r="W43" s="70">
        <f t="shared" si="58"/>
        <v>0</v>
      </c>
      <c r="X43" s="25">
        <f t="shared" si="58"/>
        <v>0</v>
      </c>
      <c r="Y43" s="29">
        <f t="shared" si="58"/>
        <v>0</v>
      </c>
      <c r="Z43" s="70">
        <f t="shared" si="58"/>
        <v>0</v>
      </c>
      <c r="AA43" s="25">
        <f t="shared" si="58"/>
        <v>0</v>
      </c>
      <c r="AB43" s="29" t="e">
        <f t="shared" si="58"/>
        <v>#DIV/0!</v>
      </c>
      <c r="AC43" s="70" t="e">
        <f t="shared" si="58"/>
        <v>#DIV/0!</v>
      </c>
      <c r="AD43" s="25" t="e">
        <f t="shared" si="58"/>
        <v>#DIV/0!</v>
      </c>
      <c r="AE43" s="29">
        <f t="shared" si="58"/>
        <v>0</v>
      </c>
      <c r="AF43" s="70">
        <f t="shared" si="58"/>
        <v>0</v>
      </c>
      <c r="AG43" s="28">
        <f t="shared" si="58"/>
        <v>0</v>
      </c>
      <c r="AH43" s="154">
        <f t="shared" si="58"/>
        <v>-7.7718478985990713E-2</v>
      </c>
      <c r="AI43" s="76">
        <f t="shared" si="58"/>
        <v>2.6706131236763353E-2</v>
      </c>
      <c r="AJ43" s="77">
        <f t="shared" si="58"/>
        <v>-5.3087907648548871E-2</v>
      </c>
      <c r="AK43" s="28">
        <f t="shared" si="58"/>
        <v>0.37083333333333335</v>
      </c>
      <c r="AL43" s="70">
        <f t="shared" si="58"/>
        <v>0</v>
      </c>
      <c r="AM43" s="31">
        <f t="shared" si="58"/>
        <v>0.37083333333333335</v>
      </c>
      <c r="AN43" s="28">
        <f t="shared" si="58"/>
        <v>0</v>
      </c>
      <c r="AO43" s="70">
        <f t="shared" si="58"/>
        <v>0</v>
      </c>
      <c r="AP43" s="25">
        <f t="shared" si="58"/>
        <v>0</v>
      </c>
      <c r="AQ43" s="29">
        <f t="shared" si="58"/>
        <v>0</v>
      </c>
      <c r="AR43" s="70">
        <f t="shared" si="58"/>
        <v>0</v>
      </c>
      <c r="AS43" s="25">
        <f t="shared" si="58"/>
        <v>0</v>
      </c>
      <c r="AT43" s="29">
        <f t="shared" si="58"/>
        <v>0</v>
      </c>
      <c r="AU43" s="70">
        <f t="shared" si="58"/>
        <v>0</v>
      </c>
      <c r="AV43" s="25">
        <f t="shared" si="58"/>
        <v>0</v>
      </c>
      <c r="AW43" s="29">
        <f t="shared" si="58"/>
        <v>0</v>
      </c>
      <c r="AX43" s="70">
        <f t="shared" si="58"/>
        <v>0</v>
      </c>
      <c r="AY43" s="31">
        <f t="shared" si="58"/>
        <v>0</v>
      </c>
      <c r="AZ43" s="33"/>
      <c r="BA43" s="33"/>
      <c r="BB43" s="34"/>
      <c r="BC43" s="35"/>
      <c r="BD43" s="33"/>
      <c r="BE43" s="34"/>
      <c r="BF43" s="35"/>
      <c r="BG43" s="33"/>
      <c r="BH43" s="34"/>
      <c r="BI43" s="35"/>
      <c r="BJ43" s="33"/>
      <c r="BK43" s="34"/>
      <c r="BL43" s="35"/>
      <c r="BM43" s="33"/>
      <c r="BN43" s="34"/>
      <c r="BO43" s="29">
        <f t="shared" ref="BO43:BQ43" si="59">BO44/BO45-1</f>
        <v>0.16152450090744108</v>
      </c>
      <c r="BP43" s="70">
        <f t="shared" si="59"/>
        <v>3.990761017597988E-3</v>
      </c>
      <c r="BQ43" s="31">
        <f t="shared" si="59"/>
        <v>0.16615986760664736</v>
      </c>
      <c r="BR43" s="32">
        <v>7.4700000000000003E-2</v>
      </c>
      <c r="BS43" s="76">
        <v>5.0200000000000002E-2</v>
      </c>
      <c r="BT43" s="77">
        <v>0.129</v>
      </c>
      <c r="BU43" s="75"/>
      <c r="BV43" s="50"/>
      <c r="BW43" s="51"/>
    </row>
    <row r="44" spans="1:75" x14ac:dyDescent="0.2">
      <c r="A44" s="39" t="e">
        <f>DATE(YEAR(A40),MONTH(A40)+2,1)-1</f>
        <v>#REF!</v>
      </c>
      <c r="B44" s="521"/>
      <c r="C44" s="40" t="s">
        <v>34</v>
      </c>
      <c r="D44" s="182">
        <v>572</v>
      </c>
      <c r="E44" s="183">
        <v>5607.7</v>
      </c>
      <c r="F44" s="184">
        <f>D44*E44</f>
        <v>3207604.4</v>
      </c>
      <c r="G44" s="185"/>
      <c r="H44" s="183"/>
      <c r="I44" s="184"/>
      <c r="J44" s="185">
        <v>160</v>
      </c>
      <c r="K44" s="183">
        <v>4617</v>
      </c>
      <c r="L44" s="184">
        <f>J44*K44</f>
        <v>738720</v>
      </c>
      <c r="M44" s="185">
        <v>230</v>
      </c>
      <c r="N44" s="183">
        <v>3519</v>
      </c>
      <c r="O44" s="184">
        <f>M44*N44</f>
        <v>809370</v>
      </c>
      <c r="P44" s="185">
        <v>980</v>
      </c>
      <c r="Q44" s="183">
        <v>3330</v>
      </c>
      <c r="R44" s="184">
        <f>P44*Q44</f>
        <v>3263400</v>
      </c>
      <c r="S44" s="185">
        <v>410</v>
      </c>
      <c r="T44" s="183">
        <v>4084</v>
      </c>
      <c r="U44" s="184">
        <f>S44*T44</f>
        <v>1674440</v>
      </c>
      <c r="V44" s="185">
        <v>105</v>
      </c>
      <c r="W44" s="183">
        <v>3550</v>
      </c>
      <c r="X44" s="184">
        <f>V44*W44</f>
        <v>372750</v>
      </c>
      <c r="Y44" s="185">
        <v>300</v>
      </c>
      <c r="Z44" s="183">
        <v>3312</v>
      </c>
      <c r="AA44" s="184">
        <f>Y44*Z44</f>
        <v>993600</v>
      </c>
      <c r="AB44" s="185">
        <v>0</v>
      </c>
      <c r="AC44" s="183">
        <v>0</v>
      </c>
      <c r="AD44" s="184">
        <f>AB44*AC44</f>
        <v>0</v>
      </c>
      <c r="AE44" s="185">
        <v>8</v>
      </c>
      <c r="AF44" s="183">
        <v>2640</v>
      </c>
      <c r="AG44" s="184">
        <f>AE44*AF44</f>
        <v>21120</v>
      </c>
      <c r="AH44" s="186">
        <f>SUMIF($D$6:$AG$6,AH$6,$D44:$AG44)</f>
        <v>2765</v>
      </c>
      <c r="AI44" s="187">
        <f>IF(AH44=0,0,AJ44/AH44)</f>
        <v>4007.5965280289333</v>
      </c>
      <c r="AJ44" s="188">
        <f>SUMIF($D$6:$AG$6,AJ$6,$D44:$AG44)</f>
        <v>11081004.4</v>
      </c>
      <c r="AK44" s="303">
        <v>1645</v>
      </c>
      <c r="AL44" s="183">
        <v>3800</v>
      </c>
      <c r="AM44" s="184">
        <f>AK44*AL44</f>
        <v>6251000</v>
      </c>
      <c r="AN44" s="185">
        <v>720</v>
      </c>
      <c r="AO44" s="183">
        <v>3800</v>
      </c>
      <c r="AP44" s="184">
        <f>AN44*AO44</f>
        <v>2736000</v>
      </c>
      <c r="AQ44" s="185">
        <v>500</v>
      </c>
      <c r="AR44" s="183">
        <v>3600</v>
      </c>
      <c r="AS44" s="184">
        <f>AQ44*AR44</f>
        <v>1800000</v>
      </c>
      <c r="AT44" s="185">
        <v>260</v>
      </c>
      <c r="AU44" s="183">
        <v>3104.6</v>
      </c>
      <c r="AV44" s="184">
        <f>AT44*AU44</f>
        <v>807196</v>
      </c>
      <c r="AW44" s="185">
        <v>75</v>
      </c>
      <c r="AX44" s="183">
        <v>3650</v>
      </c>
      <c r="AY44" s="184">
        <f>AW44*AX44</f>
        <v>273750</v>
      </c>
      <c r="AZ44" s="55"/>
      <c r="BA44" s="56"/>
      <c r="BB44" s="43">
        <f>AZ44*BA44</f>
        <v>0</v>
      </c>
      <c r="BC44" s="49"/>
      <c r="BD44" s="42"/>
      <c r="BE44" s="43">
        <f t="shared" ref="BE44:BE46" si="60">BC44*BD44</f>
        <v>0</v>
      </c>
      <c r="BF44" s="49"/>
      <c r="BG44" s="42"/>
      <c r="BH44" s="43">
        <f t="shared" ref="BH44:BH46" si="61">BF44*BG44</f>
        <v>0</v>
      </c>
      <c r="BI44" s="49"/>
      <c r="BJ44" s="42"/>
      <c r="BK44" s="43">
        <f t="shared" ref="BK44:BK46" si="62">BI44*BJ44</f>
        <v>0</v>
      </c>
      <c r="BL44" s="49"/>
      <c r="BM44" s="42"/>
      <c r="BN44" s="43">
        <f t="shared" ref="BN44:BN46" si="63">BL44*BM44</f>
        <v>0</v>
      </c>
      <c r="BO44" s="45">
        <f>SUMIF($AK$6:$BN$6,BO$6,$AK44:$BN44)</f>
        <v>3200</v>
      </c>
      <c r="BP44" s="46">
        <f t="shared" ref="BP44:BP46" si="64">IF(BO44=0,0,BQ44/BO44)</f>
        <v>3708.7331250000002</v>
      </c>
      <c r="BQ44" s="47">
        <f>SUMIF($AK$6:$BN$6,BQ$6,$AK44:$BN44)</f>
        <v>11867946</v>
      </c>
      <c r="BR44" s="45">
        <f>BO44+AH44</f>
        <v>5965</v>
      </c>
      <c r="BS44" s="46">
        <f t="shared" si="7"/>
        <v>3847.2674601844087</v>
      </c>
      <c r="BT44" s="47">
        <f>BQ44+AJ44</f>
        <v>22948950.399999999</v>
      </c>
      <c r="BV44" s="50">
        <f>261*31</f>
        <v>8091</v>
      </c>
      <c r="BW44" s="51">
        <f t="shared" si="8"/>
        <v>0.73723890742800646</v>
      </c>
    </row>
    <row r="45" spans="1:75" x14ac:dyDescent="0.2">
      <c r="A45" s="39" t="e">
        <f>DATE(YEAR(A41),MONTH(A41)+2,1)-1</f>
        <v>#REF!</v>
      </c>
      <c r="B45" s="521"/>
      <c r="C45" s="52" t="s">
        <v>30</v>
      </c>
      <c r="D45" s="182">
        <v>425</v>
      </c>
      <c r="E45" s="183">
        <v>5607.7</v>
      </c>
      <c r="F45" s="184">
        <f>D45*E45</f>
        <v>2383272.5</v>
      </c>
      <c r="G45" s="185"/>
      <c r="H45" s="183"/>
      <c r="I45" s="184"/>
      <c r="J45" s="185">
        <v>300</v>
      </c>
      <c r="K45" s="183">
        <v>4617</v>
      </c>
      <c r="L45" s="184">
        <f>J45*K45</f>
        <v>1385100</v>
      </c>
      <c r="M45" s="185">
        <v>230</v>
      </c>
      <c r="N45" s="183">
        <v>3519</v>
      </c>
      <c r="O45" s="184">
        <f>M45*N45</f>
        <v>809370</v>
      </c>
      <c r="P45" s="185">
        <v>1220</v>
      </c>
      <c r="Q45" s="183">
        <v>3330</v>
      </c>
      <c r="R45" s="184">
        <f>P45*Q45</f>
        <v>4062600</v>
      </c>
      <c r="S45" s="185">
        <v>410</v>
      </c>
      <c r="T45" s="183">
        <v>4084</v>
      </c>
      <c r="U45" s="184">
        <f>S45*T45</f>
        <v>1674440</v>
      </c>
      <c r="V45" s="185">
        <v>105</v>
      </c>
      <c r="W45" s="183">
        <v>3550</v>
      </c>
      <c r="X45" s="184">
        <f>V45*W45</f>
        <v>372750</v>
      </c>
      <c r="Y45" s="185">
        <v>300</v>
      </c>
      <c r="Z45" s="183">
        <v>3312</v>
      </c>
      <c r="AA45" s="184">
        <f>Y45*Z45</f>
        <v>993600</v>
      </c>
      <c r="AB45" s="185">
        <v>0</v>
      </c>
      <c r="AC45" s="183">
        <v>0</v>
      </c>
      <c r="AD45" s="184">
        <f>AB45*AC45</f>
        <v>0</v>
      </c>
      <c r="AE45" s="185">
        <v>8</v>
      </c>
      <c r="AF45" s="183">
        <v>2640</v>
      </c>
      <c r="AG45" s="184">
        <f>AE45*AF45</f>
        <v>21120</v>
      </c>
      <c r="AH45" s="186">
        <f>SUMIF($D$6:$AG$6,AH$6,$D45:$AG45)</f>
        <v>2998</v>
      </c>
      <c r="AI45" s="187">
        <f>IF(AH45=0,0,AJ45/AH45)</f>
        <v>3903.3530687124749</v>
      </c>
      <c r="AJ45" s="188">
        <f>SUMIF($D$6:$AG$6,AJ$6,$D45:$AG45)</f>
        <v>11702252.5</v>
      </c>
      <c r="AK45" s="182">
        <v>1200</v>
      </c>
      <c r="AL45" s="183">
        <v>3800</v>
      </c>
      <c r="AM45" s="184">
        <f>AK45*AL45</f>
        <v>4560000</v>
      </c>
      <c r="AN45" s="185">
        <v>720</v>
      </c>
      <c r="AO45" s="183">
        <v>3800</v>
      </c>
      <c r="AP45" s="184">
        <f>AN45*AO45</f>
        <v>2736000</v>
      </c>
      <c r="AQ45" s="185">
        <v>500</v>
      </c>
      <c r="AR45" s="183">
        <v>3600</v>
      </c>
      <c r="AS45" s="184">
        <f>AQ45*AR45</f>
        <v>1800000</v>
      </c>
      <c r="AT45" s="185">
        <v>260</v>
      </c>
      <c r="AU45" s="183">
        <v>3104.6</v>
      </c>
      <c r="AV45" s="184">
        <f>AT45*AU45</f>
        <v>807196</v>
      </c>
      <c r="AW45" s="185">
        <v>75</v>
      </c>
      <c r="AX45" s="183">
        <v>3650</v>
      </c>
      <c r="AY45" s="184">
        <f>AW45*AX45</f>
        <v>273750</v>
      </c>
      <c r="AZ45" s="55"/>
      <c r="BA45" s="56"/>
      <c r="BB45" s="43">
        <f>AZ45*BA45</f>
        <v>0</v>
      </c>
      <c r="BC45" s="55"/>
      <c r="BD45" s="56"/>
      <c r="BE45" s="57">
        <f t="shared" si="60"/>
        <v>0</v>
      </c>
      <c r="BF45" s="55"/>
      <c r="BG45" s="56"/>
      <c r="BH45" s="57">
        <f t="shared" si="61"/>
        <v>0</v>
      </c>
      <c r="BI45" s="55"/>
      <c r="BJ45" s="56"/>
      <c r="BK45" s="57">
        <f t="shared" si="62"/>
        <v>0</v>
      </c>
      <c r="BL45" s="55"/>
      <c r="BM45" s="56"/>
      <c r="BN45" s="57">
        <f t="shared" si="63"/>
        <v>0</v>
      </c>
      <c r="BO45" s="58">
        <f>SUMIF($AK$6:$BN$6,BO$6,$AK45:$BN45)</f>
        <v>2755</v>
      </c>
      <c r="BP45" s="59">
        <f t="shared" si="64"/>
        <v>3693.9912885662434</v>
      </c>
      <c r="BQ45" s="60">
        <f>SUMIF($AK$6:$BN$6,BQ$6,$AK45:$BN45)</f>
        <v>10176946</v>
      </c>
      <c r="BR45" s="58">
        <f>BO45+AH45</f>
        <v>5753</v>
      </c>
      <c r="BS45" s="59">
        <f t="shared" si="7"/>
        <v>3803.0937771597428</v>
      </c>
      <c r="BT45" s="60">
        <f>BQ45+AJ45</f>
        <v>21879198.5</v>
      </c>
      <c r="BV45" s="50">
        <f>261*31</f>
        <v>8091</v>
      </c>
      <c r="BW45" s="61">
        <f t="shared" si="8"/>
        <v>0.71103695464095906</v>
      </c>
    </row>
    <row r="46" spans="1:75" x14ac:dyDescent="0.2">
      <c r="A46" s="39" t="e">
        <f>DATE(YEAR(A42),MONTH(A42)+2,1)-1</f>
        <v>#REF!</v>
      </c>
      <c r="B46" s="522"/>
      <c r="C46" s="62" t="s">
        <v>33</v>
      </c>
      <c r="D46" s="278">
        <v>650</v>
      </c>
      <c r="E46" s="279">
        <v>5595</v>
      </c>
      <c r="F46" s="280">
        <f>D46*E46</f>
        <v>3636750</v>
      </c>
      <c r="G46" s="278">
        <f>+G47*(G45+1)</f>
        <v>0</v>
      </c>
      <c r="H46" s="279">
        <f>+H47*(H45+1)</f>
        <v>0</v>
      </c>
      <c r="I46" s="280">
        <f>G46*H46</f>
        <v>0</v>
      </c>
      <c r="J46" s="278">
        <v>402</v>
      </c>
      <c r="K46" s="279">
        <v>2938</v>
      </c>
      <c r="L46" s="280">
        <f>J46*K46</f>
        <v>1181076</v>
      </c>
      <c r="M46" s="278">
        <v>134</v>
      </c>
      <c r="N46" s="279">
        <v>3504</v>
      </c>
      <c r="O46" s="280">
        <f>M46*N46</f>
        <v>469536</v>
      </c>
      <c r="P46" s="278">
        <v>789</v>
      </c>
      <c r="Q46" s="279">
        <v>3552</v>
      </c>
      <c r="R46" s="280">
        <f>P46*Q46</f>
        <v>2802528</v>
      </c>
      <c r="S46" s="278">
        <v>695</v>
      </c>
      <c r="T46" s="279">
        <v>3700</v>
      </c>
      <c r="U46" s="280">
        <f>S46*T46</f>
        <v>2571500</v>
      </c>
      <c r="V46" s="278">
        <v>63</v>
      </c>
      <c r="W46" s="279">
        <v>3185</v>
      </c>
      <c r="X46" s="280">
        <f>V46*W46</f>
        <v>200655</v>
      </c>
      <c r="Y46" s="278">
        <v>96</v>
      </c>
      <c r="Z46" s="279">
        <v>4263</v>
      </c>
      <c r="AA46" s="280">
        <f>Y46*Z46</f>
        <v>409248</v>
      </c>
      <c r="AB46" s="278">
        <v>0</v>
      </c>
      <c r="AC46" s="279">
        <v>0</v>
      </c>
      <c r="AD46" s="280">
        <f>AB46*AC46</f>
        <v>0</v>
      </c>
      <c r="AE46" s="278">
        <v>2</v>
      </c>
      <c r="AF46" s="279">
        <v>2851</v>
      </c>
      <c r="AG46" s="280">
        <f>AE46*AF46</f>
        <v>5702</v>
      </c>
      <c r="AH46" s="131">
        <f>SUMIF($D$6:$AG$6,AH$6,$D46:$AG46)</f>
        <v>2831</v>
      </c>
      <c r="AI46" s="281">
        <f>IF(AH46=0,0,AJ46/AH46)</f>
        <v>3983.3963263864357</v>
      </c>
      <c r="AJ46" s="132">
        <f>SUMIF($D$6:$AG$6,AJ$6,$D46:$AG46)</f>
        <v>11276995</v>
      </c>
      <c r="AK46" s="282">
        <v>986</v>
      </c>
      <c r="AL46" s="279">
        <v>3134</v>
      </c>
      <c r="AM46" s="280">
        <f>AK46*AL46</f>
        <v>3090124</v>
      </c>
      <c r="AN46" s="278">
        <v>46</v>
      </c>
      <c r="AO46" s="279">
        <v>3024</v>
      </c>
      <c r="AP46" s="280">
        <f>AN46*AO46</f>
        <v>139104</v>
      </c>
      <c r="AQ46" s="278">
        <v>199</v>
      </c>
      <c r="AR46" s="279">
        <v>3104</v>
      </c>
      <c r="AS46" s="280">
        <f>AQ46*AR46</f>
        <v>617696</v>
      </c>
      <c r="AT46" s="278">
        <v>138</v>
      </c>
      <c r="AU46" s="279">
        <v>2817</v>
      </c>
      <c r="AV46" s="280">
        <f>AT46*AU46</f>
        <v>388746</v>
      </c>
      <c r="AW46" s="278">
        <v>44.103400000000001</v>
      </c>
      <c r="AX46" s="279">
        <v>5594.2356</v>
      </c>
      <c r="AY46" s="280">
        <f>AW46*AX46</f>
        <v>246724.81036104</v>
      </c>
      <c r="AZ46" s="283"/>
      <c r="BA46" s="279"/>
      <c r="BB46" s="280">
        <f>AZ46*BA46</f>
        <v>0</v>
      </c>
      <c r="BC46" s="64"/>
      <c r="BD46" s="65"/>
      <c r="BE46" s="63">
        <f t="shared" si="60"/>
        <v>0</v>
      </c>
      <c r="BF46" s="64"/>
      <c r="BG46" s="65"/>
      <c r="BH46" s="63">
        <f t="shared" si="61"/>
        <v>0</v>
      </c>
      <c r="BI46" s="64"/>
      <c r="BJ46" s="65"/>
      <c r="BK46" s="63">
        <f t="shared" si="62"/>
        <v>0</v>
      </c>
      <c r="BL46" s="64"/>
      <c r="BM46" s="65"/>
      <c r="BN46" s="63">
        <f t="shared" si="63"/>
        <v>0</v>
      </c>
      <c r="BO46" s="66">
        <f>SUMIF($AK$6:$BN$6,BO$6,$AK46:$BN46)</f>
        <v>1413.1034</v>
      </c>
      <c r="BP46" s="67">
        <f t="shared" si="64"/>
        <v>3172.0218140873767</v>
      </c>
      <c r="BQ46" s="68">
        <f>SUMIF($AK$6:$BN$6,BQ$6,$AK46:$BN46)</f>
        <v>4482394.8103610398</v>
      </c>
      <c r="BR46" s="66">
        <f>BO46+AH46</f>
        <v>4244.1034</v>
      </c>
      <c r="BS46" s="67">
        <f t="shared" si="7"/>
        <v>3713.2436053186261</v>
      </c>
      <c r="BT46" s="68">
        <f>BQ46+AJ46</f>
        <v>15759389.810361039</v>
      </c>
      <c r="BV46" s="50">
        <f>261*31</f>
        <v>8091</v>
      </c>
      <c r="BW46" s="61">
        <f t="shared" si="8"/>
        <v>0.52454621184031636</v>
      </c>
    </row>
    <row r="47" spans="1:75" x14ac:dyDescent="0.2">
      <c r="A47" s="39"/>
      <c r="B47" s="521">
        <f>DATE(YEAR(B43),MONTH(B43)+2,1)-1</f>
        <v>335</v>
      </c>
      <c r="C47" s="78" t="s">
        <v>27</v>
      </c>
      <c r="D47" s="79">
        <f>(D48/D49)-1</f>
        <v>0.13714285714285723</v>
      </c>
      <c r="E47" s="80">
        <f>(E48/E49)-1</f>
        <v>0</v>
      </c>
      <c r="F47" s="79">
        <f>(F48/F49)-1</f>
        <v>0.13714285714285723</v>
      </c>
      <c r="G47" s="81"/>
      <c r="H47" s="80"/>
      <c r="I47" s="82"/>
      <c r="J47" s="83">
        <f t="shared" ref="J47:AY47" si="65">J48/J49-1</f>
        <v>-0.6</v>
      </c>
      <c r="K47" s="30">
        <f t="shared" si="65"/>
        <v>0</v>
      </c>
      <c r="L47" s="79">
        <f t="shared" si="65"/>
        <v>-0.6</v>
      </c>
      <c r="M47" s="83">
        <f t="shared" si="65"/>
        <v>0</v>
      </c>
      <c r="N47" s="30">
        <f t="shared" si="65"/>
        <v>0</v>
      </c>
      <c r="O47" s="79">
        <f t="shared" si="65"/>
        <v>0</v>
      </c>
      <c r="P47" s="83">
        <f t="shared" si="65"/>
        <v>0</v>
      </c>
      <c r="Q47" s="30">
        <f t="shared" si="65"/>
        <v>0</v>
      </c>
      <c r="R47" s="79">
        <f t="shared" si="65"/>
        <v>0</v>
      </c>
      <c r="S47" s="83">
        <f t="shared" si="65"/>
        <v>9.7826086956521729E-2</v>
      </c>
      <c r="T47" s="30">
        <f t="shared" si="65"/>
        <v>0</v>
      </c>
      <c r="U47" s="79">
        <f t="shared" si="65"/>
        <v>9.7826086956521729E-2</v>
      </c>
      <c r="V47" s="83">
        <f t="shared" si="65"/>
        <v>0</v>
      </c>
      <c r="W47" s="30">
        <f t="shared" si="65"/>
        <v>0</v>
      </c>
      <c r="X47" s="79">
        <f t="shared" si="65"/>
        <v>0</v>
      </c>
      <c r="Y47" s="83">
        <f t="shared" si="65"/>
        <v>0</v>
      </c>
      <c r="Z47" s="30">
        <f t="shared" si="65"/>
        <v>0</v>
      </c>
      <c r="AA47" s="79">
        <f t="shared" si="65"/>
        <v>0</v>
      </c>
      <c r="AB47" s="83" t="e">
        <f t="shared" si="65"/>
        <v>#DIV/0!</v>
      </c>
      <c r="AC47" s="30" t="e">
        <f t="shared" si="65"/>
        <v>#DIV/0!</v>
      </c>
      <c r="AD47" s="79" t="e">
        <f t="shared" si="65"/>
        <v>#DIV/0!</v>
      </c>
      <c r="AE47" s="83">
        <f t="shared" si="65"/>
        <v>0</v>
      </c>
      <c r="AF47" s="30">
        <f t="shared" si="65"/>
        <v>0</v>
      </c>
      <c r="AG47" s="82">
        <f t="shared" si="65"/>
        <v>0</v>
      </c>
      <c r="AH47" s="194">
        <f t="shared" si="65"/>
        <v>-2.930728241563052E-2</v>
      </c>
      <c r="AI47" s="195">
        <f t="shared" si="65"/>
        <v>7.9418810951081831E-4</v>
      </c>
      <c r="AJ47" s="89">
        <f t="shared" si="65"/>
        <v>-2.8536369801336336E-2</v>
      </c>
      <c r="AK47" s="82">
        <f t="shared" si="65"/>
        <v>5.4054054054053946E-2</v>
      </c>
      <c r="AL47" s="30">
        <f t="shared" si="65"/>
        <v>0</v>
      </c>
      <c r="AM47" s="84">
        <f t="shared" si="65"/>
        <v>5.4054054054053946E-2</v>
      </c>
      <c r="AN47" s="82">
        <f t="shared" si="65"/>
        <v>0.10000000000000009</v>
      </c>
      <c r="AO47" s="30">
        <f t="shared" si="65"/>
        <v>0</v>
      </c>
      <c r="AP47" s="79">
        <f t="shared" si="65"/>
        <v>0.10000000000000009</v>
      </c>
      <c r="AQ47" s="83">
        <f t="shared" si="65"/>
        <v>0</v>
      </c>
      <c r="AR47" s="30">
        <f t="shared" si="65"/>
        <v>0</v>
      </c>
      <c r="AS47" s="79">
        <f t="shared" si="65"/>
        <v>0</v>
      </c>
      <c r="AT47" s="83">
        <f t="shared" si="65"/>
        <v>0.36363636363636354</v>
      </c>
      <c r="AU47" s="30">
        <f t="shared" si="65"/>
        <v>0</v>
      </c>
      <c r="AV47" s="79">
        <f t="shared" si="65"/>
        <v>0.36363636363636354</v>
      </c>
      <c r="AW47" s="83">
        <f t="shared" si="65"/>
        <v>0.14285714285714279</v>
      </c>
      <c r="AX47" s="30">
        <f t="shared" si="65"/>
        <v>0</v>
      </c>
      <c r="AY47" s="84">
        <f t="shared" si="65"/>
        <v>0.14285714285714279</v>
      </c>
      <c r="AZ47" s="86"/>
      <c r="BA47" s="86"/>
      <c r="BB47" s="87"/>
      <c r="BC47" s="88"/>
      <c r="BD47" s="86"/>
      <c r="BE47" s="87"/>
      <c r="BF47" s="88"/>
      <c r="BG47" s="86"/>
      <c r="BH47" s="87"/>
      <c r="BI47" s="88"/>
      <c r="BJ47" s="86"/>
      <c r="BK47" s="87"/>
      <c r="BL47" s="88"/>
      <c r="BM47" s="86"/>
      <c r="BN47" s="87"/>
      <c r="BO47" s="83">
        <f t="shared" ref="BO47:BQ47" si="66">BO48/BO49-1</f>
        <v>7.5581395348837122E-2</v>
      </c>
      <c r="BP47" s="30">
        <f t="shared" si="66"/>
        <v>-1.8651214926315163E-3</v>
      </c>
      <c r="BQ47" s="84">
        <f t="shared" si="66"/>
        <v>7.3575305371297528E-2</v>
      </c>
      <c r="BR47" s="85">
        <v>8.7900000000000006E-2</v>
      </c>
      <c r="BS47" s="30">
        <v>6.7999999999999996E-3</v>
      </c>
      <c r="BT47" s="89">
        <v>9.5500000000000002E-2</v>
      </c>
      <c r="BU47" s="75"/>
      <c r="BV47" s="50"/>
      <c r="BW47" s="51"/>
    </row>
    <row r="48" spans="1:75" x14ac:dyDescent="0.2">
      <c r="A48" s="39" t="e">
        <f>DATE(YEAR(A44),MONTH(A44)+2,1)-1</f>
        <v>#REF!</v>
      </c>
      <c r="B48" s="521"/>
      <c r="C48" s="40" t="s">
        <v>34</v>
      </c>
      <c r="D48" s="182">
        <v>796</v>
      </c>
      <c r="E48" s="183">
        <v>5800</v>
      </c>
      <c r="F48" s="184">
        <f>D48*E48</f>
        <v>4616800</v>
      </c>
      <c r="G48" s="185"/>
      <c r="H48" s="183"/>
      <c r="I48" s="184"/>
      <c r="J48" s="185">
        <v>160</v>
      </c>
      <c r="K48" s="183">
        <v>4800</v>
      </c>
      <c r="L48" s="184">
        <f>J48*K48</f>
        <v>768000</v>
      </c>
      <c r="M48" s="185">
        <v>280</v>
      </c>
      <c r="N48" s="183">
        <v>3519</v>
      </c>
      <c r="O48" s="184">
        <f>M48*N48</f>
        <v>985320</v>
      </c>
      <c r="P48" s="185">
        <v>1290</v>
      </c>
      <c r="Q48" s="183">
        <v>3580</v>
      </c>
      <c r="R48" s="184">
        <f>P48*Q48</f>
        <v>4618200</v>
      </c>
      <c r="S48" s="185">
        <v>505</v>
      </c>
      <c r="T48" s="183">
        <v>4100</v>
      </c>
      <c r="U48" s="184">
        <f>S48*T48</f>
        <v>2070500</v>
      </c>
      <c r="V48" s="185">
        <v>155</v>
      </c>
      <c r="W48" s="183">
        <v>4000</v>
      </c>
      <c r="X48" s="184">
        <f>V48*W48</f>
        <v>620000</v>
      </c>
      <c r="Y48" s="185">
        <v>85</v>
      </c>
      <c r="Z48" s="183">
        <v>3312</v>
      </c>
      <c r="AA48" s="184">
        <f>Y48*Z48</f>
        <v>281520</v>
      </c>
      <c r="AB48" s="185">
        <v>0</v>
      </c>
      <c r="AC48" s="183">
        <v>0</v>
      </c>
      <c r="AD48" s="184">
        <f>AB48*AC48</f>
        <v>0</v>
      </c>
      <c r="AE48" s="185">
        <v>8</v>
      </c>
      <c r="AF48" s="183">
        <v>2640</v>
      </c>
      <c r="AG48" s="184">
        <f>AE48*AF48</f>
        <v>21120</v>
      </c>
      <c r="AH48" s="186">
        <f>SUMIF($D$6:$AG$6,AH$6,$D48:$AG48)</f>
        <v>3279</v>
      </c>
      <c r="AI48" s="187">
        <f>IF(AH48=0,0,AJ48/AH48)</f>
        <v>4263.9402256785606</v>
      </c>
      <c r="AJ48" s="188">
        <f>SUMIF($D$6:$AG$6,AJ$6,$D48:$AG48)</f>
        <v>13981460</v>
      </c>
      <c r="AK48" s="303">
        <v>1950</v>
      </c>
      <c r="AL48" s="183">
        <v>3800</v>
      </c>
      <c r="AM48" s="184">
        <f>AK48*AL48</f>
        <v>7410000</v>
      </c>
      <c r="AN48" s="267">
        <v>770</v>
      </c>
      <c r="AO48" s="183">
        <v>3800</v>
      </c>
      <c r="AP48" s="184">
        <f>AN48*AO48</f>
        <v>2926000</v>
      </c>
      <c r="AQ48" s="185">
        <v>600</v>
      </c>
      <c r="AR48" s="183">
        <v>3600</v>
      </c>
      <c r="AS48" s="184">
        <f>AQ48*AR48</f>
        <v>2160000</v>
      </c>
      <c r="AT48" s="267">
        <v>300</v>
      </c>
      <c r="AU48" s="183">
        <v>3311.5</v>
      </c>
      <c r="AV48" s="184">
        <f>AT48*AU48</f>
        <v>993450</v>
      </c>
      <c r="AW48" s="267">
        <v>80</v>
      </c>
      <c r="AX48" s="183">
        <v>3000</v>
      </c>
      <c r="AY48" s="184">
        <f>AW48*AX48</f>
        <v>240000</v>
      </c>
      <c r="AZ48" s="55"/>
      <c r="BA48" s="56"/>
      <c r="BB48" s="43">
        <f>AZ48*BA48</f>
        <v>0</v>
      </c>
      <c r="BC48" s="49"/>
      <c r="BD48" s="42"/>
      <c r="BE48" s="43">
        <f t="shared" ref="BE48:BE50" si="67">BC48*BD48</f>
        <v>0</v>
      </c>
      <c r="BF48" s="49"/>
      <c r="BG48" s="42"/>
      <c r="BH48" s="43">
        <f t="shared" ref="BH48:BH50" si="68">BF48*BG48</f>
        <v>0</v>
      </c>
      <c r="BI48" s="49"/>
      <c r="BJ48" s="42"/>
      <c r="BK48" s="43">
        <f t="shared" ref="BK48:BK50" si="69">BI48*BJ48</f>
        <v>0</v>
      </c>
      <c r="BL48" s="49"/>
      <c r="BM48" s="42"/>
      <c r="BN48" s="43">
        <f t="shared" ref="BN48:BN50" si="70">BL48*BM48</f>
        <v>0</v>
      </c>
      <c r="BO48" s="45">
        <f>SUMIF($AK$6:$BN$6,BO$6,$AK48:$BN48)</f>
        <v>3700</v>
      </c>
      <c r="BP48" s="46">
        <f t="shared" ref="BP48:BP50" si="71">IF(BO48=0,0,BQ48/BO48)</f>
        <v>3710.6621621621621</v>
      </c>
      <c r="BQ48" s="47">
        <f>SUMIF($AK$6:$BN$6,BQ$6,$AK48:$BN48)</f>
        <v>13729450</v>
      </c>
      <c r="BR48" s="45">
        <f>BO48+AH48</f>
        <v>6979</v>
      </c>
      <c r="BS48" s="46">
        <f t="shared" si="7"/>
        <v>3970.6132683765582</v>
      </c>
      <c r="BT48" s="47">
        <f>BQ48+AJ48</f>
        <v>27710910</v>
      </c>
      <c r="BV48" s="50">
        <f>261*30</f>
        <v>7830</v>
      </c>
      <c r="BW48" s="51">
        <f t="shared" si="8"/>
        <v>0.89131545338441887</v>
      </c>
    </row>
    <row r="49" spans="1:77" x14ac:dyDescent="0.2">
      <c r="A49" s="39" t="e">
        <f>DATE(YEAR(A45),MONTH(A45)+2,1)-1</f>
        <v>#REF!</v>
      </c>
      <c r="B49" s="521"/>
      <c r="C49" s="52" t="s">
        <v>30</v>
      </c>
      <c r="D49" s="182">
        <v>700</v>
      </c>
      <c r="E49" s="183">
        <v>5800</v>
      </c>
      <c r="F49" s="184">
        <f>D49*E49</f>
        <v>4060000</v>
      </c>
      <c r="G49" s="185"/>
      <c r="H49" s="183"/>
      <c r="I49" s="184"/>
      <c r="J49" s="185">
        <v>400</v>
      </c>
      <c r="K49" s="183">
        <v>4800</v>
      </c>
      <c r="L49" s="184">
        <f>J49*K49</f>
        <v>1920000</v>
      </c>
      <c r="M49" s="185">
        <v>280</v>
      </c>
      <c r="N49" s="183">
        <v>3519</v>
      </c>
      <c r="O49" s="184">
        <f>M49*N49</f>
        <v>985320</v>
      </c>
      <c r="P49" s="185">
        <v>1290</v>
      </c>
      <c r="Q49" s="183">
        <v>3580</v>
      </c>
      <c r="R49" s="184">
        <f>P49*Q49</f>
        <v>4618200</v>
      </c>
      <c r="S49" s="185">
        <v>460</v>
      </c>
      <c r="T49" s="183">
        <v>4100</v>
      </c>
      <c r="U49" s="184">
        <f>S49*T49</f>
        <v>1886000</v>
      </c>
      <c r="V49" s="185">
        <v>155</v>
      </c>
      <c r="W49" s="183">
        <v>4000</v>
      </c>
      <c r="X49" s="184">
        <f>V49*W49</f>
        <v>620000</v>
      </c>
      <c r="Y49" s="185">
        <v>85</v>
      </c>
      <c r="Z49" s="183">
        <v>3312</v>
      </c>
      <c r="AA49" s="184">
        <f>Y49*Z49</f>
        <v>281520</v>
      </c>
      <c r="AB49" s="185">
        <v>0</v>
      </c>
      <c r="AC49" s="183">
        <v>0</v>
      </c>
      <c r="AD49" s="184">
        <f>AB49*AC49</f>
        <v>0</v>
      </c>
      <c r="AE49" s="185">
        <v>8</v>
      </c>
      <c r="AF49" s="183">
        <v>2640</v>
      </c>
      <c r="AG49" s="184">
        <f>AE49*AF49</f>
        <v>21120</v>
      </c>
      <c r="AH49" s="186">
        <f>SUMIF($D$6:$AG$6,AH$6,$D49:$AG49)</f>
        <v>3378</v>
      </c>
      <c r="AI49" s="187">
        <f>IF(AH49=0,0,AJ49/AH49)</f>
        <v>4260.5565423327416</v>
      </c>
      <c r="AJ49" s="188">
        <f>SUMIF($D$6:$AG$6,AJ$6,$D49:$AG49)</f>
        <v>14392160</v>
      </c>
      <c r="AK49" s="182">
        <v>1850</v>
      </c>
      <c r="AL49" s="183">
        <v>3800</v>
      </c>
      <c r="AM49" s="184">
        <f>AK49*AL49</f>
        <v>7030000</v>
      </c>
      <c r="AN49" s="185">
        <v>700</v>
      </c>
      <c r="AO49" s="183">
        <v>3800</v>
      </c>
      <c r="AP49" s="184">
        <f>AN49*AO49</f>
        <v>2660000</v>
      </c>
      <c r="AQ49" s="185">
        <v>600</v>
      </c>
      <c r="AR49" s="183">
        <v>3600</v>
      </c>
      <c r="AS49" s="184">
        <f>AQ49*AR49</f>
        <v>2160000</v>
      </c>
      <c r="AT49" s="185">
        <v>220</v>
      </c>
      <c r="AU49" s="183">
        <v>3311.5</v>
      </c>
      <c r="AV49" s="184">
        <f>AT49*AU49</f>
        <v>728530</v>
      </c>
      <c r="AW49" s="185">
        <v>70</v>
      </c>
      <c r="AX49" s="183">
        <v>3000</v>
      </c>
      <c r="AY49" s="184">
        <f>AW49*AX49</f>
        <v>210000</v>
      </c>
      <c r="AZ49" s="55"/>
      <c r="BA49" s="56"/>
      <c r="BB49" s="43">
        <f>AZ49*BA49</f>
        <v>0</v>
      </c>
      <c r="BC49" s="55"/>
      <c r="BD49" s="56"/>
      <c r="BE49" s="57">
        <f t="shared" si="67"/>
        <v>0</v>
      </c>
      <c r="BF49" s="55"/>
      <c r="BG49" s="56"/>
      <c r="BH49" s="57">
        <f t="shared" si="68"/>
        <v>0</v>
      </c>
      <c r="BI49" s="55"/>
      <c r="BJ49" s="56"/>
      <c r="BK49" s="57">
        <f t="shared" si="69"/>
        <v>0</v>
      </c>
      <c r="BL49" s="55"/>
      <c r="BM49" s="56"/>
      <c r="BN49" s="57">
        <f t="shared" si="70"/>
        <v>0</v>
      </c>
      <c r="BO49" s="58">
        <f>SUMIF($AK$6:$BN$6,BO$6,$AK49:$BN49)</f>
        <v>3440</v>
      </c>
      <c r="BP49" s="59">
        <f t="shared" si="71"/>
        <v>3717.5959302325582</v>
      </c>
      <c r="BQ49" s="60">
        <f>SUMIF($AK$6:$BN$6,BQ$6,$AK49:$BN49)</f>
        <v>12788530</v>
      </c>
      <c r="BR49" s="58">
        <f>BO49+AH49</f>
        <v>6818</v>
      </c>
      <c r="BS49" s="59">
        <f t="shared" si="7"/>
        <v>3986.6075095335877</v>
      </c>
      <c r="BT49" s="60">
        <f>BQ49+AJ49</f>
        <v>27180690</v>
      </c>
      <c r="BV49" s="50">
        <f>261*30</f>
        <v>7830</v>
      </c>
      <c r="BW49" s="61">
        <f t="shared" si="8"/>
        <v>0.87075351213282248</v>
      </c>
    </row>
    <row r="50" spans="1:77" x14ac:dyDescent="0.2">
      <c r="A50" s="39" t="e">
        <f>DATE(YEAR(A46),MONTH(A46)+2,1)-1</f>
        <v>#REF!</v>
      </c>
      <c r="B50" s="522"/>
      <c r="C50" s="62" t="s">
        <v>33</v>
      </c>
      <c r="D50" s="189">
        <v>819</v>
      </c>
      <c r="E50" s="190">
        <v>5684.1359000000002</v>
      </c>
      <c r="F50" s="47">
        <f>D50*E50</f>
        <v>4655307.3021</v>
      </c>
      <c r="G50" s="191">
        <f>+G51*(G49+1)</f>
        <v>0</v>
      </c>
      <c r="H50" s="190">
        <f>+H51*(H49+1)</f>
        <v>0</v>
      </c>
      <c r="I50" s="47">
        <f>G50*H50</f>
        <v>0</v>
      </c>
      <c r="J50" s="191">
        <v>182</v>
      </c>
      <c r="K50" s="190">
        <v>3730.1325000000002</v>
      </c>
      <c r="L50" s="47">
        <f>J50*K50</f>
        <v>678884.11499999999</v>
      </c>
      <c r="M50" s="191">
        <v>152</v>
      </c>
      <c r="N50" s="190">
        <v>3467.1351</v>
      </c>
      <c r="O50" s="47">
        <f>M50*N50</f>
        <v>527004.53520000004</v>
      </c>
      <c r="P50" s="191">
        <v>536</v>
      </c>
      <c r="Q50" s="190">
        <v>3587</v>
      </c>
      <c r="R50" s="47">
        <f>P50*Q50</f>
        <v>1922632</v>
      </c>
      <c r="S50" s="191">
        <v>835</v>
      </c>
      <c r="T50" s="190">
        <v>3778.1298999999999</v>
      </c>
      <c r="U50" s="47">
        <f>S50*T50</f>
        <v>3154738.4665000001</v>
      </c>
      <c r="V50" s="191">
        <v>65</v>
      </c>
      <c r="W50" s="190">
        <v>3187.3753000000002</v>
      </c>
      <c r="X50" s="47">
        <f>V50*W50</f>
        <v>207179.39450000002</v>
      </c>
      <c r="Y50" s="191">
        <v>116</v>
      </c>
      <c r="Z50" s="190">
        <v>4293.2350999999999</v>
      </c>
      <c r="AA50" s="47">
        <f>Y50*Z50</f>
        <v>498015.27159999998</v>
      </c>
      <c r="AB50" s="191">
        <v>0</v>
      </c>
      <c r="AC50" s="190">
        <v>0</v>
      </c>
      <c r="AD50" s="47">
        <f>AB50*AC50</f>
        <v>0</v>
      </c>
      <c r="AE50" s="191">
        <v>2</v>
      </c>
      <c r="AF50" s="190">
        <v>2444.335</v>
      </c>
      <c r="AG50" s="47">
        <f>AE50*AF50</f>
        <v>4888.67</v>
      </c>
      <c r="AH50" s="108">
        <f>SUMIF($D$6:$AG$6,AH$6,$D50:$AG50)</f>
        <v>2707</v>
      </c>
      <c r="AI50" s="105">
        <f>IF(AH50=0,0,AJ50/AH50)</f>
        <v>4303.1583874769121</v>
      </c>
      <c r="AJ50" s="103">
        <f>SUMIF($D$6:$AG$6,AJ$6,$D50:$AG50)</f>
        <v>11648649.754900001</v>
      </c>
      <c r="AK50" s="189">
        <v>989</v>
      </c>
      <c r="AL50" s="190">
        <v>3334</v>
      </c>
      <c r="AM50" s="47">
        <f>AK50*AL50</f>
        <v>3297326</v>
      </c>
      <c r="AN50" s="191">
        <v>468</v>
      </c>
      <c r="AO50" s="190">
        <v>3688</v>
      </c>
      <c r="AP50" s="47">
        <f>AN50*AO50</f>
        <v>1725984</v>
      </c>
      <c r="AQ50" s="191">
        <v>915</v>
      </c>
      <c r="AR50" s="190">
        <v>3494.2350999999999</v>
      </c>
      <c r="AS50" s="47">
        <f>AQ50*AR50</f>
        <v>3197225.1165</v>
      </c>
      <c r="AT50" s="191">
        <v>199</v>
      </c>
      <c r="AU50" s="190">
        <v>3093.3325</v>
      </c>
      <c r="AV50" s="47">
        <f>AT50*AU50</f>
        <v>615573.16749999998</v>
      </c>
      <c r="AW50" s="191">
        <v>118</v>
      </c>
      <c r="AX50" s="190">
        <v>4070</v>
      </c>
      <c r="AY50" s="47">
        <f>AW50*AX50</f>
        <v>480260</v>
      </c>
      <c r="AZ50" s="192"/>
      <c r="BA50" s="190"/>
      <c r="BB50" s="47">
        <f>AZ50*BA50</f>
        <v>0</v>
      </c>
      <c r="BC50" s="64"/>
      <c r="BD50" s="65"/>
      <c r="BE50" s="63">
        <f t="shared" si="67"/>
        <v>0</v>
      </c>
      <c r="BF50" s="64"/>
      <c r="BG50" s="65"/>
      <c r="BH50" s="63">
        <f t="shared" si="68"/>
        <v>0</v>
      </c>
      <c r="BI50" s="64"/>
      <c r="BJ50" s="65"/>
      <c r="BK50" s="63">
        <f t="shared" si="69"/>
        <v>0</v>
      </c>
      <c r="BL50" s="64"/>
      <c r="BM50" s="65"/>
      <c r="BN50" s="63">
        <f t="shared" si="70"/>
        <v>0</v>
      </c>
      <c r="BO50" s="66">
        <f>SUMIF($AK$6:$BN$6,BO$6,$AK50:$BN50)</f>
        <v>2689</v>
      </c>
      <c r="BP50" s="67">
        <f t="shared" si="71"/>
        <v>3464.621898103384</v>
      </c>
      <c r="BQ50" s="68">
        <f>SUMIF($AK$6:$BN$6,BQ$6,$AK50:$BN50)</f>
        <v>9316368.284</v>
      </c>
      <c r="BR50" s="66">
        <f>BO50+AH50</f>
        <v>5396</v>
      </c>
      <c r="BS50" s="67">
        <f t="shared" si="7"/>
        <v>3885.2887396034102</v>
      </c>
      <c r="BT50" s="68">
        <f>BQ50+AJ50</f>
        <v>20965018.038900003</v>
      </c>
      <c r="BV50" s="50">
        <f>261*30</f>
        <v>7830</v>
      </c>
      <c r="BW50" s="61">
        <f t="shared" si="8"/>
        <v>0.68914431673052368</v>
      </c>
    </row>
    <row r="51" spans="1:77" x14ac:dyDescent="0.2">
      <c r="A51" s="39"/>
      <c r="B51" s="520">
        <f>DATE(YEAR(B47),MONTH(B47)+2,1)-1</f>
        <v>366</v>
      </c>
      <c r="C51" s="24" t="s">
        <v>27</v>
      </c>
      <c r="D51" s="25">
        <f>(D52/D53)-1</f>
        <v>0</v>
      </c>
      <c r="E51" s="26">
        <f>(E52/E53)-1</f>
        <v>5.1724137931034475E-2</v>
      </c>
      <c r="F51" s="25">
        <f>(F52/F53)-1</f>
        <v>5.1724137931034475E-2</v>
      </c>
      <c r="G51" s="27"/>
      <c r="H51" s="26"/>
      <c r="I51" s="28"/>
      <c r="J51" s="29">
        <f t="shared" ref="J51:AY51" si="72">J52/J53-1</f>
        <v>-0.5</v>
      </c>
      <c r="K51" s="70">
        <f t="shared" si="72"/>
        <v>0</v>
      </c>
      <c r="L51" s="25">
        <f t="shared" si="72"/>
        <v>-0.5</v>
      </c>
      <c r="M51" s="29">
        <f t="shared" si="72"/>
        <v>0</v>
      </c>
      <c r="N51" s="70">
        <f t="shared" si="72"/>
        <v>0</v>
      </c>
      <c r="O51" s="25">
        <f t="shared" si="72"/>
        <v>0</v>
      </c>
      <c r="P51" s="29">
        <f t="shared" si="72"/>
        <v>0</v>
      </c>
      <c r="Q51" s="70">
        <f t="shared" si="72"/>
        <v>4.0000000000000036E-2</v>
      </c>
      <c r="R51" s="25">
        <f t="shared" si="72"/>
        <v>4.0000000000000036E-2</v>
      </c>
      <c r="S51" s="29">
        <f t="shared" si="72"/>
        <v>8.9473684210526372E-2</v>
      </c>
      <c r="T51" s="70">
        <f t="shared" si="72"/>
        <v>0</v>
      </c>
      <c r="U51" s="25">
        <f t="shared" si="72"/>
        <v>8.9473684210526372E-2</v>
      </c>
      <c r="V51" s="29">
        <f t="shared" si="72"/>
        <v>0</v>
      </c>
      <c r="W51" s="70">
        <f t="shared" si="72"/>
        <v>0</v>
      </c>
      <c r="X51" s="25">
        <f t="shared" si="72"/>
        <v>0</v>
      </c>
      <c r="Y51" s="29">
        <f t="shared" si="72"/>
        <v>0</v>
      </c>
      <c r="Z51" s="70">
        <f t="shared" si="72"/>
        <v>0</v>
      </c>
      <c r="AA51" s="25">
        <f t="shared" si="72"/>
        <v>0</v>
      </c>
      <c r="AB51" s="29" t="e">
        <f t="shared" si="72"/>
        <v>#DIV/0!</v>
      </c>
      <c r="AC51" s="70" t="e">
        <f t="shared" si="72"/>
        <v>#DIV/0!</v>
      </c>
      <c r="AD51" s="25" t="e">
        <f t="shared" si="72"/>
        <v>#DIV/0!</v>
      </c>
      <c r="AE51" s="29">
        <f t="shared" si="72"/>
        <v>0</v>
      </c>
      <c r="AF51" s="70">
        <f t="shared" si="72"/>
        <v>0</v>
      </c>
      <c r="AG51" s="28">
        <f t="shared" si="72"/>
        <v>0</v>
      </c>
      <c r="AH51" s="154">
        <f t="shared" si="72"/>
        <v>-1.3524760715771911E-2</v>
      </c>
      <c r="AI51" s="76">
        <f t="shared" si="72"/>
        <v>2.6731685320412701E-2</v>
      </c>
      <c r="AJ51" s="77">
        <f t="shared" si="72"/>
        <v>1.2845384957152817E-2</v>
      </c>
      <c r="AK51" s="28">
        <f t="shared" si="72"/>
        <v>4.3956043956044022E-2</v>
      </c>
      <c r="AL51" s="70">
        <f t="shared" si="72"/>
        <v>0</v>
      </c>
      <c r="AM51" s="31">
        <f t="shared" si="72"/>
        <v>4.3956043956044022E-2</v>
      </c>
      <c r="AN51" s="28">
        <f t="shared" si="72"/>
        <v>0</v>
      </c>
      <c r="AO51" s="70">
        <f t="shared" si="72"/>
        <v>0</v>
      </c>
      <c r="AP51" s="25">
        <f t="shared" si="72"/>
        <v>0</v>
      </c>
      <c r="AQ51" s="29">
        <f t="shared" si="72"/>
        <v>0</v>
      </c>
      <c r="AR51" s="70">
        <f t="shared" si="72"/>
        <v>0</v>
      </c>
      <c r="AS51" s="25">
        <f t="shared" si="72"/>
        <v>0</v>
      </c>
      <c r="AT51" s="29">
        <f t="shared" si="72"/>
        <v>0</v>
      </c>
      <c r="AU51" s="70">
        <f t="shared" si="72"/>
        <v>0</v>
      </c>
      <c r="AV51" s="25">
        <f t="shared" si="72"/>
        <v>0</v>
      </c>
      <c r="AW51" s="29" t="e">
        <f t="shared" si="72"/>
        <v>#DIV/0!</v>
      </c>
      <c r="AX51" s="70" t="e">
        <f t="shared" si="72"/>
        <v>#DIV/0!</v>
      </c>
      <c r="AY51" s="31" t="e">
        <f t="shared" si="72"/>
        <v>#DIV/0!</v>
      </c>
      <c r="AZ51" s="33"/>
      <c r="BA51" s="33"/>
      <c r="BB51" s="34"/>
      <c r="BC51" s="35"/>
      <c r="BD51" s="33"/>
      <c r="BE51" s="34"/>
      <c r="BF51" s="35"/>
      <c r="BG51" s="33"/>
      <c r="BH51" s="34"/>
      <c r="BI51" s="35"/>
      <c r="BJ51" s="33"/>
      <c r="BK51" s="34"/>
      <c r="BL51" s="35"/>
      <c r="BM51" s="33"/>
      <c r="BN51" s="34"/>
      <c r="BO51" s="29">
        <f t="shared" ref="BO51:BQ51" si="73">BO52/BO53-1</f>
        <v>0.1831896551724137</v>
      </c>
      <c r="BP51" s="70">
        <f t="shared" si="73"/>
        <v>1.089324618736387E-2</v>
      </c>
      <c r="BQ51" s="31">
        <f t="shared" si="73"/>
        <v>0.19607843137254899</v>
      </c>
      <c r="BR51" s="29">
        <v>2.18E-2</v>
      </c>
      <c r="BS51" s="70">
        <v>6.3700000000000007E-2</v>
      </c>
      <c r="BT51" s="77">
        <v>8.7099999999999997E-2</v>
      </c>
      <c r="BU51" s="75"/>
      <c r="BV51" s="50"/>
      <c r="BW51" s="51"/>
    </row>
    <row r="52" spans="1:77" x14ac:dyDescent="0.2">
      <c r="A52" s="39" t="e">
        <f>DATE(YEAR(A48),MONTH(A48)+2,1)-1</f>
        <v>#REF!</v>
      </c>
      <c r="B52" s="521"/>
      <c r="C52" s="40" t="s">
        <v>34</v>
      </c>
      <c r="D52" s="182">
        <v>1250</v>
      </c>
      <c r="E52" s="183">
        <v>6100</v>
      </c>
      <c r="F52" s="184">
        <f>D52*E52</f>
        <v>7625000</v>
      </c>
      <c r="G52" s="185"/>
      <c r="H52" s="183"/>
      <c r="I52" s="184"/>
      <c r="J52" s="185">
        <v>150</v>
      </c>
      <c r="K52" s="183">
        <v>4709</v>
      </c>
      <c r="L52" s="184">
        <f>J52*K52</f>
        <v>706350</v>
      </c>
      <c r="M52" s="185">
        <v>198</v>
      </c>
      <c r="N52" s="183">
        <v>3519</v>
      </c>
      <c r="O52" s="184">
        <f>M52*N52</f>
        <v>696762</v>
      </c>
      <c r="P52" s="185">
        <v>1350</v>
      </c>
      <c r="Q52" s="183">
        <v>5200</v>
      </c>
      <c r="R52" s="184">
        <f>P52*Q52</f>
        <v>7020000</v>
      </c>
      <c r="S52" s="185">
        <v>1035</v>
      </c>
      <c r="T52" s="183">
        <v>4100</v>
      </c>
      <c r="U52" s="184">
        <f>S52*T52</f>
        <v>4243500</v>
      </c>
      <c r="V52" s="185">
        <v>210</v>
      </c>
      <c r="W52" s="183">
        <v>3105</v>
      </c>
      <c r="X52" s="184">
        <f>V52*W52</f>
        <v>652050</v>
      </c>
      <c r="Y52" s="185">
        <v>540</v>
      </c>
      <c r="Z52" s="183">
        <v>3105</v>
      </c>
      <c r="AA52" s="184">
        <f>Y52*Z52</f>
        <v>1676700</v>
      </c>
      <c r="AB52" s="185"/>
      <c r="AC52" s="183"/>
      <c r="AD52" s="184">
        <f>AB52*AC52</f>
        <v>0</v>
      </c>
      <c r="AE52" s="185">
        <v>8</v>
      </c>
      <c r="AF52" s="183">
        <v>2640</v>
      </c>
      <c r="AG52" s="184">
        <f>AE52*AF52</f>
        <v>21120</v>
      </c>
      <c r="AH52" s="186">
        <f>SUMIF($D$6:$AG$6,AH$6,$D52:$AG52)</f>
        <v>4741</v>
      </c>
      <c r="AI52" s="187">
        <f>IF(AH52=0,0,AJ52/AH52)</f>
        <v>4775.676439569711</v>
      </c>
      <c r="AJ52" s="188">
        <f>SUMIF($D$6:$AG$6,AJ$6,$D52:$AG52)</f>
        <v>22641482</v>
      </c>
      <c r="AK52" s="303">
        <v>950</v>
      </c>
      <c r="AL52" s="183">
        <v>3800</v>
      </c>
      <c r="AM52" s="184">
        <f>AK52*AL52</f>
        <v>3610000</v>
      </c>
      <c r="AN52" s="185">
        <v>296</v>
      </c>
      <c r="AO52" s="183">
        <v>3950</v>
      </c>
      <c r="AP52" s="184">
        <f>AN52*AO52</f>
        <v>1169200</v>
      </c>
      <c r="AQ52" s="185">
        <v>400</v>
      </c>
      <c r="AR52" s="183">
        <v>3600</v>
      </c>
      <c r="AS52" s="184">
        <f>AQ52*AR52</f>
        <v>1440000</v>
      </c>
      <c r="AT52" s="185">
        <v>250</v>
      </c>
      <c r="AU52" s="183">
        <v>3312</v>
      </c>
      <c r="AV52" s="184">
        <f>AT52*AU52</f>
        <v>828000</v>
      </c>
      <c r="AW52" s="185">
        <v>300</v>
      </c>
      <c r="AX52" s="183">
        <v>4000</v>
      </c>
      <c r="AY52" s="184">
        <f>AW52*AX52</f>
        <v>1200000</v>
      </c>
      <c r="AZ52" s="55"/>
      <c r="BA52" s="56"/>
      <c r="BB52" s="43">
        <f>AZ52*BA52</f>
        <v>0</v>
      </c>
      <c r="BC52" s="49"/>
      <c r="BD52" s="42"/>
      <c r="BE52" s="43">
        <f t="shared" ref="BE52:BE54" si="74">BC52*BD52</f>
        <v>0</v>
      </c>
      <c r="BF52" s="49"/>
      <c r="BG52" s="42"/>
      <c r="BH52" s="43">
        <f t="shared" ref="BH52:BH54" si="75">BF52*BG52</f>
        <v>0</v>
      </c>
      <c r="BI52" s="49"/>
      <c r="BJ52" s="42"/>
      <c r="BK52" s="43">
        <f t="shared" ref="BK52:BK54" si="76">BI52*BJ52</f>
        <v>0</v>
      </c>
      <c r="BL52" s="49"/>
      <c r="BM52" s="42"/>
      <c r="BN52" s="43">
        <f t="shared" ref="BN52:BN54" si="77">BL52*BM52</f>
        <v>0</v>
      </c>
      <c r="BO52" s="45">
        <f>SUMIF($AK$6:$BN$6,BO$6,$AK52:$BN52)</f>
        <v>2196</v>
      </c>
      <c r="BP52" s="46">
        <f t="shared" ref="BP52:BP54" si="78">IF(BO52=0,0,BQ52/BO52)</f>
        <v>3755.5555555555557</v>
      </c>
      <c r="BQ52" s="47">
        <f>SUMIF($AK$6:$BN$6,BQ$6,$AK52:$BN52)</f>
        <v>8247200</v>
      </c>
      <c r="BR52" s="45">
        <f>BO52+AH52</f>
        <v>6937</v>
      </c>
      <c r="BS52" s="46">
        <f t="shared" si="7"/>
        <v>4452.7435490846183</v>
      </c>
      <c r="BT52" s="47">
        <f>BQ52+AJ52</f>
        <v>30888682</v>
      </c>
      <c r="BV52" s="50">
        <f>261*31</f>
        <v>8091</v>
      </c>
      <c r="BW52" s="51">
        <f t="shared" ref="BW52:BW62" si="79">IF(BV52=0,0,BR52/BV52)</f>
        <v>0.85737238907428004</v>
      </c>
    </row>
    <row r="53" spans="1:77" x14ac:dyDescent="0.2">
      <c r="A53" s="39" t="e">
        <f>DATE(YEAR(A49),MONTH(A49)+2,1)-1</f>
        <v>#REF!</v>
      </c>
      <c r="B53" s="521"/>
      <c r="C53" s="52" t="s">
        <v>30</v>
      </c>
      <c r="D53" s="182">
        <v>1250</v>
      </c>
      <c r="E53" s="183">
        <v>5800</v>
      </c>
      <c r="F53" s="184">
        <f>D53*E53</f>
        <v>7250000</v>
      </c>
      <c r="G53" s="185"/>
      <c r="H53" s="183"/>
      <c r="I53" s="184"/>
      <c r="J53" s="185">
        <v>300</v>
      </c>
      <c r="K53" s="183">
        <v>4709</v>
      </c>
      <c r="L53" s="184">
        <f>J53*K53</f>
        <v>1412700</v>
      </c>
      <c r="M53" s="185">
        <v>198</v>
      </c>
      <c r="N53" s="183">
        <v>3519</v>
      </c>
      <c r="O53" s="184">
        <f>M53*N53</f>
        <v>696762</v>
      </c>
      <c r="P53" s="185">
        <v>1350</v>
      </c>
      <c r="Q53" s="183">
        <v>5000</v>
      </c>
      <c r="R53" s="184">
        <f>P53*Q53</f>
        <v>6750000</v>
      </c>
      <c r="S53" s="185">
        <v>950</v>
      </c>
      <c r="T53" s="183">
        <v>4100</v>
      </c>
      <c r="U53" s="184">
        <f>S53*T53</f>
        <v>3895000</v>
      </c>
      <c r="V53" s="185">
        <v>210</v>
      </c>
      <c r="W53" s="183">
        <v>3105</v>
      </c>
      <c r="X53" s="184">
        <f>V53*W53</f>
        <v>652050</v>
      </c>
      <c r="Y53" s="185">
        <v>540</v>
      </c>
      <c r="Z53" s="183">
        <v>3105</v>
      </c>
      <c r="AA53" s="184">
        <f>Y53*Z53</f>
        <v>1676700</v>
      </c>
      <c r="AB53" s="185"/>
      <c r="AC53" s="183"/>
      <c r="AD53" s="184">
        <f>AB53*AC53</f>
        <v>0</v>
      </c>
      <c r="AE53" s="185">
        <v>8</v>
      </c>
      <c r="AF53" s="183">
        <v>2640</v>
      </c>
      <c r="AG53" s="184">
        <f>AE53*AF53</f>
        <v>21120</v>
      </c>
      <c r="AH53" s="186">
        <f>SUMIF($D$6:$AG$6,AH$6,$D53:$AG53)</f>
        <v>4806</v>
      </c>
      <c r="AI53" s="187">
        <f>IF(AH53=0,0,AJ53/AH53)</f>
        <v>4651.3383270911363</v>
      </c>
      <c r="AJ53" s="188">
        <f>SUMIF($D$6:$AG$6,AJ$6,$D53:$AG53)</f>
        <v>22354332</v>
      </c>
      <c r="AK53" s="182">
        <v>910</v>
      </c>
      <c r="AL53" s="183">
        <v>3800</v>
      </c>
      <c r="AM53" s="184">
        <f>AK53*AL53</f>
        <v>3458000</v>
      </c>
      <c r="AN53" s="185">
        <v>296</v>
      </c>
      <c r="AO53" s="183">
        <v>3950</v>
      </c>
      <c r="AP53" s="184">
        <f>AN53*AO53</f>
        <v>1169200</v>
      </c>
      <c r="AQ53" s="185">
        <v>400</v>
      </c>
      <c r="AR53" s="183">
        <v>3600</v>
      </c>
      <c r="AS53" s="184">
        <f>AQ53*AR53</f>
        <v>1440000</v>
      </c>
      <c r="AT53" s="185">
        <v>250</v>
      </c>
      <c r="AU53" s="183">
        <v>3312</v>
      </c>
      <c r="AV53" s="184">
        <f>AT53*AU53</f>
        <v>828000</v>
      </c>
      <c r="AW53" s="185">
        <v>0</v>
      </c>
      <c r="AX53" s="183">
        <v>0</v>
      </c>
      <c r="AY53" s="184">
        <f>AW53*AX53</f>
        <v>0</v>
      </c>
      <c r="AZ53" s="55"/>
      <c r="BA53" s="56"/>
      <c r="BB53" s="43">
        <f>AZ53*BA53</f>
        <v>0</v>
      </c>
      <c r="BC53" s="55"/>
      <c r="BD53" s="56"/>
      <c r="BE53" s="57">
        <f t="shared" si="74"/>
        <v>0</v>
      </c>
      <c r="BF53" s="55"/>
      <c r="BG53" s="56"/>
      <c r="BH53" s="57">
        <f t="shared" si="75"/>
        <v>0</v>
      </c>
      <c r="BI53" s="55"/>
      <c r="BJ53" s="56"/>
      <c r="BK53" s="57">
        <f t="shared" si="76"/>
        <v>0</v>
      </c>
      <c r="BL53" s="55"/>
      <c r="BM53" s="56"/>
      <c r="BN53" s="57">
        <f t="shared" si="77"/>
        <v>0</v>
      </c>
      <c r="BO53" s="58">
        <f>SUMIF($AK$6:$BN$6,BO$6,$AK53:$BN53)</f>
        <v>1856</v>
      </c>
      <c r="BP53" s="59">
        <f t="shared" si="78"/>
        <v>3715.0862068965516</v>
      </c>
      <c r="BQ53" s="60">
        <f>SUMIF($AK$6:$BN$6,BQ$6,$AK53:$BN53)</f>
        <v>6895200</v>
      </c>
      <c r="BR53" s="58">
        <f>BO53+AH53</f>
        <v>6662</v>
      </c>
      <c r="BS53" s="59">
        <f t="shared" si="7"/>
        <v>4390.5031522065447</v>
      </c>
      <c r="BT53" s="60">
        <f>BQ53+AJ53</f>
        <v>29249532</v>
      </c>
      <c r="BV53" s="50">
        <f>261*31</f>
        <v>8091</v>
      </c>
      <c r="BW53" s="61">
        <f t="shared" si="79"/>
        <v>0.82338400692127056</v>
      </c>
    </row>
    <row r="54" spans="1:77" x14ac:dyDescent="0.2">
      <c r="A54" s="39" t="e">
        <f>DATE(YEAR(A50),MONTH(A50)+2,1)-1</f>
        <v>#REF!</v>
      </c>
      <c r="B54" s="522"/>
      <c r="C54" s="62" t="s">
        <v>33</v>
      </c>
      <c r="D54" s="293">
        <v>1237</v>
      </c>
      <c r="E54" s="294">
        <v>6187</v>
      </c>
      <c r="F54" s="103">
        <f>D54*E54</f>
        <v>7653319</v>
      </c>
      <c r="G54" s="191">
        <f>+G55*(G53+1)</f>
        <v>0</v>
      </c>
      <c r="H54" s="190">
        <f>+H55*(H53+1)</f>
        <v>0</v>
      </c>
      <c r="I54" s="47">
        <f>G54*H54</f>
        <v>0</v>
      </c>
      <c r="J54" s="191">
        <v>180</v>
      </c>
      <c r="K54" s="190">
        <v>3583</v>
      </c>
      <c r="L54" s="47">
        <f>J54*K54</f>
        <v>644940</v>
      </c>
      <c r="M54" s="191">
        <v>165</v>
      </c>
      <c r="N54" s="190">
        <v>3551</v>
      </c>
      <c r="O54" s="47">
        <f>M54*N54</f>
        <v>585915</v>
      </c>
      <c r="P54" s="191">
        <v>1282</v>
      </c>
      <c r="Q54" s="190">
        <v>5564</v>
      </c>
      <c r="R54" s="47">
        <f>P54*Q54</f>
        <v>7133048</v>
      </c>
      <c r="S54" s="191">
        <v>1029</v>
      </c>
      <c r="T54" s="190">
        <v>4555</v>
      </c>
      <c r="U54" s="47">
        <f>S54*T54</f>
        <v>4687095</v>
      </c>
      <c r="V54" s="191">
        <v>105</v>
      </c>
      <c r="W54" s="190">
        <v>3037</v>
      </c>
      <c r="X54" s="47">
        <f>V54*W54</f>
        <v>318885</v>
      </c>
      <c r="Y54" s="191">
        <v>455</v>
      </c>
      <c r="Z54" s="190">
        <v>3513</v>
      </c>
      <c r="AA54" s="47">
        <f>Y54*Z54</f>
        <v>1598415</v>
      </c>
      <c r="AB54" s="191"/>
      <c r="AC54" s="190"/>
      <c r="AD54" s="47">
        <f>AB54*AC54</f>
        <v>0</v>
      </c>
      <c r="AE54" s="191">
        <v>12</v>
      </c>
      <c r="AF54" s="190">
        <v>2545</v>
      </c>
      <c r="AG54" s="47">
        <f>AE54*AF54</f>
        <v>30540</v>
      </c>
      <c r="AH54" s="108">
        <f>SUMIF($D$6:$AG$6,AH$6,$D54:$AG54)</f>
        <v>4465</v>
      </c>
      <c r="AI54" s="105">
        <f>IF(AH54=0,0,AJ54/AH54)</f>
        <v>5073.2714445688689</v>
      </c>
      <c r="AJ54" s="103">
        <f>SUMIF($D$6:$AG$6,AJ$6,$D54:$AG54)</f>
        <v>22652157</v>
      </c>
      <c r="AK54" s="189">
        <v>833</v>
      </c>
      <c r="AL54" s="190">
        <v>3339</v>
      </c>
      <c r="AM54" s="47">
        <f>AK54*AL54</f>
        <v>2781387</v>
      </c>
      <c r="AN54" s="191">
        <v>0</v>
      </c>
      <c r="AO54" s="190">
        <v>0</v>
      </c>
      <c r="AP54" s="47">
        <f>AN54*AO54</f>
        <v>0</v>
      </c>
      <c r="AQ54" s="191">
        <v>112</v>
      </c>
      <c r="AR54" s="190">
        <v>3208</v>
      </c>
      <c r="AS54" s="47">
        <f>AQ54*AR54</f>
        <v>359296</v>
      </c>
      <c r="AT54" s="191">
        <v>10</v>
      </c>
      <c r="AU54" s="190">
        <v>2728</v>
      </c>
      <c r="AV54" s="47">
        <f>AT54*AU54</f>
        <v>27280</v>
      </c>
      <c r="AW54" s="191">
        <v>314.98439999999999</v>
      </c>
      <c r="AX54" s="190">
        <v>4026.5068999999999</v>
      </c>
      <c r="AY54" s="47">
        <f>AW54*AX54</f>
        <v>1268286.85999236</v>
      </c>
      <c r="AZ54" s="192"/>
      <c r="BA54" s="190"/>
      <c r="BB54" s="47">
        <f>AZ54*BA54</f>
        <v>0</v>
      </c>
      <c r="BC54" s="64"/>
      <c r="BD54" s="65"/>
      <c r="BE54" s="63">
        <f t="shared" si="74"/>
        <v>0</v>
      </c>
      <c r="BF54" s="64"/>
      <c r="BG54" s="65"/>
      <c r="BH54" s="63">
        <f t="shared" si="75"/>
        <v>0</v>
      </c>
      <c r="BI54" s="64"/>
      <c r="BJ54" s="65"/>
      <c r="BK54" s="63">
        <f t="shared" si="76"/>
        <v>0</v>
      </c>
      <c r="BL54" s="64"/>
      <c r="BM54" s="65"/>
      <c r="BN54" s="63">
        <f t="shared" si="77"/>
        <v>0</v>
      </c>
      <c r="BO54" s="66">
        <f>SUMIF($AK$6:$BN$6,BO$6,$AK54:$BN54)</f>
        <v>1269.9844000000001</v>
      </c>
      <c r="BP54" s="67">
        <f t="shared" si="78"/>
        <v>3493.1530339997557</v>
      </c>
      <c r="BQ54" s="68">
        <f>SUMIF($AK$6:$BN$6,BQ$6,$AK54:$BN54)</f>
        <v>4436249.8599923598</v>
      </c>
      <c r="BR54" s="66">
        <f t="shared" ref="BR54" si="80">BO54+AH54</f>
        <v>5734.9844000000003</v>
      </c>
      <c r="BS54" s="67">
        <f t="shared" si="7"/>
        <v>4723.3619083588719</v>
      </c>
      <c r="BT54" s="68">
        <f t="shared" ref="BT54" si="81">BQ54+AJ54</f>
        <v>27088406.859992359</v>
      </c>
      <c r="BV54" s="55">
        <f>261*31</f>
        <v>8091</v>
      </c>
      <c r="BW54" s="61">
        <f t="shared" si="79"/>
        <v>0.7088103324681746</v>
      </c>
    </row>
    <row r="55" spans="1:77" x14ac:dyDescent="0.2">
      <c r="A55" s="39"/>
      <c r="B55" s="520" t="s">
        <v>28</v>
      </c>
      <c r="C55" s="286" t="s">
        <v>27</v>
      </c>
      <c r="D55" s="156">
        <f>(D56/D57)-1</f>
        <v>-3.3231707317073145E-2</v>
      </c>
      <c r="E55" s="70">
        <f>(E56/E57)-1</f>
        <v>8.5744810817681927E-2</v>
      </c>
      <c r="F55" s="157">
        <f>(F56/F57)-1</f>
        <v>4.9663657043557796E-2</v>
      </c>
      <c r="G55" s="290"/>
      <c r="H55" s="148"/>
      <c r="I55" s="146"/>
      <c r="J55" s="25">
        <f t="shared" ref="J55:AG55" si="82">(J56/J57)-1</f>
        <v>-0.57510040160642573</v>
      </c>
      <c r="K55" s="26">
        <f t="shared" si="82"/>
        <v>-0.16403570968062886</v>
      </c>
      <c r="L55" s="28">
        <f t="shared" si="82"/>
        <v>-0.64479910877192981</v>
      </c>
      <c r="M55" s="27">
        <f t="shared" si="82"/>
        <v>-0.95403726708074532</v>
      </c>
      <c r="N55" s="26">
        <f t="shared" si="82"/>
        <v>-0.17092585907751789</v>
      </c>
      <c r="O55" s="31">
        <f t="shared" si="82"/>
        <v>-0.96189348669051944</v>
      </c>
      <c r="P55" s="25">
        <f t="shared" si="82"/>
        <v>-4.6453900709219842E-2</v>
      </c>
      <c r="Q55" s="26">
        <f t="shared" si="82"/>
        <v>4.3269365108241198E-2</v>
      </c>
      <c r="R55" s="28">
        <f t="shared" si="82"/>
        <v>-5.1945663914678697E-3</v>
      </c>
      <c r="S55" s="27">
        <f t="shared" si="82"/>
        <v>0.47363184079601983</v>
      </c>
      <c r="T55" s="26">
        <f t="shared" si="82"/>
        <v>5.9742707021084085E-2</v>
      </c>
      <c r="U55" s="31">
        <f t="shared" si="82"/>
        <v>0.56167059611763737</v>
      </c>
      <c r="V55" s="25">
        <f t="shared" si="82"/>
        <v>-0.328735632183908</v>
      </c>
      <c r="W55" s="26">
        <f t="shared" si="82"/>
        <v>-7.9461650641181603E-3</v>
      </c>
      <c r="X55" s="28">
        <f t="shared" si="82"/>
        <v>-0.33406960965223564</v>
      </c>
      <c r="Y55" s="27">
        <f t="shared" si="82"/>
        <v>3.8240917782026429E-3</v>
      </c>
      <c r="Z55" s="26">
        <f t="shared" si="82"/>
        <v>-0.13707621192761044</v>
      </c>
      <c r="AA55" s="31">
        <f t="shared" si="82"/>
        <v>-0.1337763121644272</v>
      </c>
      <c r="AB55" s="25" t="e">
        <f t="shared" si="82"/>
        <v>#DIV/0!</v>
      </c>
      <c r="AC55" s="26" t="e">
        <f t="shared" si="82"/>
        <v>#DIV/0!</v>
      </c>
      <c r="AD55" s="25" t="e">
        <f t="shared" si="82"/>
        <v>#DIV/0!</v>
      </c>
      <c r="AE55" s="25">
        <f t="shared" si="82"/>
        <v>-0.6216216216216216</v>
      </c>
      <c r="AF55" s="26">
        <f t="shared" si="82"/>
        <v>-6.7625752152017049E-2</v>
      </c>
      <c r="AG55" s="28">
        <f t="shared" si="82"/>
        <v>-0.64720974405751996</v>
      </c>
      <c r="AH55" s="154">
        <f>AH56/AH57-1</f>
        <v>-9.3097497842968058E-2</v>
      </c>
      <c r="AI55" s="76">
        <f>AI56/AI57-1</f>
        <v>5.0338536811534329E-2</v>
      </c>
      <c r="AJ55" s="77">
        <f>AJ56/AJ57-1</f>
        <v>-4.7445352853663803E-2</v>
      </c>
      <c r="AK55" s="25">
        <f t="shared" ref="AK55:BB55" si="83">(AK56/AK57)-1</f>
        <v>-0.19999999999999996</v>
      </c>
      <c r="AL55" s="26">
        <f t="shared" si="83"/>
        <v>1.5198327174092974E-3</v>
      </c>
      <c r="AM55" s="28">
        <f t="shared" si="83"/>
        <v>-0.19878413382607252</v>
      </c>
      <c r="AN55" s="27">
        <f t="shared" si="83"/>
        <v>-0.46042780748663104</v>
      </c>
      <c r="AO55" s="26">
        <f t="shared" si="83"/>
        <v>-5.9762235318816415E-2</v>
      </c>
      <c r="AP55" s="31">
        <f t="shared" si="83"/>
        <v>-0.49267384782710477</v>
      </c>
      <c r="AQ55" s="25">
        <f t="shared" si="83"/>
        <v>8.085106382978724E-2</v>
      </c>
      <c r="AR55" s="26">
        <f t="shared" si="83"/>
        <v>1.0803618364585952</v>
      </c>
      <c r="AS55" s="28">
        <f t="shared" si="83"/>
        <v>1.2485613040871626</v>
      </c>
      <c r="AT55" s="27">
        <f t="shared" si="83"/>
        <v>-0.51343283582089549</v>
      </c>
      <c r="AU55" s="26">
        <f t="shared" si="83"/>
        <v>-2.4628029615229585E-2</v>
      </c>
      <c r="AV55" s="31">
        <f t="shared" si="83"/>
        <v>-0.52541602635009677</v>
      </c>
      <c r="AW55" s="25">
        <f t="shared" si="83"/>
        <v>0.11392405063291133</v>
      </c>
      <c r="AX55" s="26">
        <f t="shared" si="83"/>
        <v>0.16351671073512475</v>
      </c>
      <c r="AY55" s="28">
        <f t="shared" si="83"/>
        <v>0.29606924740115148</v>
      </c>
      <c r="AZ55" s="27" t="e">
        <f t="shared" si="83"/>
        <v>#DIV/0!</v>
      </c>
      <c r="BA55" s="26" t="e">
        <f t="shared" si="83"/>
        <v>#DIV/0!</v>
      </c>
      <c r="BB55" s="31" t="e">
        <f t="shared" si="83"/>
        <v>#DIV/0!</v>
      </c>
      <c r="BC55" s="147"/>
      <c r="BD55" s="150"/>
      <c r="BE55" s="149"/>
      <c r="BF55" s="147"/>
      <c r="BG55" s="150"/>
      <c r="BH55" s="149"/>
      <c r="BI55" s="147"/>
      <c r="BJ55" s="150"/>
      <c r="BK55" s="149"/>
      <c r="BL55" s="147"/>
      <c r="BM55" s="150"/>
      <c r="BN55" s="146"/>
      <c r="BO55" s="156">
        <f>BO56/BO57-1</f>
        <v>-0.23875918720276701</v>
      </c>
      <c r="BP55" s="70">
        <f t="shared" ref="BP55:BQ55" si="84">BP56/BP57-1</f>
        <v>0.13183996078857496</v>
      </c>
      <c r="BQ55" s="157">
        <f t="shared" si="84"/>
        <v>-0.13839722829291679</v>
      </c>
      <c r="BR55" s="28">
        <v>2.18E-2</v>
      </c>
      <c r="BS55" s="70">
        <v>6.3700000000000007E-2</v>
      </c>
      <c r="BT55" s="77">
        <v>8.7099999999999997E-2</v>
      </c>
      <c r="BV55" s="155"/>
      <c r="BW55" s="145"/>
    </row>
    <row r="56" spans="1:77" x14ac:dyDescent="0.2">
      <c r="A56" s="39"/>
      <c r="B56" s="521"/>
      <c r="C56" s="287" t="s">
        <v>29</v>
      </c>
      <c r="D56" s="296">
        <f>+D8+D12+D16+D20</f>
        <v>3171</v>
      </c>
      <c r="E56" s="295">
        <f>+F56/D56</f>
        <v>6145.1633601387575</v>
      </c>
      <c r="F56" s="297">
        <f>+F8+F12+F16+F20</f>
        <v>19486313.015000001</v>
      </c>
      <c r="G56" s="291"/>
      <c r="H56" s="144"/>
      <c r="I56" s="143"/>
      <c r="J56" s="296">
        <f>+J8+J12+J16+J20</f>
        <v>529</v>
      </c>
      <c r="K56" s="295">
        <f>+L56/J56</f>
        <v>3827.3063894139887</v>
      </c>
      <c r="L56" s="297">
        <f>+L8+L12+L16+L20</f>
        <v>2024645.08</v>
      </c>
      <c r="M56" s="296">
        <f>+M8+M12+M16+M20</f>
        <v>37</v>
      </c>
      <c r="N56" s="295">
        <f>+O56/M56</f>
        <v>2748.9729729729729</v>
      </c>
      <c r="O56" s="297">
        <f>+O8+O12+O16+O20</f>
        <v>101712</v>
      </c>
      <c r="P56" s="296">
        <f>+P8+P12+P16+P20</f>
        <v>2689</v>
      </c>
      <c r="Q56" s="295">
        <f>+R56/P56</f>
        <v>3799.0320972108589</v>
      </c>
      <c r="R56" s="297">
        <f>+R8+R12+R16+R20</f>
        <v>10215597.3094</v>
      </c>
      <c r="S56" s="296">
        <f>+S8+S12+S16+S20</f>
        <v>2962</v>
      </c>
      <c r="T56" s="295">
        <f>+U56/S56</f>
        <v>4049.092351215395</v>
      </c>
      <c r="U56" s="297">
        <f>+U8+U12+U16+U20</f>
        <v>11993411.544299999</v>
      </c>
      <c r="V56" s="296">
        <f>+V8+V12+V16+V20</f>
        <v>584</v>
      </c>
      <c r="W56" s="295">
        <f>+X56/V56</f>
        <v>3213.3421917808218</v>
      </c>
      <c r="X56" s="297">
        <f>+X8+X12+X16+X20</f>
        <v>1876591.84</v>
      </c>
      <c r="Y56" s="296">
        <f>+Y8+Y12+Y16+Y20</f>
        <v>525</v>
      </c>
      <c r="Z56" s="295">
        <f>+AA56/Y56</f>
        <v>3922.6980952380954</v>
      </c>
      <c r="AA56" s="297">
        <f>+AA8+AA12+AA16+AA20</f>
        <v>2059416.5</v>
      </c>
      <c r="AB56" s="296">
        <f>+AB8+AB12+AB16+AB20</f>
        <v>0</v>
      </c>
      <c r="AC56" s="295" t="e">
        <f>+AD56/AB56</f>
        <v>#DIV/0!</v>
      </c>
      <c r="AD56" s="297">
        <f>+AD8+AD12+AD16+AD20</f>
        <v>0</v>
      </c>
      <c r="AE56" s="296">
        <f>+AE8+AE12+AE16+AE20</f>
        <v>14</v>
      </c>
      <c r="AF56" s="295">
        <f>+AG56/AE56</f>
        <v>2348.1971428571428</v>
      </c>
      <c r="AG56" s="297">
        <f>+AG8+AG12+AG16+AG20</f>
        <v>32874.76</v>
      </c>
      <c r="AH56" s="296">
        <f>+AH8+AH12+AH16+AH20</f>
        <v>10511</v>
      </c>
      <c r="AI56" s="295">
        <f>+AJ56/AH56</f>
        <v>4546.7188705831986</v>
      </c>
      <c r="AJ56" s="297">
        <f>+AJ8+AJ12+AJ16+AJ20</f>
        <v>47790562.048700005</v>
      </c>
      <c r="AK56" s="296">
        <f t="shared" ref="AK56" si="85">+AK8+AK12+AK16+AK20</f>
        <v>4428</v>
      </c>
      <c r="AL56" s="295">
        <f t="shared" ref="AL56:AL58" si="86">+AM56/AK56</f>
        <v>3819.0746791779584</v>
      </c>
      <c r="AM56" s="297">
        <f t="shared" ref="AM56:AY58" si="87">+AM8+AM12+AM16+AM20</f>
        <v>16910862.679400001</v>
      </c>
      <c r="AN56" s="296">
        <f t="shared" si="87"/>
        <v>1009</v>
      </c>
      <c r="AO56" s="295">
        <f t="shared" ref="AO56:AO58" si="88">+AP56/AN56</f>
        <v>3490.3310208126859</v>
      </c>
      <c r="AP56" s="297">
        <f t="shared" ref="AP56:AQ56" si="89">+AP8+AP12+AP16+AP20</f>
        <v>3521744</v>
      </c>
      <c r="AQ56" s="296">
        <f t="shared" si="89"/>
        <v>1016</v>
      </c>
      <c r="AR56" s="295">
        <f t="shared" ref="AR56:AR58" si="90">+AS56/AQ56</f>
        <v>6607.7824803149606</v>
      </c>
      <c r="AS56" s="297">
        <f t="shared" ref="AS56:AT56" si="91">+AS8+AS12+AS16+AS20</f>
        <v>6713507</v>
      </c>
      <c r="AT56" s="296">
        <f t="shared" si="91"/>
        <v>326</v>
      </c>
      <c r="AU56" s="295">
        <f t="shared" ref="AU56:AU58" si="92">+AV56/AT56</f>
        <v>2948.0108282208589</v>
      </c>
      <c r="AV56" s="297">
        <f t="shared" ref="AV56:AW56" si="93">+AV8+AV12+AV16+AV20</f>
        <v>961051.53</v>
      </c>
      <c r="AW56" s="296">
        <f t="shared" si="93"/>
        <v>264</v>
      </c>
      <c r="AX56" s="295">
        <f t="shared" ref="AX56:AX58" si="94">+AY56/AW56</f>
        <v>4255.0837075757581</v>
      </c>
      <c r="AY56" s="297">
        <f t="shared" ref="AY56" si="95">+AY8+AY12+AY16+AY20</f>
        <v>1123342.0988</v>
      </c>
      <c r="AZ56" s="296">
        <f t="shared" ref="AZ56:BN58" si="96">+AZ8+AZ12+AZ16</f>
        <v>0</v>
      </c>
      <c r="BA56" s="295" t="e">
        <f t="shared" ref="BA56:BA58" si="97">+BB56/AZ56</f>
        <v>#DIV/0!</v>
      </c>
      <c r="BB56" s="297">
        <f t="shared" ref="BB56:BC56" si="98">+BB8+BB12+BB16</f>
        <v>0</v>
      </c>
      <c r="BC56" s="296">
        <f t="shared" si="98"/>
        <v>0</v>
      </c>
      <c r="BD56" s="295" t="e">
        <f t="shared" ref="BD56:BD58" si="99">+BE56/BC56</f>
        <v>#DIV/0!</v>
      </c>
      <c r="BE56" s="297">
        <f t="shared" ref="BE56:BF56" si="100">+BE8+BE12+BE16</f>
        <v>0</v>
      </c>
      <c r="BF56" s="296">
        <f t="shared" si="100"/>
        <v>0</v>
      </c>
      <c r="BG56" s="295" t="e">
        <f t="shared" ref="BG56:BG58" si="101">+BH56/BF56</f>
        <v>#DIV/0!</v>
      </c>
      <c r="BH56" s="297">
        <f t="shared" ref="BH56:BI56" si="102">+BH8+BH12+BH16</f>
        <v>0</v>
      </c>
      <c r="BI56" s="296">
        <f t="shared" si="102"/>
        <v>0</v>
      </c>
      <c r="BJ56" s="295" t="e">
        <f t="shared" ref="BJ56:BJ58" si="103">+BK56/BI56</f>
        <v>#DIV/0!</v>
      </c>
      <c r="BK56" s="297">
        <f t="shared" ref="BK56:BL56" si="104">+BK8+BK12+BK16</f>
        <v>0</v>
      </c>
      <c r="BL56" s="296">
        <f t="shared" si="104"/>
        <v>0</v>
      </c>
      <c r="BM56" s="295" t="e">
        <f t="shared" ref="BM56:BM58" si="105">+BN56/BL56</f>
        <v>#DIV/0!</v>
      </c>
      <c r="BN56" s="297">
        <f t="shared" ref="BN56" si="106">+BN8+BN12+BN16</f>
        <v>0</v>
      </c>
      <c r="BO56" s="296">
        <f>+BO8+BO12+BO16+BO20</f>
        <v>7043</v>
      </c>
      <c r="BP56" s="295">
        <f>+BQ56/BO56</f>
        <v>4150.2921068010792</v>
      </c>
      <c r="BQ56" s="297">
        <f>+BQ8+BQ12+BQ16+BQ20</f>
        <v>29230507.308200002</v>
      </c>
      <c r="BR56" s="296">
        <f>+BR8+BR12+BR16+BR20</f>
        <v>17554</v>
      </c>
      <c r="BS56" s="295">
        <f>+BT56/BR56</f>
        <v>4387.6648830409031</v>
      </c>
      <c r="BT56" s="297">
        <f>+BT8+BT12+BT16+BT20</f>
        <v>77021069.356900007</v>
      </c>
      <c r="BV56" s="161">
        <f>+BV8+BV12+BV16+BV20</f>
        <v>31320</v>
      </c>
      <c r="BW56" s="51">
        <f t="shared" si="79"/>
        <v>0.5604725415070243</v>
      </c>
    </row>
    <row r="57" spans="1:77" x14ac:dyDescent="0.2">
      <c r="A57" s="39"/>
      <c r="B57" s="521"/>
      <c r="C57" s="288" t="s">
        <v>30</v>
      </c>
      <c r="D57" s="296">
        <f t="shared" ref="D57:D58" si="107">+D9+D13+D17+D21</f>
        <v>3280</v>
      </c>
      <c r="E57" s="295">
        <f t="shared" ref="E57:E58" si="108">+F57/D57</f>
        <v>5659.8597560975613</v>
      </c>
      <c r="F57" s="297">
        <f t="shared" ref="F57:F58" si="109">+F9+F13+F17+F21</f>
        <v>18564340</v>
      </c>
      <c r="G57" s="291"/>
      <c r="H57" s="144"/>
      <c r="I57" s="143"/>
      <c r="J57" s="296">
        <f t="shared" ref="J57:J58" si="110">+J9+J13+J17+J21</f>
        <v>1245</v>
      </c>
      <c r="K57" s="295">
        <f t="shared" ref="K57:K58" si="111">+L57/J57</f>
        <v>4578.3132530120483</v>
      </c>
      <c r="L57" s="297">
        <f t="shared" ref="L57:M58" si="112">+L9+L13+L17+L21</f>
        <v>5700000</v>
      </c>
      <c r="M57" s="296">
        <f t="shared" si="112"/>
        <v>805</v>
      </c>
      <c r="N57" s="295">
        <f t="shared" ref="N57:N58" si="113">+O57/M57</f>
        <v>3315.7142857142858</v>
      </c>
      <c r="O57" s="297">
        <f t="shared" ref="O57:P58" si="114">+O9+O13+O17+O21</f>
        <v>2669150</v>
      </c>
      <c r="P57" s="296">
        <f t="shared" si="114"/>
        <v>2820</v>
      </c>
      <c r="Q57" s="295">
        <f t="shared" ref="Q57:Q58" si="115">+R57/P57</f>
        <v>3641.4680851063831</v>
      </c>
      <c r="R57" s="297">
        <f t="shared" ref="R57:S58" si="116">+R9+R13+R17+R21</f>
        <v>10268940</v>
      </c>
      <c r="S57" s="296">
        <f t="shared" si="116"/>
        <v>2010</v>
      </c>
      <c r="T57" s="295">
        <f t="shared" ref="T57:T58" si="117">+U57/S57</f>
        <v>3820.8258706467664</v>
      </c>
      <c r="U57" s="297">
        <f t="shared" ref="U57:V58" si="118">+U9+U13+U17+U21</f>
        <v>7679860</v>
      </c>
      <c r="V57" s="296">
        <f t="shared" si="118"/>
        <v>870</v>
      </c>
      <c r="W57" s="295">
        <f t="shared" ref="W57:W58" si="119">+X57/V57</f>
        <v>3239.0804597701149</v>
      </c>
      <c r="X57" s="297">
        <f t="shared" ref="X57:Y58" si="120">+X9+X13+X17+X21</f>
        <v>2818000</v>
      </c>
      <c r="Y57" s="296">
        <f t="shared" si="120"/>
        <v>523</v>
      </c>
      <c r="Z57" s="295">
        <f t="shared" ref="Z57:Z58" si="121">+AA57/Y57</f>
        <v>4545.822179732314</v>
      </c>
      <c r="AA57" s="297">
        <f t="shared" ref="AA57:AB58" si="122">+AA9+AA13+AA17+AA21</f>
        <v>2377465</v>
      </c>
      <c r="AB57" s="296">
        <f t="shared" si="122"/>
        <v>0</v>
      </c>
      <c r="AC57" s="295" t="e">
        <f t="shared" ref="AC57:AC58" si="123">+AD57/AB57</f>
        <v>#DIV/0!</v>
      </c>
      <c r="AD57" s="297">
        <f t="shared" ref="AD57:AE58" si="124">+AD9+AD13+AD17+AD21</f>
        <v>0</v>
      </c>
      <c r="AE57" s="296">
        <f t="shared" si="124"/>
        <v>37</v>
      </c>
      <c r="AF57" s="295">
        <f t="shared" ref="AF57:AF58" si="125">+AG57/AE57</f>
        <v>2518.5135135135133</v>
      </c>
      <c r="AG57" s="297">
        <f t="shared" ref="AG57:AH58" si="126">+AG9+AG13+AG17+AG21</f>
        <v>93185</v>
      </c>
      <c r="AH57" s="296">
        <f t="shared" si="126"/>
        <v>11590</v>
      </c>
      <c r="AI57" s="295">
        <f t="shared" ref="AI57:AI58" si="127">+AJ57/AH57</f>
        <v>4328.8127696289903</v>
      </c>
      <c r="AJ57" s="297">
        <f t="shared" ref="AJ57:AK58" si="128">+AJ9+AJ13+AJ17+AJ21</f>
        <v>50170940</v>
      </c>
      <c r="AK57" s="296">
        <f t="shared" si="128"/>
        <v>5535</v>
      </c>
      <c r="AL57" s="295">
        <f t="shared" si="86"/>
        <v>3813.2791327913278</v>
      </c>
      <c r="AM57" s="297">
        <f t="shared" si="87"/>
        <v>21106500</v>
      </c>
      <c r="AN57" s="296">
        <f t="shared" si="87"/>
        <v>1870</v>
      </c>
      <c r="AO57" s="295">
        <f t="shared" si="88"/>
        <v>3712.1791443850266</v>
      </c>
      <c r="AP57" s="297">
        <f t="shared" si="87"/>
        <v>6941775</v>
      </c>
      <c r="AQ57" s="296">
        <f t="shared" si="87"/>
        <v>940</v>
      </c>
      <c r="AR57" s="295">
        <f t="shared" si="90"/>
        <v>3176.2659574468084</v>
      </c>
      <c r="AS57" s="297">
        <f t="shared" si="87"/>
        <v>2985690</v>
      </c>
      <c r="AT57" s="296">
        <f t="shared" si="87"/>
        <v>670</v>
      </c>
      <c r="AU57" s="295">
        <f t="shared" si="92"/>
        <v>3022.4477611940297</v>
      </c>
      <c r="AV57" s="297">
        <f t="shared" si="87"/>
        <v>2025040</v>
      </c>
      <c r="AW57" s="296">
        <f t="shared" si="87"/>
        <v>237</v>
      </c>
      <c r="AX57" s="295">
        <f t="shared" si="94"/>
        <v>3657.0886075949365</v>
      </c>
      <c r="AY57" s="297">
        <f t="shared" si="87"/>
        <v>866730</v>
      </c>
      <c r="AZ57" s="296">
        <f t="shared" si="96"/>
        <v>0</v>
      </c>
      <c r="BA57" s="295" t="e">
        <f t="shared" si="97"/>
        <v>#DIV/0!</v>
      </c>
      <c r="BB57" s="297">
        <f t="shared" si="96"/>
        <v>0</v>
      </c>
      <c r="BC57" s="296">
        <f t="shared" si="96"/>
        <v>0</v>
      </c>
      <c r="BD57" s="295" t="e">
        <f t="shared" si="99"/>
        <v>#DIV/0!</v>
      </c>
      <c r="BE57" s="297">
        <f t="shared" si="96"/>
        <v>0</v>
      </c>
      <c r="BF57" s="296">
        <f t="shared" si="96"/>
        <v>0</v>
      </c>
      <c r="BG57" s="295" t="e">
        <f t="shared" si="101"/>
        <v>#DIV/0!</v>
      </c>
      <c r="BH57" s="297">
        <f t="shared" si="96"/>
        <v>0</v>
      </c>
      <c r="BI57" s="296">
        <f t="shared" si="96"/>
        <v>0</v>
      </c>
      <c r="BJ57" s="295" t="e">
        <f t="shared" si="103"/>
        <v>#DIV/0!</v>
      </c>
      <c r="BK57" s="297">
        <f t="shared" si="96"/>
        <v>0</v>
      </c>
      <c r="BL57" s="296">
        <f t="shared" si="96"/>
        <v>0</v>
      </c>
      <c r="BM57" s="295" t="e">
        <f t="shared" si="105"/>
        <v>#DIV/0!</v>
      </c>
      <c r="BN57" s="297">
        <f t="shared" si="96"/>
        <v>0</v>
      </c>
      <c r="BO57" s="296">
        <f t="shared" ref="BO57:BO58" si="129">+BO9+BO13+BO17+BO21</f>
        <v>9252</v>
      </c>
      <c r="BP57" s="295">
        <f t="shared" ref="BP57:BP58" si="130">+BQ57/BO57</f>
        <v>3666.8541936878514</v>
      </c>
      <c r="BQ57" s="297">
        <f t="shared" ref="BQ57:BR58" si="131">+BQ9+BQ13+BQ17+BQ21</f>
        <v>33925735</v>
      </c>
      <c r="BR57" s="296">
        <f t="shared" si="131"/>
        <v>20842</v>
      </c>
      <c r="BS57" s="295">
        <f t="shared" ref="BS57:BS58" si="132">+BT57/BR57</f>
        <v>4034.961855867959</v>
      </c>
      <c r="BT57" s="297">
        <f t="shared" ref="BT57:BT58" si="133">+BT9+BT13+BT17+BT21</f>
        <v>84096675</v>
      </c>
      <c r="BV57" s="161">
        <f t="shared" ref="BV57:BV58" si="134">+BV9+BV13+BV17+BV21</f>
        <v>31320</v>
      </c>
      <c r="BW57" s="61">
        <f t="shared" si="79"/>
        <v>0.66545338441890167</v>
      </c>
    </row>
    <row r="58" spans="1:77" ht="13.5" customHeight="1" x14ac:dyDescent="0.2">
      <c r="A58" s="39"/>
      <c r="B58" s="522"/>
      <c r="C58" s="289" t="s">
        <v>33</v>
      </c>
      <c r="D58" s="298">
        <f t="shared" si="107"/>
        <v>3069</v>
      </c>
      <c r="E58" s="299">
        <f t="shared" si="108"/>
        <v>5555.7761485826004</v>
      </c>
      <c r="F58" s="300">
        <f t="shared" si="109"/>
        <v>17050677</v>
      </c>
      <c r="G58" s="292"/>
      <c r="H58" s="152"/>
      <c r="I58" s="151"/>
      <c r="J58" s="298">
        <f t="shared" si="110"/>
        <v>1201</v>
      </c>
      <c r="K58" s="299">
        <f t="shared" si="111"/>
        <v>3253.5811823480435</v>
      </c>
      <c r="L58" s="300">
        <f t="shared" si="112"/>
        <v>3907551</v>
      </c>
      <c r="M58" s="298">
        <f t="shared" si="112"/>
        <v>790</v>
      </c>
      <c r="N58" s="299">
        <f t="shared" si="113"/>
        <v>3203.0556962025316</v>
      </c>
      <c r="O58" s="300">
        <f t="shared" si="114"/>
        <v>2530414</v>
      </c>
      <c r="P58" s="298">
        <f t="shared" si="114"/>
        <v>2680</v>
      </c>
      <c r="Q58" s="299">
        <f t="shared" si="115"/>
        <v>3540.7925373134331</v>
      </c>
      <c r="R58" s="300">
        <f t="shared" si="116"/>
        <v>9489324</v>
      </c>
      <c r="S58" s="298">
        <f t="shared" si="116"/>
        <v>1931</v>
      </c>
      <c r="T58" s="299">
        <f t="shared" si="117"/>
        <v>3576.5442775763854</v>
      </c>
      <c r="U58" s="300">
        <f t="shared" si="118"/>
        <v>6906307</v>
      </c>
      <c r="V58" s="298">
        <f t="shared" si="118"/>
        <v>807</v>
      </c>
      <c r="W58" s="299">
        <f t="shared" si="119"/>
        <v>3060.4411400247832</v>
      </c>
      <c r="X58" s="300">
        <f t="shared" si="120"/>
        <v>2469776</v>
      </c>
      <c r="Y58" s="298">
        <f t="shared" si="120"/>
        <v>500</v>
      </c>
      <c r="Z58" s="299">
        <f t="shared" si="121"/>
        <v>4414.4440000000004</v>
      </c>
      <c r="AA58" s="300">
        <f t="shared" si="122"/>
        <v>2207222</v>
      </c>
      <c r="AB58" s="298">
        <f t="shared" si="122"/>
        <v>0</v>
      </c>
      <c r="AC58" s="299" t="e">
        <f t="shared" si="123"/>
        <v>#DIV/0!</v>
      </c>
      <c r="AD58" s="300">
        <f t="shared" si="124"/>
        <v>0</v>
      </c>
      <c r="AE58" s="298">
        <f t="shared" si="124"/>
        <v>37</v>
      </c>
      <c r="AF58" s="299">
        <f t="shared" si="125"/>
        <v>2518.5135135135133</v>
      </c>
      <c r="AG58" s="300">
        <f t="shared" si="126"/>
        <v>93185</v>
      </c>
      <c r="AH58" s="298">
        <f t="shared" si="126"/>
        <v>11015</v>
      </c>
      <c r="AI58" s="299">
        <f t="shared" si="127"/>
        <v>4053.9678620063551</v>
      </c>
      <c r="AJ58" s="300">
        <f t="shared" si="128"/>
        <v>44654456</v>
      </c>
      <c r="AK58" s="298">
        <f t="shared" si="128"/>
        <v>3713</v>
      </c>
      <c r="AL58" s="299">
        <f t="shared" si="86"/>
        <v>3470.4349582547807</v>
      </c>
      <c r="AM58" s="300">
        <f t="shared" si="87"/>
        <v>12885725</v>
      </c>
      <c r="AN58" s="298">
        <f t="shared" si="87"/>
        <v>1584</v>
      </c>
      <c r="AO58" s="299">
        <f t="shared" si="88"/>
        <v>3592.1597222222222</v>
      </c>
      <c r="AP58" s="300">
        <f t="shared" si="87"/>
        <v>5689981</v>
      </c>
      <c r="AQ58" s="298">
        <f t="shared" si="87"/>
        <v>688</v>
      </c>
      <c r="AR58" s="299">
        <f t="shared" si="90"/>
        <v>3092.6482558139537</v>
      </c>
      <c r="AS58" s="300">
        <f t="shared" si="87"/>
        <v>2127742</v>
      </c>
      <c r="AT58" s="298">
        <f t="shared" si="87"/>
        <v>530</v>
      </c>
      <c r="AU58" s="299">
        <f t="shared" si="92"/>
        <v>2932.71309490566</v>
      </c>
      <c r="AV58" s="300">
        <f t="shared" si="87"/>
        <v>1554337.9402999999</v>
      </c>
      <c r="AW58" s="298">
        <f t="shared" si="87"/>
        <v>195.1559</v>
      </c>
      <c r="AX58" s="299">
        <f t="shared" si="94"/>
        <v>3576.8533269436898</v>
      </c>
      <c r="AY58" s="300">
        <f t="shared" si="87"/>
        <v>698044.03018769005</v>
      </c>
      <c r="AZ58" s="298">
        <f t="shared" si="96"/>
        <v>0</v>
      </c>
      <c r="BA58" s="299" t="e">
        <f t="shared" si="97"/>
        <v>#DIV/0!</v>
      </c>
      <c r="BB58" s="300">
        <f t="shared" si="96"/>
        <v>0</v>
      </c>
      <c r="BC58" s="298">
        <f t="shared" si="96"/>
        <v>0</v>
      </c>
      <c r="BD58" s="299" t="e">
        <f t="shared" si="99"/>
        <v>#DIV/0!</v>
      </c>
      <c r="BE58" s="300">
        <f t="shared" si="96"/>
        <v>0</v>
      </c>
      <c r="BF58" s="298">
        <f t="shared" si="96"/>
        <v>0</v>
      </c>
      <c r="BG58" s="299" t="e">
        <f t="shared" si="101"/>
        <v>#DIV/0!</v>
      </c>
      <c r="BH58" s="300">
        <f t="shared" si="96"/>
        <v>0</v>
      </c>
      <c r="BI58" s="298">
        <f t="shared" si="96"/>
        <v>0</v>
      </c>
      <c r="BJ58" s="299" t="e">
        <f t="shared" si="103"/>
        <v>#DIV/0!</v>
      </c>
      <c r="BK58" s="300">
        <f t="shared" si="96"/>
        <v>0</v>
      </c>
      <c r="BL58" s="298">
        <f t="shared" si="96"/>
        <v>0</v>
      </c>
      <c r="BM58" s="299" t="e">
        <f t="shared" si="105"/>
        <v>#DIV/0!</v>
      </c>
      <c r="BN58" s="300">
        <f t="shared" si="96"/>
        <v>0</v>
      </c>
      <c r="BO58" s="298">
        <f t="shared" si="129"/>
        <v>6710.1558999999997</v>
      </c>
      <c r="BP58" s="299">
        <f t="shared" si="130"/>
        <v>3421.0576196132333</v>
      </c>
      <c r="BQ58" s="300">
        <f t="shared" si="131"/>
        <v>22955829.970487691</v>
      </c>
      <c r="BR58" s="298">
        <f t="shared" si="131"/>
        <v>17725.155899999998</v>
      </c>
      <c r="BS58" s="299">
        <f t="shared" si="132"/>
        <v>3814.369044307683</v>
      </c>
      <c r="BT58" s="300">
        <f t="shared" si="133"/>
        <v>67610285.970487684</v>
      </c>
      <c r="BV58" s="161">
        <f t="shared" si="134"/>
        <v>31320</v>
      </c>
      <c r="BW58" s="61">
        <f t="shared" si="79"/>
        <v>0.56593728927203057</v>
      </c>
    </row>
    <row r="59" spans="1:77" x14ac:dyDescent="0.2">
      <c r="A59" s="39"/>
      <c r="B59" s="530" t="s">
        <v>31</v>
      </c>
      <c r="C59" s="97" t="s">
        <v>27</v>
      </c>
      <c r="D59" s="79">
        <f>(D60/D61)-1</f>
        <v>7.6110753380553842E-2</v>
      </c>
      <c r="E59" s="126">
        <f>(E60/E61)-1</f>
        <v>3.6615374155689162E-2</v>
      </c>
      <c r="F59" s="79">
        <f>(F60/F61)-1</f>
        <v>0.11551295124854333</v>
      </c>
      <c r="G59" s="81">
        <f>IFERROR((G60/G61-1),0)</f>
        <v>0</v>
      </c>
      <c r="H59" s="80">
        <f>IFERROR((H60/H61-1),0)</f>
        <v>0</v>
      </c>
      <c r="I59" s="82">
        <f>IFERROR((I60/I61-1),0)</f>
        <v>0</v>
      </c>
      <c r="J59" s="83">
        <f t="shared" ref="J59:AY59" si="135">J60/J61-1</f>
        <v>-0.48791848617176126</v>
      </c>
      <c r="K59" s="30">
        <f t="shared" si="135"/>
        <v>-5.8957797488392139E-2</v>
      </c>
      <c r="L59" s="79">
        <f t="shared" si="135"/>
        <v>-0.51810968436159599</v>
      </c>
      <c r="M59" s="83">
        <f t="shared" si="135"/>
        <v>-0.35375403040073694</v>
      </c>
      <c r="N59" s="30">
        <f t="shared" si="135"/>
        <v>1.0404452995898872E-2</v>
      </c>
      <c r="O59" s="79">
        <f t="shared" si="135"/>
        <v>-0.34703019458625228</v>
      </c>
      <c r="P59" s="83">
        <f t="shared" si="135"/>
        <v>-3.9613120269133772E-2</v>
      </c>
      <c r="Q59" s="30">
        <f t="shared" si="135"/>
        <v>3.2813995478069291E-2</v>
      </c>
      <c r="R59" s="79">
        <f t="shared" si="135"/>
        <v>-8.098989540447965E-3</v>
      </c>
      <c r="S59" s="83">
        <f t="shared" si="135"/>
        <v>0.19193675889328055</v>
      </c>
      <c r="T59" s="30">
        <f t="shared" si="135"/>
        <v>3.1781198572973013E-2</v>
      </c>
      <c r="U59" s="79">
        <f t="shared" si="135"/>
        <v>0.22981793771409387</v>
      </c>
      <c r="V59" s="83">
        <f t="shared" si="135"/>
        <v>-0.15492957746478875</v>
      </c>
      <c r="W59" s="30">
        <f t="shared" si="135"/>
        <v>5.945977677364489E-3</v>
      </c>
      <c r="X59" s="79">
        <f t="shared" si="135"/>
        <v>-0.14990480759659341</v>
      </c>
      <c r="Y59" s="83">
        <f t="shared" si="135"/>
        <v>9.5328884652046142E-4</v>
      </c>
      <c r="Z59" s="30">
        <f t="shared" si="135"/>
        <v>-4.1701246690435068E-2</v>
      </c>
      <c r="AA59" s="79">
        <f t="shared" si="135"/>
        <v>-4.0787711177270647E-2</v>
      </c>
      <c r="AB59" s="83" t="e">
        <f t="shared" si="135"/>
        <v>#DIV/0!</v>
      </c>
      <c r="AC59" s="30" t="e">
        <f t="shared" si="135"/>
        <v>#DIV/0!</v>
      </c>
      <c r="AD59" s="79" t="e">
        <f t="shared" si="135"/>
        <v>#DIV/0!</v>
      </c>
      <c r="AE59" s="83">
        <f t="shared" si="135"/>
        <v>-0.26744186046511631</v>
      </c>
      <c r="AF59" s="30">
        <f t="shared" si="135"/>
        <v>-1.1617889908954182E-2</v>
      </c>
      <c r="AG59" s="84">
        <f t="shared" si="135"/>
        <v>-0.27595264028214095</v>
      </c>
      <c r="AH59" s="83">
        <f t="shared" si="135"/>
        <v>-3.9785489667565122E-2</v>
      </c>
      <c r="AI59" s="30">
        <f t="shared" si="135"/>
        <v>3.1216509276647653E-2</v>
      </c>
      <c r="AJ59" s="84">
        <f t="shared" si="135"/>
        <v>-9.8109444982009686E-3</v>
      </c>
      <c r="AK59" s="82">
        <f t="shared" si="135"/>
        <v>-4.8310471729675508E-2</v>
      </c>
      <c r="AL59" s="30">
        <f t="shared" si="135"/>
        <v>1.0758960170053511E-2</v>
      </c>
      <c r="AM59" s="79">
        <f t="shared" si="135"/>
        <v>-3.8071282000757933E-2</v>
      </c>
      <c r="AN59" s="83">
        <f t="shared" si="135"/>
        <v>-2.5307797537619692E-2</v>
      </c>
      <c r="AO59" s="30">
        <f t="shared" si="135"/>
        <v>-4.1732749198352903E-2</v>
      </c>
      <c r="AP59" s="79">
        <f t="shared" si="135"/>
        <v>-6.5984382768572436E-2</v>
      </c>
      <c r="AQ59" s="83">
        <f t="shared" si="135"/>
        <v>-5.8939580764488242E-2</v>
      </c>
      <c r="AR59" s="30">
        <f t="shared" si="135"/>
        <v>0.2759264081959083</v>
      </c>
      <c r="AS59" s="79">
        <f t="shared" si="135"/>
        <v>0.2007238406105023</v>
      </c>
      <c r="AT59" s="83">
        <f t="shared" si="135"/>
        <v>-9.741697416974171E-2</v>
      </c>
      <c r="AU59" s="30">
        <f t="shared" si="135"/>
        <v>2.5708742047680255E-2</v>
      </c>
      <c r="AV59" s="79">
        <f t="shared" si="135"/>
        <v>-7.4212699982056818E-2</v>
      </c>
      <c r="AW59" s="83">
        <f t="shared" si="135"/>
        <v>0.35571428571428565</v>
      </c>
      <c r="AX59" s="30">
        <f t="shared" si="135"/>
        <v>8.357106875865461E-2</v>
      </c>
      <c r="AY59" s="84">
        <f t="shared" si="135"/>
        <v>0.46901277750280457</v>
      </c>
      <c r="AZ59" s="98"/>
      <c r="BA59" s="127"/>
      <c r="BB59" s="87"/>
      <c r="BC59" s="99"/>
      <c r="BD59" s="98"/>
      <c r="BE59" s="87"/>
      <c r="BF59" s="99"/>
      <c r="BG59" s="98"/>
      <c r="BH59" s="87"/>
      <c r="BI59" s="99"/>
      <c r="BJ59" s="98"/>
      <c r="BK59" s="87"/>
      <c r="BL59" s="99"/>
      <c r="BM59" s="98"/>
      <c r="BN59" s="100"/>
      <c r="BO59" s="83">
        <f t="shared" ref="BO59:BR59" si="136">BO60/BO61-1</f>
        <v>-4.0565756082997506E-2</v>
      </c>
      <c r="BP59" s="30">
        <f t="shared" si="136"/>
        <v>4.2640179578167015E-2</v>
      </c>
      <c r="BQ59" s="84">
        <f t="shared" si="136"/>
        <v>3.4469237106637962E-4</v>
      </c>
      <c r="BR59" s="83">
        <f t="shared" si="136"/>
        <v>-4.0120489649426383E-2</v>
      </c>
      <c r="BS59" s="30">
        <v>5.7200000000000001E-2</v>
      </c>
      <c r="BT59" s="102">
        <v>0.14630000000000001</v>
      </c>
      <c r="BV59" s="101"/>
      <c r="BW59" s="102"/>
    </row>
    <row r="60" spans="1:77" s="2" customFormat="1" x14ac:dyDescent="0.2">
      <c r="B60" s="530"/>
      <c r="C60" s="40" t="s">
        <v>35</v>
      </c>
      <c r="D60" s="125">
        <f>+D8+D12+D16+D20+D24+D28+D32+D36+D40+D44+D48+D52</f>
        <v>8356</v>
      </c>
      <c r="E60" s="105">
        <f>IF(D60=0,0,F60/D60)</f>
        <v>5900.8996427716611</v>
      </c>
      <c r="F60" s="103">
        <f>+F8+F12+F16+F20+F24+F28+F32+F36+F40+F44+F48+F52</f>
        <v>49307917.414999999</v>
      </c>
      <c r="G60" s="104">
        <f>SUMIF($C$8:$C$54,$C60,G$8:G$54)</f>
        <v>0</v>
      </c>
      <c r="H60" s="95">
        <f>IF(G60=0,0,I60/G60)</f>
        <v>0</v>
      </c>
      <c r="I60" s="103">
        <f>SUMIF($C$8:$C$54,$C60,I$8:I$54)</f>
        <v>0</v>
      </c>
      <c r="J60" s="128">
        <f>+J8+J12+J16+J20+J24+J28+J32+J36+J40+J44+J48+J52</f>
        <v>1759</v>
      </c>
      <c r="K60" s="105">
        <f>IF(J60=0,0,L60/J60)</f>
        <v>4233.9255713473567</v>
      </c>
      <c r="L60" s="103">
        <f>+L8+L12+L16+L20+L24+L28+L32+L36+L40+L44+L48+L52</f>
        <v>7447475.0800000001</v>
      </c>
      <c r="M60" s="125">
        <f>+M8+M12+M16+M20+M24+M28+M32+M36+M40+M44+M48+M52</f>
        <v>1403</v>
      </c>
      <c r="N60" s="105">
        <f>IF(M60=0,0,O60/M60)</f>
        <v>3443.246614397719</v>
      </c>
      <c r="O60" s="103">
        <f>+O8+O12+O16+O20+O24+O28+O32+O36+O40+O44+O48+O52</f>
        <v>4830875</v>
      </c>
      <c r="P60" s="125">
        <f>+P8+P12+P16+P20+P24+P28+P32+P36+P40+P44+P48+P52</f>
        <v>11419</v>
      </c>
      <c r="Q60" s="105">
        <f>IF(P60=0,0,R60/P60)</f>
        <v>3775.012462509852</v>
      </c>
      <c r="R60" s="103">
        <f>+R8+R12+R16+R20+R24+R28+R32+R36+R40+R44+R48+R52</f>
        <v>43106867.3094</v>
      </c>
      <c r="S60" s="285">
        <f>+S8+S12+S16+S20+S24+S28+S32+S36+S40+S44+S48+S52</f>
        <v>7539</v>
      </c>
      <c r="T60" s="105">
        <f>IF(S60=0,0,U60/S60)</f>
        <v>4012.8221971481626</v>
      </c>
      <c r="U60" s="103">
        <f>+U8+U12+U16+U20+U24+U28+U32+U36+U40+U44+U48+U52</f>
        <v>30252666.544299997</v>
      </c>
      <c r="V60" s="125">
        <f>+V8+V12+V16+V20+V24+V28+V32+V36+V40+V44+V48+V52</f>
        <v>1560</v>
      </c>
      <c r="W60" s="105">
        <f>IF(V60=0,0,X60/V60)</f>
        <v>3339.3537435897433</v>
      </c>
      <c r="X60" s="103">
        <f>+X8+X12+X16+X20+X24+X28+X32+X36+X40+X44+X48+X52</f>
        <v>5209391.84</v>
      </c>
      <c r="Y60" s="125">
        <f>+Y8+Y12+Y16+Y20+Y24+Y28+Y32+Y36+Y40+Y44+Y48+Y52</f>
        <v>2100</v>
      </c>
      <c r="Z60" s="105">
        <f>IF(Y60=0,0,AA60/Y60)</f>
        <v>3561.7173809523811</v>
      </c>
      <c r="AA60" s="103">
        <f>+AA8+AA12+AA16+AA20+AA24+AA28+AA32+AA36+AA40+AA44+AA48+AA52</f>
        <v>7479606.5</v>
      </c>
      <c r="AB60" s="125">
        <f>+AB8+AB12+AB16+AB20+AB24+AB28+AB32+AB36+AB40+AB44+AB48+AB52</f>
        <v>0</v>
      </c>
      <c r="AC60" s="105">
        <f>IF(AB60=0,0,AD60/AB60)</f>
        <v>0</v>
      </c>
      <c r="AD60" s="106">
        <f>+AD8+AD12+AD16+AD20+AD24+AD28+AD32+AD36+AD40+AD44+AD48+AD52</f>
        <v>0</v>
      </c>
      <c r="AE60" s="284">
        <f>+AE8+AE12+AE16+AE20+AE24+AE28+AE32+AE36+AE40+AE44+AE48+AE52</f>
        <v>63</v>
      </c>
      <c r="AF60" s="105">
        <f>IF(AE60=0,0,AG60/AE60)</f>
        <v>2511.7876904761906</v>
      </c>
      <c r="AG60" s="103">
        <f>+AG8+AG12+AG16+AG20+AG24+AG28+AG32+AG36+AG40+AG44+AG48+AG52</f>
        <v>158242.62450000001</v>
      </c>
      <c r="AH60" s="125">
        <f>+AH8+AH12+AH16+AH20+AH24+AH28+AH32+AH36+AH40+AH44+AH48+AH52</f>
        <v>34199</v>
      </c>
      <c r="AI60" s="105">
        <f>IF(AH60=0,0,AJ60/AH60)</f>
        <v>4321.5603471797422</v>
      </c>
      <c r="AJ60" s="103">
        <f>+AJ8+AJ12+AJ16+AJ20+AJ24+AJ28+AJ32+AJ36+AJ40+AJ44+AJ48+AJ52</f>
        <v>147793042.3132</v>
      </c>
      <c r="AK60" s="125">
        <f>+AK8+AK12+AK16+AK20+AK24+AK28+AK32+AK36+AK40+AK44+AK48+AK52</f>
        <v>14223</v>
      </c>
      <c r="AL60" s="105">
        <f>IF(AK60=0,0,AM60/AK60)</f>
        <v>3658.8527511354846</v>
      </c>
      <c r="AM60" s="103">
        <f>+AM8+AM12+AM16+AM20+AM24+AM28+AM32+AM36+AM40+AM44+AM48+AM52</f>
        <v>52039862.679399997</v>
      </c>
      <c r="AN60" s="125">
        <f>+AN8+AN12+AN16+AN20+AN24+AN28+AN32+AN36+AN40+AN44+AN48+AN52</f>
        <v>4275</v>
      </c>
      <c r="AO60" s="105">
        <f>IF(AN60=0,0,AP60/AN60)</f>
        <v>3768.1740350877194</v>
      </c>
      <c r="AP60" s="103">
        <f>+AP8+AP12+AP16+AP20+AP24+AP28+AP32+AP36+AP40+AP44+AP48+AP52</f>
        <v>16108944</v>
      </c>
      <c r="AQ60" s="125">
        <f>+AQ8+AQ12+AQ16+AQ20+AQ24+AQ28+AQ32+AQ36+AQ40+AQ44+AQ48+AQ52</f>
        <v>3816</v>
      </c>
      <c r="AR60" s="105">
        <f>IF(AQ60=0,0,AS60/AQ60)</f>
        <v>4239.9981656184482</v>
      </c>
      <c r="AS60" s="103">
        <f>+AS8+AS12+AS16+AS20+AS24+AS28+AS32+AS36+AS40+AS44+AS48+AS52</f>
        <v>16179833</v>
      </c>
      <c r="AT60" s="125">
        <f>+AT8+AT12+AT16+AT20+AT24+AT28+AT32+AT36+AT40+AT44+AT48+AT52</f>
        <v>2446</v>
      </c>
      <c r="AU60" s="105">
        <f>IF(AT60=0,0,AV60/AT60)</f>
        <v>3117.6678372853639</v>
      </c>
      <c r="AV60" s="103">
        <f>+AV8+AV12+AV16+AV20+AV24+AV28+AV32+AV36+AV40+AV44+AV48+AV52</f>
        <v>7625815.5300000003</v>
      </c>
      <c r="AW60" s="125">
        <f>+AW8+AW12+AW16+AW20+AW24+AW28+AW32+AW36+AW40+AW44+AW48+AW52</f>
        <v>949</v>
      </c>
      <c r="AX60" s="105">
        <f>IF(AW60=0,0,AY60/AW60)</f>
        <v>3752.9948354056901</v>
      </c>
      <c r="AY60" s="103">
        <f>+AY8+AY12+AY16+AY20+AY24+AY28+AY32+AY36+AY40+AY44+AY48+AY52</f>
        <v>3561592.0987999998</v>
      </c>
      <c r="AZ60" s="125">
        <f>+AZ8+AZ12+AZ16+AZ20+AZ24+AZ28+AZ32+AZ36+AZ40+AZ44+AZ48+AZ52</f>
        <v>0</v>
      </c>
      <c r="BA60" s="105">
        <f>IF(AZ60=0,0,BB60/AZ60)</f>
        <v>0</v>
      </c>
      <c r="BB60" s="103">
        <f>+BB8+BB12+BB16+BB20+BB24+BB28+BB32+BB36+BB40+BB44+BB48+BB52</f>
        <v>0</v>
      </c>
      <c r="BC60" s="105">
        <f>SUMIF($C$8:$C$54,$C60,BC$8:BC$54)</f>
        <v>0</v>
      </c>
      <c r="BD60" s="105">
        <f>IF(BC60=0,0,BE60/BC60)</f>
        <v>0</v>
      </c>
      <c r="BE60" s="96">
        <f t="shared" ref="BE60:BF62" si="137">SUMIF($C$8:$C$54,$C60,BE$8:BE$54)</f>
        <v>0</v>
      </c>
      <c r="BF60" s="105">
        <f t="shared" si="137"/>
        <v>0</v>
      </c>
      <c r="BG60" s="105">
        <f>IF(BF60=0,0,BH60/BF60)</f>
        <v>0</v>
      </c>
      <c r="BH60" s="96">
        <f t="shared" ref="BH60:BI62" si="138">SUMIF($C$8:$C$54,$C60,BH$8:BH$54)</f>
        <v>0</v>
      </c>
      <c r="BI60" s="105">
        <f t="shared" si="138"/>
        <v>0</v>
      </c>
      <c r="BJ60" s="105">
        <f>IF(BI60=0,0,BK60/BI60)</f>
        <v>0</v>
      </c>
      <c r="BK60" s="96">
        <f t="shared" ref="BK60:BL62" si="139">SUMIF($C$8:$C$54,$C60,BK$8:BK$54)</f>
        <v>0</v>
      </c>
      <c r="BL60" s="105">
        <f t="shared" si="139"/>
        <v>0</v>
      </c>
      <c r="BM60" s="105">
        <f>IF(BL60=0,0,BN60/BL60)</f>
        <v>0</v>
      </c>
      <c r="BN60" s="107">
        <f>SUMIF($C$8:$C$54,$C60,BN$8:BN$54)</f>
        <v>0</v>
      </c>
      <c r="BO60" s="304">
        <f>+BO8+BO12+BO16+BO20+BO24+BO28+BO32+BO36+BO40+BO44+BO48+BO52</f>
        <v>25709</v>
      </c>
      <c r="BP60" s="305">
        <f t="shared" si="6"/>
        <v>3715.2766466295852</v>
      </c>
      <c r="BQ60" s="103">
        <f>+BQ8+BQ12+BQ16+BQ20+BQ24+BQ28+BQ32+BQ36+BQ40+BQ44+BQ48+BQ52</f>
        <v>95516047.308200002</v>
      </c>
      <c r="BR60" s="108">
        <f>+BR8+BR12+BR16+BR20+BR24+BR28+BR32+BR36+BR40+BR44+BR48+BR52</f>
        <v>59908</v>
      </c>
      <c r="BS60" s="105">
        <f>IF(BR60=0,0,BT60/BR60)</f>
        <v>4061.3789414001471</v>
      </c>
      <c r="BT60" s="103">
        <f>+BT8+BT12+BT16+BT20+BT24+BT28+BT32+BT36+BT40+BT44+BT48+BT52</f>
        <v>243309089.62140003</v>
      </c>
      <c r="BU60" s="109"/>
      <c r="BV60" s="58">
        <v>95265</v>
      </c>
      <c r="BW60" s="110">
        <f t="shared" si="79"/>
        <v>0.6288563480816669</v>
      </c>
      <c r="BY60" s="111"/>
    </row>
    <row r="61" spans="1:77" s="2" customFormat="1" x14ac:dyDescent="0.2">
      <c r="B61" s="530"/>
      <c r="C61" s="52" t="s">
        <v>30</v>
      </c>
      <c r="D61" s="112">
        <f>SUMIF($C$8:$C$54,$C61,D$8:D$54)</f>
        <v>7765</v>
      </c>
      <c r="E61" s="46">
        <f>IF(D61=0,0,F61/D61)</f>
        <v>5692.467804249839</v>
      </c>
      <c r="F61" s="47">
        <f>SUMIF($C$8:$C$54,$C61,F$8:F$54)</f>
        <v>44202012.5</v>
      </c>
      <c r="G61" s="112">
        <f>SUMIF($C$8:$C$54,$C61,G$8:G$54)</f>
        <v>0</v>
      </c>
      <c r="H61" s="46">
        <f>IF(G61=0,0,I61/G61)</f>
        <v>0</v>
      </c>
      <c r="I61" s="47">
        <f>SUMIF($C$8:$C$54,$C61,I$8:I$54)</f>
        <v>0</v>
      </c>
      <c r="J61" s="45">
        <f>SUMIF($C$8:$C$54,$C61,J$8:J$54)</f>
        <v>3435</v>
      </c>
      <c r="K61" s="46">
        <f>IF(J61=0,0,L61/J61)</f>
        <v>4499.187772925764</v>
      </c>
      <c r="L61" s="47">
        <f>SUMIF($C$8:$C$54,$C61,L$8:L$54)</f>
        <v>15454710</v>
      </c>
      <c r="M61" s="45">
        <f>SUMIF($C$8:$C$54,$C61,M$8:M$54)</f>
        <v>2171</v>
      </c>
      <c r="N61" s="46">
        <f>IF(M61=0,0,O61/M61)</f>
        <v>3407.7904191616767</v>
      </c>
      <c r="O61" s="47">
        <f>SUMIF($C$8:$C$54,$C61,O$8:O$54)</f>
        <v>7398313</v>
      </c>
      <c r="P61" s="45">
        <f>SUMIF($C$8:$C$54,$C61,P$8:P$54)</f>
        <v>11890</v>
      </c>
      <c r="Q61" s="46">
        <f>IF(P61=0,0,R61/P61)</f>
        <v>3655.0748528174936</v>
      </c>
      <c r="R61" s="47">
        <f>SUMIF($C$8:$C$54,$C61,R$8:R$54)</f>
        <v>43458840</v>
      </c>
      <c r="S61" s="45">
        <f>SUMIF($C$8:$C$54,$C61,S$8:S$54)</f>
        <v>6325</v>
      </c>
      <c r="T61" s="46">
        <f>IF(S61=0,0,U61/S61)</f>
        <v>3889.2181818181816</v>
      </c>
      <c r="U61" s="47">
        <f>SUMIF($C$8:$C$54,$C61,U$8:U$54)</f>
        <v>24599305</v>
      </c>
      <c r="V61" s="45">
        <f>SUMIF($C$8:$C$54,$C61,V$8:V$54)</f>
        <v>1846</v>
      </c>
      <c r="W61" s="46">
        <f>IF(V61=0,0,X61/V61)</f>
        <v>3319.6153846153848</v>
      </c>
      <c r="X61" s="47">
        <f>SUMIF($C$8:$C$54,$C61,X$8:X$54)</f>
        <v>6128010</v>
      </c>
      <c r="Y61" s="45">
        <f>SUMIF($C$8:$C$54,$C61,Y$8:Y$54)</f>
        <v>2098</v>
      </c>
      <c r="Z61" s="46">
        <f>IF(Y61=0,0,AA61/Y61)</f>
        <v>3716.7087702573881</v>
      </c>
      <c r="AA61" s="47">
        <f>SUMIF($C$8:$C$54,$C61,AA$8:AA$54)</f>
        <v>7797655</v>
      </c>
      <c r="AB61" s="45">
        <f>SUMIF($C$8:$C$54,$C61,AB$8:AB$54)</f>
        <v>0</v>
      </c>
      <c r="AC61" s="46">
        <f>IF(AB61=0,0,AD61/AB61)</f>
        <v>0</v>
      </c>
      <c r="AD61" s="47">
        <f>SUMIF($C$8:$C$54,$C61,AD$8:AD$54)</f>
        <v>0</v>
      </c>
      <c r="AE61" s="45">
        <f>SUMIF($C$8:$C$54,$C61,AE$8:AE$54)</f>
        <v>86</v>
      </c>
      <c r="AF61" s="46">
        <f>IF(AE61=0,0,AG61/AE61)</f>
        <v>2541.3123779069765</v>
      </c>
      <c r="AG61" s="47">
        <f>SUMIF($C$8:$C$54,$C61,AG$8:AG$54)</f>
        <v>218552.8645</v>
      </c>
      <c r="AH61" s="45">
        <f>SUMIF($C$8:$C$54,$C61,AH$8:AH$54)</f>
        <v>35616</v>
      </c>
      <c r="AI61" s="46">
        <f>IF(AH61=0,0,AJ61/AH61)</f>
        <v>4190.7400708810646</v>
      </c>
      <c r="AJ61" s="47">
        <f>SUMIF($C$8:$C$54,$C61,AJ$8:AJ$54)</f>
        <v>149257398.36449999</v>
      </c>
      <c r="AK61" s="112">
        <f>SUMIF($C$8:$C$54,$C61,AK$8:AK$54)</f>
        <v>14945</v>
      </c>
      <c r="AL61" s="46">
        <f>IF(AK61=0,0,AM61/AK61)</f>
        <v>3619.9063231850118</v>
      </c>
      <c r="AM61" s="47">
        <f>SUMIF($C$8:$C$54,$C61,AM$8:AM$54)</f>
        <v>54099500</v>
      </c>
      <c r="AN61" s="45">
        <f>SUMIF($C$8:$C$54,$C61,AN$8:AN$54)</f>
        <v>4386</v>
      </c>
      <c r="AO61" s="46">
        <f>IF(AN61=0,0,AP61/AN61)</f>
        <v>3932.2788417692659</v>
      </c>
      <c r="AP61" s="47">
        <f>SUMIF($C$8:$C$54,$C61,AP$8:AP$54)</f>
        <v>17246975</v>
      </c>
      <c r="AQ61" s="45">
        <f>SUMIF($C$8:$C$54,$C61,AQ$8:AQ$54)</f>
        <v>4055</v>
      </c>
      <c r="AR61" s="46">
        <f>IF(AQ61=0,0,AS61/AQ61)</f>
        <v>3323.0742293464859</v>
      </c>
      <c r="AS61" s="47">
        <f>SUMIF($C$8:$C$54,$C61,AS$8:AS$54)</f>
        <v>13475066</v>
      </c>
      <c r="AT61" s="45">
        <f>SUMIF($C$8:$C$54,$C61,AT$8:AT$54)</f>
        <v>2710</v>
      </c>
      <c r="AU61" s="46">
        <f>IF(AT61=0,0,AV61/AT61)</f>
        <v>3039.5254612546128</v>
      </c>
      <c r="AV61" s="47">
        <f>SUMIF($C$8:$C$54,$C61,AV$8:AV$54)</f>
        <v>8237114</v>
      </c>
      <c r="AW61" s="45">
        <f>SUMIF($C$8:$C$54,$C61,AW$8:AW$54)</f>
        <v>700</v>
      </c>
      <c r="AX61" s="46">
        <f>IF(AW61=0,0,AY61/AW61)</f>
        <v>3463.542857142857</v>
      </c>
      <c r="AY61" s="47">
        <f>SUMIF($C$8:$C$54,$C61,AY$8:AY$54)</f>
        <v>2424480</v>
      </c>
      <c r="AZ61" s="112">
        <f>SUMIF($C$8:$C$54,$C61,AZ$8:AZ$54)</f>
        <v>0</v>
      </c>
      <c r="BA61" s="46">
        <f>IF(AZ61=0,0,BB61/AZ61)</f>
        <v>0</v>
      </c>
      <c r="BB61" s="47">
        <f>SUMIF($C$8:$C$54,$C61,BB$8:BB$54)</f>
        <v>0</v>
      </c>
      <c r="BC61" s="45">
        <f>SUMIF($C$8:$C$54,$C61,BC$8:BC$54)</f>
        <v>0</v>
      </c>
      <c r="BD61" s="46">
        <f>IF(BC61=0,0,BE61/BC61)</f>
        <v>0</v>
      </c>
      <c r="BE61" s="47">
        <f t="shared" si="137"/>
        <v>0</v>
      </c>
      <c r="BF61" s="45">
        <f t="shared" si="137"/>
        <v>0</v>
      </c>
      <c r="BG61" s="46">
        <f>IF(BF61=0,0,BH61/BF61)</f>
        <v>0</v>
      </c>
      <c r="BH61" s="47">
        <f t="shared" si="138"/>
        <v>0</v>
      </c>
      <c r="BI61" s="45">
        <f t="shared" si="138"/>
        <v>0</v>
      </c>
      <c r="BJ61" s="46">
        <f>IF(BI61=0,0,BK61/BI61)</f>
        <v>0</v>
      </c>
      <c r="BK61" s="47">
        <f t="shared" si="139"/>
        <v>0</v>
      </c>
      <c r="BL61" s="45">
        <f t="shared" si="139"/>
        <v>0</v>
      </c>
      <c r="BM61" s="46">
        <f>IF(BL61=0,0,BN61/BL61)</f>
        <v>0</v>
      </c>
      <c r="BN61" s="47">
        <f>SUMIF($C$8:$C$54,$C61,BN$8:BN$54)</f>
        <v>0</v>
      </c>
      <c r="BO61" s="45">
        <f>SUMIF($C$8:$C$54,$C61,BO$8:BO$54)</f>
        <v>26796</v>
      </c>
      <c r="BP61" s="46">
        <f t="shared" si="6"/>
        <v>3563.3353858784894</v>
      </c>
      <c r="BQ61" s="47">
        <f>SUMIF($C$8:$C$54,$C61,BQ$8:BQ$54)</f>
        <v>95483135</v>
      </c>
      <c r="BR61" s="108">
        <f>+BR9+BR13+BR17+BR21+BR25+BR29+BR33+BR37+BR41+BR45+BR49+BR53</f>
        <v>62412</v>
      </c>
      <c r="BS61" s="46">
        <f>IF(BR61=0,0,BT61/BR61)</f>
        <v>3921.369822542139</v>
      </c>
      <c r="BT61" s="103">
        <f>+BT9+BT13+BT17+BT21+BT25+BT29+BT33+BT37+BT41+BT45+BT49+BT53</f>
        <v>244740533.36449999</v>
      </c>
      <c r="BU61" s="109"/>
      <c r="BV61" s="58">
        <f>SUMIF($C$8:$C$54,$C61,BV$8:BV$54)</f>
        <v>95265</v>
      </c>
      <c r="BW61" s="61">
        <f t="shared" si="79"/>
        <v>0.65514092268934021</v>
      </c>
    </row>
    <row r="62" spans="1:77" s="2" customFormat="1" x14ac:dyDescent="0.2">
      <c r="B62" s="531"/>
      <c r="C62" s="62" t="s">
        <v>33</v>
      </c>
      <c r="D62" s="113">
        <f>SUMIF($C$8:$C$54,$C62,D$8:D$54)</f>
        <v>7471.9687999999996</v>
      </c>
      <c r="E62" s="67">
        <f>IF(D62=0,0,F62/D62)</f>
        <v>5699.9927244857772</v>
      </c>
      <c r="F62" s="68">
        <f>SUMIF($C$8:$C$54,$C62,F$8:F$54)</f>
        <v>42590167.79758472</v>
      </c>
      <c r="G62" s="66">
        <f>SUMIF($C$8:$C$54,$C62,G$8:G$54)</f>
        <v>0</v>
      </c>
      <c r="H62" s="67">
        <f>IF(G62=0,0,I62/G62)</f>
        <v>0</v>
      </c>
      <c r="I62" s="68">
        <f>SUMIF($C$8:$C$54,$C62,I$8:I$54)</f>
        <v>0</v>
      </c>
      <c r="J62" s="66">
        <f>SUMIF($C$8:$C$54,$C62,J$8:J$54)</f>
        <v>2612</v>
      </c>
      <c r="K62" s="67">
        <f>IF(J62=0,0,L62/J62)</f>
        <v>3281.8272434915771</v>
      </c>
      <c r="L62" s="68">
        <f>SUMIF($C$8:$C$54,$C62,L$8:L$54)</f>
        <v>8572132.7599999998</v>
      </c>
      <c r="M62" s="66">
        <f>SUMIF($C$8:$C$54,$C62,M$8:M$54)</f>
        <v>1686</v>
      </c>
      <c r="N62" s="67">
        <f>IF(M62=0,0,O62/M62)</f>
        <v>3318.6330288849344</v>
      </c>
      <c r="O62" s="68">
        <f>SUMIF($C$8:$C$54,$C62,O$8:O$54)</f>
        <v>5595215.2866999991</v>
      </c>
      <c r="P62" s="66">
        <f>SUMIF($C$8:$C$54,$C62,P$8:P$54)</f>
        <v>9719</v>
      </c>
      <c r="Q62" s="67">
        <f>IF(P62=0,0,R62/P62)</f>
        <v>3689.5188304969647</v>
      </c>
      <c r="R62" s="68">
        <f>SUMIF($C$8:$C$54,$C62,R$8:R$54)</f>
        <v>35858433.513599999</v>
      </c>
      <c r="S62" s="66">
        <f>SUMIF($C$8:$C$54,$C62,S$8:S$54)</f>
        <v>6704</v>
      </c>
      <c r="T62" s="67">
        <f>IF(S62=0,0,U62/S62)</f>
        <v>3786.1304395137231</v>
      </c>
      <c r="U62" s="68">
        <f>SUMIF($C$8:$C$54,$C62,U$8:U$54)</f>
        <v>25382218.466499999</v>
      </c>
      <c r="V62" s="66">
        <f>SUMIF($C$8:$C$54,$C62,V$8:V$54)</f>
        <v>1280</v>
      </c>
      <c r="W62" s="67">
        <f>IF(V62=0,0,X62/V62)</f>
        <v>3071.2604644531248</v>
      </c>
      <c r="X62" s="68">
        <f>SUMIF($C$8:$C$54,$C62,X$8:X$54)</f>
        <v>3931213.3944999999</v>
      </c>
      <c r="Y62" s="66">
        <f>SUMIF($C$8:$C$54,$C62,Y$8:Y$54)</f>
        <v>1574</v>
      </c>
      <c r="Z62" s="67">
        <f>IF(Y62=0,0,AA62/Y62)</f>
        <v>3992.9652297331636</v>
      </c>
      <c r="AA62" s="68">
        <f>SUMIF($C$8:$C$54,$C62,AA$8:AA$54)</f>
        <v>6284927.2715999996</v>
      </c>
      <c r="AB62" s="66">
        <f>SUMIF($C$8:$C$54,$C62,AB$8:AB$54)</f>
        <v>0</v>
      </c>
      <c r="AC62" s="67">
        <f>IF(AB62=0,0,AD62/AB62)</f>
        <v>0</v>
      </c>
      <c r="AD62" s="68">
        <f>SUMIF($C$8:$C$54,$C62,AD$8:AD$54)</f>
        <v>0</v>
      </c>
      <c r="AE62" s="66">
        <f>SUMIF($C$8:$C$54,$C62,AE$8:AE$54)</f>
        <v>73</v>
      </c>
      <c r="AF62" s="67">
        <f>IF(AE62=0,0,AG62/AE62)</f>
        <v>2445.9799246575344</v>
      </c>
      <c r="AG62" s="68">
        <f>SUMIF($C$8:$C$54,$C62,AG$8:AG$54)</f>
        <v>178556.53450000001</v>
      </c>
      <c r="AH62" s="114">
        <f>D62+G62+J62+M62+P62+S62+V62+Y62+AB62+AE62</f>
        <v>31119.968799999999</v>
      </c>
      <c r="AI62" s="67">
        <f>IF(AH62=0,0,AJ62/AH62)</f>
        <v>4125.7388736515932</v>
      </c>
      <c r="AJ62" s="68">
        <f>SUMIF($C$8:$C$54,$C62,AJ$8:AJ$54)</f>
        <v>128392865.02498472</v>
      </c>
      <c r="AK62" s="113">
        <f>AK10+AK14+AK18+AK22+AK26+AK30+AK34+AK38+AK42+AK46+AK50+AK54</f>
        <v>9741.5069000000003</v>
      </c>
      <c r="AL62" s="67">
        <f>IF(AK62=0,0,AM62/AK62)</f>
        <v>3241.4585885050165</v>
      </c>
      <c r="AM62" s="68">
        <f>SUMIF($C$8:$C$54,$C62,AM$8:AM$54)</f>
        <v>31576691.205985881</v>
      </c>
      <c r="AN62" s="66">
        <f>SUMIF($C$8:$C$54,$C62,AN$8:AN$54)</f>
        <v>2118</v>
      </c>
      <c r="AO62" s="67">
        <f>IF(AN62=0,0,AP62/AN62)</f>
        <v>3590.1458923512746</v>
      </c>
      <c r="AP62" s="68">
        <f>SUMIF($C$8:$C$54,$C62,AP$8:AP$54)</f>
        <v>7603929</v>
      </c>
      <c r="AQ62" s="66">
        <f>SUMIF($C$8:$C$54,$C62,AQ$8:AQ$54)</f>
        <v>2424</v>
      </c>
      <c r="AR62" s="67">
        <f>IF(AQ62=0,0,AS62/AQ62)</f>
        <v>3207.6490069719471</v>
      </c>
      <c r="AS62" s="68">
        <f>SUMIF($C$8:$C$54,$C62,AS$8:AS$54)</f>
        <v>7775341.1929000001</v>
      </c>
      <c r="AT62" s="66">
        <f>SUMIF($C$8:$C$54,$C62,AT$8:AT$54)</f>
        <v>1692.5202000000002</v>
      </c>
      <c r="AU62" s="67">
        <f>IF(AT62=0,0,AV62/AT62)</f>
        <v>2936.7902345120842</v>
      </c>
      <c r="AV62" s="68">
        <f>SUMIF($C$8:$C$54,$C62,AV$8:AV$54)</f>
        <v>4970576.7950744405</v>
      </c>
      <c r="AW62" s="66">
        <f>SUMIF($C$8:$C$54,$C62,AW$8:AW$54)</f>
        <v>837.32370000000014</v>
      </c>
      <c r="AX62" s="67">
        <f>IF(AW62=0,0,AY62/AW62)</f>
        <v>3975.5504046727565</v>
      </c>
      <c r="AY62" s="68">
        <f>SUMIF($C$8:$C$54,$C62,AY$8:AY$54)</f>
        <v>3328822.5743770902</v>
      </c>
      <c r="AZ62" s="113">
        <f>SUMIF($C$8:$C$54,$C62,AZ$8:AZ$54)</f>
        <v>0</v>
      </c>
      <c r="BA62" s="67">
        <f>IF(AZ62=0,0,BB62/AZ62)</f>
        <v>0</v>
      </c>
      <c r="BB62" s="68">
        <f>SUMIF($C$8:$C$54,$C62,BB$8:BB$54)</f>
        <v>0</v>
      </c>
      <c r="BC62" s="66">
        <f>SUMIF($C$8:$C$54,$C62,BC$8:BC$54)</f>
        <v>0</v>
      </c>
      <c r="BD62" s="67">
        <f>IF(BC62=0,0,BE62/BC62)</f>
        <v>0</v>
      </c>
      <c r="BE62" s="68">
        <f t="shared" si="137"/>
        <v>0</v>
      </c>
      <c r="BF62" s="66">
        <f t="shared" si="137"/>
        <v>0</v>
      </c>
      <c r="BG62" s="67">
        <f>IF(BF62=0,0,BH62/BF62)</f>
        <v>0</v>
      </c>
      <c r="BH62" s="68">
        <f t="shared" si="138"/>
        <v>0</v>
      </c>
      <c r="BI62" s="66">
        <f t="shared" si="138"/>
        <v>0</v>
      </c>
      <c r="BJ62" s="67">
        <f>IF(BI62=0,0,BK62/BI62)</f>
        <v>0</v>
      </c>
      <c r="BK62" s="68">
        <f t="shared" si="139"/>
        <v>0</v>
      </c>
      <c r="BL62" s="66">
        <f t="shared" si="139"/>
        <v>0</v>
      </c>
      <c r="BM62" s="67">
        <f>IF(BL62=0,0,BN62/BL62)</f>
        <v>0</v>
      </c>
      <c r="BN62" s="68">
        <f>SUMIF($C$8:$C$54,$C62,BN$8:BN$54)</f>
        <v>0</v>
      </c>
      <c r="BO62" s="66">
        <f>SUMIF($C$8:$C$54,$C62,BO$8:BO$54)</f>
        <v>16813.3508</v>
      </c>
      <c r="BP62" s="67">
        <f t="shared" si="6"/>
        <v>3286.3979004314488</v>
      </c>
      <c r="BQ62" s="68">
        <f>SUMIF($C$8:$C$54,$C62,BQ$8:BQ$54)</f>
        <v>55255360.768337421</v>
      </c>
      <c r="BR62" s="131">
        <f>+BR10+BR14+BR18+BR22+BR26+BR30+BR34+BR38+BR42+BR46+BR50+BR54</f>
        <v>47933.319600000003</v>
      </c>
      <c r="BS62" s="67">
        <f>IF(BR62=0,0,BT62/BR62)</f>
        <v>3831.3270878347867</v>
      </c>
      <c r="BT62" s="132">
        <f>+BT10+BT14+BT18+BT22+BT26+BT30+BT34+BT38+BT42+BT46+BT50+BT54</f>
        <v>183648225.79332212</v>
      </c>
      <c r="BU62" s="109"/>
      <c r="BV62" s="66">
        <f>SUMIF($C$8:$C$54,$C62,BV$8:BV$54)</f>
        <v>95265</v>
      </c>
      <c r="BW62" s="115">
        <f t="shared" si="79"/>
        <v>0.50315771374586682</v>
      </c>
    </row>
    <row r="63" spans="1:77" x14ac:dyDescent="0.2">
      <c r="F63" s="116"/>
      <c r="R63" s="116"/>
      <c r="BO63" s="302"/>
      <c r="BP63" s="302"/>
      <c r="BQ63" s="302"/>
      <c r="BR63" s="302"/>
      <c r="BS63" s="302"/>
    </row>
    <row r="64" spans="1:77" s="316" customFormat="1" x14ac:dyDescent="0.2">
      <c r="B64" s="316">
        <v>2</v>
      </c>
      <c r="C64" s="316">
        <f>B64+1</f>
        <v>3</v>
      </c>
      <c r="D64" s="316">
        <f>C64+1</f>
        <v>4</v>
      </c>
      <c r="E64" s="316">
        <f t="shared" ref="E64:BP64" si="140">D64+1</f>
        <v>5</v>
      </c>
      <c r="F64" s="316">
        <f t="shared" si="140"/>
        <v>6</v>
      </c>
      <c r="G64" s="316">
        <f>F64+1</f>
        <v>7</v>
      </c>
      <c r="H64" s="316">
        <f t="shared" si="140"/>
        <v>8</v>
      </c>
      <c r="I64" s="316">
        <f t="shared" si="140"/>
        <v>9</v>
      </c>
      <c r="J64" s="316">
        <f t="shared" si="140"/>
        <v>10</v>
      </c>
      <c r="K64" s="316">
        <f t="shared" si="140"/>
        <v>11</v>
      </c>
      <c r="L64" s="316">
        <f t="shared" si="140"/>
        <v>12</v>
      </c>
      <c r="M64" s="316">
        <f t="shared" si="140"/>
        <v>13</v>
      </c>
      <c r="N64" s="316">
        <f>M64+1</f>
        <v>14</v>
      </c>
      <c r="O64" s="316">
        <f t="shared" si="140"/>
        <v>15</v>
      </c>
      <c r="P64" s="316">
        <f t="shared" si="140"/>
        <v>16</v>
      </c>
      <c r="Q64" s="316">
        <f t="shared" si="140"/>
        <v>17</v>
      </c>
      <c r="R64" s="316">
        <f t="shared" si="140"/>
        <v>18</v>
      </c>
      <c r="S64" s="316">
        <f t="shared" si="140"/>
        <v>19</v>
      </c>
      <c r="T64" s="316">
        <f t="shared" si="140"/>
        <v>20</v>
      </c>
      <c r="U64" s="316">
        <f t="shared" si="140"/>
        <v>21</v>
      </c>
      <c r="V64" s="316">
        <f t="shared" si="140"/>
        <v>22</v>
      </c>
      <c r="W64" s="316">
        <f t="shared" si="140"/>
        <v>23</v>
      </c>
      <c r="X64" s="316">
        <f t="shared" si="140"/>
        <v>24</v>
      </c>
      <c r="Y64" s="316">
        <f t="shared" si="140"/>
        <v>25</v>
      </c>
      <c r="Z64" s="316">
        <f t="shared" si="140"/>
        <v>26</v>
      </c>
      <c r="AA64" s="316">
        <f t="shared" si="140"/>
        <v>27</v>
      </c>
      <c r="AB64" s="316">
        <f t="shared" si="140"/>
        <v>28</v>
      </c>
      <c r="AC64" s="316">
        <f t="shared" si="140"/>
        <v>29</v>
      </c>
      <c r="AD64" s="316">
        <f t="shared" si="140"/>
        <v>30</v>
      </c>
      <c r="AE64" s="316">
        <f t="shared" si="140"/>
        <v>31</v>
      </c>
      <c r="AF64" s="316">
        <f t="shared" si="140"/>
        <v>32</v>
      </c>
      <c r="AG64" s="316">
        <f t="shared" si="140"/>
        <v>33</v>
      </c>
      <c r="AH64" s="316">
        <f t="shared" si="140"/>
        <v>34</v>
      </c>
      <c r="AI64" s="316">
        <f t="shared" si="140"/>
        <v>35</v>
      </c>
      <c r="AJ64" s="316">
        <f t="shared" si="140"/>
        <v>36</v>
      </c>
      <c r="AK64" s="316">
        <f t="shared" si="140"/>
        <v>37</v>
      </c>
      <c r="AL64" s="316">
        <f t="shared" si="140"/>
        <v>38</v>
      </c>
      <c r="AM64" s="316">
        <f t="shared" si="140"/>
        <v>39</v>
      </c>
      <c r="AN64" s="316">
        <f t="shared" si="140"/>
        <v>40</v>
      </c>
      <c r="AO64" s="316">
        <f t="shared" si="140"/>
        <v>41</v>
      </c>
      <c r="AP64" s="316">
        <f t="shared" si="140"/>
        <v>42</v>
      </c>
      <c r="AQ64" s="316">
        <f t="shared" si="140"/>
        <v>43</v>
      </c>
      <c r="AR64" s="316">
        <f t="shared" si="140"/>
        <v>44</v>
      </c>
      <c r="AS64" s="316">
        <f t="shared" si="140"/>
        <v>45</v>
      </c>
      <c r="AT64" s="316">
        <f t="shared" si="140"/>
        <v>46</v>
      </c>
      <c r="AU64" s="316">
        <f t="shared" si="140"/>
        <v>47</v>
      </c>
      <c r="AV64" s="316">
        <f t="shared" si="140"/>
        <v>48</v>
      </c>
      <c r="AW64" s="316">
        <f t="shared" si="140"/>
        <v>49</v>
      </c>
      <c r="AX64" s="316">
        <f t="shared" si="140"/>
        <v>50</v>
      </c>
      <c r="AY64" s="316">
        <f t="shared" si="140"/>
        <v>51</v>
      </c>
      <c r="AZ64" s="316">
        <f t="shared" si="140"/>
        <v>52</v>
      </c>
      <c r="BA64" s="316">
        <f t="shared" si="140"/>
        <v>53</v>
      </c>
      <c r="BB64" s="316">
        <f t="shared" si="140"/>
        <v>54</v>
      </c>
      <c r="BC64" s="316">
        <f t="shared" si="140"/>
        <v>55</v>
      </c>
      <c r="BD64" s="316">
        <f t="shared" si="140"/>
        <v>56</v>
      </c>
      <c r="BE64" s="316">
        <f t="shared" si="140"/>
        <v>57</v>
      </c>
      <c r="BF64" s="316">
        <f t="shared" si="140"/>
        <v>58</v>
      </c>
      <c r="BG64" s="316">
        <f t="shared" si="140"/>
        <v>59</v>
      </c>
      <c r="BH64" s="316">
        <f t="shared" si="140"/>
        <v>60</v>
      </c>
      <c r="BI64" s="316">
        <f t="shared" si="140"/>
        <v>61</v>
      </c>
      <c r="BJ64" s="316">
        <f t="shared" si="140"/>
        <v>62</v>
      </c>
      <c r="BK64" s="316">
        <f t="shared" si="140"/>
        <v>63</v>
      </c>
      <c r="BL64" s="316">
        <f t="shared" si="140"/>
        <v>64</v>
      </c>
      <c r="BM64" s="316">
        <f t="shared" si="140"/>
        <v>65</v>
      </c>
      <c r="BN64" s="316">
        <f t="shared" si="140"/>
        <v>66</v>
      </c>
      <c r="BO64" s="316">
        <f t="shared" si="140"/>
        <v>67</v>
      </c>
      <c r="BP64" s="316">
        <f t="shared" si="140"/>
        <v>68</v>
      </c>
      <c r="BQ64" s="316">
        <f t="shared" ref="BQ64:BT64" si="141">BP64+1</f>
        <v>69</v>
      </c>
      <c r="BR64" s="316">
        <f t="shared" si="141"/>
        <v>70</v>
      </c>
      <c r="BS64" s="316">
        <f t="shared" si="141"/>
        <v>71</v>
      </c>
      <c r="BT64" s="316">
        <f t="shared" si="141"/>
        <v>72</v>
      </c>
      <c r="BU64" s="117"/>
    </row>
    <row r="65" spans="34:72" x14ac:dyDescent="0.2">
      <c r="AH65" s="122">
        <f>+D60+J60+M60+P60+S60+V60+Y570+Y60+AB60+AE60</f>
        <v>34199</v>
      </c>
      <c r="AI65" s="123"/>
      <c r="AJ65" s="121">
        <f>+AG60+AD60+AA60+X60+U60+R60+O60+L60+F60</f>
        <v>147793042.3132</v>
      </c>
      <c r="BO65" s="124">
        <f>+AK60+AN60+AQ60+AT60+AW60+AZ60</f>
        <v>25709</v>
      </c>
      <c r="BQ65" s="129">
        <f>+AM60+AP60+AS60+AV60+AY60+BB60</f>
        <v>95516047.308200002</v>
      </c>
      <c r="BR65" s="124">
        <f>+BO65+AH65</f>
        <v>59908</v>
      </c>
      <c r="BT65" s="130">
        <f>+BQ65+AJ65</f>
        <v>243309089.6214</v>
      </c>
    </row>
    <row r="66" spans="34:72" x14ac:dyDescent="0.2">
      <c r="AH66" s="122">
        <f>+AH65-AH60</f>
        <v>0</v>
      </c>
      <c r="AJ66" s="121">
        <f>+AJ60-AJ65</f>
        <v>0</v>
      </c>
      <c r="BS66" s="118"/>
    </row>
    <row r="67" spans="34:72" x14ac:dyDescent="0.2">
      <c r="BS67" s="119"/>
    </row>
  </sheetData>
  <mergeCells count="40">
    <mergeCell ref="D4:AG4"/>
    <mergeCell ref="AK4:BN4"/>
    <mergeCell ref="D5:F5"/>
    <mergeCell ref="G5:I5"/>
    <mergeCell ref="J5:L5"/>
    <mergeCell ref="M5:O5"/>
    <mergeCell ref="P5:R5"/>
    <mergeCell ref="S5:U5"/>
    <mergeCell ref="V5:X5"/>
    <mergeCell ref="Y5:AA5"/>
    <mergeCell ref="BL5:BN5"/>
    <mergeCell ref="B11:B14"/>
    <mergeCell ref="AT5:AV5"/>
    <mergeCell ref="AW5:AY5"/>
    <mergeCell ref="AZ5:BB5"/>
    <mergeCell ref="BC5:BE5"/>
    <mergeCell ref="AB5:AD5"/>
    <mergeCell ref="AE5:AG5"/>
    <mergeCell ref="AH5:AJ5"/>
    <mergeCell ref="AK5:AM5"/>
    <mergeCell ref="AN5:AP5"/>
    <mergeCell ref="AQ5:AS5"/>
    <mergeCell ref="BO5:BQ5"/>
    <mergeCell ref="BR5:BT5"/>
    <mergeCell ref="BX5:BY5"/>
    <mergeCell ref="B7:B10"/>
    <mergeCell ref="BF5:BH5"/>
    <mergeCell ref="BI5:BK5"/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</mergeCells>
  <pageMargins left="0.7" right="0.7" top="0.75" bottom="0.75" header="0.3" footer="0.3"/>
  <pageSetup paperSize="9" scale="62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75"/>
  <sheetViews>
    <sheetView tabSelected="1" zoomScaleNormal="100" zoomScaleSheetLayoutView="110" workbookViewId="0">
      <pane xSplit="3" ySplit="6" topLeftCell="AC7" activePane="bottomRight" state="frozen"/>
      <selection activeCell="B1" sqref="B1"/>
      <selection pane="topRight" activeCell="D1" sqref="D1"/>
      <selection pane="bottomLeft" activeCell="B7" sqref="B7"/>
      <selection pane="bottomRight" activeCell="BJ6" sqref="BJ6"/>
    </sheetView>
  </sheetViews>
  <sheetFormatPr defaultColWidth="9.140625" defaultRowHeight="12.75" x14ac:dyDescent="0.2"/>
  <cols>
    <col min="1" max="1" width="0.42578125" style="1" customWidth="1"/>
    <col min="2" max="2" width="10.7109375" style="1" customWidth="1"/>
    <col min="3" max="3" width="13.140625" style="1" customWidth="1"/>
    <col min="4" max="45" width="8.28515625" style="1" customWidth="1"/>
    <col min="46" max="60" width="8.28515625" style="1" hidden="1" customWidth="1"/>
    <col min="61" max="62" width="8.28515625" style="2" customWidth="1"/>
    <col min="63" max="63" width="10.140625" style="2" customWidth="1"/>
    <col min="64" max="66" width="8.28515625" style="2" customWidth="1"/>
    <col min="67" max="67" width="1.7109375" style="3" customWidth="1"/>
    <col min="68" max="69" width="9.140625" style="1"/>
    <col min="70" max="70" width="10.42578125" style="1" bestFit="1" customWidth="1"/>
    <col min="71" max="71" width="12.5703125" style="1" customWidth="1"/>
    <col min="72" max="16384" width="9.140625" style="1"/>
  </cols>
  <sheetData>
    <row r="1" spans="1:71" x14ac:dyDescent="0.2">
      <c r="B1" s="2" t="s">
        <v>83</v>
      </c>
    </row>
    <row r="2" spans="1:71" x14ac:dyDescent="0.2">
      <c r="B2" s="2" t="s">
        <v>92</v>
      </c>
    </row>
    <row r="3" spans="1:71" x14ac:dyDescent="0.2">
      <c r="B3" s="4" t="s">
        <v>0</v>
      </c>
      <c r="C3" s="2"/>
    </row>
    <row r="4" spans="1:71" x14ac:dyDescent="0.2">
      <c r="A4" s="5"/>
      <c r="B4" s="6"/>
      <c r="C4" s="7"/>
      <c r="D4" s="517" t="s">
        <v>1</v>
      </c>
      <c r="E4" s="518"/>
      <c r="F4" s="518"/>
      <c r="G4" s="518"/>
      <c r="H4" s="518"/>
      <c r="I4" s="518"/>
      <c r="J4" s="518"/>
      <c r="K4" s="518"/>
      <c r="L4" s="518"/>
      <c r="M4" s="518"/>
      <c r="N4" s="518"/>
      <c r="O4" s="518"/>
      <c r="P4" s="518"/>
      <c r="Q4" s="518"/>
      <c r="R4" s="518"/>
      <c r="S4" s="518"/>
      <c r="T4" s="518"/>
      <c r="U4" s="518"/>
      <c r="V4" s="518"/>
      <c r="W4" s="518"/>
      <c r="X4" s="518"/>
      <c r="Y4" s="518"/>
      <c r="Z4" s="518"/>
      <c r="AA4" s="519"/>
      <c r="AB4" s="8"/>
      <c r="AC4" s="9"/>
      <c r="AD4" s="9">
        <v>148976</v>
      </c>
      <c r="AE4" s="517" t="s">
        <v>2</v>
      </c>
      <c r="AF4" s="518"/>
      <c r="AG4" s="518"/>
      <c r="AH4" s="518"/>
      <c r="AI4" s="518"/>
      <c r="AJ4" s="518"/>
      <c r="AK4" s="518"/>
      <c r="AL4" s="518"/>
      <c r="AM4" s="518"/>
      <c r="AN4" s="518"/>
      <c r="AO4" s="518"/>
      <c r="AP4" s="518"/>
      <c r="AQ4" s="518"/>
      <c r="AR4" s="518"/>
      <c r="AS4" s="518"/>
      <c r="AT4" s="518"/>
      <c r="AU4" s="518"/>
      <c r="AV4" s="518"/>
      <c r="AW4" s="518"/>
      <c r="AX4" s="518"/>
      <c r="AY4" s="518"/>
      <c r="AZ4" s="518"/>
      <c r="BA4" s="518"/>
      <c r="BB4" s="518"/>
      <c r="BC4" s="518"/>
      <c r="BD4" s="518"/>
      <c r="BE4" s="518"/>
      <c r="BF4" s="518"/>
      <c r="BG4" s="518"/>
      <c r="BH4" s="519"/>
      <c r="BI4" s="158"/>
      <c r="BJ4" s="159"/>
      <c r="BK4" s="159"/>
      <c r="BL4" s="159"/>
      <c r="BM4" s="159"/>
      <c r="BN4" s="160"/>
    </row>
    <row r="5" spans="1:71" x14ac:dyDescent="0.2">
      <c r="A5" s="10"/>
      <c r="B5" s="11"/>
      <c r="C5" s="12"/>
      <c r="D5" s="532" t="s">
        <v>3</v>
      </c>
      <c r="E5" s="533"/>
      <c r="F5" s="534"/>
      <c r="G5" s="532" t="s">
        <v>5</v>
      </c>
      <c r="H5" s="533"/>
      <c r="I5" s="534"/>
      <c r="J5" s="532" t="s">
        <v>93</v>
      </c>
      <c r="K5" s="533"/>
      <c r="L5" s="534"/>
      <c r="M5" s="532" t="s">
        <v>7</v>
      </c>
      <c r="N5" s="533"/>
      <c r="O5" s="534"/>
      <c r="P5" s="532" t="s">
        <v>94</v>
      </c>
      <c r="Q5" s="533"/>
      <c r="R5" s="534"/>
      <c r="S5" s="532" t="s">
        <v>95</v>
      </c>
      <c r="T5" s="533"/>
      <c r="U5" s="534"/>
      <c r="V5" s="532" t="s">
        <v>96</v>
      </c>
      <c r="W5" s="533"/>
      <c r="X5" s="534"/>
      <c r="Y5" s="532" t="s">
        <v>12</v>
      </c>
      <c r="Z5" s="533"/>
      <c r="AA5" s="534"/>
      <c r="AB5" s="535" t="s">
        <v>13</v>
      </c>
      <c r="AC5" s="536"/>
      <c r="AD5" s="537"/>
      <c r="AE5" s="532" t="s">
        <v>14</v>
      </c>
      <c r="AF5" s="533"/>
      <c r="AG5" s="534"/>
      <c r="AH5" s="532" t="s">
        <v>15</v>
      </c>
      <c r="AI5" s="533"/>
      <c r="AJ5" s="534"/>
      <c r="AK5" s="532" t="s">
        <v>6</v>
      </c>
      <c r="AL5" s="533"/>
      <c r="AM5" s="534"/>
      <c r="AN5" s="532" t="s">
        <v>97</v>
      </c>
      <c r="AO5" s="533"/>
      <c r="AP5" s="534"/>
      <c r="AQ5" s="532" t="s">
        <v>98</v>
      </c>
      <c r="AR5" s="533"/>
      <c r="AS5" s="534"/>
      <c r="AT5" s="514" t="s">
        <v>18</v>
      </c>
      <c r="AU5" s="514"/>
      <c r="AV5" s="515"/>
      <c r="AW5" s="516" t="s">
        <v>19</v>
      </c>
      <c r="AX5" s="514"/>
      <c r="AY5" s="515"/>
      <c r="AZ5" s="516" t="s">
        <v>19</v>
      </c>
      <c r="BA5" s="514"/>
      <c r="BB5" s="515"/>
      <c r="BC5" s="516" t="s">
        <v>19</v>
      </c>
      <c r="BD5" s="514"/>
      <c r="BE5" s="515"/>
      <c r="BF5" s="516" t="s">
        <v>19</v>
      </c>
      <c r="BG5" s="514"/>
      <c r="BH5" s="514"/>
      <c r="BI5" s="538" t="s">
        <v>20</v>
      </c>
      <c r="BJ5" s="539"/>
      <c r="BK5" s="540"/>
      <c r="BL5" s="538" t="s">
        <v>21</v>
      </c>
      <c r="BM5" s="539"/>
      <c r="BN5" s="540"/>
      <c r="BR5" s="523"/>
      <c r="BS5" s="523"/>
    </row>
    <row r="6" spans="1:71" s="23" customFormat="1" ht="38.25" x14ac:dyDescent="0.25">
      <c r="A6" s="13"/>
      <c r="B6" s="14"/>
      <c r="C6" s="15"/>
      <c r="D6" s="340" t="s">
        <v>22</v>
      </c>
      <c r="E6" s="341" t="s">
        <v>23</v>
      </c>
      <c r="F6" s="342" t="s">
        <v>24</v>
      </c>
      <c r="G6" s="340" t="s">
        <v>22</v>
      </c>
      <c r="H6" s="341" t="s">
        <v>23</v>
      </c>
      <c r="I6" s="342" t="s">
        <v>24</v>
      </c>
      <c r="J6" s="340" t="s">
        <v>22</v>
      </c>
      <c r="K6" s="341" t="s">
        <v>23</v>
      </c>
      <c r="L6" s="342" t="s">
        <v>24</v>
      </c>
      <c r="M6" s="340" t="s">
        <v>22</v>
      </c>
      <c r="N6" s="341" t="s">
        <v>23</v>
      </c>
      <c r="O6" s="342" t="s">
        <v>24</v>
      </c>
      <c r="P6" s="340" t="s">
        <v>22</v>
      </c>
      <c r="Q6" s="341" t="s">
        <v>23</v>
      </c>
      <c r="R6" s="342" t="s">
        <v>24</v>
      </c>
      <c r="S6" s="340" t="s">
        <v>22</v>
      </c>
      <c r="T6" s="341" t="s">
        <v>23</v>
      </c>
      <c r="U6" s="342" t="s">
        <v>24</v>
      </c>
      <c r="V6" s="340" t="s">
        <v>22</v>
      </c>
      <c r="W6" s="341" t="s">
        <v>23</v>
      </c>
      <c r="X6" s="342" t="s">
        <v>24</v>
      </c>
      <c r="Y6" s="340" t="s">
        <v>22</v>
      </c>
      <c r="Z6" s="341" t="s">
        <v>23</v>
      </c>
      <c r="AA6" s="342" t="s">
        <v>24</v>
      </c>
      <c r="AB6" s="419" t="s">
        <v>22</v>
      </c>
      <c r="AC6" s="420" t="s">
        <v>23</v>
      </c>
      <c r="AD6" s="421" t="s">
        <v>24</v>
      </c>
      <c r="AE6" s="340" t="s">
        <v>22</v>
      </c>
      <c r="AF6" s="341" t="s">
        <v>23</v>
      </c>
      <c r="AG6" s="342" t="s">
        <v>24</v>
      </c>
      <c r="AH6" s="340" t="s">
        <v>22</v>
      </c>
      <c r="AI6" s="341" t="s">
        <v>23</v>
      </c>
      <c r="AJ6" s="342" t="s">
        <v>24</v>
      </c>
      <c r="AK6" s="340" t="s">
        <v>22</v>
      </c>
      <c r="AL6" s="341" t="s">
        <v>23</v>
      </c>
      <c r="AM6" s="342" t="s">
        <v>24</v>
      </c>
      <c r="AN6" s="340" t="s">
        <v>22</v>
      </c>
      <c r="AO6" s="341" t="s">
        <v>23</v>
      </c>
      <c r="AP6" s="342" t="s">
        <v>24</v>
      </c>
      <c r="AQ6" s="340" t="s">
        <v>22</v>
      </c>
      <c r="AR6" s="341" t="s">
        <v>23</v>
      </c>
      <c r="AS6" s="342" t="s">
        <v>24</v>
      </c>
      <c r="AT6" s="16" t="s">
        <v>22</v>
      </c>
      <c r="AU6" s="16" t="s">
        <v>23</v>
      </c>
      <c r="AV6" s="17" t="s">
        <v>24</v>
      </c>
      <c r="AW6" s="18" t="s">
        <v>22</v>
      </c>
      <c r="AX6" s="16" t="s">
        <v>23</v>
      </c>
      <c r="AY6" s="17" t="s">
        <v>24</v>
      </c>
      <c r="AZ6" s="18" t="s">
        <v>22</v>
      </c>
      <c r="BA6" s="16" t="s">
        <v>23</v>
      </c>
      <c r="BB6" s="17" t="s">
        <v>24</v>
      </c>
      <c r="BC6" s="18" t="s">
        <v>22</v>
      </c>
      <c r="BD6" s="16" t="s">
        <v>23</v>
      </c>
      <c r="BE6" s="17" t="s">
        <v>24</v>
      </c>
      <c r="BF6" s="18" t="s">
        <v>22</v>
      </c>
      <c r="BG6" s="16" t="s">
        <v>23</v>
      </c>
      <c r="BH6" s="16" t="s">
        <v>24</v>
      </c>
      <c r="BI6" s="340" t="s">
        <v>22</v>
      </c>
      <c r="BJ6" s="420" t="s">
        <v>23</v>
      </c>
      <c r="BK6" s="421" t="s">
        <v>24</v>
      </c>
      <c r="BL6" s="340" t="s">
        <v>22</v>
      </c>
      <c r="BM6" s="341" t="s">
        <v>23</v>
      </c>
      <c r="BN6" s="342" t="s">
        <v>24</v>
      </c>
      <c r="BO6" s="21"/>
      <c r="BP6" s="18" t="s">
        <v>25</v>
      </c>
      <c r="BQ6" s="17" t="s">
        <v>26</v>
      </c>
      <c r="BR6" s="22"/>
      <c r="BS6" s="22"/>
    </row>
    <row r="7" spans="1:71" s="23" customFormat="1" ht="12.75" customHeight="1" x14ac:dyDescent="0.25">
      <c r="A7" s="13"/>
      <c r="B7" s="524">
        <f>DATE($C$2,1,31)</f>
        <v>31</v>
      </c>
      <c r="C7" s="24" t="s">
        <v>27</v>
      </c>
      <c r="D7" s="343">
        <f>(D8/D9)-1</f>
        <v>-0.10666666666666669</v>
      </c>
      <c r="E7" s="344">
        <f>(E8/E9)-1</f>
        <v>0.10422221122647635</v>
      </c>
      <c r="F7" s="345">
        <f>(F8/F9)-1</f>
        <v>-1.3561491304347695E-2</v>
      </c>
      <c r="G7" s="343">
        <f t="shared" ref="G7:AS7" si="0">G8/G9-1</f>
        <v>-0.66328600405679516</v>
      </c>
      <c r="H7" s="390">
        <f t="shared" si="0"/>
        <v>-0.1078975874123238</v>
      </c>
      <c r="I7" s="345">
        <f t="shared" si="0"/>
        <v>-0.69961663186702994</v>
      </c>
      <c r="J7" s="343">
        <v>0</v>
      </c>
      <c r="K7" s="382">
        <v>0</v>
      </c>
      <c r="L7" s="345">
        <v>0</v>
      </c>
      <c r="M7" s="343">
        <f t="shared" si="0"/>
        <v>1.44</v>
      </c>
      <c r="N7" s="390">
        <f t="shared" si="0"/>
        <v>-0.11179714285714282</v>
      </c>
      <c r="O7" s="345">
        <f t="shared" si="0"/>
        <v>1.1672149714285713</v>
      </c>
      <c r="P7" s="343">
        <f t="shared" si="0"/>
        <v>0.46571428571428575</v>
      </c>
      <c r="Q7" s="390">
        <f t="shared" si="0"/>
        <v>0.12351818181818164</v>
      </c>
      <c r="R7" s="416">
        <f t="shared" si="0"/>
        <v>0.64675664935064914</v>
      </c>
      <c r="S7" s="343">
        <f t="shared" si="0"/>
        <v>-0.23582089552238805</v>
      </c>
      <c r="T7" s="390">
        <f t="shared" si="0"/>
        <v>6.4614375000000113E-2</v>
      </c>
      <c r="U7" s="345">
        <f t="shared" si="0"/>
        <v>-0.18644394029850742</v>
      </c>
      <c r="V7" s="343">
        <f t="shared" si="0"/>
        <v>1.5909090909090908</v>
      </c>
      <c r="W7" s="390">
        <f t="shared" si="0"/>
        <v>-0.18210305895030743</v>
      </c>
      <c r="X7" s="345">
        <f t="shared" si="0"/>
        <v>1.1190966199923853</v>
      </c>
      <c r="Y7" s="343">
        <f t="shared" si="0"/>
        <v>-0.77777777777777779</v>
      </c>
      <c r="Z7" s="390">
        <f t="shared" si="0"/>
        <v>-1.4876811594202843E-2</v>
      </c>
      <c r="AA7" s="345">
        <f t="shared" si="0"/>
        <v>-0.78108373590982283</v>
      </c>
      <c r="AB7" s="422">
        <f t="shared" si="0"/>
        <v>0.26387009472259804</v>
      </c>
      <c r="AC7" s="423">
        <f t="shared" si="0"/>
        <v>-4.7434617152199876E-2</v>
      </c>
      <c r="AD7" s="424">
        <f t="shared" si="0"/>
        <v>0.20391890064931695</v>
      </c>
      <c r="AE7" s="343">
        <f t="shared" si="0"/>
        <v>-0.39405405405405403</v>
      </c>
      <c r="AF7" s="382">
        <f t="shared" si="0"/>
        <v>-0.10673447242617606</v>
      </c>
      <c r="AG7" s="345">
        <f t="shared" si="0"/>
        <v>-0.45872937491337473</v>
      </c>
      <c r="AH7" s="343">
        <f t="shared" si="0"/>
        <v>-1</v>
      </c>
      <c r="AI7" s="390">
        <f t="shared" si="0"/>
        <v>-1</v>
      </c>
      <c r="AJ7" s="345">
        <f t="shared" si="0"/>
        <v>-1</v>
      </c>
      <c r="AK7" s="343">
        <f t="shared" si="0"/>
        <v>-1</v>
      </c>
      <c r="AL7" s="390">
        <f t="shared" si="0"/>
        <v>-1</v>
      </c>
      <c r="AM7" s="345">
        <f t="shared" si="0"/>
        <v>-1</v>
      </c>
      <c r="AN7" s="343">
        <f t="shared" si="0"/>
        <v>1.35</v>
      </c>
      <c r="AO7" s="390">
        <f t="shared" si="0"/>
        <v>2.2706956207395379E-2</v>
      </c>
      <c r="AP7" s="345">
        <f t="shared" si="0"/>
        <v>1.4033613470873787</v>
      </c>
      <c r="AQ7" s="343">
        <f t="shared" si="0"/>
        <v>-0.63478260869565217</v>
      </c>
      <c r="AR7" s="390">
        <f t="shared" si="0"/>
        <v>0.23848980833209188</v>
      </c>
      <c r="AS7" s="345">
        <f t="shared" si="0"/>
        <v>-0.54768198304393167</v>
      </c>
      <c r="AT7" s="33"/>
      <c r="AU7" s="33"/>
      <c r="AV7" s="34"/>
      <c r="AW7" s="35"/>
      <c r="AX7" s="33"/>
      <c r="AY7" s="34"/>
      <c r="AZ7" s="35"/>
      <c r="BA7" s="33"/>
      <c r="BB7" s="34"/>
      <c r="BC7" s="35"/>
      <c r="BD7" s="33"/>
      <c r="BE7" s="34"/>
      <c r="BF7" s="35"/>
      <c r="BG7" s="33"/>
      <c r="BH7" s="453"/>
      <c r="BI7" s="343">
        <f t="shared" ref="BI7:BN7" si="1">BI8/BI9-1</f>
        <v>-0.52513181019332156</v>
      </c>
      <c r="BJ7" s="390">
        <f t="shared" si="1"/>
        <v>-0.12211400625628865</v>
      </c>
      <c r="BK7" s="345">
        <f t="shared" si="1"/>
        <v>-0.58311986729428678</v>
      </c>
      <c r="BL7" s="343">
        <f t="shared" si="1"/>
        <v>-0.12308222720220652</v>
      </c>
      <c r="BM7" s="390">
        <f t="shared" si="1"/>
        <v>-3.1192951093485854E-2</v>
      </c>
      <c r="BN7" s="345">
        <f t="shared" si="1"/>
        <v>-0.15043588040209677</v>
      </c>
      <c r="BO7" s="36"/>
      <c r="BP7" s="37"/>
      <c r="BQ7" s="38"/>
      <c r="BR7" s="22"/>
      <c r="BS7" s="22"/>
    </row>
    <row r="8" spans="1:71" ht="12.75" customHeight="1" x14ac:dyDescent="0.2">
      <c r="A8" s="39" t="e">
        <f>DATE([1]Table!$B$4,1,31)</f>
        <v>#REF!</v>
      </c>
      <c r="B8" s="525"/>
      <c r="C8" s="40" t="s">
        <v>84</v>
      </c>
      <c r="D8" s="346">
        <v>1072</v>
      </c>
      <c r="E8" s="347">
        <v>6349.2777145522396</v>
      </c>
      <c r="F8" s="348">
        <f>D8*E8</f>
        <v>6806425.7100000009</v>
      </c>
      <c r="G8" s="397">
        <v>166</v>
      </c>
      <c r="H8" s="347">
        <v>3808.5546987951811</v>
      </c>
      <c r="I8" s="348">
        <f>G8*H8</f>
        <v>632220.08000000007</v>
      </c>
      <c r="J8" s="397">
        <v>342</v>
      </c>
      <c r="K8" s="347">
        <v>3543</v>
      </c>
      <c r="L8" s="402">
        <f>J8*K8</f>
        <v>1211706</v>
      </c>
      <c r="M8" s="346">
        <f>459+639</f>
        <v>1098</v>
      </c>
      <c r="N8" s="353">
        <f>3108.71</f>
        <v>3108.71</v>
      </c>
      <c r="O8" s="402">
        <f>M8*N8</f>
        <v>3413363.58</v>
      </c>
      <c r="P8" s="346">
        <f>1152-639</f>
        <v>513</v>
      </c>
      <c r="Q8" s="353">
        <f>4943.48</f>
        <v>4943.4799999999996</v>
      </c>
      <c r="R8" s="402">
        <f>P8*Q8</f>
        <v>2536005.2399999998</v>
      </c>
      <c r="S8" s="346">
        <v>256</v>
      </c>
      <c r="T8" s="353">
        <v>3193.8431250000003</v>
      </c>
      <c r="U8" s="402">
        <f>S8*T8</f>
        <v>817623.84000000008</v>
      </c>
      <c r="V8" s="346">
        <v>285</v>
      </c>
      <c r="W8" s="353">
        <v>3515.3210526315788</v>
      </c>
      <c r="X8" s="402">
        <f>V8*W8</f>
        <v>1001866.5</v>
      </c>
      <c r="Y8" s="346">
        <v>4</v>
      </c>
      <c r="Z8" s="353">
        <v>2718.94</v>
      </c>
      <c r="AA8" s="402">
        <f>Y8*Z8</f>
        <v>10875.76</v>
      </c>
      <c r="AB8" s="425">
        <f>SUMIF($D$6:$AA$6,AB$6,$D8:$AA8)</f>
        <v>3736</v>
      </c>
      <c r="AC8" s="426">
        <f>IF(AB8=0,0,AD8/AB8)</f>
        <v>4397.7748153104931</v>
      </c>
      <c r="AD8" s="427">
        <f>SUMIF($D$6:$AA$6,AD$6,$D8:$AA8)</f>
        <v>16430086.710000001</v>
      </c>
      <c r="AE8" s="346">
        <v>1121</v>
      </c>
      <c r="AF8" s="353">
        <v>3483.7355575379133</v>
      </c>
      <c r="AG8" s="402">
        <f>AE8*AF8</f>
        <v>3905267.560000001</v>
      </c>
      <c r="AH8" s="346"/>
      <c r="AI8" s="353"/>
      <c r="AJ8" s="402">
        <f>AH8*AI8</f>
        <v>0</v>
      </c>
      <c r="AK8" s="346"/>
      <c r="AL8" s="353"/>
      <c r="AM8" s="402">
        <f>AK8*AL8</f>
        <v>0</v>
      </c>
      <c r="AN8" s="346">
        <v>188</v>
      </c>
      <c r="AO8" s="353">
        <v>2949.486861702128</v>
      </c>
      <c r="AP8" s="402">
        <f>AN8*AO8</f>
        <v>554503.53</v>
      </c>
      <c r="AQ8" s="346">
        <v>42</v>
      </c>
      <c r="AR8" s="353">
        <v>4750.8469047619046</v>
      </c>
      <c r="AS8" s="402">
        <f>AQ8*AR8</f>
        <v>199535.57</v>
      </c>
      <c r="AT8" s="448"/>
      <c r="AU8" s="56"/>
      <c r="AV8" s="43">
        <f>AT8*AU8</f>
        <v>0</v>
      </c>
      <c r="AW8" s="49"/>
      <c r="AX8" s="42"/>
      <c r="AY8" s="43">
        <f t="shared" ref="AY8:AY14" si="2">AW8*AX8</f>
        <v>0</v>
      </c>
      <c r="AZ8" s="49"/>
      <c r="BA8" s="42"/>
      <c r="BB8" s="43">
        <f t="shared" ref="BB8:BB14" si="3">AZ8*BA8</f>
        <v>0</v>
      </c>
      <c r="BC8" s="49"/>
      <c r="BD8" s="42"/>
      <c r="BE8" s="43">
        <f t="shared" ref="BE8:BE14" si="4">BC8*BD8</f>
        <v>0</v>
      </c>
      <c r="BF8" s="49"/>
      <c r="BG8" s="42"/>
      <c r="BH8" s="133">
        <f t="shared" ref="BH8:BH14" si="5">BF8*BG8</f>
        <v>0</v>
      </c>
      <c r="BI8" s="392">
        <f>SUMIF($AE$6:$BH$6,BI$6,$AE8:$BH8)</f>
        <v>1351</v>
      </c>
      <c r="BJ8" s="393">
        <f t="shared" ref="BJ8:BJ62" si="6">IF(BI8=0,0,BK8/BI8)</f>
        <v>3448.783612139157</v>
      </c>
      <c r="BK8" s="377">
        <f>SUMIF($AE$6:$BH$6,BK$6,$AE8:$BH8)</f>
        <v>4659306.6600000011</v>
      </c>
      <c r="BL8" s="392">
        <f>BI8+AB8</f>
        <v>5087</v>
      </c>
      <c r="BM8" s="393">
        <f t="shared" ref="BM8:BM54" si="7">IF(BL8=0,0,BN8/BL8)</f>
        <v>4145.7427501474349</v>
      </c>
      <c r="BN8" s="377">
        <f>BK8+AD8</f>
        <v>21089393.370000001</v>
      </c>
      <c r="BP8" s="50">
        <f>261*31</f>
        <v>8091</v>
      </c>
      <c r="BQ8" s="51">
        <f t="shared" ref="BQ8:BQ50" si="8">IF(BP8=0,0,BL8/BP8)</f>
        <v>0.62872327277221607</v>
      </c>
    </row>
    <row r="9" spans="1:71" x14ac:dyDescent="0.2">
      <c r="A9" s="39" t="e">
        <f>DATE(YEAR(A8)-1,1,31)</f>
        <v>#REF!</v>
      </c>
      <c r="B9" s="525"/>
      <c r="C9" s="52" t="s">
        <v>30</v>
      </c>
      <c r="D9" s="346">
        <v>1200</v>
      </c>
      <c r="E9" s="347">
        <v>5750</v>
      </c>
      <c r="F9" s="348">
        <f>D9*E9</f>
        <v>6900000</v>
      </c>
      <c r="G9" s="397">
        <f>310+183</f>
        <v>493</v>
      </c>
      <c r="H9" s="347">
        <v>4269.1899999999996</v>
      </c>
      <c r="I9" s="348">
        <f>G9*H9</f>
        <v>2104710.67</v>
      </c>
      <c r="J9" s="397">
        <f>183-183</f>
        <v>0</v>
      </c>
      <c r="K9" s="347"/>
      <c r="L9" s="354">
        <f>J9*K9</f>
        <v>0</v>
      </c>
      <c r="M9" s="346">
        <v>450</v>
      </c>
      <c r="N9" s="353">
        <v>3500</v>
      </c>
      <c r="O9" s="354">
        <f>M9*N9</f>
        <v>1575000</v>
      </c>
      <c r="P9" s="346">
        <v>350</v>
      </c>
      <c r="Q9" s="353">
        <v>4400</v>
      </c>
      <c r="R9" s="354">
        <f>P9*Q9</f>
        <v>1540000</v>
      </c>
      <c r="S9" s="346">
        <v>335</v>
      </c>
      <c r="T9" s="353">
        <v>3000</v>
      </c>
      <c r="U9" s="354">
        <f>S9*T9</f>
        <v>1005000</v>
      </c>
      <c r="V9" s="346">
        <v>110</v>
      </c>
      <c r="W9" s="353">
        <v>4298</v>
      </c>
      <c r="X9" s="354">
        <f>V9*W9</f>
        <v>472780</v>
      </c>
      <c r="Y9" s="346">
        <v>18</v>
      </c>
      <c r="Z9" s="353">
        <v>2760</v>
      </c>
      <c r="AA9" s="354">
        <f>Y9*Z9</f>
        <v>49680</v>
      </c>
      <c r="AB9" s="425">
        <f>SUMIF($D$6:$AA$6,AB$6,$D9:$AA9)</f>
        <v>2956</v>
      </c>
      <c r="AC9" s="426">
        <f>IF(AB9=0,0,AD9/AB9)</f>
        <v>4616.7695094722594</v>
      </c>
      <c r="AD9" s="427">
        <f>SUMIF($D$6:$AA$6,AD$6,$D9:$AA9)</f>
        <v>13647170.67</v>
      </c>
      <c r="AE9" s="346">
        <v>1850</v>
      </c>
      <c r="AF9" s="353">
        <v>3900</v>
      </c>
      <c r="AG9" s="354">
        <f>AE9*AF9</f>
        <v>7215000</v>
      </c>
      <c r="AH9" s="346">
        <v>550</v>
      </c>
      <c r="AI9" s="353">
        <v>4500</v>
      </c>
      <c r="AJ9" s="354">
        <f>AH9*AI9</f>
        <v>2475000</v>
      </c>
      <c r="AK9" s="346">
        <v>250</v>
      </c>
      <c r="AL9" s="353">
        <v>3259</v>
      </c>
      <c r="AM9" s="354">
        <f>AK9*AL9</f>
        <v>814750</v>
      </c>
      <c r="AN9" s="346">
        <v>80</v>
      </c>
      <c r="AO9" s="353">
        <v>2884</v>
      </c>
      <c r="AP9" s="354">
        <f>AN9*AO9</f>
        <v>230720</v>
      </c>
      <c r="AQ9" s="346">
        <v>115</v>
      </c>
      <c r="AR9" s="353">
        <v>3836</v>
      </c>
      <c r="AS9" s="354">
        <f>AQ9*AR9</f>
        <v>441140</v>
      </c>
      <c r="AT9" s="448"/>
      <c r="AU9" s="56"/>
      <c r="AV9" s="43">
        <f>AT9*AU9</f>
        <v>0</v>
      </c>
      <c r="AW9" s="55"/>
      <c r="AX9" s="56"/>
      <c r="AY9" s="57">
        <f t="shared" si="2"/>
        <v>0</v>
      </c>
      <c r="AZ9" s="55"/>
      <c r="BA9" s="56"/>
      <c r="BB9" s="57">
        <f t="shared" si="3"/>
        <v>0</v>
      </c>
      <c r="BC9" s="55"/>
      <c r="BD9" s="56"/>
      <c r="BE9" s="57">
        <f t="shared" si="4"/>
        <v>0</v>
      </c>
      <c r="BF9" s="55"/>
      <c r="BG9" s="56"/>
      <c r="BH9" s="454">
        <f t="shared" si="5"/>
        <v>0</v>
      </c>
      <c r="BI9" s="458">
        <f>SUMIF($AE$6:$BH$6,BI$6,$AE9:$BH9)</f>
        <v>2845</v>
      </c>
      <c r="BJ9" s="459">
        <f t="shared" si="6"/>
        <v>3928.5096660808435</v>
      </c>
      <c r="BK9" s="460">
        <f>SUMIF($AE$6:$BH$6,BK$6,$AE9:$BH9)</f>
        <v>11176610</v>
      </c>
      <c r="BL9" s="458">
        <f>BI9+AB9</f>
        <v>5801</v>
      </c>
      <c r="BM9" s="459">
        <f t="shared" si="7"/>
        <v>4279.224387174625</v>
      </c>
      <c r="BN9" s="460">
        <f>BK9+AD9</f>
        <v>24823780.670000002</v>
      </c>
      <c r="BP9" s="55">
        <f>261*31</f>
        <v>8091</v>
      </c>
      <c r="BQ9" s="61">
        <f t="shared" si="8"/>
        <v>0.7169694722531208</v>
      </c>
    </row>
    <row r="10" spans="1:71" x14ac:dyDescent="0.2">
      <c r="A10" s="39" t="e">
        <f>DATE(YEAR(A9)-1,1,31)</f>
        <v>#REF!</v>
      </c>
      <c r="B10" s="526"/>
      <c r="C10" s="52" t="s">
        <v>33</v>
      </c>
      <c r="D10" s="349">
        <v>1160</v>
      </c>
      <c r="E10" s="350">
        <v>5744</v>
      </c>
      <c r="F10" s="351">
        <f>D10*E10</f>
        <v>6663040</v>
      </c>
      <c r="G10" s="398">
        <f>306+177+14</f>
        <v>497</v>
      </c>
      <c r="H10" s="399">
        <v>3514.63</v>
      </c>
      <c r="I10" s="351">
        <f>G10*H10</f>
        <v>1746771.11</v>
      </c>
      <c r="J10" s="403">
        <f>177-177+4</f>
        <v>4</v>
      </c>
      <c r="K10" s="404">
        <v>2525.9499999999998</v>
      </c>
      <c r="L10" s="405">
        <f>J10*K10</f>
        <v>10103.799999999999</v>
      </c>
      <c r="M10" s="398">
        <f>297-14-4+5</f>
        <v>284</v>
      </c>
      <c r="N10" s="399">
        <v>2989.75</v>
      </c>
      <c r="O10" s="351">
        <f>M10*N10</f>
        <v>849089</v>
      </c>
      <c r="P10" s="349">
        <f>311-5</f>
        <v>306</v>
      </c>
      <c r="Q10" s="350">
        <v>4287.26</v>
      </c>
      <c r="R10" s="358">
        <f>P10*Q10</f>
        <v>1311901.56</v>
      </c>
      <c r="S10" s="349">
        <v>328</v>
      </c>
      <c r="T10" s="350">
        <v>2679</v>
      </c>
      <c r="U10" s="358">
        <f>S10*T10</f>
        <v>878712</v>
      </c>
      <c r="V10" s="349">
        <v>99</v>
      </c>
      <c r="W10" s="350">
        <v>4153</v>
      </c>
      <c r="X10" s="358">
        <f>V10*W10</f>
        <v>411147</v>
      </c>
      <c r="Y10" s="349">
        <v>18</v>
      </c>
      <c r="Z10" s="350">
        <v>2760</v>
      </c>
      <c r="AA10" s="358">
        <f>Y10*Z10</f>
        <v>49680</v>
      </c>
      <c r="AB10" s="428">
        <f>SUMIF($D$6:$AA$6,AB$6,$D10:$AA10)</f>
        <v>2696</v>
      </c>
      <c r="AC10" s="391">
        <f>IF(AB10=0,0,AD10/AB10)</f>
        <v>4421.5298479228486</v>
      </c>
      <c r="AD10" s="380">
        <f>SUMIF($D$6:$AA$6,AD$6,$D10:$AA10)</f>
        <v>11920444.470000001</v>
      </c>
      <c r="AE10" s="349">
        <v>924</v>
      </c>
      <c r="AF10" s="350">
        <v>3647</v>
      </c>
      <c r="AG10" s="358">
        <f>AE10*AF10</f>
        <v>3369828</v>
      </c>
      <c r="AH10" s="349">
        <v>541</v>
      </c>
      <c r="AI10" s="350">
        <v>4418</v>
      </c>
      <c r="AJ10" s="358">
        <f>AH10*AI10</f>
        <v>2390138</v>
      </c>
      <c r="AK10" s="349">
        <v>130</v>
      </c>
      <c r="AL10" s="350">
        <v>3149</v>
      </c>
      <c r="AM10" s="358">
        <f>AK10*AL10</f>
        <v>409370</v>
      </c>
      <c r="AN10" s="349">
        <v>23</v>
      </c>
      <c r="AO10" s="350">
        <v>2786</v>
      </c>
      <c r="AP10" s="358">
        <f>AN10*AO10</f>
        <v>64078</v>
      </c>
      <c r="AQ10" s="349">
        <v>109.9316</v>
      </c>
      <c r="AR10" s="350">
        <v>3706</v>
      </c>
      <c r="AS10" s="358">
        <f>AQ10*AR10</f>
        <v>407406.50959999999</v>
      </c>
      <c r="AT10" s="48"/>
      <c r="AU10" s="42"/>
      <c r="AV10" s="43">
        <f>AT10*AU10</f>
        <v>0</v>
      </c>
      <c r="AW10" s="64"/>
      <c r="AX10" s="65"/>
      <c r="AY10" s="63">
        <f t="shared" si="2"/>
        <v>0</v>
      </c>
      <c r="AZ10" s="64"/>
      <c r="BA10" s="65"/>
      <c r="BB10" s="63">
        <f t="shared" si="3"/>
        <v>0</v>
      </c>
      <c r="BC10" s="64"/>
      <c r="BD10" s="65"/>
      <c r="BE10" s="63">
        <f t="shared" si="4"/>
        <v>0</v>
      </c>
      <c r="BF10" s="64"/>
      <c r="BG10" s="65"/>
      <c r="BH10" s="455">
        <f t="shared" si="5"/>
        <v>0</v>
      </c>
      <c r="BI10" s="394">
        <f>SUMIF($AE$6:$BH$6,BI$6,$AE10:$BH10)</f>
        <v>1727.9315999999999</v>
      </c>
      <c r="BJ10" s="395">
        <f t="shared" si="6"/>
        <v>3843.2195519776365</v>
      </c>
      <c r="BK10" s="396">
        <f>SUMIF($AE$6:$BH$6,BK$6,$AE10:$BH10)</f>
        <v>6640820.5096000005</v>
      </c>
      <c r="BL10" s="394">
        <f>BI10+AB10</f>
        <v>4423.9315999999999</v>
      </c>
      <c r="BM10" s="395">
        <f t="shared" si="7"/>
        <v>4195.6491776681178</v>
      </c>
      <c r="BN10" s="396">
        <f>BK10+AD10</f>
        <v>18561264.979600001</v>
      </c>
      <c r="BP10" s="55">
        <f>261*31</f>
        <v>8091</v>
      </c>
      <c r="BQ10" s="61">
        <f t="shared" si="8"/>
        <v>0.54677191941663572</v>
      </c>
    </row>
    <row r="11" spans="1:71" x14ac:dyDescent="0.2">
      <c r="A11" s="39"/>
      <c r="B11" s="520">
        <f>DATE(YEAR(B7),MONTH(B7)+2,1)-1</f>
        <v>60</v>
      </c>
      <c r="C11" s="69" t="s">
        <v>27</v>
      </c>
      <c r="D11" s="343">
        <f>(D12/D13)-1</f>
        <v>-3.4482758620689724E-3</v>
      </c>
      <c r="E11" s="344">
        <f>(E12/E13)-1</f>
        <v>0.10815845221112697</v>
      </c>
      <c r="F11" s="352">
        <f>(F12/F13)-1</f>
        <v>0.10433721616901948</v>
      </c>
      <c r="G11" s="400">
        <f t="shared" ref="G11:AS11" si="9">G12/G13-1</f>
        <v>-0.73383084577114421</v>
      </c>
      <c r="H11" s="401">
        <f t="shared" si="9"/>
        <v>-0.13816919735678324</v>
      </c>
      <c r="I11" s="352">
        <f t="shared" si="9"/>
        <v>-0.77060722417207916</v>
      </c>
      <c r="J11" s="343">
        <v>0</v>
      </c>
      <c r="K11" s="382">
        <v>0</v>
      </c>
      <c r="L11" s="345">
        <v>0</v>
      </c>
      <c r="M11" s="400">
        <f t="shared" si="9"/>
        <v>-0.14249999999999996</v>
      </c>
      <c r="N11" s="401">
        <f t="shared" si="9"/>
        <v>-9.7109311740890658E-2</v>
      </c>
      <c r="O11" s="352">
        <f t="shared" si="9"/>
        <v>-0.22577123481781369</v>
      </c>
      <c r="P11" s="343">
        <f t="shared" si="9"/>
        <v>-0.17083333333333328</v>
      </c>
      <c r="Q11" s="382">
        <f t="shared" si="9"/>
        <v>0.22352042160737828</v>
      </c>
      <c r="R11" s="383">
        <f t="shared" si="9"/>
        <v>1.4502349582784291E-2</v>
      </c>
      <c r="S11" s="343">
        <f t="shared" si="9"/>
        <v>-0.46666666666666667</v>
      </c>
      <c r="T11" s="382">
        <f t="shared" si="9"/>
        <v>-3.7575757575757596E-2</v>
      </c>
      <c r="U11" s="345">
        <f t="shared" si="9"/>
        <v>-0.48670707070707075</v>
      </c>
      <c r="V11" s="343">
        <f t="shared" si="9"/>
        <v>-9.0909090909090939E-2</v>
      </c>
      <c r="W11" s="382">
        <f t="shared" si="9"/>
        <v>-0.24778186539710023</v>
      </c>
      <c r="X11" s="345">
        <f t="shared" si="9"/>
        <v>-0.31616533217918197</v>
      </c>
      <c r="Y11" s="343">
        <f t="shared" si="9"/>
        <v>-0.5</v>
      </c>
      <c r="Z11" s="382">
        <f t="shared" si="9"/>
        <v>7.4045206547155074E-2</v>
      </c>
      <c r="AA11" s="345">
        <f t="shared" si="9"/>
        <v>-0.46297739672642246</v>
      </c>
      <c r="AB11" s="422">
        <f t="shared" si="9"/>
        <v>-0.13825551936301117</v>
      </c>
      <c r="AC11" s="423">
        <f t="shared" si="9"/>
        <v>2.1941037940733876E-2</v>
      </c>
      <c r="AD11" s="424">
        <f t="shared" si="9"/>
        <v>-0.11934795101813689</v>
      </c>
      <c r="AE11" s="343">
        <f t="shared" si="9"/>
        <v>6.893617021276599E-2</v>
      </c>
      <c r="AF11" s="382">
        <f t="shared" si="9"/>
        <v>-1.5410307692307668E-2</v>
      </c>
      <c r="AG11" s="345">
        <f t="shared" si="9"/>
        <v>5.2463534926350475E-2</v>
      </c>
      <c r="AH11" s="343">
        <f t="shared" si="9"/>
        <v>0.45333333333333337</v>
      </c>
      <c r="AI11" s="382">
        <f t="shared" si="9"/>
        <v>-9.4502617801047073E-2</v>
      </c>
      <c r="AJ11" s="345">
        <f t="shared" si="9"/>
        <v>0.31598952879581144</v>
      </c>
      <c r="AK11" s="343">
        <f t="shared" si="9"/>
        <v>-0.78666666666666663</v>
      </c>
      <c r="AL11" s="382">
        <f t="shared" si="9"/>
        <v>0.62247749146227882</v>
      </c>
      <c r="AM11" s="345">
        <f t="shared" si="9"/>
        <v>-0.65387146848804711</v>
      </c>
      <c r="AN11" s="343">
        <f t="shared" si="9"/>
        <v>-0.28333333333333333</v>
      </c>
      <c r="AO11" s="382">
        <f t="shared" si="9"/>
        <v>-3.2471835652750136E-2</v>
      </c>
      <c r="AP11" s="345">
        <f t="shared" si="9"/>
        <v>-0.30660481555113761</v>
      </c>
      <c r="AQ11" s="343">
        <f t="shared" si="9"/>
        <v>-0.55000000000000004</v>
      </c>
      <c r="AR11" s="382">
        <f t="shared" si="9"/>
        <v>4.463836842105251E-2</v>
      </c>
      <c r="AS11" s="345">
        <f t="shared" si="9"/>
        <v>-0.52991273421052631</v>
      </c>
      <c r="AT11" s="33"/>
      <c r="AU11" s="33"/>
      <c r="AV11" s="34"/>
      <c r="AW11" s="35"/>
      <c r="AX11" s="33"/>
      <c r="AY11" s="34"/>
      <c r="AZ11" s="35"/>
      <c r="BA11" s="33"/>
      <c r="BB11" s="34"/>
      <c r="BC11" s="35"/>
      <c r="BD11" s="33"/>
      <c r="BE11" s="34"/>
      <c r="BF11" s="35"/>
      <c r="BG11" s="33"/>
      <c r="BH11" s="453"/>
      <c r="BI11" s="343">
        <f t="shared" ref="BI11:BM11" si="10">BI12/BI13-1</f>
        <v>-4.9113924050632862E-2</v>
      </c>
      <c r="BJ11" s="382">
        <f t="shared" si="10"/>
        <v>8.5855948932924697E-3</v>
      </c>
      <c r="BK11" s="345">
        <f t="shared" si="10"/>
        <v>-4.0950001412859094E-2</v>
      </c>
      <c r="BL11" s="343">
        <f t="shared" si="10"/>
        <v>-0.10109750949767837</v>
      </c>
      <c r="BM11" s="382">
        <f t="shared" si="10"/>
        <v>1.3481715646094683E-2</v>
      </c>
      <c r="BN11" s="345">
        <f t="shared" ref="BN11" si="11">BN12/BN13-1</f>
        <v>-8.8978761727159683E-2</v>
      </c>
      <c r="BP11" s="71"/>
      <c r="BQ11" s="72"/>
    </row>
    <row r="12" spans="1:71" x14ac:dyDescent="0.2">
      <c r="A12" s="39" t="e">
        <f>DATE(YEAR(A8),MONTH(A8)+2,1)-1</f>
        <v>#REF!</v>
      </c>
      <c r="B12" s="521"/>
      <c r="C12" s="40" t="s">
        <v>84</v>
      </c>
      <c r="D12" s="346">
        <v>578</v>
      </c>
      <c r="E12" s="353">
        <v>6214.5526</v>
      </c>
      <c r="F12" s="354">
        <f>D12*E12</f>
        <v>3592011.4027999998</v>
      </c>
      <c r="G12" s="346">
        <f>83+24</f>
        <v>107</v>
      </c>
      <c r="H12" s="353">
        <f>3722.23</f>
        <v>3722.23</v>
      </c>
      <c r="I12" s="354">
        <f>G12*H12</f>
        <v>398278.61</v>
      </c>
      <c r="J12" s="346">
        <f>283</f>
        <v>283</v>
      </c>
      <c r="K12" s="353">
        <v>3640.27</v>
      </c>
      <c r="L12" s="354">
        <f>J12*K12</f>
        <v>1030196.41</v>
      </c>
      <c r="M12" s="346">
        <f>630-283+339</f>
        <v>686</v>
      </c>
      <c r="N12" s="353">
        <f>3345.21</f>
        <v>3345.21</v>
      </c>
      <c r="O12" s="354">
        <f>M12*N12</f>
        <v>2294814.06</v>
      </c>
      <c r="P12" s="346">
        <f>737-339</f>
        <v>398</v>
      </c>
      <c r="Q12" s="353">
        <f>4643.26</f>
        <v>4643.26</v>
      </c>
      <c r="R12" s="354">
        <f>P12*Q12</f>
        <v>1848017.48</v>
      </c>
      <c r="S12" s="346">
        <v>176</v>
      </c>
      <c r="T12" s="353">
        <v>3176</v>
      </c>
      <c r="U12" s="354">
        <f>S12*T12</f>
        <v>558976</v>
      </c>
      <c r="V12" s="346">
        <v>150</v>
      </c>
      <c r="W12" s="353">
        <v>3476</v>
      </c>
      <c r="X12" s="354">
        <f>V12*W12</f>
        <v>521400</v>
      </c>
      <c r="Y12" s="346">
        <v>3</v>
      </c>
      <c r="Z12" s="353">
        <v>2756</v>
      </c>
      <c r="AA12" s="354">
        <f>Y12*Z12</f>
        <v>8268</v>
      </c>
      <c r="AB12" s="425">
        <f>SUMIF($D$6:$AA$6,AB$6,$D12:$AA12)</f>
        <v>2381</v>
      </c>
      <c r="AC12" s="426">
        <f>IF(AB12=0,0,AD12/AB12)</f>
        <v>4305.7379096178074</v>
      </c>
      <c r="AD12" s="427">
        <f>SUMIF($D$6:$AA$6,AD$6,$D12:$AA12)</f>
        <v>10251961.9628</v>
      </c>
      <c r="AE12" s="346">
        <v>1256</v>
      </c>
      <c r="AF12" s="353">
        <v>3839.8998000000001</v>
      </c>
      <c r="AG12" s="354">
        <f>AE12*AF12</f>
        <v>4822914.1488000005</v>
      </c>
      <c r="AH12" s="346">
        <v>436</v>
      </c>
      <c r="AI12" s="353">
        <v>3459</v>
      </c>
      <c r="AJ12" s="354">
        <f>AH12*AI12</f>
        <v>1508124</v>
      </c>
      <c r="AK12" s="346">
        <v>64</v>
      </c>
      <c r="AL12" s="353">
        <v>5226</v>
      </c>
      <c r="AM12" s="354">
        <f>AK12*AL12</f>
        <v>334464</v>
      </c>
      <c r="AN12" s="346">
        <v>86</v>
      </c>
      <c r="AO12" s="353">
        <v>2920</v>
      </c>
      <c r="AP12" s="354">
        <f>AN12*AO12</f>
        <v>251120</v>
      </c>
      <c r="AQ12" s="346">
        <v>36</v>
      </c>
      <c r="AR12" s="353">
        <v>3969.6257999999998</v>
      </c>
      <c r="AS12" s="354">
        <f>AQ12*AR12</f>
        <v>142906.5288</v>
      </c>
      <c r="AT12" s="448"/>
      <c r="AU12" s="56"/>
      <c r="AV12" s="43">
        <f>AT12*AU12</f>
        <v>0</v>
      </c>
      <c r="AW12" s="50"/>
      <c r="AX12" s="74"/>
      <c r="AY12" s="43">
        <f t="shared" si="2"/>
        <v>0</v>
      </c>
      <c r="AZ12" s="50"/>
      <c r="BA12" s="74"/>
      <c r="BB12" s="43">
        <f t="shared" si="3"/>
        <v>0</v>
      </c>
      <c r="BC12" s="50"/>
      <c r="BD12" s="74"/>
      <c r="BE12" s="43">
        <f t="shared" si="4"/>
        <v>0</v>
      </c>
      <c r="BF12" s="50"/>
      <c r="BG12" s="74"/>
      <c r="BH12" s="133">
        <f t="shared" si="5"/>
        <v>0</v>
      </c>
      <c r="BI12" s="392">
        <f>SUMIF($AE$6:$BH$6,BI$6,$AE12:$BH12)</f>
        <v>1878</v>
      </c>
      <c r="BJ12" s="393">
        <f t="shared" si="6"/>
        <v>3759.0674534611294</v>
      </c>
      <c r="BK12" s="377">
        <f>SUMIF($AE$6:$BH$6,BK$6,$AE12:$BH12)</f>
        <v>7059528.677600001</v>
      </c>
      <c r="BL12" s="392">
        <f>BI12+AB12</f>
        <v>4259</v>
      </c>
      <c r="BM12" s="393">
        <f t="shared" si="7"/>
        <v>4064.6843485325194</v>
      </c>
      <c r="BN12" s="377">
        <f>BK12+AD12</f>
        <v>17311490.6404</v>
      </c>
      <c r="BP12" s="50">
        <f>261*28</f>
        <v>7308</v>
      </c>
      <c r="BQ12" s="51">
        <f t="shared" si="8"/>
        <v>0.58278598795840175</v>
      </c>
    </row>
    <row r="13" spans="1:71" x14ac:dyDescent="0.2">
      <c r="A13" s="39" t="e">
        <f>DATE(YEAR(A9),MONTH(A9)+2,1)-1</f>
        <v>#REF!</v>
      </c>
      <c r="B13" s="521"/>
      <c r="C13" s="52" t="s">
        <v>30</v>
      </c>
      <c r="D13" s="346">
        <v>580</v>
      </c>
      <c r="E13" s="353">
        <v>5608</v>
      </c>
      <c r="F13" s="354">
        <f>D13*E13</f>
        <v>3252640</v>
      </c>
      <c r="G13" s="346">
        <f>280+122</f>
        <v>402</v>
      </c>
      <c r="H13" s="353">
        <v>4318.9799999999996</v>
      </c>
      <c r="I13" s="354">
        <f>G13*H13</f>
        <v>1736229.9599999997</v>
      </c>
      <c r="J13" s="346">
        <f>122-122</f>
        <v>0</v>
      </c>
      <c r="K13" s="353"/>
      <c r="L13" s="354">
        <f>J13*K13</f>
        <v>0</v>
      </c>
      <c r="M13" s="346">
        <v>800</v>
      </c>
      <c r="N13" s="353">
        <v>3705</v>
      </c>
      <c r="O13" s="354">
        <f>M13*N13</f>
        <v>2964000</v>
      </c>
      <c r="P13" s="346">
        <v>480</v>
      </c>
      <c r="Q13" s="353">
        <v>3795</v>
      </c>
      <c r="R13" s="354">
        <f>P13*Q13</f>
        <v>1821600</v>
      </c>
      <c r="S13" s="346">
        <v>330</v>
      </c>
      <c r="T13" s="353">
        <v>3300</v>
      </c>
      <c r="U13" s="354">
        <f>S13*T13</f>
        <v>1089000</v>
      </c>
      <c r="V13" s="346">
        <v>165</v>
      </c>
      <c r="W13" s="353">
        <v>4621</v>
      </c>
      <c r="X13" s="354">
        <f>V13*W13</f>
        <v>762465</v>
      </c>
      <c r="Y13" s="346">
        <v>6</v>
      </c>
      <c r="Z13" s="353">
        <v>2566</v>
      </c>
      <c r="AA13" s="354">
        <f>Y13*Z13</f>
        <v>15396</v>
      </c>
      <c r="AB13" s="425">
        <f>SUMIF($D$6:$AA$6,AB$6,$D13:$AA13)</f>
        <v>2763</v>
      </c>
      <c r="AC13" s="426">
        <f>IF(AB13=0,0,AD13/AB13)</f>
        <v>4213.2938689829898</v>
      </c>
      <c r="AD13" s="427">
        <f>SUMIF($D$6:$AA$6,AD$6,$D13:$AA13)</f>
        <v>11641330.960000001</v>
      </c>
      <c r="AE13" s="346">
        <v>1175</v>
      </c>
      <c r="AF13" s="353">
        <v>3900</v>
      </c>
      <c r="AG13" s="354">
        <f>AE13*AF13</f>
        <v>4582500</v>
      </c>
      <c r="AH13" s="346">
        <v>300</v>
      </c>
      <c r="AI13" s="353">
        <v>3820</v>
      </c>
      <c r="AJ13" s="354">
        <f>AH13*AI13</f>
        <v>1146000</v>
      </c>
      <c r="AK13" s="346">
        <v>300</v>
      </c>
      <c r="AL13" s="353">
        <v>3221</v>
      </c>
      <c r="AM13" s="354">
        <f>AK13*AL13</f>
        <v>966300</v>
      </c>
      <c r="AN13" s="346">
        <v>120</v>
      </c>
      <c r="AO13" s="353">
        <v>3018</v>
      </c>
      <c r="AP13" s="354">
        <f>AN13*AO13</f>
        <v>362160</v>
      </c>
      <c r="AQ13" s="346">
        <v>80</v>
      </c>
      <c r="AR13" s="353">
        <v>3800</v>
      </c>
      <c r="AS13" s="354">
        <f>AQ13*AR13</f>
        <v>304000</v>
      </c>
      <c r="AT13" s="448"/>
      <c r="AU13" s="56"/>
      <c r="AV13" s="43">
        <f>AT13*AU13</f>
        <v>0</v>
      </c>
      <c r="AW13" s="55"/>
      <c r="AX13" s="56"/>
      <c r="AY13" s="57">
        <f t="shared" si="2"/>
        <v>0</v>
      </c>
      <c r="AZ13" s="55"/>
      <c r="BA13" s="56"/>
      <c r="BB13" s="57">
        <f t="shared" si="3"/>
        <v>0</v>
      </c>
      <c r="BC13" s="55"/>
      <c r="BD13" s="56"/>
      <c r="BE13" s="57">
        <f t="shared" si="4"/>
        <v>0</v>
      </c>
      <c r="BF13" s="55"/>
      <c r="BG13" s="56"/>
      <c r="BH13" s="454">
        <f t="shared" si="5"/>
        <v>0</v>
      </c>
      <c r="BI13" s="458">
        <f>SUMIF($AE$6:$BH$6,BI$6,$AE13:$BH13)</f>
        <v>1975</v>
      </c>
      <c r="BJ13" s="459">
        <f t="shared" si="6"/>
        <v>3727.0683544303797</v>
      </c>
      <c r="BK13" s="460">
        <f>SUMIF($AE$6:$BH$6,BK$6,$AE13:$BH13)</f>
        <v>7360960</v>
      </c>
      <c r="BL13" s="458">
        <f>BI13+AB13</f>
        <v>4738</v>
      </c>
      <c r="BM13" s="459">
        <f t="shared" si="7"/>
        <v>4010.6143858168007</v>
      </c>
      <c r="BN13" s="460">
        <f>BK13+AD13</f>
        <v>19002290.960000001</v>
      </c>
      <c r="BP13" s="55">
        <f>261*28</f>
        <v>7308</v>
      </c>
      <c r="BQ13" s="61">
        <f t="shared" si="8"/>
        <v>0.64833059660645864</v>
      </c>
    </row>
    <row r="14" spans="1:71" x14ac:dyDescent="0.2">
      <c r="A14" s="39" t="e">
        <f>DATE(YEAR(A10),MONTH(A10)+2,1)-1</f>
        <v>#REF!</v>
      </c>
      <c r="B14" s="522"/>
      <c r="C14" s="62" t="s">
        <v>33</v>
      </c>
      <c r="D14" s="349">
        <v>571</v>
      </c>
      <c r="E14" s="350">
        <v>5705</v>
      </c>
      <c r="F14" s="351">
        <f>D14*E14</f>
        <v>3257555</v>
      </c>
      <c r="G14" s="398">
        <f>276+119+16</f>
        <v>411</v>
      </c>
      <c r="H14" s="399">
        <f>2897.24</f>
        <v>2897.24</v>
      </c>
      <c r="I14" s="351">
        <f>G14*H14</f>
        <v>1190765.6399999999</v>
      </c>
      <c r="J14" s="403">
        <f>119-119</f>
        <v>0</v>
      </c>
      <c r="K14" s="404"/>
      <c r="L14" s="405">
        <f>J14*K14</f>
        <v>0</v>
      </c>
      <c r="M14" s="398">
        <f>529-16+162</f>
        <v>675</v>
      </c>
      <c r="N14" s="399">
        <v>3464.28</v>
      </c>
      <c r="O14" s="351">
        <f>M14*N14</f>
        <v>2338389</v>
      </c>
      <c r="P14" s="349">
        <f>469-162</f>
        <v>307</v>
      </c>
      <c r="Q14" s="350">
        <v>4196.5200000000004</v>
      </c>
      <c r="R14" s="358">
        <f>P14*Q14</f>
        <v>1288331.6400000001</v>
      </c>
      <c r="S14" s="349">
        <v>321</v>
      </c>
      <c r="T14" s="350">
        <v>3276</v>
      </c>
      <c r="U14" s="358">
        <f>S14*T14</f>
        <v>1051596</v>
      </c>
      <c r="V14" s="349">
        <v>158</v>
      </c>
      <c r="W14" s="350">
        <v>4465</v>
      </c>
      <c r="X14" s="358">
        <f>V14*W14</f>
        <v>705470</v>
      </c>
      <c r="Y14" s="349">
        <v>6</v>
      </c>
      <c r="Z14" s="350">
        <v>2566</v>
      </c>
      <c r="AA14" s="358">
        <f>Y14*Z14</f>
        <v>15396</v>
      </c>
      <c r="AB14" s="428">
        <f>SUMIF($D$6:$AA$6,AB$6,$D14:$AA14)</f>
        <v>2449</v>
      </c>
      <c r="AC14" s="391">
        <f>IF(AB14=0,0,AD14/AB14)</f>
        <v>4021.0303307472436</v>
      </c>
      <c r="AD14" s="380">
        <f>SUMIF($D$6:$AA$6,AD$6,$D14:$AA14)</f>
        <v>9847503.2799999993</v>
      </c>
      <c r="AE14" s="398">
        <v>803</v>
      </c>
      <c r="AF14" s="399">
        <v>3651</v>
      </c>
      <c r="AG14" s="351">
        <f>AE14*AF14</f>
        <v>2931753</v>
      </c>
      <c r="AH14" s="398">
        <v>32</v>
      </c>
      <c r="AI14" s="399">
        <v>3724</v>
      </c>
      <c r="AJ14" s="351">
        <f>AH14*AI14</f>
        <v>119168</v>
      </c>
      <c r="AK14" s="349">
        <v>291</v>
      </c>
      <c r="AL14" s="350">
        <v>3112</v>
      </c>
      <c r="AM14" s="358">
        <f>AK14*AL14</f>
        <v>905592</v>
      </c>
      <c r="AN14" s="349">
        <v>77</v>
      </c>
      <c r="AO14" s="350">
        <v>2916</v>
      </c>
      <c r="AP14" s="358">
        <f>AN14*AO14</f>
        <v>224532</v>
      </c>
      <c r="AQ14" s="349">
        <v>53.050400000000003</v>
      </c>
      <c r="AR14" s="350">
        <v>3779.4234000000001</v>
      </c>
      <c r="AS14" s="358">
        <f>AQ14*AR14</f>
        <v>200499.92313936001</v>
      </c>
      <c r="AT14" s="73"/>
      <c r="AU14" s="74"/>
      <c r="AV14" s="43">
        <v>0</v>
      </c>
      <c r="AW14" s="64"/>
      <c r="AX14" s="65"/>
      <c r="AY14" s="63">
        <f t="shared" si="2"/>
        <v>0</v>
      </c>
      <c r="AZ14" s="64"/>
      <c r="BA14" s="65"/>
      <c r="BB14" s="63">
        <f t="shared" si="3"/>
        <v>0</v>
      </c>
      <c r="BC14" s="64"/>
      <c r="BD14" s="65"/>
      <c r="BE14" s="63">
        <f t="shared" si="4"/>
        <v>0</v>
      </c>
      <c r="BF14" s="64"/>
      <c r="BG14" s="65"/>
      <c r="BH14" s="455">
        <f t="shared" si="5"/>
        <v>0</v>
      </c>
      <c r="BI14" s="394">
        <f>SUMIF($AE$6:$BH$6,BI$6,$AE14:$BH14)</f>
        <v>1256.0504000000001</v>
      </c>
      <c r="BJ14" s="395">
        <f t="shared" si="6"/>
        <v>3488.3512024193928</v>
      </c>
      <c r="BK14" s="396">
        <f>SUMIF($AE$6:$BH$6,BK$6,$AE14:$BH14)</f>
        <v>4381544.9231393598</v>
      </c>
      <c r="BL14" s="394">
        <f>BI14+AB14</f>
        <v>3705.0504000000001</v>
      </c>
      <c r="BM14" s="395">
        <f t="shared" si="7"/>
        <v>3840.4465977411155</v>
      </c>
      <c r="BN14" s="396">
        <f>BK14+AD14</f>
        <v>14229048.203139359</v>
      </c>
      <c r="BP14" s="55">
        <f>261*28</f>
        <v>7308</v>
      </c>
      <c r="BQ14" s="61">
        <f t="shared" si="8"/>
        <v>0.50698555008210178</v>
      </c>
    </row>
    <row r="15" spans="1:71" x14ac:dyDescent="0.2">
      <c r="A15" s="39"/>
      <c r="B15" s="520">
        <f>DATE(YEAR(B11),MONTH(B11)+2,1)-1</f>
        <v>91</v>
      </c>
      <c r="C15" s="24" t="s">
        <v>27</v>
      </c>
      <c r="D15" s="343">
        <f>(D16/D17)-1</f>
        <v>-0.10599999999999998</v>
      </c>
      <c r="E15" s="344">
        <f>(E16/E17)-1</f>
        <v>7.0256776034236745E-2</v>
      </c>
      <c r="F15" s="352">
        <f>(F16/F17)-1</f>
        <v>-4.3190442225392256E-2</v>
      </c>
      <c r="G15" s="400">
        <f t="shared" ref="G15:AS15" si="12">G16/G17-1</f>
        <v>-0.74363636363636365</v>
      </c>
      <c r="H15" s="401">
        <f t="shared" si="12"/>
        <v>-0.10152921997828124</v>
      </c>
      <c r="I15" s="352">
        <f t="shared" si="12"/>
        <v>-0.76966476366715941</v>
      </c>
      <c r="J15" s="343">
        <v>0</v>
      </c>
      <c r="K15" s="382">
        <v>0</v>
      </c>
      <c r="L15" s="345">
        <v>0</v>
      </c>
      <c r="M15" s="400">
        <f t="shared" si="12"/>
        <v>-0.43793103448275861</v>
      </c>
      <c r="N15" s="401">
        <f t="shared" si="12"/>
        <v>4.5146198830409379E-2</v>
      </c>
      <c r="O15" s="352">
        <f t="shared" si="12"/>
        <v>-0.41255575720911475</v>
      </c>
      <c r="P15" s="343">
        <f t="shared" si="12"/>
        <v>-0.17924528301886788</v>
      </c>
      <c r="Q15" s="382">
        <f t="shared" si="12"/>
        <v>0.35357803824799516</v>
      </c>
      <c r="R15" s="383">
        <f t="shared" si="12"/>
        <v>0.1109555596941092</v>
      </c>
      <c r="S15" s="343">
        <f t="shared" si="12"/>
        <v>-0.46666666666666667</v>
      </c>
      <c r="T15" s="382">
        <f t="shared" si="12"/>
        <v>8.3124999999999893E-2</v>
      </c>
      <c r="U15" s="345">
        <f t="shared" si="12"/>
        <v>-0.42233333333333334</v>
      </c>
      <c r="V15" s="343">
        <f t="shared" si="12"/>
        <v>-0.4836601307189542</v>
      </c>
      <c r="W15" s="382">
        <f t="shared" si="12"/>
        <v>0.32013057671381939</v>
      </c>
      <c r="X15" s="345">
        <f t="shared" si="12"/>
        <v>-0.31836395058567502</v>
      </c>
      <c r="Y15" s="343">
        <f t="shared" si="12"/>
        <v>-1</v>
      </c>
      <c r="Z15" s="382">
        <f t="shared" si="12"/>
        <v>-1</v>
      </c>
      <c r="AA15" s="345">
        <f t="shared" si="12"/>
        <v>-1</v>
      </c>
      <c r="AB15" s="422">
        <f t="shared" si="12"/>
        <v>-0.3034862385321101</v>
      </c>
      <c r="AC15" s="423">
        <f t="shared" si="12"/>
        <v>0.12026510087910802</v>
      </c>
      <c r="AD15" s="424">
        <f t="shared" si="12"/>
        <v>-0.21971994074548729</v>
      </c>
      <c r="AE15" s="400">
        <f t="shared" si="12"/>
        <v>-0.33806451612903221</v>
      </c>
      <c r="AF15" s="401">
        <f t="shared" si="12"/>
        <v>-3.1431256410256458E-2</v>
      </c>
      <c r="AG15" s="352">
        <f t="shared" si="12"/>
        <v>-0.35886998004962789</v>
      </c>
      <c r="AH15" s="400">
        <f t="shared" si="12"/>
        <v>-0.63714285714285712</v>
      </c>
      <c r="AI15" s="401">
        <f t="shared" si="12"/>
        <v>-5.8215400132379358E-2</v>
      </c>
      <c r="AJ15" s="352">
        <f t="shared" si="12"/>
        <v>-0.65826673090517773</v>
      </c>
      <c r="AK15" s="343">
        <f t="shared" si="12"/>
        <v>7.27</v>
      </c>
      <c r="AL15" s="382">
        <f t="shared" si="12"/>
        <v>1.5410367170626351</v>
      </c>
      <c r="AM15" s="345">
        <f t="shared" si="12"/>
        <v>20.014373650107991</v>
      </c>
      <c r="AN15" s="343">
        <f t="shared" si="12"/>
        <v>-0.86315789473684212</v>
      </c>
      <c r="AO15" s="382">
        <f t="shared" si="12"/>
        <v>-1.871306631648062E-2</v>
      </c>
      <c r="AP15" s="345">
        <f t="shared" si="12"/>
        <v>-0.86571863012751837</v>
      </c>
      <c r="AQ15" s="343">
        <f t="shared" si="12"/>
        <v>2.2666666666666666</v>
      </c>
      <c r="AR15" s="382">
        <f t="shared" si="12"/>
        <v>0.16460176991150433</v>
      </c>
      <c r="AS15" s="345">
        <f t="shared" si="12"/>
        <v>2.8043657817109144</v>
      </c>
      <c r="AT15" s="33"/>
      <c r="AU15" s="33"/>
      <c r="AV15" s="34"/>
      <c r="AW15" s="35"/>
      <c r="AX15" s="33"/>
      <c r="AY15" s="34"/>
      <c r="AZ15" s="35"/>
      <c r="BA15" s="33"/>
      <c r="BB15" s="34"/>
      <c r="BC15" s="35"/>
      <c r="BD15" s="33"/>
      <c r="BE15" s="34"/>
      <c r="BF15" s="35"/>
      <c r="BG15" s="33"/>
      <c r="BH15" s="453"/>
      <c r="BI15" s="343">
        <f t="shared" ref="BI15:BM15" si="13">BI16/BI17-1</f>
        <v>-0.11618257261410792</v>
      </c>
      <c r="BJ15" s="382">
        <f t="shared" si="13"/>
        <v>0.37863688886762126</v>
      </c>
      <c r="BK15" s="345">
        <f t="shared" si="13"/>
        <v>0.218463308418271</v>
      </c>
      <c r="BL15" s="343">
        <f t="shared" si="13"/>
        <v>-0.21557935735150924</v>
      </c>
      <c r="BM15" s="382">
        <f t="shared" si="13"/>
        <v>0.24041613909466775</v>
      </c>
      <c r="BN15" s="345">
        <f t="shared" ref="BN15" si="14">BN16/BN17-1</f>
        <v>-2.6991975019801107E-2</v>
      </c>
      <c r="BO15" s="75"/>
      <c r="BP15" s="50"/>
      <c r="BQ15" s="51"/>
    </row>
    <row r="16" spans="1:71" x14ac:dyDescent="0.2">
      <c r="A16" s="39" t="e">
        <f>DATE(YEAR(A12),MONTH(A12)+2,1)-1</f>
        <v>#REF!</v>
      </c>
      <c r="B16" s="521"/>
      <c r="C16" s="40" t="s">
        <v>84</v>
      </c>
      <c r="D16" s="355">
        <v>447</v>
      </c>
      <c r="E16" s="356">
        <v>6002</v>
      </c>
      <c r="F16" s="354">
        <f>D16*E16</f>
        <v>2682894</v>
      </c>
      <c r="G16" s="346">
        <f>129+12</f>
        <v>141</v>
      </c>
      <c r="H16" s="353">
        <v>3532.85</v>
      </c>
      <c r="I16" s="354">
        <f>G16*H16</f>
        <v>498131.85</v>
      </c>
      <c r="J16" s="346">
        <f>243</f>
        <v>243</v>
      </c>
      <c r="K16" s="353">
        <v>3735.1</v>
      </c>
      <c r="L16" s="354">
        <f>J16*K16</f>
        <v>907629.29999999993</v>
      </c>
      <c r="M16" s="346">
        <f>724-243+8</f>
        <v>489</v>
      </c>
      <c r="N16" s="353">
        <v>3931.84</v>
      </c>
      <c r="O16" s="354">
        <f>M16*N16</f>
        <v>1922669.76</v>
      </c>
      <c r="P16" s="355">
        <f>443-8</f>
        <v>435</v>
      </c>
      <c r="Q16" s="356">
        <v>4388.3</v>
      </c>
      <c r="R16" s="368">
        <f>P16*Q16</f>
        <v>1908910.5</v>
      </c>
      <c r="S16" s="355">
        <v>64</v>
      </c>
      <c r="T16" s="356">
        <v>3466</v>
      </c>
      <c r="U16" s="368">
        <f>S16*T16</f>
        <v>221824</v>
      </c>
      <c r="V16" s="355">
        <v>79</v>
      </c>
      <c r="W16" s="356">
        <v>6066</v>
      </c>
      <c r="X16" s="368">
        <f>V16*W16</f>
        <v>479214</v>
      </c>
      <c r="Y16" s="355">
        <v>0</v>
      </c>
      <c r="Z16" s="356"/>
      <c r="AA16" s="368">
        <f>Y16*Z16</f>
        <v>0</v>
      </c>
      <c r="AB16" s="429">
        <f>SUMIF($D$6:$AA$6,AB$6,$D16:$AA16)</f>
        <v>1898</v>
      </c>
      <c r="AC16" s="430">
        <f>IF(AB16=0,0,AD16/AB16)</f>
        <v>4542.2936828240254</v>
      </c>
      <c r="AD16" s="431">
        <f>SUMIF($D$6:$AA$6,AD$6,$D16:$AA16)</f>
        <v>8621273.4100000001</v>
      </c>
      <c r="AE16" s="444">
        <v>1026</v>
      </c>
      <c r="AF16" s="445">
        <v>3777.4180999999999</v>
      </c>
      <c r="AG16" s="354">
        <f>AE16*AF16</f>
        <v>3875630.9705999997</v>
      </c>
      <c r="AH16" s="444">
        <v>127</v>
      </c>
      <c r="AI16" s="445">
        <v>2988</v>
      </c>
      <c r="AJ16" s="354">
        <f>AH16*AI16</f>
        <v>379476</v>
      </c>
      <c r="AK16" s="372">
        <v>827</v>
      </c>
      <c r="AL16" s="373">
        <v>7059</v>
      </c>
      <c r="AM16" s="368">
        <f>AK16*AL16</f>
        <v>5837793</v>
      </c>
      <c r="AN16" s="355">
        <v>52</v>
      </c>
      <c r="AO16" s="356">
        <v>2989</v>
      </c>
      <c r="AP16" s="368">
        <f>AN16*AO16</f>
        <v>155428</v>
      </c>
      <c r="AQ16" s="355">
        <v>98</v>
      </c>
      <c r="AR16" s="356">
        <v>3290</v>
      </c>
      <c r="AS16" s="368">
        <f>AQ16*AR16</f>
        <v>322420</v>
      </c>
      <c r="AT16" s="448"/>
      <c r="AU16" s="56"/>
      <c r="AV16" s="43">
        <f>AT16*AU16</f>
        <v>0</v>
      </c>
      <c r="AW16" s="49"/>
      <c r="AX16" s="42"/>
      <c r="AY16" s="43">
        <f t="shared" ref="AY16:AY18" si="15">AW16*AX16</f>
        <v>0</v>
      </c>
      <c r="AZ16" s="49"/>
      <c r="BA16" s="42"/>
      <c r="BB16" s="43">
        <f t="shared" ref="BB16:BB18" si="16">AZ16*BA16</f>
        <v>0</v>
      </c>
      <c r="BC16" s="49"/>
      <c r="BD16" s="42"/>
      <c r="BE16" s="43">
        <f t="shared" ref="BE16:BE18" si="17">BC16*BD16</f>
        <v>0</v>
      </c>
      <c r="BF16" s="49"/>
      <c r="BG16" s="42"/>
      <c r="BH16" s="133">
        <f t="shared" ref="BH16:BH18" si="18">BF16*BG16</f>
        <v>0</v>
      </c>
      <c r="BI16" s="392">
        <f>SUMIF($AE$6:$BH$6,BI$6,$AE16:$BH16)</f>
        <v>2130</v>
      </c>
      <c r="BJ16" s="393">
        <f t="shared" si="6"/>
        <v>4962.7924744600941</v>
      </c>
      <c r="BK16" s="377">
        <f>SUMIF($AE$6:$BH$6,BK$6,$AE16:$BH16)</f>
        <v>10570747.9706</v>
      </c>
      <c r="BL16" s="392">
        <f>BI16+AB16</f>
        <v>4028</v>
      </c>
      <c r="BM16" s="393">
        <f t="shared" si="7"/>
        <v>4764.6527757199601</v>
      </c>
      <c r="BN16" s="377">
        <f>BK16+AD16</f>
        <v>19192021.380599998</v>
      </c>
      <c r="BP16" s="50">
        <f>261*31</f>
        <v>8091</v>
      </c>
      <c r="BQ16" s="51">
        <f t="shared" si="8"/>
        <v>0.49783710295389938</v>
      </c>
    </row>
    <row r="17" spans="1:70" x14ac:dyDescent="0.2">
      <c r="A17" s="39" t="e">
        <f>DATE(YEAR(A13),MONTH(A13)+2,1)-1</f>
        <v>#REF!</v>
      </c>
      <c r="B17" s="521"/>
      <c r="C17" s="52" t="s">
        <v>30</v>
      </c>
      <c r="D17" s="346">
        <v>500</v>
      </c>
      <c r="E17" s="353">
        <v>5608</v>
      </c>
      <c r="F17" s="354">
        <f>D17*E17</f>
        <v>2804000</v>
      </c>
      <c r="G17" s="346">
        <f>280+270</f>
        <v>550</v>
      </c>
      <c r="H17" s="353">
        <v>3932.07</v>
      </c>
      <c r="I17" s="354">
        <f>G17*H17</f>
        <v>2162638.5</v>
      </c>
      <c r="J17" s="346">
        <f>270-270</f>
        <v>0</v>
      </c>
      <c r="K17" s="353"/>
      <c r="L17" s="354">
        <f>J17*K17</f>
        <v>0</v>
      </c>
      <c r="M17" s="346">
        <v>870</v>
      </c>
      <c r="N17" s="353">
        <v>3762</v>
      </c>
      <c r="O17" s="354">
        <f>M17*N17</f>
        <v>3272940</v>
      </c>
      <c r="P17" s="346">
        <v>530</v>
      </c>
      <c r="Q17" s="353">
        <v>3242</v>
      </c>
      <c r="R17" s="354">
        <f>P17*Q17</f>
        <v>1718260</v>
      </c>
      <c r="S17" s="355">
        <v>120</v>
      </c>
      <c r="T17" s="356">
        <v>3200</v>
      </c>
      <c r="U17" s="368">
        <f>S17*T17</f>
        <v>384000</v>
      </c>
      <c r="V17" s="355">
        <v>153</v>
      </c>
      <c r="W17" s="356">
        <v>4595</v>
      </c>
      <c r="X17" s="368">
        <f>V17*W17</f>
        <v>703035</v>
      </c>
      <c r="Y17" s="346">
        <v>2</v>
      </c>
      <c r="Z17" s="353">
        <v>2037</v>
      </c>
      <c r="AA17" s="354">
        <f>Y17*Z17</f>
        <v>4074</v>
      </c>
      <c r="AB17" s="425">
        <f>SUMIF($D$6:$AA$6,AB$6,$D17:$AA17)</f>
        <v>2725</v>
      </c>
      <c r="AC17" s="426">
        <f>IF(AB17=0,0,AD17/AB17)</f>
        <v>4054.6596330275229</v>
      </c>
      <c r="AD17" s="427">
        <f>SUMIF($D$6:$AA$6,AD$6,$D17:$AA17)</f>
        <v>11048947.5</v>
      </c>
      <c r="AE17" s="346">
        <v>1550</v>
      </c>
      <c r="AF17" s="353">
        <v>3900</v>
      </c>
      <c r="AG17" s="354">
        <f>AE17*AF17</f>
        <v>6045000</v>
      </c>
      <c r="AH17" s="346">
        <v>350</v>
      </c>
      <c r="AI17" s="353">
        <v>3172.7</v>
      </c>
      <c r="AJ17" s="354">
        <f>AH17*AI17</f>
        <v>1110445</v>
      </c>
      <c r="AK17" s="355">
        <v>100</v>
      </c>
      <c r="AL17" s="356">
        <v>2778</v>
      </c>
      <c r="AM17" s="368">
        <f>AK17*AL17</f>
        <v>277800</v>
      </c>
      <c r="AN17" s="355">
        <v>380</v>
      </c>
      <c r="AO17" s="356">
        <v>3046</v>
      </c>
      <c r="AP17" s="368">
        <f>AN17*AO17</f>
        <v>1157480</v>
      </c>
      <c r="AQ17" s="355">
        <v>30</v>
      </c>
      <c r="AR17" s="356">
        <v>2825</v>
      </c>
      <c r="AS17" s="368">
        <f>AQ17*AR17</f>
        <v>84750</v>
      </c>
      <c r="AT17" s="448"/>
      <c r="AU17" s="56"/>
      <c r="AV17" s="43">
        <f>AT17*AU17</f>
        <v>0</v>
      </c>
      <c r="AW17" s="55"/>
      <c r="AX17" s="56"/>
      <c r="AY17" s="57">
        <f t="shared" si="15"/>
        <v>0</v>
      </c>
      <c r="AZ17" s="55"/>
      <c r="BA17" s="56"/>
      <c r="BB17" s="57">
        <f t="shared" si="16"/>
        <v>0</v>
      </c>
      <c r="BC17" s="55"/>
      <c r="BD17" s="56"/>
      <c r="BE17" s="57">
        <f t="shared" si="17"/>
        <v>0</v>
      </c>
      <c r="BF17" s="55"/>
      <c r="BG17" s="56"/>
      <c r="BH17" s="454">
        <f t="shared" si="18"/>
        <v>0</v>
      </c>
      <c r="BI17" s="458">
        <f>SUMIF($AE$6:$BH$6,BI$6,$AE17:$BH17)</f>
        <v>2410</v>
      </c>
      <c r="BJ17" s="459">
        <f t="shared" si="6"/>
        <v>3599.7821576763486</v>
      </c>
      <c r="BK17" s="460">
        <f>SUMIF($AE$6:$BH$6,BK$6,$AE17:$BH17)</f>
        <v>8675475</v>
      </c>
      <c r="BL17" s="458">
        <f>BI17+AB17</f>
        <v>5135</v>
      </c>
      <c r="BM17" s="459">
        <f t="shared" si="7"/>
        <v>3841.1728334956183</v>
      </c>
      <c r="BN17" s="460">
        <f>BK17+AD17</f>
        <v>19724422.5</v>
      </c>
      <c r="BP17" s="50">
        <f>261*31</f>
        <v>8091</v>
      </c>
      <c r="BQ17" s="61">
        <f t="shared" si="8"/>
        <v>0.63465579038437769</v>
      </c>
    </row>
    <row r="18" spans="1:70" x14ac:dyDescent="0.2">
      <c r="A18" s="39" t="e">
        <f>DATE(YEAR(A14),MONTH(A14)+2,1)-1</f>
        <v>#REF!</v>
      </c>
      <c r="B18" s="522"/>
      <c r="C18" s="52" t="s">
        <v>33</v>
      </c>
      <c r="D18" s="349">
        <v>453</v>
      </c>
      <c r="E18" s="350">
        <v>5149</v>
      </c>
      <c r="F18" s="351">
        <f>D18*E18</f>
        <v>2332497</v>
      </c>
      <c r="G18" s="398">
        <f>251+267+8</f>
        <v>526</v>
      </c>
      <c r="H18" s="399">
        <f>3240.42</f>
        <v>3240.42</v>
      </c>
      <c r="I18" s="351">
        <f>G18*H18</f>
        <v>1704460.92</v>
      </c>
      <c r="J18" s="403">
        <f>267-267+319</f>
        <v>319</v>
      </c>
      <c r="K18" s="404">
        <v>3370.48</v>
      </c>
      <c r="L18" s="405">
        <f>J18*K18</f>
        <v>1075183.1200000001</v>
      </c>
      <c r="M18" s="398">
        <f>831-8-319+182</f>
        <v>686</v>
      </c>
      <c r="N18" s="399">
        <v>3647.66</v>
      </c>
      <c r="O18" s="351">
        <f>M18*N18</f>
        <v>2502294.7599999998</v>
      </c>
      <c r="P18" s="349">
        <f>510-182</f>
        <v>328</v>
      </c>
      <c r="Q18" s="350">
        <v>3426.77</v>
      </c>
      <c r="R18" s="358">
        <f>P18*Q18</f>
        <v>1123980.56</v>
      </c>
      <c r="S18" s="349">
        <v>110</v>
      </c>
      <c r="T18" s="350">
        <v>3178</v>
      </c>
      <c r="U18" s="358">
        <f>S18*T18</f>
        <v>349580</v>
      </c>
      <c r="V18" s="349">
        <v>148</v>
      </c>
      <c r="W18" s="350">
        <v>4440</v>
      </c>
      <c r="X18" s="358">
        <f>V18*W18</f>
        <v>657120</v>
      </c>
      <c r="Y18" s="349">
        <v>2</v>
      </c>
      <c r="Z18" s="350">
        <v>2037</v>
      </c>
      <c r="AA18" s="358">
        <f>Y18*Z18</f>
        <v>4074</v>
      </c>
      <c r="AB18" s="428">
        <f>SUMIF($D$6:$AA$6,AB$6,$D18:$AA18)</f>
        <v>2572</v>
      </c>
      <c r="AC18" s="391">
        <f>IF(AB18=0,0,AD18/AB18)</f>
        <v>3790.5094712286154</v>
      </c>
      <c r="AD18" s="380">
        <f>SUMIF($D$6:$AA$6,AD$6,$D18:$AA18)</f>
        <v>9749190.3599999994</v>
      </c>
      <c r="AE18" s="398">
        <v>1172</v>
      </c>
      <c r="AF18" s="399">
        <v>3312</v>
      </c>
      <c r="AG18" s="351">
        <f>AE18*AF18</f>
        <v>3881664</v>
      </c>
      <c r="AH18" s="398">
        <v>342</v>
      </c>
      <c r="AI18" s="399">
        <v>3066</v>
      </c>
      <c r="AJ18" s="351">
        <f>AH18*AI18</f>
        <v>1048572</v>
      </c>
      <c r="AK18" s="349">
        <v>29</v>
      </c>
      <c r="AL18" s="350">
        <v>2684</v>
      </c>
      <c r="AM18" s="358">
        <f>AK18*AL18</f>
        <v>77836</v>
      </c>
      <c r="AN18" s="349">
        <v>361</v>
      </c>
      <c r="AO18" s="350">
        <v>2942.5122999999999</v>
      </c>
      <c r="AP18" s="358">
        <f>AN18*AO18</f>
        <v>1062246.9402999999</v>
      </c>
      <c r="AQ18" s="349">
        <v>22.366499999999998</v>
      </c>
      <c r="AR18" s="350">
        <v>2729.5261</v>
      </c>
      <c r="AS18" s="358">
        <f>AQ18*AR18</f>
        <v>61049.945515649997</v>
      </c>
      <c r="AT18" s="48"/>
      <c r="AU18" s="42"/>
      <c r="AV18" s="43">
        <f>AT18*AU18</f>
        <v>0</v>
      </c>
      <c r="AW18" s="64"/>
      <c r="AX18" s="65"/>
      <c r="AY18" s="63">
        <f t="shared" si="15"/>
        <v>0</v>
      </c>
      <c r="AZ18" s="64"/>
      <c r="BA18" s="65"/>
      <c r="BB18" s="63">
        <f t="shared" si="16"/>
        <v>0</v>
      </c>
      <c r="BC18" s="64"/>
      <c r="BD18" s="65"/>
      <c r="BE18" s="63">
        <f t="shared" si="17"/>
        <v>0</v>
      </c>
      <c r="BF18" s="64"/>
      <c r="BG18" s="65"/>
      <c r="BH18" s="455">
        <f t="shared" si="18"/>
        <v>0</v>
      </c>
      <c r="BI18" s="394">
        <f>SUMIF($AE$6:$BH$6,BI$6,$AE18:$BH18)</f>
        <v>1926.3665000000001</v>
      </c>
      <c r="BJ18" s="395">
        <f t="shared" si="6"/>
        <v>3182.8672715268094</v>
      </c>
      <c r="BK18" s="396">
        <f>SUMIF($AE$6:$BH$6,BK$6,$AE18:$BH18)</f>
        <v>6131368.8858156502</v>
      </c>
      <c r="BL18" s="394">
        <f>BI18+AB18</f>
        <v>4498.3665000000001</v>
      </c>
      <c r="BM18" s="395">
        <f t="shared" si="7"/>
        <v>3530.2946626993707</v>
      </c>
      <c r="BN18" s="396">
        <f>BK18+AD18</f>
        <v>15880559.24581565</v>
      </c>
      <c r="BP18" s="50">
        <f>261*31</f>
        <v>8091</v>
      </c>
      <c r="BQ18" s="61">
        <f t="shared" si="8"/>
        <v>0.5559716351501669</v>
      </c>
    </row>
    <row r="19" spans="1:70" x14ac:dyDescent="0.2">
      <c r="A19" s="39"/>
      <c r="B19" s="520">
        <f>DATE(YEAR(B15),MONTH(B15)+2,1)-1</f>
        <v>121</v>
      </c>
      <c r="C19" s="24" t="s">
        <v>27</v>
      </c>
      <c r="D19" s="343">
        <f>(D20/D21)-1</f>
        <v>7.4000000000000066E-2</v>
      </c>
      <c r="E19" s="344">
        <f>(E20/E21)-1</f>
        <v>6.344847263583997E-2</v>
      </c>
      <c r="F19" s="352">
        <f>(F20/F21)-1</f>
        <v>0.14214365961089226</v>
      </c>
      <c r="G19" s="400">
        <f t="shared" ref="G19:AS19" si="19">G20/G21-1</f>
        <v>-0.74876033057851243</v>
      </c>
      <c r="H19" s="401">
        <f t="shared" si="19"/>
        <v>5.4910064628659327E-3</v>
      </c>
      <c r="I19" s="352">
        <f t="shared" si="19"/>
        <v>-0.74738077192999075</v>
      </c>
      <c r="J19" s="365">
        <v>0</v>
      </c>
      <c r="K19" s="382">
        <v>0</v>
      </c>
      <c r="L19" s="367">
        <v>0</v>
      </c>
      <c r="M19" s="400">
        <f t="shared" si="19"/>
        <v>-0.61571428571428566</v>
      </c>
      <c r="N19" s="401">
        <f t="shared" si="19"/>
        <v>0.24145299145299148</v>
      </c>
      <c r="O19" s="352">
        <f t="shared" si="19"/>
        <v>-0.52292735042735039</v>
      </c>
      <c r="P19" s="343">
        <f t="shared" si="19"/>
        <v>-3.0769230769230771E-2</v>
      </c>
      <c r="Q19" s="382">
        <f t="shared" si="19"/>
        <v>0.13187499999999996</v>
      </c>
      <c r="R19" s="383">
        <f t="shared" si="19"/>
        <v>9.704807692307682E-2</v>
      </c>
      <c r="S19" s="343">
        <f t="shared" si="19"/>
        <v>3.529411764705892E-2</v>
      </c>
      <c r="T19" s="382">
        <f t="shared" si="19"/>
        <v>-0.20974999999999999</v>
      </c>
      <c r="U19" s="345">
        <f t="shared" si="19"/>
        <v>-0.18185882352941174</v>
      </c>
      <c r="V19" s="343">
        <f t="shared" si="19"/>
        <v>-0.88421052631578945</v>
      </c>
      <c r="W19" s="382">
        <f t="shared" si="19"/>
        <v>0.11953277092796899</v>
      </c>
      <c r="X19" s="345">
        <f t="shared" si="19"/>
        <v>-0.87036988968202467</v>
      </c>
      <c r="Y19" s="343">
        <f t="shared" si="19"/>
        <v>-0.36363636363636365</v>
      </c>
      <c r="Z19" s="382">
        <f t="shared" si="19"/>
        <v>-6.7734553775743667E-2</v>
      </c>
      <c r="AA19" s="345">
        <f t="shared" si="19"/>
        <v>-0.40674017058456413</v>
      </c>
      <c r="AB19" s="422">
        <f t="shared" si="19"/>
        <v>-0.20661157024793386</v>
      </c>
      <c r="AC19" s="423">
        <f t="shared" si="19"/>
        <v>0.13786498772244449</v>
      </c>
      <c r="AD19" s="424">
        <f t="shared" si="19"/>
        <v>-9.723108412103576E-2</v>
      </c>
      <c r="AE19" s="400">
        <f t="shared" si="19"/>
        <v>6.7708333333333259E-2</v>
      </c>
      <c r="AF19" s="401">
        <f t="shared" si="19"/>
        <v>0.23588235294117643</v>
      </c>
      <c r="AG19" s="352">
        <f t="shared" si="19"/>
        <v>0.31956188725490198</v>
      </c>
      <c r="AH19" s="400">
        <f t="shared" si="19"/>
        <v>-0.33432835820895523</v>
      </c>
      <c r="AI19" s="401">
        <f t="shared" si="19"/>
        <v>0.11063958775386484</v>
      </c>
      <c r="AJ19" s="352">
        <f t="shared" si="19"/>
        <v>-0.2606787221817557</v>
      </c>
      <c r="AK19" s="343">
        <f t="shared" si="19"/>
        <v>-0.56896551724137934</v>
      </c>
      <c r="AL19" s="382">
        <f t="shared" si="19"/>
        <v>0.35481852315394247</v>
      </c>
      <c r="AM19" s="345">
        <f t="shared" si="19"/>
        <v>-0.41602649864054209</v>
      </c>
      <c r="AN19" s="343">
        <f t="shared" si="19"/>
        <v>-1</v>
      </c>
      <c r="AO19" s="382">
        <f t="shared" si="19"/>
        <v>-1</v>
      </c>
      <c r="AP19" s="345">
        <f t="shared" si="19"/>
        <v>-1</v>
      </c>
      <c r="AQ19" s="343">
        <f t="shared" si="19"/>
        <v>6.333333333333333</v>
      </c>
      <c r="AR19" s="382">
        <f t="shared" si="19"/>
        <v>0.69706840390879488</v>
      </c>
      <c r="AS19" s="345">
        <f t="shared" si="19"/>
        <v>11.445168295331161</v>
      </c>
      <c r="AT19" s="33"/>
      <c r="AU19" s="33"/>
      <c r="AV19" s="34"/>
      <c r="AW19" s="35"/>
      <c r="AX19" s="33"/>
      <c r="AY19" s="34"/>
      <c r="AZ19" s="35"/>
      <c r="BA19" s="33"/>
      <c r="BB19" s="34"/>
      <c r="BC19" s="35"/>
      <c r="BD19" s="33"/>
      <c r="BE19" s="34"/>
      <c r="BF19" s="35"/>
      <c r="BG19" s="33"/>
      <c r="BH19" s="453"/>
      <c r="BI19" s="343">
        <f t="shared" ref="BI19:BM19" si="20">BI20/BI21-1</f>
        <v>-0.16716122650840748</v>
      </c>
      <c r="BJ19" s="382">
        <f t="shared" si="20"/>
        <v>0.24153727143713266</v>
      </c>
      <c r="BK19" s="345">
        <f t="shared" si="20"/>
        <v>3.400037838779979E-2</v>
      </c>
      <c r="BL19" s="467">
        <f t="shared" si="20"/>
        <v>-0.19117647058823528</v>
      </c>
      <c r="BM19" s="382">
        <f t="shared" si="20"/>
        <v>0.16915967459378822</v>
      </c>
      <c r="BN19" s="345">
        <f t="shared" ref="BN19" si="21">BN20/BN21-1</f>
        <v>-5.435614554914181E-2</v>
      </c>
      <c r="BO19" s="75"/>
      <c r="BP19" s="50"/>
      <c r="BQ19" s="51"/>
    </row>
    <row r="20" spans="1:70" x14ac:dyDescent="0.2">
      <c r="A20" s="39" t="e">
        <f>DATE(YEAR(A16),MONTH(A16)+2,1)-1</f>
        <v>#REF!</v>
      </c>
      <c r="B20" s="521"/>
      <c r="C20" s="40" t="s">
        <v>84</v>
      </c>
      <c r="D20" s="355">
        <v>1074</v>
      </c>
      <c r="E20" s="356">
        <v>5963.5</v>
      </c>
      <c r="F20" s="354">
        <f>D20*E20</f>
        <v>6404799</v>
      </c>
      <c r="G20" s="346">
        <f>151+1</f>
        <v>152</v>
      </c>
      <c r="H20" s="353">
        <v>3931.5</v>
      </c>
      <c r="I20" s="354">
        <f>G20*H20</f>
        <v>597588</v>
      </c>
      <c r="J20" s="346">
        <v>265</v>
      </c>
      <c r="K20" s="353">
        <v>4197</v>
      </c>
      <c r="L20" s="354">
        <f>J20*K20</f>
        <v>1112205</v>
      </c>
      <c r="M20" s="346">
        <f>534-265</f>
        <v>269</v>
      </c>
      <c r="N20" s="353">
        <v>4357.5</v>
      </c>
      <c r="O20" s="354">
        <f>M20*N20</f>
        <v>1172167.5</v>
      </c>
      <c r="P20" s="355">
        <v>630</v>
      </c>
      <c r="Q20" s="356">
        <v>4527.5</v>
      </c>
      <c r="R20" s="368">
        <f>P20*Q20</f>
        <v>2852325</v>
      </c>
      <c r="S20" s="355">
        <v>88</v>
      </c>
      <c r="T20" s="356">
        <v>3161</v>
      </c>
      <c r="U20" s="368">
        <f>S20*T20</f>
        <v>278168</v>
      </c>
      <c r="V20" s="355">
        <v>11</v>
      </c>
      <c r="W20" s="356">
        <v>5175.6000000000004</v>
      </c>
      <c r="X20" s="368">
        <f>V20*W20</f>
        <v>56931.600000000006</v>
      </c>
      <c r="Y20" s="355">
        <v>7</v>
      </c>
      <c r="Z20" s="356">
        <v>2037</v>
      </c>
      <c r="AA20" s="368">
        <f>Y20*Z20</f>
        <v>14259</v>
      </c>
      <c r="AB20" s="429">
        <f>SUMIF($D$6:$AA$6,AB$6,$D20:$AA20)</f>
        <v>2496</v>
      </c>
      <c r="AC20" s="430">
        <f>IF(AB20=0,0,AD20/AB20)</f>
        <v>5003.3826522435893</v>
      </c>
      <c r="AD20" s="431">
        <f>SUMIF($D$6:$AA$6,AD$6,$D20:$AA20)</f>
        <v>12488443.1</v>
      </c>
      <c r="AE20" s="444">
        <v>1025</v>
      </c>
      <c r="AF20" s="445">
        <v>4202</v>
      </c>
      <c r="AG20" s="354">
        <f>AE20*AF20</f>
        <v>4307050</v>
      </c>
      <c r="AH20" s="444">
        <v>446</v>
      </c>
      <c r="AI20" s="445">
        <v>3664</v>
      </c>
      <c r="AJ20" s="354">
        <f>AH20*AI20</f>
        <v>1634144</v>
      </c>
      <c r="AK20" s="355">
        <v>125</v>
      </c>
      <c r="AL20" s="373">
        <v>4330</v>
      </c>
      <c r="AM20" s="368">
        <f>AK20*AL20</f>
        <v>541250</v>
      </c>
      <c r="AN20" s="355">
        <v>0</v>
      </c>
      <c r="AO20" s="356">
        <v>0</v>
      </c>
      <c r="AP20" s="368">
        <f>AN20*AO20</f>
        <v>0</v>
      </c>
      <c r="AQ20" s="355">
        <v>88</v>
      </c>
      <c r="AR20" s="356">
        <v>5210</v>
      </c>
      <c r="AS20" s="368">
        <f>AQ20*AR20</f>
        <v>458480</v>
      </c>
      <c r="AT20" s="448"/>
      <c r="AU20" s="56"/>
      <c r="AV20" s="43">
        <f>AT20*AU20</f>
        <v>0</v>
      </c>
      <c r="AW20" s="49"/>
      <c r="AX20" s="42"/>
      <c r="AY20" s="43">
        <f t="shared" ref="AY20:AY22" si="22">AW20*AX20</f>
        <v>0</v>
      </c>
      <c r="AZ20" s="49"/>
      <c r="BA20" s="42"/>
      <c r="BB20" s="43">
        <f t="shared" ref="BB20:BB22" si="23">AZ20*BA20</f>
        <v>0</v>
      </c>
      <c r="BC20" s="49"/>
      <c r="BD20" s="42"/>
      <c r="BE20" s="43">
        <f t="shared" ref="BE20:BE22" si="24">BC20*BD20</f>
        <v>0</v>
      </c>
      <c r="BF20" s="49"/>
      <c r="BG20" s="42"/>
      <c r="BH20" s="133">
        <f t="shared" ref="BH20:BH22" si="25">BF20*BG20</f>
        <v>0</v>
      </c>
      <c r="BI20" s="392">
        <f>SUMIF($AE$6:$BH$6,BI$6,$AE20:$BH20)</f>
        <v>1684</v>
      </c>
      <c r="BJ20" s="393">
        <f t="shared" si="6"/>
        <v>4121.688836104513</v>
      </c>
      <c r="BK20" s="377">
        <f>SUMIF($AE$6:$BH$6,BK$6,$AE20:$BH20)</f>
        <v>6940924</v>
      </c>
      <c r="BL20" s="392">
        <f>BI20+AB20</f>
        <v>4180</v>
      </c>
      <c r="BM20" s="393">
        <f t="shared" si="7"/>
        <v>4648.1739473684211</v>
      </c>
      <c r="BN20" s="377">
        <f>BK20+AD20</f>
        <v>19429367.100000001</v>
      </c>
      <c r="BP20" s="50">
        <f>261*30</f>
        <v>7830</v>
      </c>
      <c r="BQ20" s="51">
        <f t="shared" si="8"/>
        <v>0.5338441890166028</v>
      </c>
      <c r="BR20" s="271"/>
    </row>
    <row r="21" spans="1:70" x14ac:dyDescent="0.2">
      <c r="A21" s="39" t="e">
        <f>DATE(YEAR(A17),MONTH(A17)+2,1)-1</f>
        <v>#REF!</v>
      </c>
      <c r="B21" s="521"/>
      <c r="C21" s="52" t="s">
        <v>30</v>
      </c>
      <c r="D21" s="346">
        <v>1000</v>
      </c>
      <c r="E21" s="353">
        <v>5607.7</v>
      </c>
      <c r="F21" s="354">
        <f>D21*E21</f>
        <v>5607700</v>
      </c>
      <c r="G21" s="346">
        <f>375+230</f>
        <v>605</v>
      </c>
      <c r="H21" s="353">
        <v>3910.03</v>
      </c>
      <c r="I21" s="354">
        <f>G21*H21</f>
        <v>2365568.15</v>
      </c>
      <c r="J21" s="346">
        <f>230-230</f>
        <v>0</v>
      </c>
      <c r="K21" s="353"/>
      <c r="L21" s="354">
        <f>J21*K21</f>
        <v>0</v>
      </c>
      <c r="M21" s="346">
        <v>700</v>
      </c>
      <c r="N21" s="353">
        <v>3510</v>
      </c>
      <c r="O21" s="354">
        <f>M21*N21</f>
        <v>2457000</v>
      </c>
      <c r="P21" s="346">
        <v>650</v>
      </c>
      <c r="Q21" s="353">
        <v>4000</v>
      </c>
      <c r="R21" s="354">
        <f>P21*Q21</f>
        <v>2600000</v>
      </c>
      <c r="S21" s="355">
        <v>85</v>
      </c>
      <c r="T21" s="356">
        <v>4000</v>
      </c>
      <c r="U21" s="368">
        <f>S21*T21</f>
        <v>340000</v>
      </c>
      <c r="V21" s="355">
        <v>95</v>
      </c>
      <c r="W21" s="356">
        <v>4623</v>
      </c>
      <c r="X21" s="368">
        <f>V21*W21</f>
        <v>439185</v>
      </c>
      <c r="Y21" s="346">
        <v>11</v>
      </c>
      <c r="Z21" s="353">
        <v>2185</v>
      </c>
      <c r="AA21" s="354">
        <f>Y21*Z21</f>
        <v>24035</v>
      </c>
      <c r="AB21" s="425">
        <f>SUMIF($D$6:$AA$6,AB$6,$D21:$AA21)</f>
        <v>3146</v>
      </c>
      <c r="AC21" s="426">
        <f>IF(AB21=0,0,AD21/AB21)</f>
        <v>4397.1672441195169</v>
      </c>
      <c r="AD21" s="427">
        <f>SUMIF($D$6:$AA$6,AD$6,$D21:$AA21)</f>
        <v>13833488.15</v>
      </c>
      <c r="AE21" s="346">
        <v>960</v>
      </c>
      <c r="AF21" s="353">
        <v>3400</v>
      </c>
      <c r="AG21" s="354">
        <f>AE21*AF21</f>
        <v>3264000</v>
      </c>
      <c r="AH21" s="346">
        <v>670</v>
      </c>
      <c r="AI21" s="353">
        <v>3299</v>
      </c>
      <c r="AJ21" s="354">
        <f>AH21*AI21</f>
        <v>2210330</v>
      </c>
      <c r="AK21" s="355">
        <v>290</v>
      </c>
      <c r="AL21" s="356">
        <v>3196</v>
      </c>
      <c r="AM21" s="368">
        <f>AK21*AL21</f>
        <v>926840</v>
      </c>
      <c r="AN21" s="355">
        <v>90</v>
      </c>
      <c r="AO21" s="356">
        <v>3052</v>
      </c>
      <c r="AP21" s="368">
        <f>AN21*AO21</f>
        <v>274680</v>
      </c>
      <c r="AQ21" s="355">
        <v>12</v>
      </c>
      <c r="AR21" s="356">
        <v>3070</v>
      </c>
      <c r="AS21" s="368">
        <f>AQ21*AR21</f>
        <v>36840</v>
      </c>
      <c r="AT21" s="448"/>
      <c r="AU21" s="56"/>
      <c r="AV21" s="43">
        <f>AT21*AU21</f>
        <v>0</v>
      </c>
      <c r="AW21" s="55"/>
      <c r="AX21" s="56"/>
      <c r="AY21" s="57">
        <f t="shared" si="22"/>
        <v>0</v>
      </c>
      <c r="AZ21" s="55"/>
      <c r="BA21" s="56"/>
      <c r="BB21" s="57">
        <f t="shared" si="23"/>
        <v>0</v>
      </c>
      <c r="BC21" s="55"/>
      <c r="BD21" s="56"/>
      <c r="BE21" s="57">
        <f t="shared" si="24"/>
        <v>0</v>
      </c>
      <c r="BF21" s="55"/>
      <c r="BG21" s="56"/>
      <c r="BH21" s="454">
        <f t="shared" si="25"/>
        <v>0</v>
      </c>
      <c r="BI21" s="458">
        <f>SUMIF($AE$6:$BH$6,BI$6,$AE21:$BH21)</f>
        <v>2022</v>
      </c>
      <c r="BJ21" s="461">
        <f t="shared" si="6"/>
        <v>3319.8269040553905</v>
      </c>
      <c r="BK21" s="462">
        <f>SUMIF($AE$6:$BH$6,BK$6,$AE21:$BH21)</f>
        <v>6712690</v>
      </c>
      <c r="BL21" s="458">
        <f>BI21+AB21</f>
        <v>5168</v>
      </c>
      <c r="BM21" s="459">
        <f t="shared" si="7"/>
        <v>3975.6536667956652</v>
      </c>
      <c r="BN21" s="460">
        <f>BK21+AD21</f>
        <v>20546178.149999999</v>
      </c>
      <c r="BP21" s="50">
        <f>261*30</f>
        <v>7830</v>
      </c>
      <c r="BQ21" s="61">
        <f t="shared" si="8"/>
        <v>0.66002554278416348</v>
      </c>
      <c r="BR21" s="271"/>
    </row>
    <row r="22" spans="1:70" x14ac:dyDescent="0.2">
      <c r="A22" s="39" t="e">
        <f>DATE(YEAR(A18),MONTH(A18)+2,1)-1</f>
        <v>#REF!</v>
      </c>
      <c r="B22" s="522"/>
      <c r="C22" s="62" t="s">
        <v>33</v>
      </c>
      <c r="D22" s="349">
        <v>885</v>
      </c>
      <c r="E22" s="350">
        <v>5421</v>
      </c>
      <c r="F22" s="351">
        <f>D22*E22</f>
        <v>4797585</v>
      </c>
      <c r="G22" s="398">
        <f>368+227+24</f>
        <v>619</v>
      </c>
      <c r="H22" s="399">
        <v>3212.05</v>
      </c>
      <c r="I22" s="351">
        <f>G22*H22</f>
        <v>1988258.9500000002</v>
      </c>
      <c r="J22" s="398">
        <v>488</v>
      </c>
      <c r="K22" s="404">
        <v>3332.42</v>
      </c>
      <c r="L22" s="351">
        <f>J22*K22</f>
        <v>1626220.96</v>
      </c>
      <c r="M22" s="398">
        <f>1023-24-488</f>
        <v>511</v>
      </c>
      <c r="N22" s="399">
        <v>3550.82</v>
      </c>
      <c r="O22" s="351">
        <f>M22*N22</f>
        <v>1814469.02</v>
      </c>
      <c r="P22" s="349">
        <v>641</v>
      </c>
      <c r="Q22" s="350">
        <v>3531</v>
      </c>
      <c r="R22" s="358">
        <f>P22*Q22</f>
        <v>2263371</v>
      </c>
      <c r="S22" s="349">
        <v>48</v>
      </c>
      <c r="T22" s="350">
        <v>3956</v>
      </c>
      <c r="U22" s="358">
        <f>S22*T22</f>
        <v>189888</v>
      </c>
      <c r="V22" s="349">
        <v>95</v>
      </c>
      <c r="W22" s="350">
        <v>4563</v>
      </c>
      <c r="X22" s="358">
        <f>V22*W22</f>
        <v>433485</v>
      </c>
      <c r="Y22" s="349">
        <v>11</v>
      </c>
      <c r="Z22" s="350">
        <v>2185</v>
      </c>
      <c r="AA22" s="358">
        <f>Y22*Z22</f>
        <v>24035</v>
      </c>
      <c r="AB22" s="428">
        <f>SUMIF($D$6:$AA$6,AB$6,$D22:$AA22)</f>
        <v>3298</v>
      </c>
      <c r="AC22" s="391">
        <f>IF(AB22=0,0,AD22/AB22)</f>
        <v>3983.418110976349</v>
      </c>
      <c r="AD22" s="380">
        <f>SUMIF($D$6:$AA$6,AD$6,$D22:$AA22)</f>
        <v>13137312.93</v>
      </c>
      <c r="AE22" s="398">
        <v>814</v>
      </c>
      <c r="AF22" s="399">
        <v>3320</v>
      </c>
      <c r="AG22" s="351">
        <f>AE22*AF22</f>
        <v>2702480</v>
      </c>
      <c r="AH22" s="398">
        <v>669</v>
      </c>
      <c r="AI22" s="399">
        <v>3187</v>
      </c>
      <c r="AJ22" s="351">
        <f>AH22*AI22</f>
        <v>2132103</v>
      </c>
      <c r="AK22" s="349">
        <v>238</v>
      </c>
      <c r="AL22" s="350">
        <v>3088</v>
      </c>
      <c r="AM22" s="358">
        <f>AK22*AL22</f>
        <v>734944</v>
      </c>
      <c r="AN22" s="349">
        <v>69</v>
      </c>
      <c r="AO22" s="350">
        <v>2949</v>
      </c>
      <c r="AP22" s="358">
        <f>AN22*AO22</f>
        <v>203481</v>
      </c>
      <c r="AQ22" s="349">
        <v>9.8073999999999995</v>
      </c>
      <c r="AR22" s="350">
        <v>2965.8881999999999</v>
      </c>
      <c r="AS22" s="358">
        <f>AQ22*AR22</f>
        <v>29087.651932679997</v>
      </c>
      <c r="AT22" s="48"/>
      <c r="AU22" s="42"/>
      <c r="AV22" s="43">
        <f>AT22*AU22</f>
        <v>0</v>
      </c>
      <c r="AW22" s="64"/>
      <c r="AX22" s="65"/>
      <c r="AY22" s="63">
        <f t="shared" si="22"/>
        <v>0</v>
      </c>
      <c r="AZ22" s="64"/>
      <c r="BA22" s="65"/>
      <c r="BB22" s="63">
        <f t="shared" si="23"/>
        <v>0</v>
      </c>
      <c r="BC22" s="64"/>
      <c r="BD22" s="65"/>
      <c r="BE22" s="63">
        <f t="shared" si="24"/>
        <v>0</v>
      </c>
      <c r="BF22" s="64"/>
      <c r="BG22" s="65"/>
      <c r="BH22" s="455">
        <f t="shared" si="25"/>
        <v>0</v>
      </c>
      <c r="BI22" s="394">
        <f>SUMIF($AE$6:$BH$6,BI$6,$AE22:$BH22)</f>
        <v>1799.8073999999999</v>
      </c>
      <c r="BJ22" s="395">
        <f t="shared" si="6"/>
        <v>3223.731412557077</v>
      </c>
      <c r="BK22" s="396">
        <f>SUMIF($AE$6:$BH$6,BK$6,$AE22:$BH22)</f>
        <v>5802095.65193268</v>
      </c>
      <c r="BL22" s="394">
        <f>BI22+AB22</f>
        <v>5097.8073999999997</v>
      </c>
      <c r="BM22" s="395">
        <f t="shared" si="7"/>
        <v>3715.2067733929453</v>
      </c>
      <c r="BN22" s="396">
        <f>BK22+AD22</f>
        <v>18939408.581932679</v>
      </c>
      <c r="BP22" s="50">
        <f>261*30</f>
        <v>7830</v>
      </c>
      <c r="BQ22" s="61">
        <f t="shared" si="8"/>
        <v>0.65106097062579815</v>
      </c>
      <c r="BR22" s="271"/>
    </row>
    <row r="23" spans="1:70" x14ac:dyDescent="0.2">
      <c r="A23" s="39"/>
      <c r="B23" s="520">
        <f>DATE(YEAR(B19),MONTH(B19)+2,1)-1</f>
        <v>152</v>
      </c>
      <c r="C23" s="24" t="s">
        <v>27</v>
      </c>
      <c r="D23" s="343">
        <f>(D24/D25)-1</f>
        <v>0.59166666666666656</v>
      </c>
      <c r="E23" s="344">
        <f>(E24/E25)-1</f>
        <v>-6.3333333333333353E-2</v>
      </c>
      <c r="F23" s="352">
        <f>(F24/F25)-1</f>
        <v>0.49086111111111119</v>
      </c>
      <c r="G23" s="400">
        <f t="shared" ref="G23:AS23" si="26">G24/G25-1</f>
        <v>-0.48532731376975169</v>
      </c>
      <c r="H23" s="401">
        <f t="shared" si="26"/>
        <v>-0.17549730302197741</v>
      </c>
      <c r="I23" s="352">
        <f t="shared" si="26"/>
        <v>-0.57565098214223664</v>
      </c>
      <c r="J23" s="343">
        <v>0</v>
      </c>
      <c r="K23" s="390">
        <v>0</v>
      </c>
      <c r="L23" s="345">
        <v>0</v>
      </c>
      <c r="M23" s="400">
        <f t="shared" si="26"/>
        <v>-0.61888888888888882</v>
      </c>
      <c r="N23" s="401">
        <f t="shared" si="26"/>
        <v>0.23930635838150294</v>
      </c>
      <c r="O23" s="352">
        <f t="shared" si="26"/>
        <v>-0.52768657675016062</v>
      </c>
      <c r="P23" s="343">
        <f t="shared" si="26"/>
        <v>-2.7586206896551779E-2</v>
      </c>
      <c r="Q23" s="382">
        <f t="shared" si="26"/>
        <v>1.7074999999999951E-2</v>
      </c>
      <c r="R23" s="383">
        <f t="shared" si="26"/>
        <v>-1.0982241379310254E-2</v>
      </c>
      <c r="S23" s="343">
        <f t="shared" si="26"/>
        <v>-0.59000000000000008</v>
      </c>
      <c r="T23" s="382">
        <f t="shared" si="26"/>
        <v>0.10600000000000009</v>
      </c>
      <c r="U23" s="345">
        <f t="shared" si="26"/>
        <v>-0.54654000000000003</v>
      </c>
      <c r="V23" s="343">
        <f t="shared" si="26"/>
        <v>-0.18666666666666665</v>
      </c>
      <c r="W23" s="382">
        <f t="shared" si="26"/>
        <v>0.20253968253968258</v>
      </c>
      <c r="X23" s="345">
        <f t="shared" si="26"/>
        <v>-2.1934391534391584E-2</v>
      </c>
      <c r="Y23" s="343">
        <f t="shared" si="26"/>
        <v>1.5714285714285716</v>
      </c>
      <c r="Z23" s="382">
        <f t="shared" si="26"/>
        <v>0.1663504937231346</v>
      </c>
      <c r="AA23" s="345">
        <f t="shared" si="26"/>
        <v>1.9991869838594889</v>
      </c>
      <c r="AB23" s="422">
        <f t="shared" si="26"/>
        <v>-5.8992805755395672E-2</v>
      </c>
      <c r="AC23" s="423">
        <f t="shared" si="26"/>
        <v>8.7592952780578992E-2</v>
      </c>
      <c r="AD23" s="424">
        <f t="shared" si="26"/>
        <v>2.3432792976257222E-2</v>
      </c>
      <c r="AE23" s="343">
        <f t="shared" si="26"/>
        <v>-0.21909090909090911</v>
      </c>
      <c r="AF23" s="382">
        <f t="shared" si="26"/>
        <v>0.20638888888888896</v>
      </c>
      <c r="AG23" s="345">
        <f t="shared" si="26"/>
        <v>-5.7919949494949496E-2</v>
      </c>
      <c r="AH23" s="343">
        <f t="shared" si="26"/>
        <v>0.59571428571428564</v>
      </c>
      <c r="AI23" s="382">
        <f t="shared" si="26"/>
        <v>-0.3091666666666667</v>
      </c>
      <c r="AJ23" s="345">
        <f t="shared" si="26"/>
        <v>0.10237261904761907</v>
      </c>
      <c r="AK23" s="343">
        <f t="shared" si="26"/>
        <v>-0.79333333333333333</v>
      </c>
      <c r="AL23" s="382">
        <f t="shared" si="26"/>
        <v>0.36983471074380159</v>
      </c>
      <c r="AM23" s="345">
        <f t="shared" si="26"/>
        <v>-0.71690082644628106</v>
      </c>
      <c r="AN23" s="343">
        <f t="shared" si="26"/>
        <v>-1</v>
      </c>
      <c r="AO23" s="382">
        <f t="shared" si="26"/>
        <v>-1</v>
      </c>
      <c r="AP23" s="345">
        <f t="shared" si="26"/>
        <v>-1</v>
      </c>
      <c r="AQ23" s="343">
        <f t="shared" si="26"/>
        <v>0.15254237288135597</v>
      </c>
      <c r="AR23" s="382">
        <f t="shared" si="26"/>
        <v>0.4032</v>
      </c>
      <c r="AS23" s="345">
        <f t="shared" si="26"/>
        <v>0.61724745762711875</v>
      </c>
      <c r="AT23" s="33"/>
      <c r="AU23" s="33"/>
      <c r="AV23" s="34"/>
      <c r="AW23" s="35"/>
      <c r="AX23" s="33"/>
      <c r="AY23" s="34"/>
      <c r="AZ23" s="35"/>
      <c r="BA23" s="33"/>
      <c r="BB23" s="34"/>
      <c r="BC23" s="35"/>
      <c r="BD23" s="33"/>
      <c r="BE23" s="34"/>
      <c r="BF23" s="35"/>
      <c r="BG23" s="33"/>
      <c r="BH23" s="453"/>
      <c r="BI23" s="343">
        <f t="shared" ref="BI23:BM23" si="27">BI24/BI25-1</f>
        <v>-0.2148876404494382</v>
      </c>
      <c r="BJ23" s="382">
        <f t="shared" si="27"/>
        <v>4.7037875688700881E-2</v>
      </c>
      <c r="BK23" s="345">
        <f t="shared" si="27"/>
        <v>-0.17795762287923622</v>
      </c>
      <c r="BL23" s="467">
        <f t="shared" si="27"/>
        <v>-0.13788201847903336</v>
      </c>
      <c r="BM23" s="423">
        <f t="shared" si="27"/>
        <v>7.7438092382632995E-2</v>
      </c>
      <c r="BN23" s="424">
        <f t="shared" ref="BN23" si="28">BN24/BN25-1</f>
        <v>-7.1121246581283604E-2</v>
      </c>
      <c r="BO23" s="75"/>
      <c r="BP23" s="50"/>
      <c r="BQ23" s="51"/>
    </row>
    <row r="24" spans="1:70" x14ac:dyDescent="0.2">
      <c r="A24" s="39" t="e">
        <f>DATE(YEAR(A20),MONTH(A20)+2,1)-1</f>
        <v>#REF!</v>
      </c>
      <c r="B24" s="521"/>
      <c r="C24" s="40" t="s">
        <v>84</v>
      </c>
      <c r="D24" s="346">
        <v>955</v>
      </c>
      <c r="E24" s="353">
        <v>5620</v>
      </c>
      <c r="F24" s="357">
        <f>D24*E24</f>
        <v>5367100</v>
      </c>
      <c r="G24" s="346">
        <v>228</v>
      </c>
      <c r="H24" s="353">
        <f>3511.12</f>
        <v>3511.12</v>
      </c>
      <c r="I24" s="354">
        <f>G24*H24</f>
        <v>800535.36</v>
      </c>
      <c r="J24" s="346">
        <v>345</v>
      </c>
      <c r="K24" s="353">
        <v>4194</v>
      </c>
      <c r="L24" s="354">
        <f>J24*K24</f>
        <v>1446930</v>
      </c>
      <c r="M24" s="346">
        <v>343</v>
      </c>
      <c r="N24" s="353">
        <v>4288</v>
      </c>
      <c r="O24" s="357">
        <f>M24*N24</f>
        <v>1470784</v>
      </c>
      <c r="P24" s="346">
        <v>564</v>
      </c>
      <c r="Q24" s="353">
        <v>4068.3</v>
      </c>
      <c r="R24" s="357">
        <f>P24*Q24</f>
        <v>2294521.2000000002</v>
      </c>
      <c r="S24" s="355">
        <v>41</v>
      </c>
      <c r="T24" s="356">
        <v>3871</v>
      </c>
      <c r="U24" s="368">
        <f>S24*T24</f>
        <v>158711</v>
      </c>
      <c r="V24" s="355">
        <v>122</v>
      </c>
      <c r="W24" s="356">
        <v>5682</v>
      </c>
      <c r="X24" s="368">
        <f>V24*W24</f>
        <v>693204</v>
      </c>
      <c r="Y24" s="346">
        <v>18</v>
      </c>
      <c r="Z24" s="353">
        <v>2376</v>
      </c>
      <c r="AA24" s="354">
        <f>Y24*Z24</f>
        <v>42768</v>
      </c>
      <c r="AB24" s="425">
        <f>SUMIF($D$6:$AA$6,AB$6,$D24:$AA24)</f>
        <v>2616</v>
      </c>
      <c r="AC24" s="426">
        <f>IF(AB24=0,0,AD24/AB24)</f>
        <v>4692.1076299694187</v>
      </c>
      <c r="AD24" s="427">
        <f>SUMIF($D$6:$AA$6,AD$6,$D24:$AA24)</f>
        <v>12274553.559999999</v>
      </c>
      <c r="AE24" s="372">
        <v>859</v>
      </c>
      <c r="AF24" s="373">
        <v>4343</v>
      </c>
      <c r="AG24" s="368">
        <f>AE24*AF24</f>
        <v>3730637</v>
      </c>
      <c r="AH24" s="372">
        <v>1117</v>
      </c>
      <c r="AI24" s="373">
        <v>3316</v>
      </c>
      <c r="AJ24" s="354">
        <f>AH24*AI24</f>
        <v>3703972</v>
      </c>
      <c r="AK24" s="372">
        <v>124</v>
      </c>
      <c r="AL24" s="373">
        <v>4641</v>
      </c>
      <c r="AM24" s="368">
        <f>AK24*AL24</f>
        <v>575484</v>
      </c>
      <c r="AN24" s="372">
        <v>0</v>
      </c>
      <c r="AO24" s="373">
        <v>0</v>
      </c>
      <c r="AP24" s="368">
        <f>AN24*AO24</f>
        <v>0</v>
      </c>
      <c r="AQ24" s="372">
        <v>136</v>
      </c>
      <c r="AR24" s="373">
        <v>5262</v>
      </c>
      <c r="AS24" s="452">
        <f>AQ24*AR24</f>
        <v>715632</v>
      </c>
      <c r="AT24" s="448"/>
      <c r="AU24" s="56"/>
      <c r="AV24" s="43">
        <f>AT24*AU24</f>
        <v>0</v>
      </c>
      <c r="AW24" s="49"/>
      <c r="AX24" s="42"/>
      <c r="AY24" s="43">
        <f t="shared" ref="AY24:AY26" si="29">AW24*AX24</f>
        <v>0</v>
      </c>
      <c r="AZ24" s="49"/>
      <c r="BA24" s="42"/>
      <c r="BB24" s="43">
        <f t="shared" ref="BB24:BB26" si="30">AZ24*BA24</f>
        <v>0</v>
      </c>
      <c r="BC24" s="49"/>
      <c r="BD24" s="42"/>
      <c r="BE24" s="43">
        <f t="shared" ref="BE24:BE26" si="31">BC24*BD24</f>
        <v>0</v>
      </c>
      <c r="BF24" s="49"/>
      <c r="BG24" s="42"/>
      <c r="BH24" s="133">
        <f t="shared" ref="BH24:BH26" si="32">BF24*BG24</f>
        <v>0</v>
      </c>
      <c r="BI24" s="392">
        <f>SUMIF($AE$6:$BH$6,BI$6,$AE24:$BH24)</f>
        <v>2236</v>
      </c>
      <c r="BJ24" s="393">
        <f t="shared" si="6"/>
        <v>3902.3814847942754</v>
      </c>
      <c r="BK24" s="377">
        <f>SUMIF($AE$6:$BH$6,BK$6,$AE24:$BH24)</f>
        <v>8725725</v>
      </c>
      <c r="BL24" s="392">
        <f>BI24+AB24</f>
        <v>4852</v>
      </c>
      <c r="BM24" s="393">
        <f t="shared" si="7"/>
        <v>4328.169530090684</v>
      </c>
      <c r="BN24" s="377">
        <f>BK24+AD24</f>
        <v>21000278.559999999</v>
      </c>
      <c r="BP24" s="50">
        <f>261*31</f>
        <v>8091</v>
      </c>
      <c r="BQ24" s="51">
        <f t="shared" si="8"/>
        <v>0.59967865529600795</v>
      </c>
    </row>
    <row r="25" spans="1:70" x14ac:dyDescent="0.2">
      <c r="A25" s="39" t="e">
        <f>DATE(YEAR(A21),MONTH(A21)+2,1)-1</f>
        <v>#REF!</v>
      </c>
      <c r="B25" s="521"/>
      <c r="C25" s="52" t="s">
        <v>30</v>
      </c>
      <c r="D25" s="346">
        <v>600</v>
      </c>
      <c r="E25" s="353">
        <v>6000</v>
      </c>
      <c r="F25" s="354">
        <f>D25*E25</f>
        <v>3600000</v>
      </c>
      <c r="G25" s="346">
        <f>250+193</f>
        <v>443</v>
      </c>
      <c r="H25" s="353">
        <v>4258.47</v>
      </c>
      <c r="I25" s="354">
        <f>G25*H25</f>
        <v>1886502.2100000002</v>
      </c>
      <c r="J25" s="346">
        <f>193-193</f>
        <v>0</v>
      </c>
      <c r="K25" s="353"/>
      <c r="L25" s="354">
        <f>J25*K25</f>
        <v>0</v>
      </c>
      <c r="M25" s="346">
        <v>900</v>
      </c>
      <c r="N25" s="353">
        <v>3460</v>
      </c>
      <c r="O25" s="354">
        <f>M25*N25</f>
        <v>3114000</v>
      </c>
      <c r="P25" s="346">
        <v>580</v>
      </c>
      <c r="Q25" s="353">
        <v>4000</v>
      </c>
      <c r="R25" s="354">
        <f>P25*Q25</f>
        <v>2320000</v>
      </c>
      <c r="S25" s="355">
        <v>100</v>
      </c>
      <c r="T25" s="356">
        <v>3500</v>
      </c>
      <c r="U25" s="368">
        <f>S25*T25</f>
        <v>350000</v>
      </c>
      <c r="V25" s="355">
        <v>150</v>
      </c>
      <c r="W25" s="356">
        <v>4725</v>
      </c>
      <c r="X25" s="368">
        <f>V25*W25</f>
        <v>708750</v>
      </c>
      <c r="Y25" s="346">
        <v>7</v>
      </c>
      <c r="Z25" s="353">
        <v>2037.1234999999999</v>
      </c>
      <c r="AA25" s="354">
        <f>Y25*Z25</f>
        <v>14259.8645</v>
      </c>
      <c r="AB25" s="425">
        <f>SUMIF($D$6:$AA$6,AB$6,$D25:$AA25)</f>
        <v>2780</v>
      </c>
      <c r="AC25" s="426">
        <f>IF(AB25=0,0,AD25/AB25)</f>
        <v>4314.2129764388492</v>
      </c>
      <c r="AD25" s="427">
        <f>SUMIF($D$6:$AA$6,AD$6,$D25:$AA25)</f>
        <v>11993512.0745</v>
      </c>
      <c r="AE25" s="355">
        <v>1100</v>
      </c>
      <c r="AF25" s="356">
        <v>3600</v>
      </c>
      <c r="AG25" s="368">
        <f>AE25*AF25</f>
        <v>3960000</v>
      </c>
      <c r="AH25" s="355">
        <v>700</v>
      </c>
      <c r="AI25" s="356">
        <v>4800</v>
      </c>
      <c r="AJ25" s="354">
        <f>AH25*AI25</f>
        <v>3360000</v>
      </c>
      <c r="AK25" s="355">
        <v>600</v>
      </c>
      <c r="AL25" s="356">
        <v>3388</v>
      </c>
      <c r="AM25" s="368">
        <f>AK25*AL25</f>
        <v>2032800</v>
      </c>
      <c r="AN25" s="355">
        <v>330</v>
      </c>
      <c r="AO25" s="356">
        <v>2483</v>
      </c>
      <c r="AP25" s="368">
        <f>AN25*AO25</f>
        <v>819390</v>
      </c>
      <c r="AQ25" s="355">
        <v>118</v>
      </c>
      <c r="AR25" s="356">
        <v>3750</v>
      </c>
      <c r="AS25" s="452">
        <f>AQ25*AR25</f>
        <v>442500</v>
      </c>
      <c r="AT25" s="448"/>
      <c r="AU25" s="56"/>
      <c r="AV25" s="43">
        <f>AT25*AU25</f>
        <v>0</v>
      </c>
      <c r="AW25" s="55"/>
      <c r="AX25" s="56"/>
      <c r="AY25" s="57">
        <f t="shared" si="29"/>
        <v>0</v>
      </c>
      <c r="AZ25" s="55"/>
      <c r="BA25" s="56"/>
      <c r="BB25" s="57">
        <f t="shared" si="30"/>
        <v>0</v>
      </c>
      <c r="BC25" s="55"/>
      <c r="BD25" s="56"/>
      <c r="BE25" s="57">
        <f t="shared" si="31"/>
        <v>0</v>
      </c>
      <c r="BF25" s="55"/>
      <c r="BG25" s="56"/>
      <c r="BH25" s="454">
        <f t="shared" si="32"/>
        <v>0</v>
      </c>
      <c r="BI25" s="458">
        <f>SUMIF($AE$6:$BH$6,BI$6,$AE25:$BH25)</f>
        <v>2848</v>
      </c>
      <c r="BJ25" s="459">
        <f t="shared" si="6"/>
        <v>3727.0681179775279</v>
      </c>
      <c r="BK25" s="460">
        <f>SUMIF($AE$6:$BH$6,BK$6,$AE25:$BH25)</f>
        <v>10614690</v>
      </c>
      <c r="BL25" s="458">
        <f>BI25+AB25</f>
        <v>5628</v>
      </c>
      <c r="BM25" s="459">
        <f t="shared" si="7"/>
        <v>4017.0934745024879</v>
      </c>
      <c r="BN25" s="460">
        <f>BK25+AD25</f>
        <v>22608202.074500002</v>
      </c>
      <c r="BP25" s="50">
        <f>261*31</f>
        <v>8091</v>
      </c>
      <c r="BQ25" s="61">
        <f t="shared" si="8"/>
        <v>0.69558769002595477</v>
      </c>
    </row>
    <row r="26" spans="1:70" x14ac:dyDescent="0.2">
      <c r="A26" s="39" t="e">
        <f>DATE(YEAR(A22),MONTH(A22)+2,1)-1</f>
        <v>#REF!</v>
      </c>
      <c r="B26" s="521"/>
      <c r="C26" s="90" t="s">
        <v>33</v>
      </c>
      <c r="D26" s="349">
        <v>479</v>
      </c>
      <c r="E26" s="350">
        <v>5899.5</v>
      </c>
      <c r="F26" s="351">
        <f>D26*E26</f>
        <v>2825860.5</v>
      </c>
      <c r="G26" s="398">
        <f>212+187+14</f>
        <v>413</v>
      </c>
      <c r="H26" s="399">
        <v>3483.88</v>
      </c>
      <c r="I26" s="351">
        <f>G26*H26</f>
        <v>1438842.44</v>
      </c>
      <c r="J26" s="406">
        <f>963+20</f>
        <v>983</v>
      </c>
      <c r="K26" s="407">
        <v>3019.73</v>
      </c>
      <c r="L26" s="408">
        <f>J26*K26</f>
        <v>2968394.59</v>
      </c>
      <c r="M26" s="398">
        <f>1517-963-20-14</f>
        <v>520</v>
      </c>
      <c r="N26" s="399">
        <v>3936.43</v>
      </c>
      <c r="O26" s="351">
        <f>M26*N26</f>
        <v>2046943.5999999999</v>
      </c>
      <c r="P26" s="349">
        <v>553</v>
      </c>
      <c r="Q26" s="350">
        <v>3738</v>
      </c>
      <c r="R26" s="358">
        <f>P26*Q26</f>
        <v>2067114</v>
      </c>
      <c r="S26" s="349">
        <v>68</v>
      </c>
      <c r="T26" s="350">
        <v>3428.5</v>
      </c>
      <c r="U26" s="358">
        <f>S26*T26</f>
        <v>233138</v>
      </c>
      <c r="V26" s="349">
        <v>143</v>
      </c>
      <c r="W26" s="350">
        <v>4672.5</v>
      </c>
      <c r="X26" s="358">
        <f>V26*W26</f>
        <v>668167.5</v>
      </c>
      <c r="Y26" s="349">
        <v>7</v>
      </c>
      <c r="Z26" s="350">
        <v>2037.1234999999999</v>
      </c>
      <c r="AA26" s="358">
        <f>Y26*Z26</f>
        <v>14259.8645</v>
      </c>
      <c r="AB26" s="428">
        <f>SUMIF($D$6:$AA$6,AB$6,$D26:$AA26)</f>
        <v>3166</v>
      </c>
      <c r="AC26" s="391">
        <f>IF(AB26=0,0,AD26/AB26)</f>
        <v>3873.2534726784579</v>
      </c>
      <c r="AD26" s="380">
        <f>SUMIF($D$6:$AA$6,AD$6,$D26:$AA26)</f>
        <v>12262720.494499998</v>
      </c>
      <c r="AE26" s="349">
        <v>1066</v>
      </c>
      <c r="AF26" s="350">
        <v>3099</v>
      </c>
      <c r="AG26" s="358">
        <f>AE26*AF26</f>
        <v>3303534</v>
      </c>
      <c r="AH26" s="349">
        <v>0</v>
      </c>
      <c r="AI26" s="350">
        <v>0</v>
      </c>
      <c r="AJ26" s="358">
        <f>AH26*AI26</f>
        <v>0</v>
      </c>
      <c r="AK26" s="349">
        <v>113</v>
      </c>
      <c r="AL26" s="350">
        <v>3273</v>
      </c>
      <c r="AM26" s="358">
        <f>AK26*AL26</f>
        <v>369849</v>
      </c>
      <c r="AN26" s="349">
        <v>315</v>
      </c>
      <c r="AO26" s="350">
        <v>2399.0223999999998</v>
      </c>
      <c r="AP26" s="358">
        <f>AN26*AO26</f>
        <v>755692.05599999998</v>
      </c>
      <c r="AQ26" s="349">
        <v>112.08</v>
      </c>
      <c r="AR26" s="350">
        <v>3706.4992000000002</v>
      </c>
      <c r="AS26" s="358">
        <f>AQ26*AR26</f>
        <v>415424.43033599999</v>
      </c>
      <c r="AT26" s="48"/>
      <c r="AU26" s="42"/>
      <c r="AV26" s="43">
        <f>AT26*AU26</f>
        <v>0</v>
      </c>
      <c r="AW26" s="92"/>
      <c r="AX26" s="93"/>
      <c r="AY26" s="91">
        <f t="shared" si="29"/>
        <v>0</v>
      </c>
      <c r="AZ26" s="92"/>
      <c r="BA26" s="93"/>
      <c r="BB26" s="91">
        <f t="shared" si="30"/>
        <v>0</v>
      </c>
      <c r="BC26" s="92"/>
      <c r="BD26" s="93"/>
      <c r="BE26" s="91">
        <f t="shared" si="31"/>
        <v>0</v>
      </c>
      <c r="BF26" s="92"/>
      <c r="BG26" s="93"/>
      <c r="BH26" s="456">
        <f t="shared" si="32"/>
        <v>0</v>
      </c>
      <c r="BI26" s="463">
        <f>SUMIF($AE$6:$BH$6,BI$6,$AE26:$BH26)</f>
        <v>1606.08</v>
      </c>
      <c r="BJ26" s="464">
        <f t="shared" si="6"/>
        <v>3016.3500487746564</v>
      </c>
      <c r="BK26" s="465">
        <f>SUMIF($AE$6:$BH$6,BK$6,$AE26:$BH26)</f>
        <v>4844499.4863360003</v>
      </c>
      <c r="BL26" s="463">
        <f>BI26+AB26</f>
        <v>4772.08</v>
      </c>
      <c r="BM26" s="464">
        <f t="shared" si="7"/>
        <v>3584.8560755134022</v>
      </c>
      <c r="BN26" s="465">
        <f>BK26+AD26</f>
        <v>17107219.980835997</v>
      </c>
      <c r="BP26" s="50">
        <f>261*31</f>
        <v>8091</v>
      </c>
      <c r="BQ26" s="61">
        <f t="shared" si="8"/>
        <v>0.58980101347175873</v>
      </c>
    </row>
    <row r="27" spans="1:70" x14ac:dyDescent="0.2">
      <c r="A27" s="39"/>
      <c r="B27" s="520">
        <f>DATE(YEAR(B23),MONTH(B23)+2,1)-1</f>
        <v>182</v>
      </c>
      <c r="C27" s="24" t="s">
        <v>27</v>
      </c>
      <c r="D27" s="343">
        <f>(D28/D29)-1</f>
        <v>0.34090909090909083</v>
      </c>
      <c r="E27" s="344">
        <f>(E28/E29)-1</f>
        <v>2.2314647377938535E-2</v>
      </c>
      <c r="F27" s="352">
        <f>(F28/F29)-1</f>
        <v>0.3708310044385994</v>
      </c>
      <c r="G27" s="400">
        <f t="shared" ref="G27:AS27" si="33">G28/G29-1</f>
        <v>-0.68070175438596492</v>
      </c>
      <c r="H27" s="401">
        <f t="shared" si="33"/>
        <v>-4.2732006374276432E-3</v>
      </c>
      <c r="I27" s="352">
        <f t="shared" si="33"/>
        <v>-0.68206617985265239</v>
      </c>
      <c r="J27" s="365">
        <v>0</v>
      </c>
      <c r="K27" s="390">
        <v>0</v>
      </c>
      <c r="L27" s="367">
        <v>0</v>
      </c>
      <c r="M27" s="400">
        <f t="shared" si="33"/>
        <v>-0.47166666666666668</v>
      </c>
      <c r="N27" s="401">
        <f t="shared" si="33"/>
        <v>0.13487610619469037</v>
      </c>
      <c r="O27" s="352">
        <f t="shared" si="33"/>
        <v>-0.40040712389380539</v>
      </c>
      <c r="P27" s="343">
        <f t="shared" si="33"/>
        <v>0.23736263736263741</v>
      </c>
      <c r="Q27" s="382">
        <f t="shared" si="33"/>
        <v>6.6396729095225648E-2</v>
      </c>
      <c r="R27" s="383">
        <f t="shared" si="33"/>
        <v>0.31951946918815821</v>
      </c>
      <c r="S27" s="343">
        <f t="shared" si="33"/>
        <v>-0.47169811320754718</v>
      </c>
      <c r="T27" s="382">
        <f t="shared" si="33"/>
        <v>0.28617594254937173</v>
      </c>
      <c r="U27" s="345">
        <f t="shared" si="33"/>
        <v>-0.32051082280410559</v>
      </c>
      <c r="V27" s="343">
        <f t="shared" si="33"/>
        <v>-0.40526315789473688</v>
      </c>
      <c r="W27" s="382">
        <f t="shared" si="33"/>
        <v>0.70914542728635688</v>
      </c>
      <c r="X27" s="345">
        <f t="shared" si="33"/>
        <v>1.6491754122938573E-2</v>
      </c>
      <c r="Y27" s="343">
        <f t="shared" si="33"/>
        <v>0.66666666666666674</v>
      </c>
      <c r="Z27" s="382">
        <f t="shared" si="33"/>
        <v>0.15795287187039775</v>
      </c>
      <c r="AA27" s="345">
        <f t="shared" si="33"/>
        <v>0.92992145311732943</v>
      </c>
      <c r="AB27" s="422">
        <f t="shared" si="33"/>
        <v>-8.1373646883165396E-2</v>
      </c>
      <c r="AC27" s="423">
        <f t="shared" si="33"/>
        <v>8.2490344376933145E-2</v>
      </c>
      <c r="AD27" s="424">
        <f t="shared" si="33"/>
        <v>-5.5958426608314626E-3</v>
      </c>
      <c r="AE27" s="343">
        <f t="shared" si="33"/>
        <v>-0.47142857142857142</v>
      </c>
      <c r="AF27" s="382">
        <f t="shared" si="33"/>
        <v>0.27516129032258063</v>
      </c>
      <c r="AG27" s="345">
        <f t="shared" si="33"/>
        <v>-0.32598617511520733</v>
      </c>
      <c r="AH27" s="343">
        <v>0</v>
      </c>
      <c r="AI27" s="382">
        <v>0</v>
      </c>
      <c r="AJ27" s="345">
        <v>0</v>
      </c>
      <c r="AK27" s="343">
        <f t="shared" si="33"/>
        <v>0.77499999999999991</v>
      </c>
      <c r="AL27" s="382">
        <f t="shared" si="33"/>
        <v>0.40297761194029857</v>
      </c>
      <c r="AM27" s="345">
        <f t="shared" si="33"/>
        <v>1.49028526119403</v>
      </c>
      <c r="AN27" s="343">
        <f t="shared" si="33"/>
        <v>-1</v>
      </c>
      <c r="AO27" s="382">
        <f t="shared" si="33"/>
        <v>-1</v>
      </c>
      <c r="AP27" s="345">
        <f t="shared" si="33"/>
        <v>-1</v>
      </c>
      <c r="AQ27" s="343">
        <f t="shared" si="33"/>
        <v>2.3714285714285714</v>
      </c>
      <c r="AR27" s="382">
        <f t="shared" si="33"/>
        <v>0.34033333333333338</v>
      </c>
      <c r="AS27" s="345">
        <f t="shared" si="33"/>
        <v>3.5188380952380953</v>
      </c>
      <c r="AT27" s="33"/>
      <c r="AU27" s="33"/>
      <c r="AV27" s="34"/>
      <c r="AW27" s="35"/>
      <c r="AX27" s="33"/>
      <c r="AY27" s="34"/>
      <c r="AZ27" s="35"/>
      <c r="BA27" s="33"/>
      <c r="BB27" s="34"/>
      <c r="BC27" s="35"/>
      <c r="BD27" s="33"/>
      <c r="BE27" s="34"/>
      <c r="BF27" s="35"/>
      <c r="BG27" s="33"/>
      <c r="BH27" s="453"/>
      <c r="BI27" s="343">
        <f t="shared" ref="BI27:BM27" si="34">BI28/BI29-1</f>
        <v>-0.38022813688212931</v>
      </c>
      <c r="BJ27" s="382">
        <f t="shared" si="34"/>
        <v>0.35281657981938586</v>
      </c>
      <c r="BK27" s="345">
        <f t="shared" si="34"/>
        <v>-0.16156234786859358</v>
      </c>
      <c r="BL27" s="467">
        <f t="shared" si="34"/>
        <v>-0.17976965448172255</v>
      </c>
      <c r="BM27" s="423">
        <f t="shared" si="34"/>
        <v>0.15921160145049318</v>
      </c>
      <c r="BN27" s="424">
        <f t="shared" ref="BN27" si="35">BN28/BN29-1</f>
        <v>-4.9179467613466366E-2</v>
      </c>
      <c r="BO27" s="75"/>
      <c r="BP27" s="50"/>
      <c r="BQ27" s="51"/>
    </row>
    <row r="28" spans="1:70" x14ac:dyDescent="0.2">
      <c r="A28" s="39" t="e">
        <f>DATE(YEAR(A24),MONTH(A24)+2,1)-1</f>
        <v>#REF!</v>
      </c>
      <c r="B28" s="521"/>
      <c r="C28" s="40" t="s">
        <v>84</v>
      </c>
      <c r="D28" s="346">
        <v>590</v>
      </c>
      <c r="E28" s="353">
        <v>5653.4</v>
      </c>
      <c r="F28" s="354">
        <f>D28*E28</f>
        <v>3335506</v>
      </c>
      <c r="G28" s="346">
        <v>91</v>
      </c>
      <c r="H28" s="353">
        <v>3924</v>
      </c>
      <c r="I28" s="354">
        <f>G28*H28</f>
        <v>357084</v>
      </c>
      <c r="J28" s="346">
        <v>409</v>
      </c>
      <c r="K28" s="353">
        <v>2348.4</v>
      </c>
      <c r="L28" s="354">
        <f>J28*K28</f>
        <v>960495.60000000009</v>
      </c>
      <c r="M28" s="346">
        <f>664-49+19</f>
        <v>634</v>
      </c>
      <c r="N28" s="353">
        <v>3847.23</v>
      </c>
      <c r="O28" s="354">
        <f>M28*N28</f>
        <v>2439143.8199999998</v>
      </c>
      <c r="P28" s="346">
        <f>582-19</f>
        <v>563</v>
      </c>
      <c r="Q28" s="353">
        <v>4042.71</v>
      </c>
      <c r="R28" s="354">
        <f>P28*Q28</f>
        <v>2276045.73</v>
      </c>
      <c r="S28" s="346">
        <v>56</v>
      </c>
      <c r="T28" s="353">
        <v>3582</v>
      </c>
      <c r="U28" s="354">
        <f>S28*T28</f>
        <v>200592</v>
      </c>
      <c r="V28" s="346">
        <v>113</v>
      </c>
      <c r="W28" s="353">
        <v>5700</v>
      </c>
      <c r="X28" s="354">
        <f>V28*W28</f>
        <v>644100</v>
      </c>
      <c r="Y28" s="346">
        <v>5</v>
      </c>
      <c r="Z28" s="353">
        <v>3145</v>
      </c>
      <c r="AA28" s="354">
        <f>Y28*Z28</f>
        <v>15725</v>
      </c>
      <c r="AB28" s="425">
        <f>SUMIF($D$6:$AA$6,AB$6,$D28:$AA28)</f>
        <v>2461</v>
      </c>
      <c r="AC28" s="426">
        <f>IF(AB28=0,0,AD28/AB28)</f>
        <v>4156.3153799268594</v>
      </c>
      <c r="AD28" s="427">
        <f>SUMIF($D$6:$AA$6,AD$6,$D28:$AA28)</f>
        <v>10228692.15</v>
      </c>
      <c r="AE28" s="355">
        <v>555</v>
      </c>
      <c r="AF28" s="356">
        <v>3953</v>
      </c>
      <c r="AG28" s="368">
        <f>AE28*AF28</f>
        <v>2193915</v>
      </c>
      <c r="AH28" s="355">
        <v>0</v>
      </c>
      <c r="AI28" s="356">
        <v>0</v>
      </c>
      <c r="AJ28" s="368">
        <f>AH28*AI28</f>
        <v>0</v>
      </c>
      <c r="AK28" s="355">
        <f>114+28</f>
        <v>142</v>
      </c>
      <c r="AL28" s="356">
        <v>3759.98</v>
      </c>
      <c r="AM28" s="368">
        <f>AK28*AL28</f>
        <v>533917.16</v>
      </c>
      <c r="AN28" s="355">
        <v>0</v>
      </c>
      <c r="AO28" s="356">
        <v>0</v>
      </c>
      <c r="AP28" s="368">
        <f>AN28*AO28</f>
        <v>0</v>
      </c>
      <c r="AQ28" s="355">
        <v>118</v>
      </c>
      <c r="AR28" s="356">
        <v>5227.3</v>
      </c>
      <c r="AS28" s="368">
        <f>AQ28*AR28</f>
        <v>616821.4</v>
      </c>
      <c r="AT28" s="449"/>
      <c r="AU28" s="54"/>
      <c r="AV28" s="43">
        <f>AT28*AU28</f>
        <v>0</v>
      </c>
      <c r="AW28" s="49"/>
      <c r="AX28" s="42"/>
      <c r="AY28" s="43">
        <f t="shared" ref="AY28:AY30" si="36">AW28*AX28</f>
        <v>0</v>
      </c>
      <c r="AZ28" s="49"/>
      <c r="BA28" s="42"/>
      <c r="BB28" s="43">
        <f t="shared" ref="BB28:BB30" si="37">AZ28*BA28</f>
        <v>0</v>
      </c>
      <c r="BC28" s="49"/>
      <c r="BD28" s="42"/>
      <c r="BE28" s="43">
        <f t="shared" ref="BE28:BE30" si="38">BC28*BD28</f>
        <v>0</v>
      </c>
      <c r="BF28" s="49"/>
      <c r="BG28" s="42"/>
      <c r="BH28" s="133">
        <f t="shared" ref="BH28:BH30" si="39">BF28*BG28</f>
        <v>0</v>
      </c>
      <c r="BI28" s="392">
        <f>SUMIF($AE$6:$BH$6,BI$6,$AE28:$BH28)</f>
        <v>815</v>
      </c>
      <c r="BJ28" s="393">
        <f t="shared" si="6"/>
        <v>4103.8693987730067</v>
      </c>
      <c r="BK28" s="377">
        <f>SUMIF($AE$6:$BH$6,BK$6,$AE28:$BH28)</f>
        <v>3344653.56</v>
      </c>
      <c r="BL28" s="392">
        <f>BI28+AB28</f>
        <v>3276</v>
      </c>
      <c r="BM28" s="393">
        <f t="shared" si="7"/>
        <v>4143.2679212454213</v>
      </c>
      <c r="BN28" s="377">
        <f>BK28+AD28</f>
        <v>13573345.710000001</v>
      </c>
      <c r="BP28" s="50">
        <f>261*30</f>
        <v>7830</v>
      </c>
      <c r="BQ28" s="51">
        <f t="shared" si="8"/>
        <v>0.41839080459770117</v>
      </c>
      <c r="BR28" s="1">
        <v>13573</v>
      </c>
    </row>
    <row r="29" spans="1:70" x14ac:dyDescent="0.2">
      <c r="A29" s="39" t="e">
        <f>DATE(YEAR(A25),MONTH(A25)+2,1)-1</f>
        <v>#REF!</v>
      </c>
      <c r="B29" s="521"/>
      <c r="C29" s="52" t="s">
        <v>30</v>
      </c>
      <c r="D29" s="346">
        <v>440</v>
      </c>
      <c r="E29" s="353">
        <v>5530</v>
      </c>
      <c r="F29" s="354">
        <f>D29*E29</f>
        <v>2433200</v>
      </c>
      <c r="G29" s="346">
        <f>210+75</f>
        <v>285</v>
      </c>
      <c r="H29" s="353">
        <v>3940.84</v>
      </c>
      <c r="I29" s="354">
        <f>G29*H29</f>
        <v>1123139.4000000001</v>
      </c>
      <c r="J29" s="346">
        <f>75-75</f>
        <v>0</v>
      </c>
      <c r="K29" s="353"/>
      <c r="L29" s="354">
        <f>J29*K29</f>
        <v>0</v>
      </c>
      <c r="M29" s="346">
        <v>1200</v>
      </c>
      <c r="N29" s="353">
        <v>3390</v>
      </c>
      <c r="O29" s="354">
        <f>M29*N29</f>
        <v>4068000</v>
      </c>
      <c r="P29" s="346">
        <v>455</v>
      </c>
      <c r="Q29" s="353">
        <v>3791</v>
      </c>
      <c r="R29" s="354">
        <f>P29*Q29</f>
        <v>1724905</v>
      </c>
      <c r="S29" s="346">
        <v>106</v>
      </c>
      <c r="T29" s="353">
        <v>2785</v>
      </c>
      <c r="U29" s="354">
        <f>S29*T29</f>
        <v>295210</v>
      </c>
      <c r="V29" s="346">
        <v>190</v>
      </c>
      <c r="W29" s="353">
        <v>3335</v>
      </c>
      <c r="X29" s="354">
        <f>V29*W29</f>
        <v>633650</v>
      </c>
      <c r="Y29" s="346">
        <v>3</v>
      </c>
      <c r="Z29" s="353">
        <v>2716</v>
      </c>
      <c r="AA29" s="354">
        <f>Y29*Z29</f>
        <v>8148</v>
      </c>
      <c r="AB29" s="425">
        <f>SUMIF($D$6:$AA$6,AB$6,$D29:$AA29)</f>
        <v>2679</v>
      </c>
      <c r="AC29" s="426">
        <f>IF(AB29=0,0,AD29/AB29)</f>
        <v>3839.5865621500561</v>
      </c>
      <c r="AD29" s="427">
        <f>SUMIF($D$6:$AA$6,AD$6,$D29:$AA29)</f>
        <v>10286252.4</v>
      </c>
      <c r="AE29" s="355">
        <v>1050</v>
      </c>
      <c r="AF29" s="356">
        <v>3100</v>
      </c>
      <c r="AG29" s="368">
        <f>AE29*AF29</f>
        <v>3255000</v>
      </c>
      <c r="AH29" s="355">
        <v>0</v>
      </c>
      <c r="AI29" s="356">
        <v>0</v>
      </c>
      <c r="AJ29" s="368">
        <f>AH29*AI29</f>
        <v>0</v>
      </c>
      <c r="AK29" s="355">
        <v>80</v>
      </c>
      <c r="AL29" s="356">
        <v>2680</v>
      </c>
      <c r="AM29" s="368">
        <f>AK29*AL29</f>
        <v>214400</v>
      </c>
      <c r="AN29" s="355">
        <v>150</v>
      </c>
      <c r="AO29" s="356">
        <v>2555</v>
      </c>
      <c r="AP29" s="368">
        <f>AN29*AO29</f>
        <v>383250</v>
      </c>
      <c r="AQ29" s="355">
        <v>35</v>
      </c>
      <c r="AR29" s="356">
        <v>3900</v>
      </c>
      <c r="AS29" s="368">
        <f>AQ29*AR29</f>
        <v>136500</v>
      </c>
      <c r="AT29" s="449"/>
      <c r="AU29" s="54"/>
      <c r="AV29" s="43">
        <f>AT29*AU29</f>
        <v>0</v>
      </c>
      <c r="AW29" s="55"/>
      <c r="AX29" s="56"/>
      <c r="AY29" s="57">
        <f t="shared" si="36"/>
        <v>0</v>
      </c>
      <c r="AZ29" s="55"/>
      <c r="BA29" s="56"/>
      <c r="BB29" s="57">
        <f t="shared" si="37"/>
        <v>0</v>
      </c>
      <c r="BC29" s="55"/>
      <c r="BD29" s="56"/>
      <c r="BE29" s="57">
        <f t="shared" si="38"/>
        <v>0</v>
      </c>
      <c r="BF29" s="55"/>
      <c r="BG29" s="56"/>
      <c r="BH29" s="454">
        <f t="shared" si="39"/>
        <v>0</v>
      </c>
      <c r="BI29" s="458">
        <f>SUMIF($AE$6:$BH$6,BI$6,$AE29:$BH29)</f>
        <v>1315</v>
      </c>
      <c r="BJ29" s="459">
        <f t="shared" si="6"/>
        <v>3033.5741444866921</v>
      </c>
      <c r="BK29" s="460">
        <f>SUMIF($AE$6:$BH$6,BK$6,$AE29:$BH29)</f>
        <v>3989150</v>
      </c>
      <c r="BL29" s="458">
        <f>BI29+AB29</f>
        <v>3994</v>
      </c>
      <c r="BM29" s="459">
        <f t="shared" si="7"/>
        <v>3574.2119178768153</v>
      </c>
      <c r="BN29" s="460">
        <f>BK29+AD29</f>
        <v>14275402.4</v>
      </c>
      <c r="BP29" s="50">
        <f>261*30</f>
        <v>7830</v>
      </c>
      <c r="BQ29" s="61">
        <f t="shared" si="8"/>
        <v>0.51008939974457213</v>
      </c>
    </row>
    <row r="30" spans="1:70" x14ac:dyDescent="0.2">
      <c r="A30" s="39" t="e">
        <f>DATE(YEAR(A26),MONTH(A26)+2,1)-1</f>
        <v>#REF!</v>
      </c>
      <c r="B30" s="522"/>
      <c r="C30" s="62" t="s">
        <v>33</v>
      </c>
      <c r="D30" s="349">
        <v>433</v>
      </c>
      <c r="E30" s="350">
        <v>5513</v>
      </c>
      <c r="F30" s="358">
        <f>D30*E30</f>
        <v>2387129</v>
      </c>
      <c r="G30" s="349">
        <f>123+55+42</f>
        <v>220</v>
      </c>
      <c r="H30" s="350">
        <v>3393.85</v>
      </c>
      <c r="I30" s="358">
        <f>G30*H30</f>
        <v>746647</v>
      </c>
      <c r="J30" s="406">
        <f>666+31+7</f>
        <v>704</v>
      </c>
      <c r="K30" s="409">
        <v>2989.17</v>
      </c>
      <c r="L30" s="410">
        <f>J30*K30</f>
        <v>2104375.6800000002</v>
      </c>
      <c r="M30" s="349">
        <f>1192-42-666-31-7</f>
        <v>446</v>
      </c>
      <c r="N30" s="350">
        <v>4002.57</v>
      </c>
      <c r="O30" s="358">
        <f>M30*N30</f>
        <v>1785146.22</v>
      </c>
      <c r="P30" s="349">
        <v>450</v>
      </c>
      <c r="Q30" s="350">
        <v>3663</v>
      </c>
      <c r="R30" s="358">
        <f>P30*Q30</f>
        <v>1648350</v>
      </c>
      <c r="S30" s="349">
        <v>100</v>
      </c>
      <c r="T30" s="350">
        <v>2691</v>
      </c>
      <c r="U30" s="358">
        <f>S30*T30</f>
        <v>269100</v>
      </c>
      <c r="V30" s="349">
        <v>182</v>
      </c>
      <c r="W30" s="350">
        <v>3222</v>
      </c>
      <c r="X30" s="358">
        <f>V30*W30</f>
        <v>586404</v>
      </c>
      <c r="Y30" s="349">
        <v>3</v>
      </c>
      <c r="Z30" s="350">
        <v>2716</v>
      </c>
      <c r="AA30" s="358">
        <f>Y30*Z30</f>
        <v>8148</v>
      </c>
      <c r="AB30" s="428">
        <f>SUMIF($D$6:$AA$6,AB$6,$D30:$AA30)</f>
        <v>2538</v>
      </c>
      <c r="AC30" s="391">
        <f>IF(AB30=0,0,AD30/AB30)</f>
        <v>3757.0133569739946</v>
      </c>
      <c r="AD30" s="380">
        <f>SUMIF($D$6:$AA$6,AD$6,$D30:$AA30)</f>
        <v>9535299.8999999985</v>
      </c>
      <c r="AE30" s="349">
        <v>1040</v>
      </c>
      <c r="AF30" s="350">
        <v>2762.2004000000002</v>
      </c>
      <c r="AG30" s="358">
        <f>AE30*AF30</f>
        <v>2872688.4160000002</v>
      </c>
      <c r="AH30" s="349">
        <v>0</v>
      </c>
      <c r="AI30" s="350">
        <v>0</v>
      </c>
      <c r="AJ30" s="358">
        <f>AH30*AI30</f>
        <v>0</v>
      </c>
      <c r="AK30" s="349">
        <v>68</v>
      </c>
      <c r="AL30" s="350">
        <v>2589.4423000000002</v>
      </c>
      <c r="AM30" s="358">
        <f>AK30*AL30</f>
        <v>176082.07640000002</v>
      </c>
      <c r="AN30" s="349">
        <v>134</v>
      </c>
      <c r="AO30" s="350">
        <v>2468.4263000000001</v>
      </c>
      <c r="AP30" s="358">
        <f>AN30*AO30</f>
        <v>330769.12420000002</v>
      </c>
      <c r="AQ30" s="349">
        <v>33</v>
      </c>
      <c r="AR30" s="350">
        <v>3840.4234999999999</v>
      </c>
      <c r="AS30" s="358">
        <f>AQ30*AR30</f>
        <v>126733.9755</v>
      </c>
      <c r="AT30" s="48"/>
      <c r="AU30" s="42"/>
      <c r="AV30" s="43">
        <f>AT30*AU30</f>
        <v>0</v>
      </c>
      <c r="AW30" s="64"/>
      <c r="AX30" s="65"/>
      <c r="AY30" s="63">
        <f t="shared" si="36"/>
        <v>0</v>
      </c>
      <c r="AZ30" s="64"/>
      <c r="BA30" s="65"/>
      <c r="BB30" s="63">
        <f t="shared" si="37"/>
        <v>0</v>
      </c>
      <c r="BC30" s="64"/>
      <c r="BD30" s="65"/>
      <c r="BE30" s="63">
        <f t="shared" si="38"/>
        <v>0</v>
      </c>
      <c r="BF30" s="64"/>
      <c r="BG30" s="65"/>
      <c r="BH30" s="455">
        <f t="shared" si="39"/>
        <v>0</v>
      </c>
      <c r="BI30" s="394">
        <f>SUMIF($AE$6:$BH$6,BI$6,$AE30:$BH30)</f>
        <v>1275</v>
      </c>
      <c r="BJ30" s="395">
        <f t="shared" si="6"/>
        <v>2750.0185036078433</v>
      </c>
      <c r="BK30" s="396">
        <f>SUMIF($AE$6:$BH$6,BK$6,$AE30:$BH30)</f>
        <v>3506273.5921000005</v>
      </c>
      <c r="BL30" s="394">
        <f>BI30+AB30</f>
        <v>3813</v>
      </c>
      <c r="BM30" s="395">
        <f t="shared" si="7"/>
        <v>3420.2920252032518</v>
      </c>
      <c r="BN30" s="396">
        <f>BK30+AD30</f>
        <v>13041573.492099999</v>
      </c>
      <c r="BP30" s="50">
        <f>261*30</f>
        <v>7830</v>
      </c>
      <c r="BQ30" s="61">
        <f t="shared" si="8"/>
        <v>0.48697318007662838</v>
      </c>
    </row>
    <row r="31" spans="1:70" x14ac:dyDescent="0.2">
      <c r="A31" s="39"/>
      <c r="B31" s="520">
        <f>DATE(YEAR(B27),MONTH(B27)+2,1)-1</f>
        <v>213</v>
      </c>
      <c r="C31" s="24" t="s">
        <v>27</v>
      </c>
      <c r="D31" s="343">
        <f>(D32/D33)-1</f>
        <v>1.335</v>
      </c>
      <c r="E31" s="344">
        <f>(E32/E33)-1</f>
        <v>4.4450364056118019E-2</v>
      </c>
      <c r="F31" s="345">
        <f>(F32/F33)-1</f>
        <v>1.4387916000710352</v>
      </c>
      <c r="G31" s="343">
        <f t="shared" ref="G31:AP31" si="40">G32/G33-1</f>
        <v>-0.80975609756097566</v>
      </c>
      <c r="H31" s="382">
        <f t="shared" si="40"/>
        <v>0.19301953842292296</v>
      </c>
      <c r="I31" s="345">
        <f t="shared" si="40"/>
        <v>-0.77303530732441961</v>
      </c>
      <c r="J31" s="365">
        <v>0</v>
      </c>
      <c r="K31" s="390">
        <v>0</v>
      </c>
      <c r="L31" s="367">
        <v>0</v>
      </c>
      <c r="M31" s="343">
        <f t="shared" si="40"/>
        <v>-0.23909090909090913</v>
      </c>
      <c r="N31" s="382">
        <f t="shared" si="40"/>
        <v>3.1521286097052625E-2</v>
      </c>
      <c r="O31" s="345">
        <f t="shared" si="40"/>
        <v>-0.2151060759425153</v>
      </c>
      <c r="P31" s="343">
        <f t="shared" si="40"/>
        <v>-6.2000000000000055E-2</v>
      </c>
      <c r="Q31" s="382">
        <f t="shared" si="40"/>
        <v>4.2346353455340102E-2</v>
      </c>
      <c r="R31" s="383">
        <f t="shared" si="40"/>
        <v>-2.2279120458891022E-2</v>
      </c>
      <c r="S31" s="343">
        <f t="shared" si="40"/>
        <v>0.38800000000000012</v>
      </c>
      <c r="T31" s="382">
        <f t="shared" si="40"/>
        <v>1.937499999999992E-2</v>
      </c>
      <c r="U31" s="345">
        <f t="shared" si="40"/>
        <v>0.41489250000000011</v>
      </c>
      <c r="V31" s="343">
        <f t="shared" si="40"/>
        <v>-0.86250000000000004</v>
      </c>
      <c r="W31" s="382">
        <f t="shared" si="40"/>
        <v>1.3457777777777777</v>
      </c>
      <c r="X31" s="345">
        <f t="shared" si="40"/>
        <v>-0.67745555555555548</v>
      </c>
      <c r="Y31" s="343">
        <f t="shared" si="40"/>
        <v>0.39999999999999991</v>
      </c>
      <c r="Z31" s="382">
        <f t="shared" si="40"/>
        <v>-0.18446969696969695</v>
      </c>
      <c r="AA31" s="345">
        <f t="shared" si="40"/>
        <v>0.14174242424242434</v>
      </c>
      <c r="AB31" s="422">
        <f t="shared" si="40"/>
        <v>-7.6162046908315517E-2</v>
      </c>
      <c r="AC31" s="423">
        <f t="shared" si="40"/>
        <v>0.11441282637560679</v>
      </c>
      <c r="AD31" s="424">
        <f t="shared" si="40"/>
        <v>2.9536864417959219E-2</v>
      </c>
      <c r="AE31" s="343">
        <f t="shared" si="40"/>
        <v>-8.454545454545459E-2</v>
      </c>
      <c r="AF31" s="382">
        <f t="shared" si="40"/>
        <v>0.11279032258064525</v>
      </c>
      <c r="AG31" s="345">
        <f t="shared" si="40"/>
        <v>1.8708958944281706E-2</v>
      </c>
      <c r="AH31" s="343">
        <v>0</v>
      </c>
      <c r="AI31" s="382">
        <v>0</v>
      </c>
      <c r="AJ31" s="345">
        <v>0</v>
      </c>
      <c r="AK31" s="343">
        <f t="shared" si="40"/>
        <v>1.3399999999999999</v>
      </c>
      <c r="AL31" s="382">
        <f t="shared" si="40"/>
        <v>0.51683333333333326</v>
      </c>
      <c r="AM31" s="345">
        <f t="shared" si="40"/>
        <v>2.5493899999999998</v>
      </c>
      <c r="AN31" s="343">
        <f t="shared" si="40"/>
        <v>-1</v>
      </c>
      <c r="AO31" s="382">
        <f t="shared" si="40"/>
        <v>-1</v>
      </c>
      <c r="AP31" s="345">
        <f t="shared" si="40"/>
        <v>-1</v>
      </c>
      <c r="AQ31" s="343">
        <v>0</v>
      </c>
      <c r="AR31" s="382">
        <v>0</v>
      </c>
      <c r="AS31" s="345">
        <v>0</v>
      </c>
      <c r="AT31" s="33"/>
      <c r="AU31" s="33"/>
      <c r="AV31" s="34"/>
      <c r="AW31" s="35"/>
      <c r="AX31" s="33"/>
      <c r="AY31" s="34"/>
      <c r="AZ31" s="35"/>
      <c r="BA31" s="33"/>
      <c r="BB31" s="34"/>
      <c r="BC31" s="35"/>
      <c r="BD31" s="33"/>
      <c r="BE31" s="34"/>
      <c r="BF31" s="35"/>
      <c r="BG31" s="33"/>
      <c r="BH31" s="453"/>
      <c r="BI31" s="343">
        <f t="shared" ref="BI31:BM31" si="41">BI32/BI33-1</f>
        <v>0.24363636363636365</v>
      </c>
      <c r="BJ31" s="382">
        <f t="shared" si="41"/>
        <v>0.1611999040774108</v>
      </c>
      <c r="BK31" s="345">
        <f t="shared" si="41"/>
        <v>0.44411042616172547</v>
      </c>
      <c r="BL31" s="467">
        <f t="shared" si="41"/>
        <v>5.591989987484336E-2</v>
      </c>
      <c r="BM31" s="423">
        <f t="shared" si="41"/>
        <v>0.12362155019977039</v>
      </c>
      <c r="BN31" s="424">
        <f t="shared" ref="BN31" si="42">BN32/BN33-1</f>
        <v>0.18645435478415795</v>
      </c>
      <c r="BO31" s="75"/>
      <c r="BP31" s="50"/>
      <c r="BQ31" s="51"/>
    </row>
    <row r="32" spans="1:70" x14ac:dyDescent="0.2">
      <c r="A32" s="39" t="e">
        <f>DATE(YEAR(A28),MONTH(A28)+2,1)-1</f>
        <v>#REF!</v>
      </c>
      <c r="B32" s="521"/>
      <c r="C32" s="40" t="s">
        <v>29</v>
      </c>
      <c r="D32" s="346">
        <v>467</v>
      </c>
      <c r="E32" s="353">
        <v>5881.3</v>
      </c>
      <c r="F32" s="354">
        <f>D32*E32</f>
        <v>2746567.1</v>
      </c>
      <c r="G32" s="346">
        <v>78</v>
      </c>
      <c r="H32" s="353">
        <v>4515.3999999999996</v>
      </c>
      <c r="I32" s="354">
        <f>G32*H32</f>
        <v>352201.19999999995</v>
      </c>
      <c r="J32" s="346">
        <v>228</v>
      </c>
      <c r="K32" s="353">
        <v>3721.4</v>
      </c>
      <c r="L32" s="354">
        <f>J32*K32</f>
        <v>848479.20000000007</v>
      </c>
      <c r="M32" s="346">
        <f>532+149+156</f>
        <v>837</v>
      </c>
      <c r="N32" s="353">
        <v>3464.88</v>
      </c>
      <c r="O32" s="354">
        <f>M32*N32</f>
        <v>2900104.56</v>
      </c>
      <c r="P32" s="346">
        <f>774-149-156</f>
        <v>469</v>
      </c>
      <c r="Q32" s="353">
        <v>3816.03</v>
      </c>
      <c r="R32" s="354">
        <f>P32*Q32</f>
        <v>1789718.07</v>
      </c>
      <c r="S32" s="346">
        <v>69.400000000000006</v>
      </c>
      <c r="T32" s="353">
        <v>3262</v>
      </c>
      <c r="U32" s="354">
        <f>S32*T32</f>
        <v>226382.80000000002</v>
      </c>
      <c r="V32" s="346">
        <v>11</v>
      </c>
      <c r="W32" s="353">
        <v>10556</v>
      </c>
      <c r="X32" s="354">
        <f>V32*W32</f>
        <v>116116</v>
      </c>
      <c r="Y32" s="346">
        <v>7</v>
      </c>
      <c r="Z32" s="353">
        <v>2153</v>
      </c>
      <c r="AA32" s="354">
        <f>Y32*Z32</f>
        <v>15071</v>
      </c>
      <c r="AB32" s="425">
        <f>SUMIF($D$6:$AA$6,AB$6,$D32:$AA32)</f>
        <v>2166.4</v>
      </c>
      <c r="AC32" s="426">
        <f>IF(AB32=0,0,AD32/AB32)</f>
        <v>4151.8832764032504</v>
      </c>
      <c r="AD32" s="427">
        <f>SUMIF($D$6:$AA$6,AD$6,$D32:$AA32)</f>
        <v>8994639.9300000016</v>
      </c>
      <c r="AE32" s="355">
        <f>1384-377</f>
        <v>1007</v>
      </c>
      <c r="AF32" s="356">
        <v>3449.65</v>
      </c>
      <c r="AG32" s="368">
        <f>AE32*AF32</f>
        <v>3473797.5500000003</v>
      </c>
      <c r="AH32" s="355">
        <f>134+377</f>
        <v>511</v>
      </c>
      <c r="AI32" s="356">
        <v>3269</v>
      </c>
      <c r="AJ32" s="368">
        <f>AH32*AI32</f>
        <v>1670459</v>
      </c>
      <c r="AK32" s="355">
        <v>468</v>
      </c>
      <c r="AL32" s="356">
        <v>4550.5</v>
      </c>
      <c r="AM32" s="368">
        <f>AK32*AL32</f>
        <v>2129634</v>
      </c>
      <c r="AN32" s="355">
        <v>0</v>
      </c>
      <c r="AO32" s="356">
        <v>0</v>
      </c>
      <c r="AP32" s="368">
        <f>AN32*AO32</f>
        <v>0</v>
      </c>
      <c r="AQ32" s="355">
        <v>66</v>
      </c>
      <c r="AR32" s="356">
        <v>6210</v>
      </c>
      <c r="AS32" s="368">
        <f>AQ32*AR32</f>
        <v>409860</v>
      </c>
      <c r="AT32" s="448"/>
      <c r="AU32" s="56"/>
      <c r="AV32" s="43">
        <f>AT32*AU32</f>
        <v>0</v>
      </c>
      <c r="AW32" s="49"/>
      <c r="AX32" s="42"/>
      <c r="AY32" s="43">
        <f t="shared" ref="AY32:AY34" si="43">AW32*AX32</f>
        <v>0</v>
      </c>
      <c r="AZ32" s="49"/>
      <c r="BA32" s="42"/>
      <c r="BB32" s="43">
        <f t="shared" ref="BB32:BB34" si="44">AZ32*BA32</f>
        <v>0</v>
      </c>
      <c r="BC32" s="49"/>
      <c r="BD32" s="42"/>
      <c r="BE32" s="43">
        <f t="shared" ref="BE32:BE34" si="45">BC32*BD32</f>
        <v>0</v>
      </c>
      <c r="BF32" s="49"/>
      <c r="BG32" s="42"/>
      <c r="BH32" s="133">
        <f t="shared" ref="BH32:BH34" si="46">BF32*BG32</f>
        <v>0</v>
      </c>
      <c r="BI32" s="392">
        <f>SUMIF($AE$6:$BH$6,BI$6,$AE32:$BH32)</f>
        <v>2052</v>
      </c>
      <c r="BJ32" s="393">
        <f t="shared" si="6"/>
        <v>3744.5178118908384</v>
      </c>
      <c r="BK32" s="377">
        <f>SUMIF($AE$6:$BH$6,BK$6,$AE32:$BH32)</f>
        <v>7683750.5500000007</v>
      </c>
      <c r="BL32" s="392">
        <f>BI32+AB32</f>
        <v>4218.3999999999996</v>
      </c>
      <c r="BM32" s="393">
        <f t="shared" si="7"/>
        <v>3953.7242746064867</v>
      </c>
      <c r="BN32" s="377">
        <f>BK32+AD32</f>
        <v>16678390.480000002</v>
      </c>
      <c r="BP32" s="50">
        <f>261*31</f>
        <v>8091</v>
      </c>
      <c r="BQ32" s="51">
        <f t="shared" si="8"/>
        <v>0.52136942281547394</v>
      </c>
    </row>
    <row r="33" spans="1:69" x14ac:dyDescent="0.2">
      <c r="A33" s="39" t="e">
        <f>DATE(YEAR(A29),MONTH(A29)+2,1)-1</f>
        <v>#REF!</v>
      </c>
      <c r="B33" s="521"/>
      <c r="C33" s="52" t="s">
        <v>30</v>
      </c>
      <c r="D33" s="346">
        <v>200</v>
      </c>
      <c r="E33" s="353">
        <v>5631</v>
      </c>
      <c r="F33" s="354">
        <f>D33*E33</f>
        <v>1126200</v>
      </c>
      <c r="G33" s="346">
        <f>250+160</f>
        <v>410</v>
      </c>
      <c r="H33" s="353">
        <v>3784.85</v>
      </c>
      <c r="I33" s="354">
        <f>G33*H33</f>
        <v>1551788.5</v>
      </c>
      <c r="J33" s="346">
        <f>160-160</f>
        <v>0</v>
      </c>
      <c r="K33" s="353"/>
      <c r="L33" s="354">
        <f>J33*K33</f>
        <v>0</v>
      </c>
      <c r="M33" s="346">
        <v>1100</v>
      </c>
      <c r="N33" s="353">
        <v>3359</v>
      </c>
      <c r="O33" s="354">
        <f>M33*N33</f>
        <v>3694900</v>
      </c>
      <c r="P33" s="346">
        <v>500</v>
      </c>
      <c r="Q33" s="353">
        <v>3661</v>
      </c>
      <c r="R33" s="354">
        <f>P33*Q33</f>
        <v>1830500</v>
      </c>
      <c r="S33" s="346">
        <v>50</v>
      </c>
      <c r="T33" s="353">
        <v>3200</v>
      </c>
      <c r="U33" s="354">
        <f>S33*T33</f>
        <v>160000</v>
      </c>
      <c r="V33" s="346">
        <v>80</v>
      </c>
      <c r="W33" s="353">
        <v>4500</v>
      </c>
      <c r="X33" s="354">
        <f>V33*W33</f>
        <v>360000</v>
      </c>
      <c r="Y33" s="346">
        <v>5</v>
      </c>
      <c r="Z33" s="353">
        <v>2640</v>
      </c>
      <c r="AA33" s="354">
        <f>Y33*Z33</f>
        <v>13200</v>
      </c>
      <c r="AB33" s="425">
        <f>SUMIF($D$6:$AA$6,AB$6,$D33:$AA33)</f>
        <v>2345</v>
      </c>
      <c r="AC33" s="426">
        <f>IF(AB33=0,0,AD33/AB33)</f>
        <v>3725.6240938166311</v>
      </c>
      <c r="AD33" s="427">
        <f>SUMIF($D$6:$AA$6,AD$6,$D33:$AA33)</f>
        <v>8736588.5</v>
      </c>
      <c r="AE33" s="355">
        <v>1100</v>
      </c>
      <c r="AF33" s="356">
        <v>3100</v>
      </c>
      <c r="AG33" s="368">
        <f>AE33*AF33</f>
        <v>3410000</v>
      </c>
      <c r="AH33" s="355">
        <v>0</v>
      </c>
      <c r="AI33" s="356">
        <v>0</v>
      </c>
      <c r="AJ33" s="368">
        <f>AH33*AI33</f>
        <v>0</v>
      </c>
      <c r="AK33" s="355">
        <v>200</v>
      </c>
      <c r="AL33" s="356">
        <v>3000</v>
      </c>
      <c r="AM33" s="368">
        <f>AK33*AL33</f>
        <v>600000</v>
      </c>
      <c r="AN33" s="355">
        <v>350</v>
      </c>
      <c r="AO33" s="356">
        <v>3745</v>
      </c>
      <c r="AP33" s="368">
        <f>AN33*AO33</f>
        <v>1310750</v>
      </c>
      <c r="AQ33" s="355">
        <v>0</v>
      </c>
      <c r="AR33" s="356">
        <v>0</v>
      </c>
      <c r="AS33" s="368">
        <f>AQ33*AR33</f>
        <v>0</v>
      </c>
      <c r="AT33" s="448"/>
      <c r="AU33" s="56"/>
      <c r="AV33" s="43">
        <f>AT33*AU33</f>
        <v>0</v>
      </c>
      <c r="AW33" s="55"/>
      <c r="AX33" s="56"/>
      <c r="AY33" s="57">
        <f t="shared" si="43"/>
        <v>0</v>
      </c>
      <c r="AZ33" s="55"/>
      <c r="BA33" s="56"/>
      <c r="BB33" s="57">
        <f t="shared" si="44"/>
        <v>0</v>
      </c>
      <c r="BC33" s="55"/>
      <c r="BD33" s="56"/>
      <c r="BE33" s="57">
        <f t="shared" si="45"/>
        <v>0</v>
      </c>
      <c r="BF33" s="55"/>
      <c r="BG33" s="56"/>
      <c r="BH33" s="454">
        <f t="shared" si="46"/>
        <v>0</v>
      </c>
      <c r="BI33" s="458">
        <f>SUMIF($AE$6:$BH$6,BI$6,$AE33:$BH33)</f>
        <v>1650</v>
      </c>
      <c r="BJ33" s="459">
        <f t="shared" si="6"/>
        <v>3224.6969696969695</v>
      </c>
      <c r="BK33" s="460">
        <f>SUMIF($AE$6:$BH$6,BK$6,$AE33:$BH33)</f>
        <v>5320750</v>
      </c>
      <c r="BL33" s="458">
        <f>BI33+AB33</f>
        <v>3995</v>
      </c>
      <c r="BM33" s="459">
        <f t="shared" si="7"/>
        <v>3518.7330413016271</v>
      </c>
      <c r="BN33" s="460">
        <f>BK33+AD33</f>
        <v>14057338.5</v>
      </c>
      <c r="BP33" s="50">
        <f>261*31</f>
        <v>8091</v>
      </c>
      <c r="BQ33" s="61">
        <f t="shared" si="8"/>
        <v>0.49375849709553826</v>
      </c>
    </row>
    <row r="34" spans="1:69" x14ac:dyDescent="0.2">
      <c r="A34" s="39" t="e">
        <f>DATE(YEAR(A30),MONTH(A30)+2,1)-1</f>
        <v>#REF!</v>
      </c>
      <c r="B34" s="522"/>
      <c r="C34" s="62" t="s">
        <v>33</v>
      </c>
      <c r="D34" s="359">
        <v>164.96879999999999</v>
      </c>
      <c r="E34" s="360">
        <v>5630.5069000000003</v>
      </c>
      <c r="F34" s="361">
        <f>D34*E34</f>
        <v>928857.96668472001</v>
      </c>
      <c r="G34" s="359">
        <f>97+25+16</f>
        <v>138</v>
      </c>
      <c r="H34" s="360">
        <v>3198.1</v>
      </c>
      <c r="I34" s="361">
        <f>G34*H34</f>
        <v>441337.8</v>
      </c>
      <c r="J34" s="406">
        <f>25-25+234+20+17</f>
        <v>271</v>
      </c>
      <c r="K34" s="411">
        <v>2968.83</v>
      </c>
      <c r="L34" s="412">
        <f>J34*K34</f>
        <v>804552.92999999993</v>
      </c>
      <c r="M34" s="359">
        <f>507-16-234-20-17</f>
        <v>220</v>
      </c>
      <c r="N34" s="360">
        <v>3669.13</v>
      </c>
      <c r="O34" s="361">
        <f>M34*N34</f>
        <v>807208.6</v>
      </c>
      <c r="P34" s="359">
        <v>258</v>
      </c>
      <c r="Q34" s="360">
        <v>3537</v>
      </c>
      <c r="R34" s="361">
        <f>P34*Q34</f>
        <v>912546</v>
      </c>
      <c r="S34" s="359">
        <v>24</v>
      </c>
      <c r="T34" s="360">
        <v>3103</v>
      </c>
      <c r="U34" s="361">
        <f>S34*T34</f>
        <v>74472</v>
      </c>
      <c r="V34" s="359">
        <v>14</v>
      </c>
      <c r="W34" s="360">
        <v>4398</v>
      </c>
      <c r="X34" s="361">
        <f>V34*W34</f>
        <v>61572</v>
      </c>
      <c r="Y34" s="359">
        <v>1</v>
      </c>
      <c r="Z34" s="360">
        <v>2037</v>
      </c>
      <c r="AA34" s="361">
        <f>Y34*Z34</f>
        <v>2037</v>
      </c>
      <c r="AB34" s="432">
        <f>SUMIF($D$6:$AA$6,AB$6,$D34:$AA34)</f>
        <v>1090.9688000000001</v>
      </c>
      <c r="AC34" s="433">
        <f>IF(AB34=0,0,AD34/AB34)</f>
        <v>3696.3332926521084</v>
      </c>
      <c r="AD34" s="434">
        <f>SUMIF($D$6:$AA$6,AD$6,$D34:$AA34)</f>
        <v>4032584.2966847201</v>
      </c>
      <c r="AE34" s="349">
        <v>509.50689999999997</v>
      </c>
      <c r="AF34" s="350">
        <v>2764.5052000000001</v>
      </c>
      <c r="AG34" s="358">
        <f>AE34*AF34</f>
        <v>1408534.47448588</v>
      </c>
      <c r="AH34" s="349">
        <v>0</v>
      </c>
      <c r="AI34" s="350">
        <v>0</v>
      </c>
      <c r="AJ34" s="358">
        <f>AH34*AI34</f>
        <v>0</v>
      </c>
      <c r="AK34" s="349">
        <v>0</v>
      </c>
      <c r="AL34" s="350">
        <v>0</v>
      </c>
      <c r="AM34" s="358">
        <f>AK34*AL34</f>
        <v>0</v>
      </c>
      <c r="AN34" s="349">
        <v>334.52600000000001</v>
      </c>
      <c r="AO34" s="350">
        <v>3618.6559000000002</v>
      </c>
      <c r="AP34" s="358">
        <f>AN34*AO34</f>
        <v>1210534.4836034002</v>
      </c>
      <c r="AQ34" s="349">
        <v>0</v>
      </c>
      <c r="AR34" s="350">
        <v>0</v>
      </c>
      <c r="AS34" s="358">
        <f>AQ34*AR34</f>
        <v>0</v>
      </c>
      <c r="AT34" s="142"/>
      <c r="AU34" s="135"/>
      <c r="AV34" s="136">
        <f>AT34*AU34</f>
        <v>0</v>
      </c>
      <c r="AW34" s="64"/>
      <c r="AX34" s="65"/>
      <c r="AY34" s="63">
        <f t="shared" si="43"/>
        <v>0</v>
      </c>
      <c r="AZ34" s="64"/>
      <c r="BA34" s="65"/>
      <c r="BB34" s="63">
        <f t="shared" si="44"/>
        <v>0</v>
      </c>
      <c r="BC34" s="64"/>
      <c r="BD34" s="65"/>
      <c r="BE34" s="63">
        <f t="shared" si="45"/>
        <v>0</v>
      </c>
      <c r="BF34" s="64"/>
      <c r="BG34" s="65"/>
      <c r="BH34" s="455">
        <f t="shared" si="46"/>
        <v>0</v>
      </c>
      <c r="BI34" s="394">
        <f>SUMIF($AE$6:$BH$6,BI$6,$AE34:$BH34)</f>
        <v>844.03289999999993</v>
      </c>
      <c r="BJ34" s="395">
        <f t="shared" si="6"/>
        <v>3103.0413128318578</v>
      </c>
      <c r="BK34" s="396">
        <f>SUMIF($AE$6:$BH$6,BK$6,$AE34:$BH34)</f>
        <v>2619068.9580892799</v>
      </c>
      <c r="BL34" s="394">
        <f>BI34+AB34</f>
        <v>1935.0017</v>
      </c>
      <c r="BM34" s="395">
        <f t="shared" si="7"/>
        <v>3437.5438816275978</v>
      </c>
      <c r="BN34" s="396">
        <f>BK34+AD34</f>
        <v>6651653.2547740005</v>
      </c>
      <c r="BP34" s="50">
        <f>261*31</f>
        <v>8091</v>
      </c>
      <c r="BQ34" s="61">
        <f t="shared" si="8"/>
        <v>0.23915482635026572</v>
      </c>
    </row>
    <row r="35" spans="1:69" x14ac:dyDescent="0.2">
      <c r="A35" s="39"/>
      <c r="B35" s="520">
        <f>DATE(YEAR(B31),MONTH(B31)+2,1)-1</f>
        <v>244</v>
      </c>
      <c r="C35" s="24" t="s">
        <v>27</v>
      </c>
      <c r="D35" s="343">
        <f>(D36/D37)-1</f>
        <v>0.66199999999999992</v>
      </c>
      <c r="E35" s="344">
        <f>(E36/E37)-1</f>
        <v>-3.8000000000000034E-2</v>
      </c>
      <c r="F35" s="345">
        <f>(F36/F37)-1</f>
        <v>0.59884399999999993</v>
      </c>
      <c r="G35" s="343">
        <f t="shared" ref="G35:AS35" si="47">G36/G37-1</f>
        <v>-0.68787878787878787</v>
      </c>
      <c r="H35" s="382">
        <f t="shared" si="47"/>
        <v>0.10388849847739534</v>
      </c>
      <c r="I35" s="345">
        <f t="shared" si="47"/>
        <v>-0.65545298380857053</v>
      </c>
      <c r="J35" s="365">
        <v>0</v>
      </c>
      <c r="K35" s="390">
        <v>0</v>
      </c>
      <c r="L35" s="367">
        <v>0</v>
      </c>
      <c r="M35" s="343">
        <f t="shared" si="47"/>
        <v>-0.37272727272727268</v>
      </c>
      <c r="N35" s="382">
        <f t="shared" si="47"/>
        <v>4.0381766381766271E-2</v>
      </c>
      <c r="O35" s="345">
        <f t="shared" si="47"/>
        <v>-0.34739689199689205</v>
      </c>
      <c r="P35" s="343">
        <f t="shared" si="47"/>
        <v>2.6666666666666616E-2</v>
      </c>
      <c r="Q35" s="382">
        <f t="shared" si="47"/>
        <v>7.0461002412221863E-2</v>
      </c>
      <c r="R35" s="383">
        <f t="shared" si="47"/>
        <v>9.9006629143214342E-2</v>
      </c>
      <c r="S35" s="343">
        <f t="shared" si="47"/>
        <v>-0.5</v>
      </c>
      <c r="T35" s="382">
        <f t="shared" si="47"/>
        <v>0.30757575757575761</v>
      </c>
      <c r="U35" s="345">
        <f t="shared" si="47"/>
        <v>-0.34621212121212119</v>
      </c>
      <c r="V35" s="343">
        <f t="shared" si="47"/>
        <v>0.375</v>
      </c>
      <c r="W35" s="382">
        <f t="shared" si="47"/>
        <v>0.18865066999065139</v>
      </c>
      <c r="X35" s="345">
        <f t="shared" si="47"/>
        <v>0.63439467123714555</v>
      </c>
      <c r="Y35" s="343">
        <f t="shared" si="47"/>
        <v>-1</v>
      </c>
      <c r="Z35" s="382">
        <f t="shared" si="47"/>
        <v>-1</v>
      </c>
      <c r="AA35" s="345">
        <f t="shared" si="47"/>
        <v>-1</v>
      </c>
      <c r="AB35" s="422">
        <f t="shared" si="47"/>
        <v>-5.4972875226039775E-2</v>
      </c>
      <c r="AC35" s="423">
        <f t="shared" si="47"/>
        <v>9.5254011845389952E-2</v>
      </c>
      <c r="AD35" s="424">
        <f t="shared" si="47"/>
        <v>3.504474971139393E-2</v>
      </c>
      <c r="AE35" s="343">
        <f t="shared" si="47"/>
        <v>0.2962499999999999</v>
      </c>
      <c r="AF35" s="382">
        <f t="shared" si="47"/>
        <v>0.19916562500000001</v>
      </c>
      <c r="AG35" s="345">
        <f t="shared" si="47"/>
        <v>0.55441844140625007</v>
      </c>
      <c r="AH35" s="343">
        <v>0</v>
      </c>
      <c r="AI35" s="382">
        <v>0</v>
      </c>
      <c r="AJ35" s="345">
        <v>0</v>
      </c>
      <c r="AK35" s="343">
        <f t="shared" si="47"/>
        <v>0.21333333333333337</v>
      </c>
      <c r="AL35" s="382">
        <f t="shared" si="47"/>
        <v>0.26263571428571431</v>
      </c>
      <c r="AM35" s="345">
        <f t="shared" si="47"/>
        <v>0.53199800000000019</v>
      </c>
      <c r="AN35" s="343">
        <f t="shared" si="47"/>
        <v>-0.44799999999999995</v>
      </c>
      <c r="AO35" s="382">
        <f t="shared" si="47"/>
        <v>0.16363343533580288</v>
      </c>
      <c r="AP35" s="345">
        <f t="shared" si="47"/>
        <v>-0.3576743436946368</v>
      </c>
      <c r="AQ35" s="343">
        <f t="shared" si="47"/>
        <v>-1</v>
      </c>
      <c r="AR35" s="382">
        <f t="shared" si="47"/>
        <v>-1</v>
      </c>
      <c r="AS35" s="345">
        <f t="shared" si="47"/>
        <v>-1</v>
      </c>
      <c r="AT35" s="33"/>
      <c r="AU35" s="33"/>
      <c r="AV35" s="34"/>
      <c r="AW35" s="35"/>
      <c r="AX35" s="33"/>
      <c r="AY35" s="34"/>
      <c r="AZ35" s="35"/>
      <c r="BA35" s="33"/>
      <c r="BB35" s="34"/>
      <c r="BC35" s="35"/>
      <c r="BD35" s="33"/>
      <c r="BE35" s="34"/>
      <c r="BF35" s="35"/>
      <c r="BG35" s="33"/>
      <c r="BH35" s="453"/>
      <c r="BI35" s="343">
        <f t="shared" ref="BI35:BM35" si="48">BI36/BI37-1</f>
        <v>0.12013422818791941</v>
      </c>
      <c r="BJ35" s="382">
        <f t="shared" si="48"/>
        <v>0.23206156540471889</v>
      </c>
      <c r="BK35" s="345">
        <f t="shared" si="48"/>
        <v>0.38007433064461482</v>
      </c>
      <c r="BL35" s="467">
        <f t="shared" si="48"/>
        <v>6.3454759106933434E-3</v>
      </c>
      <c r="BM35" s="382">
        <f t="shared" si="48"/>
        <v>0.12782615800891017</v>
      </c>
      <c r="BN35" s="424">
        <f t="shared" ref="BN35" si="49">BN36/BN37-1</f>
        <v>0.1349827517260056</v>
      </c>
      <c r="BO35" s="75"/>
      <c r="BP35" s="50"/>
      <c r="BQ35" s="51"/>
    </row>
    <row r="36" spans="1:69" x14ac:dyDescent="0.2">
      <c r="A36" s="39" t="e">
        <f>DATE(YEAR(A32),MONTH(A32)+2,1)-1</f>
        <v>#REF!</v>
      </c>
      <c r="B36" s="521"/>
      <c r="C36" s="40" t="s">
        <v>29</v>
      </c>
      <c r="D36" s="346">
        <v>831</v>
      </c>
      <c r="E36" s="353">
        <v>5291</v>
      </c>
      <c r="F36" s="354">
        <f>D36*E36</f>
        <v>4396821</v>
      </c>
      <c r="G36" s="346">
        <v>103</v>
      </c>
      <c r="H36" s="353">
        <v>4147</v>
      </c>
      <c r="I36" s="354">
        <f>G36*H36</f>
        <v>427141</v>
      </c>
      <c r="J36" s="346">
        <v>188</v>
      </c>
      <c r="K36" s="353">
        <v>3657</v>
      </c>
      <c r="L36" s="354">
        <f>J36*K36</f>
        <v>687516</v>
      </c>
      <c r="M36" s="346">
        <f>439+251</f>
        <v>690</v>
      </c>
      <c r="N36" s="353">
        <v>3651.74</v>
      </c>
      <c r="O36" s="354">
        <f>M36*N36</f>
        <v>2519700.5999999996</v>
      </c>
      <c r="P36" s="346">
        <f>867-251</f>
        <v>616</v>
      </c>
      <c r="Q36" s="353">
        <v>3993.89</v>
      </c>
      <c r="R36" s="354">
        <f>P36*Q36</f>
        <v>2460236.2399999998</v>
      </c>
      <c r="S36" s="346">
        <v>75</v>
      </c>
      <c r="T36" s="353">
        <v>4315</v>
      </c>
      <c r="U36" s="354">
        <f>S36*T36</f>
        <v>323625</v>
      </c>
      <c r="V36" s="346">
        <f>29+81</f>
        <v>110</v>
      </c>
      <c r="W36" s="353">
        <v>3814.38</v>
      </c>
      <c r="X36" s="354">
        <f>V36*W36</f>
        <v>419581.8</v>
      </c>
      <c r="Y36" s="346">
        <v>0</v>
      </c>
      <c r="Z36" s="353">
        <v>0</v>
      </c>
      <c r="AA36" s="354">
        <f>Y36*Z36</f>
        <v>0</v>
      </c>
      <c r="AB36" s="425">
        <f>SUMIF($D$6:$AA$6,AB$6,$D36:$AA36)</f>
        <v>2613</v>
      </c>
      <c r="AC36" s="426">
        <f>IF(AB36=0,0,AD36/AB36)</f>
        <v>4299.5107692307693</v>
      </c>
      <c r="AD36" s="427">
        <f>SUMIF($D$6:$AA$6,AD$6,$D36:$AA36)</f>
        <v>11234621.640000001</v>
      </c>
      <c r="AE36" s="355">
        <f>1094-57</f>
        <v>1037</v>
      </c>
      <c r="AF36" s="356">
        <v>3837.33</v>
      </c>
      <c r="AG36" s="368">
        <f>AE36*AF36</f>
        <v>3979311.21</v>
      </c>
      <c r="AH36" s="355">
        <f>132-93</f>
        <v>39</v>
      </c>
      <c r="AI36" s="356">
        <v>3111.33</v>
      </c>
      <c r="AJ36" s="368">
        <f>AH36*AI36</f>
        <v>121341.87</v>
      </c>
      <c r="AK36" s="355">
        <f>305+93+3+54</f>
        <v>455</v>
      </c>
      <c r="AL36" s="356">
        <v>3535.38</v>
      </c>
      <c r="AM36" s="368">
        <f>AK36*AL36</f>
        <v>1608597.9000000001</v>
      </c>
      <c r="AN36" s="355">
        <v>138</v>
      </c>
      <c r="AO36" s="356">
        <v>2890</v>
      </c>
      <c r="AP36" s="368">
        <f>AN36*AO36</f>
        <v>398820</v>
      </c>
      <c r="AQ36" s="355">
        <v>0</v>
      </c>
      <c r="AR36" s="356">
        <v>0</v>
      </c>
      <c r="AS36" s="368">
        <f>AQ36*AR36</f>
        <v>0</v>
      </c>
      <c r="AT36" s="448"/>
      <c r="AU36" s="56"/>
      <c r="AV36" s="43">
        <f>AT36*AU36</f>
        <v>0</v>
      </c>
      <c r="AW36" s="49"/>
      <c r="AX36" s="42"/>
      <c r="AY36" s="43">
        <f t="shared" ref="AY36:AY38" si="50">AW36*AX36</f>
        <v>0</v>
      </c>
      <c r="AZ36" s="49"/>
      <c r="BA36" s="42"/>
      <c r="BB36" s="43">
        <f t="shared" ref="BB36:BB38" si="51">AZ36*BA36</f>
        <v>0</v>
      </c>
      <c r="BC36" s="49"/>
      <c r="BD36" s="42"/>
      <c r="BE36" s="43">
        <f t="shared" ref="BE36:BE38" si="52">BC36*BD36</f>
        <v>0</v>
      </c>
      <c r="BF36" s="49"/>
      <c r="BG36" s="42"/>
      <c r="BH36" s="133">
        <f t="shared" ref="BH36:BH38" si="53">BF36*BG36</f>
        <v>0</v>
      </c>
      <c r="BI36" s="392">
        <f>SUMIF($AE$6:$BH$6,BI$6,$AE36:$BH36)</f>
        <v>1669</v>
      </c>
      <c r="BJ36" s="393">
        <f t="shared" si="6"/>
        <v>3659.7189814260037</v>
      </c>
      <c r="BK36" s="377">
        <f>SUMIF($AE$6:$BH$6,BK$6,$AE36:$BH36)</f>
        <v>6108070.9800000004</v>
      </c>
      <c r="BL36" s="392">
        <f>BI36+AB36</f>
        <v>4282</v>
      </c>
      <c r="BM36" s="393">
        <f t="shared" si="7"/>
        <v>4050.138397944886</v>
      </c>
      <c r="BN36" s="377">
        <f>BK36+AD36</f>
        <v>17342692.620000001</v>
      </c>
      <c r="BP36" s="50">
        <f>261*31</f>
        <v>8091</v>
      </c>
      <c r="BQ36" s="51">
        <f t="shared" si="8"/>
        <v>0.5292300086515882</v>
      </c>
    </row>
    <row r="37" spans="1:69" x14ac:dyDescent="0.2">
      <c r="A37" s="39" t="e">
        <f>DATE(YEAR(A33),MONTH(A33)+2,1)-1</f>
        <v>#REF!</v>
      </c>
      <c r="B37" s="521"/>
      <c r="C37" s="52" t="s">
        <v>30</v>
      </c>
      <c r="D37" s="346">
        <v>500</v>
      </c>
      <c r="E37" s="353">
        <v>5500</v>
      </c>
      <c r="F37" s="354">
        <f>D37*E37</f>
        <v>2750000</v>
      </c>
      <c r="G37" s="346">
        <f>230+100</f>
        <v>330</v>
      </c>
      <c r="H37" s="353">
        <v>3756.72</v>
      </c>
      <c r="I37" s="354">
        <f>G37*H37</f>
        <v>1239717.5999999999</v>
      </c>
      <c r="J37" s="346">
        <f>100-100</f>
        <v>0</v>
      </c>
      <c r="K37" s="353"/>
      <c r="L37" s="354">
        <f>J37*K37</f>
        <v>0</v>
      </c>
      <c r="M37" s="346">
        <v>1100</v>
      </c>
      <c r="N37" s="353">
        <v>3510</v>
      </c>
      <c r="O37" s="354">
        <f>M37*N37</f>
        <v>3861000</v>
      </c>
      <c r="P37" s="346">
        <v>600</v>
      </c>
      <c r="Q37" s="353">
        <v>3731</v>
      </c>
      <c r="R37" s="354">
        <f>P37*Q37</f>
        <v>2238600</v>
      </c>
      <c r="S37" s="346">
        <v>150</v>
      </c>
      <c r="T37" s="353">
        <v>3300</v>
      </c>
      <c r="U37" s="354">
        <f>S37*T37</f>
        <v>495000</v>
      </c>
      <c r="V37" s="346">
        <v>80</v>
      </c>
      <c r="W37" s="353">
        <v>3209</v>
      </c>
      <c r="X37" s="354">
        <f>V37*W37</f>
        <v>256720</v>
      </c>
      <c r="Y37" s="346">
        <v>5</v>
      </c>
      <c r="Z37" s="353">
        <v>2640</v>
      </c>
      <c r="AA37" s="354">
        <f>Y37*Z37</f>
        <v>13200</v>
      </c>
      <c r="AB37" s="425">
        <f>SUMIF($D$6:$AA$6,AB$6,$D37:$AA37)</f>
        <v>2765</v>
      </c>
      <c r="AC37" s="426">
        <f>IF(AB37=0,0,AD37/AB37)</f>
        <v>3925.5832188065096</v>
      </c>
      <c r="AD37" s="427">
        <f>SUMIF($D$6:$AA$6,AD$6,$D37:$AA37)</f>
        <v>10854237.6</v>
      </c>
      <c r="AE37" s="355">
        <v>800</v>
      </c>
      <c r="AF37" s="356">
        <v>3200</v>
      </c>
      <c r="AG37" s="368">
        <f>AE37*AF37</f>
        <v>2560000</v>
      </c>
      <c r="AH37" s="355">
        <v>0</v>
      </c>
      <c r="AI37" s="356">
        <v>0</v>
      </c>
      <c r="AJ37" s="368">
        <f>AH37*AI37</f>
        <v>0</v>
      </c>
      <c r="AK37" s="355">
        <v>375</v>
      </c>
      <c r="AL37" s="356">
        <v>2800</v>
      </c>
      <c r="AM37" s="368">
        <f>AK37*AL37</f>
        <v>1050000</v>
      </c>
      <c r="AN37" s="355">
        <v>250</v>
      </c>
      <c r="AO37" s="356">
        <v>2483.6</v>
      </c>
      <c r="AP37" s="368">
        <f>AN37*AO37</f>
        <v>620900</v>
      </c>
      <c r="AQ37" s="355">
        <v>65</v>
      </c>
      <c r="AR37" s="356">
        <v>3000</v>
      </c>
      <c r="AS37" s="368">
        <f>AQ37*AR37</f>
        <v>195000</v>
      </c>
      <c r="AT37" s="448"/>
      <c r="AU37" s="56"/>
      <c r="AV37" s="43">
        <f>AT37*AU37</f>
        <v>0</v>
      </c>
      <c r="AW37" s="55"/>
      <c r="AX37" s="56"/>
      <c r="AY37" s="57">
        <f t="shared" si="50"/>
        <v>0</v>
      </c>
      <c r="AZ37" s="55"/>
      <c r="BA37" s="56"/>
      <c r="BB37" s="57">
        <f t="shared" si="51"/>
        <v>0</v>
      </c>
      <c r="BC37" s="55"/>
      <c r="BD37" s="56"/>
      <c r="BE37" s="57">
        <f t="shared" si="52"/>
        <v>0</v>
      </c>
      <c r="BF37" s="55"/>
      <c r="BG37" s="56"/>
      <c r="BH37" s="454">
        <f t="shared" si="53"/>
        <v>0</v>
      </c>
      <c r="BI37" s="458">
        <f>SUMIF($AE$6:$BH$6,BI$6,$AE37:$BH37)</f>
        <v>1490</v>
      </c>
      <c r="BJ37" s="459">
        <f t="shared" si="6"/>
        <v>2970.4026845637586</v>
      </c>
      <c r="BK37" s="460">
        <f>SUMIF($AE$6:$BH$6,BK$6,$AE37:$BH37)</f>
        <v>4425900</v>
      </c>
      <c r="BL37" s="458">
        <f>BI37+AB37</f>
        <v>4255</v>
      </c>
      <c r="BM37" s="459">
        <f t="shared" si="7"/>
        <v>3591.1016686251469</v>
      </c>
      <c r="BN37" s="460">
        <f>BK37+AD37</f>
        <v>15280137.6</v>
      </c>
      <c r="BP37" s="50">
        <f>261*31</f>
        <v>8091</v>
      </c>
      <c r="BQ37" s="61">
        <f t="shared" si="8"/>
        <v>0.52589296749474723</v>
      </c>
    </row>
    <row r="38" spans="1:69" x14ac:dyDescent="0.2">
      <c r="A38" s="39" t="e">
        <f>DATE(YEAR(A34),MONTH(A34)+2,1)-1</f>
        <v>#REF!</v>
      </c>
      <c r="B38" s="522"/>
      <c r="C38" s="62" t="s">
        <v>33</v>
      </c>
      <c r="D38" s="362">
        <v>266</v>
      </c>
      <c r="E38" s="363">
        <v>5784.4268000000002</v>
      </c>
      <c r="F38" s="364">
        <f>D38*E38</f>
        <v>1538657.5288</v>
      </c>
      <c r="G38" s="362">
        <f>70+49+13</f>
        <v>132</v>
      </c>
      <c r="H38" s="363">
        <v>3461.94</v>
      </c>
      <c r="I38" s="364">
        <f>G38*H38</f>
        <v>456976.08</v>
      </c>
      <c r="J38" s="403">
        <f>49-49+315</f>
        <v>315</v>
      </c>
      <c r="K38" s="363">
        <v>3029.62</v>
      </c>
      <c r="L38" s="364">
        <f>J38*K38</f>
        <v>954330.29999999993</v>
      </c>
      <c r="M38" s="362">
        <f>496-13-315</f>
        <v>168</v>
      </c>
      <c r="N38" s="363">
        <v>3018.86</v>
      </c>
      <c r="O38" s="364">
        <f>M38*N38</f>
        <v>507168.48000000004</v>
      </c>
      <c r="P38" s="362">
        <v>361</v>
      </c>
      <c r="Q38" s="363">
        <v>3576</v>
      </c>
      <c r="R38" s="364">
        <f>P38*Q38</f>
        <v>1290936</v>
      </c>
      <c r="S38" s="362">
        <v>19</v>
      </c>
      <c r="T38" s="363">
        <v>3302</v>
      </c>
      <c r="U38" s="364">
        <f>S38*T38</f>
        <v>62738</v>
      </c>
      <c r="V38" s="362">
        <v>12</v>
      </c>
      <c r="W38" s="363">
        <v>4093</v>
      </c>
      <c r="X38" s="364">
        <f>V38*W38</f>
        <v>49116</v>
      </c>
      <c r="Y38" s="362">
        <v>2</v>
      </c>
      <c r="Z38" s="363">
        <v>2037</v>
      </c>
      <c r="AA38" s="364">
        <f>Y38*Z38</f>
        <v>4074</v>
      </c>
      <c r="AB38" s="435">
        <f>SUMIF($D$6:$AA$6,AB$6,$D38:$AA38)</f>
        <v>1275</v>
      </c>
      <c r="AC38" s="436">
        <f>IF(AB38=0,0,AD38/AB38)</f>
        <v>3814.899128470588</v>
      </c>
      <c r="AD38" s="437">
        <f>SUMIF($D$6:$AA$6,AD$6,$D38:$AA38)</f>
        <v>4863996.3887999998</v>
      </c>
      <c r="AE38" s="369">
        <v>193</v>
      </c>
      <c r="AF38" s="370">
        <v>3371.4834999999998</v>
      </c>
      <c r="AG38" s="371">
        <f>AE38*AF38</f>
        <v>650696.31549999991</v>
      </c>
      <c r="AH38" s="369">
        <v>0</v>
      </c>
      <c r="AI38" s="370">
        <v>0</v>
      </c>
      <c r="AJ38" s="371">
        <f>AH38*AI38</f>
        <v>0</v>
      </c>
      <c r="AK38" s="369">
        <v>0</v>
      </c>
      <c r="AL38" s="370">
        <v>0</v>
      </c>
      <c r="AM38" s="371">
        <f>AK38*AL38</f>
        <v>0</v>
      </c>
      <c r="AN38" s="369">
        <v>17</v>
      </c>
      <c r="AO38" s="370">
        <v>2692.4324999999999</v>
      </c>
      <c r="AP38" s="371">
        <f>AN38*AO38</f>
        <v>45771.352500000001</v>
      </c>
      <c r="AQ38" s="369">
        <v>20</v>
      </c>
      <c r="AR38" s="370">
        <v>4667.4233999999997</v>
      </c>
      <c r="AS38" s="371">
        <f>AQ38*AR38</f>
        <v>93348.467999999993</v>
      </c>
      <c r="AT38" s="204"/>
      <c r="AU38" s="197"/>
      <c r="AV38" s="198">
        <f>AT38*AU38</f>
        <v>0</v>
      </c>
      <c r="AW38" s="64"/>
      <c r="AX38" s="65"/>
      <c r="AY38" s="63">
        <f t="shared" si="50"/>
        <v>0</v>
      </c>
      <c r="AZ38" s="64"/>
      <c r="BA38" s="65"/>
      <c r="BB38" s="63">
        <f t="shared" si="51"/>
        <v>0</v>
      </c>
      <c r="BC38" s="64"/>
      <c r="BD38" s="65"/>
      <c r="BE38" s="63">
        <f t="shared" si="52"/>
        <v>0</v>
      </c>
      <c r="BF38" s="64"/>
      <c r="BG38" s="65"/>
      <c r="BH38" s="455">
        <f t="shared" si="53"/>
        <v>0</v>
      </c>
      <c r="BI38" s="394">
        <f>SUMIF($AE$6:$BH$6,BI$6,$AE38:$BH38)</f>
        <v>230</v>
      </c>
      <c r="BJ38" s="395">
        <f t="shared" si="6"/>
        <v>3433.9831999999997</v>
      </c>
      <c r="BK38" s="396">
        <f>SUMIF($AE$6:$BH$6,BK$6,$AE38:$BH38)</f>
        <v>789816.13599999994</v>
      </c>
      <c r="BL38" s="394">
        <f>BI38+AB38</f>
        <v>1505</v>
      </c>
      <c r="BM38" s="395">
        <f t="shared" si="7"/>
        <v>3756.686062990033</v>
      </c>
      <c r="BN38" s="396">
        <f>BK38+AD38</f>
        <v>5653812.5247999998</v>
      </c>
      <c r="BP38" s="50">
        <f>261*31</f>
        <v>8091</v>
      </c>
      <c r="BQ38" s="61">
        <f t="shared" si="8"/>
        <v>0.1860091459646521</v>
      </c>
    </row>
    <row r="39" spans="1:69" x14ac:dyDescent="0.2">
      <c r="A39" s="39"/>
      <c r="B39" s="521">
        <f>DATE(YEAR(B35),MONTH(B35)+2,1)-1</f>
        <v>274</v>
      </c>
      <c r="C39" s="78" t="s">
        <v>27</v>
      </c>
      <c r="D39" s="365">
        <f>(D40/D41)-1</f>
        <v>0.26216216216216215</v>
      </c>
      <c r="E39" s="366">
        <f>(E40/E41)-1</f>
        <v>0.12254545454545451</v>
      </c>
      <c r="F39" s="367">
        <f>(F40/F41)-1</f>
        <v>0.41683439803439803</v>
      </c>
      <c r="G39" s="365">
        <f t="shared" ref="G39:AS39" si="54">G40/G41-1</f>
        <v>-0.56052631578947376</v>
      </c>
      <c r="H39" s="390">
        <f t="shared" si="54"/>
        <v>3.5976325256927844E-3</v>
      </c>
      <c r="I39" s="367">
        <f t="shared" si="54"/>
        <v>-0.55894525096897185</v>
      </c>
      <c r="J39" s="365">
        <v>0</v>
      </c>
      <c r="K39" s="382">
        <v>0</v>
      </c>
      <c r="L39" s="367">
        <v>0</v>
      </c>
      <c r="M39" s="365">
        <f t="shared" si="54"/>
        <v>-0.40659340659340659</v>
      </c>
      <c r="N39" s="390">
        <f t="shared" si="54"/>
        <v>0.1355421686746987</v>
      </c>
      <c r="O39" s="367">
        <f t="shared" si="54"/>
        <v>-0.32616179001721168</v>
      </c>
      <c r="P39" s="365">
        <f t="shared" si="54"/>
        <v>0.38888888888888884</v>
      </c>
      <c r="Q39" s="390">
        <f t="shared" si="54"/>
        <v>7.3253333333333392E-2</v>
      </c>
      <c r="R39" s="416">
        <f t="shared" si="54"/>
        <v>0.49062962962962953</v>
      </c>
      <c r="S39" s="365">
        <f t="shared" si="54"/>
        <v>-0.55000000000000004</v>
      </c>
      <c r="T39" s="390">
        <f t="shared" si="54"/>
        <v>-8.794520547945206E-2</v>
      </c>
      <c r="U39" s="367">
        <f t="shared" si="54"/>
        <v>-0.58957534246575349</v>
      </c>
      <c r="V39" s="365">
        <f t="shared" si="54"/>
        <v>-0.44666666666666666</v>
      </c>
      <c r="W39" s="390">
        <f t="shared" si="54"/>
        <v>0.32960235640648006</v>
      </c>
      <c r="X39" s="367">
        <f t="shared" si="54"/>
        <v>-0.26428669612174771</v>
      </c>
      <c r="Y39" s="365">
        <f t="shared" si="54"/>
        <v>-1</v>
      </c>
      <c r="Z39" s="390">
        <f t="shared" si="54"/>
        <v>-1</v>
      </c>
      <c r="AA39" s="367">
        <f t="shared" si="54"/>
        <v>-1</v>
      </c>
      <c r="AB39" s="438">
        <f t="shared" si="54"/>
        <v>-0.1415384615384615</v>
      </c>
      <c r="AC39" s="439">
        <f t="shared" si="54"/>
        <v>0.15150665857483192</v>
      </c>
      <c r="AD39" s="440">
        <f t="shared" si="54"/>
        <v>-1.1475822331144414E-2</v>
      </c>
      <c r="AE39" s="365">
        <f t="shared" si="54"/>
        <v>-0.42214285714285715</v>
      </c>
      <c r="AF39" s="390">
        <f t="shared" si="54"/>
        <v>0.14411764705882346</v>
      </c>
      <c r="AG39" s="367">
        <f t="shared" si="54"/>
        <v>-0.33886344537815127</v>
      </c>
      <c r="AH39" s="365">
        <f t="shared" si="54"/>
        <v>5.0199999999999996</v>
      </c>
      <c r="AI39" s="390">
        <f t="shared" si="54"/>
        <v>-0.17552631578947364</v>
      </c>
      <c r="AJ39" s="367">
        <f t="shared" si="54"/>
        <v>3.9633315789473684</v>
      </c>
      <c r="AK39" s="365">
        <f t="shared" si="54"/>
        <v>-0.6333333333333333</v>
      </c>
      <c r="AL39" s="390">
        <f t="shared" si="54"/>
        <v>-3.0378064983693664E-2</v>
      </c>
      <c r="AM39" s="367">
        <f t="shared" si="54"/>
        <v>-0.64447195716068761</v>
      </c>
      <c r="AN39" s="365">
        <f t="shared" si="54"/>
        <v>-1</v>
      </c>
      <c r="AO39" s="390">
        <f t="shared" si="54"/>
        <v>-1</v>
      </c>
      <c r="AP39" s="367">
        <f t="shared" si="54"/>
        <v>-1</v>
      </c>
      <c r="AQ39" s="365">
        <f t="shared" si="54"/>
        <v>-0.47</v>
      </c>
      <c r="AR39" s="390">
        <f t="shared" si="54"/>
        <v>0.23599999999999999</v>
      </c>
      <c r="AS39" s="367">
        <f t="shared" si="54"/>
        <v>-0.34492</v>
      </c>
      <c r="AT39" s="86"/>
      <c r="AU39" s="86"/>
      <c r="AV39" s="87"/>
      <c r="AW39" s="88"/>
      <c r="AX39" s="86"/>
      <c r="AY39" s="87"/>
      <c r="AZ39" s="88"/>
      <c r="BA39" s="86"/>
      <c r="BB39" s="87"/>
      <c r="BC39" s="88"/>
      <c r="BD39" s="86"/>
      <c r="BE39" s="87"/>
      <c r="BF39" s="88"/>
      <c r="BG39" s="86"/>
      <c r="BH39" s="100"/>
      <c r="BI39" s="365">
        <f t="shared" ref="BI39:BM39" si="55">BI40/BI41-1</f>
        <v>-0.27123287671232876</v>
      </c>
      <c r="BJ39" s="390">
        <f t="shared" si="55"/>
        <v>5.5990908510329618E-2</v>
      </c>
      <c r="BK39" s="367">
        <f t="shared" si="55"/>
        <v>-0.23042854338699259</v>
      </c>
      <c r="BL39" s="468">
        <f t="shared" si="55"/>
        <v>-0.20515117581187015</v>
      </c>
      <c r="BM39" s="390">
        <f t="shared" si="55"/>
        <v>0.11807614269905353</v>
      </c>
      <c r="BN39" s="440">
        <f t="shared" ref="BN39" si="56">BN40/BN41-1</f>
        <v>-0.11129849262285763</v>
      </c>
      <c r="BO39" s="75"/>
      <c r="BP39" s="50"/>
      <c r="BQ39" s="51"/>
    </row>
    <row r="40" spans="1:69" x14ac:dyDescent="0.2">
      <c r="A40" s="39" t="e">
        <f>DATE(YEAR(A36),MONTH(A36)+2,1)-1</f>
        <v>#REF!</v>
      </c>
      <c r="B40" s="521"/>
      <c r="C40" s="40" t="s">
        <v>29</v>
      </c>
      <c r="D40" s="346">
        <v>467</v>
      </c>
      <c r="E40" s="353">
        <v>6174</v>
      </c>
      <c r="F40" s="354">
        <f>D40*E40</f>
        <v>2883258</v>
      </c>
      <c r="G40" s="346">
        <v>167</v>
      </c>
      <c r="H40" s="353">
        <v>3891.5</v>
      </c>
      <c r="I40" s="354">
        <f>G40*H40</f>
        <v>649880.5</v>
      </c>
      <c r="J40" s="346">
        <v>151</v>
      </c>
      <c r="K40" s="353">
        <v>3713.6</v>
      </c>
      <c r="L40" s="354">
        <f>J40*K40</f>
        <v>560753.6</v>
      </c>
      <c r="M40" s="346">
        <v>540</v>
      </c>
      <c r="N40" s="353">
        <v>3770</v>
      </c>
      <c r="O40" s="354">
        <f>M40*N40</f>
        <v>2035800</v>
      </c>
      <c r="P40" s="346">
        <v>500</v>
      </c>
      <c r="Q40" s="353">
        <v>4024.7</v>
      </c>
      <c r="R40" s="354">
        <f>P40*Q40</f>
        <v>2012350</v>
      </c>
      <c r="S40" s="346">
        <v>45</v>
      </c>
      <c r="T40" s="353">
        <v>3329</v>
      </c>
      <c r="U40" s="354">
        <f>S40*T40</f>
        <v>149805</v>
      </c>
      <c r="V40" s="346">
        <v>83</v>
      </c>
      <c r="W40" s="353">
        <v>4514</v>
      </c>
      <c r="X40" s="354">
        <f>V40*W40</f>
        <v>374662</v>
      </c>
      <c r="Y40" s="346"/>
      <c r="Z40" s="353"/>
      <c r="AA40" s="354">
        <f>Y40*Z40</f>
        <v>0</v>
      </c>
      <c r="AB40" s="425">
        <f>SUMIF($D$6:$AA$6,AB$6,$D40:$AA40)</f>
        <v>1953</v>
      </c>
      <c r="AC40" s="426">
        <f>IF(AB40=0,0,AD40/AB40)</f>
        <v>4437.536661546339</v>
      </c>
      <c r="AD40" s="427">
        <f>SUMIF($D$6:$AA$6,AD$6,$D40:$AA40)</f>
        <v>8666509.0999999996</v>
      </c>
      <c r="AE40" s="346">
        <v>809</v>
      </c>
      <c r="AF40" s="353">
        <v>3890</v>
      </c>
      <c r="AG40" s="354">
        <f>AE40*AF40</f>
        <v>3147010</v>
      </c>
      <c r="AH40" s="346">
        <v>602</v>
      </c>
      <c r="AI40" s="353">
        <v>3133</v>
      </c>
      <c r="AJ40" s="354">
        <f>AH40*AI40</f>
        <v>1886066</v>
      </c>
      <c r="AK40" s="346">
        <v>132</v>
      </c>
      <c r="AL40" s="353">
        <v>3211</v>
      </c>
      <c r="AM40" s="354">
        <f>AK40*AL40</f>
        <v>423852</v>
      </c>
      <c r="AN40" s="346">
        <v>0</v>
      </c>
      <c r="AO40" s="353">
        <v>0</v>
      </c>
      <c r="AP40" s="354">
        <f>AN40*AO40</f>
        <v>0</v>
      </c>
      <c r="AQ40" s="346">
        <v>53</v>
      </c>
      <c r="AR40" s="353">
        <v>3708</v>
      </c>
      <c r="AS40" s="354">
        <f>AQ40*AR40</f>
        <v>196524</v>
      </c>
      <c r="AT40" s="448"/>
      <c r="AU40" s="56"/>
      <c r="AV40" s="43">
        <f>AT40*AU40</f>
        <v>0</v>
      </c>
      <c r="AW40" s="49"/>
      <c r="AX40" s="42"/>
      <c r="AY40" s="43">
        <f t="shared" ref="AY40:AY42" si="57">AW40*AX40</f>
        <v>0</v>
      </c>
      <c r="AZ40" s="49"/>
      <c r="BA40" s="42"/>
      <c r="BB40" s="43">
        <f t="shared" ref="BB40:BB42" si="58">AZ40*BA40</f>
        <v>0</v>
      </c>
      <c r="BC40" s="49"/>
      <c r="BD40" s="42"/>
      <c r="BE40" s="43">
        <f t="shared" ref="BE40:BE42" si="59">BC40*BD40</f>
        <v>0</v>
      </c>
      <c r="BF40" s="49"/>
      <c r="BG40" s="42"/>
      <c r="BH40" s="133">
        <f t="shared" ref="BH40:BH42" si="60">BF40*BG40</f>
        <v>0</v>
      </c>
      <c r="BI40" s="392">
        <f>SUMIF($AE$6:$BH$6,BI$6,$AE40:$BH40)</f>
        <v>1596</v>
      </c>
      <c r="BJ40" s="393">
        <f t="shared" ref="BJ40:BJ42" si="61">IF(BI40=0,0,BK40/BI40)</f>
        <v>3542.2631578947367</v>
      </c>
      <c r="BK40" s="377">
        <f>SUMIF($AE$6:$BH$6,BK$6,$AE40:$BH40)</f>
        <v>5653452</v>
      </c>
      <c r="BL40" s="392">
        <f>BI40+AB40</f>
        <v>3549</v>
      </c>
      <c r="BM40" s="393">
        <f t="shared" si="7"/>
        <v>4034.9284587207662</v>
      </c>
      <c r="BN40" s="377">
        <f>BK40+AD40</f>
        <v>14319961.1</v>
      </c>
      <c r="BP40" s="50">
        <f>261*30</f>
        <v>7830</v>
      </c>
      <c r="BQ40" s="51">
        <f t="shared" si="8"/>
        <v>0.45325670498084292</v>
      </c>
    </row>
    <row r="41" spans="1:69" x14ac:dyDescent="0.2">
      <c r="A41" s="39" t="e">
        <f>DATE(YEAR(A37),MONTH(A37)+2,1)-1</f>
        <v>#REF!</v>
      </c>
      <c r="B41" s="521"/>
      <c r="C41" s="52" t="s">
        <v>30</v>
      </c>
      <c r="D41" s="346">
        <v>370</v>
      </c>
      <c r="E41" s="353">
        <v>5500</v>
      </c>
      <c r="F41" s="354">
        <f>D41*E41</f>
        <v>2035000</v>
      </c>
      <c r="G41" s="346">
        <f>250+130</f>
        <v>380</v>
      </c>
      <c r="H41" s="353">
        <v>3877.55</v>
      </c>
      <c r="I41" s="354">
        <f>G41*H41</f>
        <v>1473469</v>
      </c>
      <c r="J41" s="346">
        <f>130-130</f>
        <v>0</v>
      </c>
      <c r="K41" s="353"/>
      <c r="L41" s="354">
        <f>J41*K41</f>
        <v>0</v>
      </c>
      <c r="M41" s="346">
        <v>910</v>
      </c>
      <c r="N41" s="353">
        <v>3320</v>
      </c>
      <c r="O41" s="354">
        <f>M41*N41</f>
        <v>3021200</v>
      </c>
      <c r="P41" s="346">
        <v>360</v>
      </c>
      <c r="Q41" s="353">
        <v>3750</v>
      </c>
      <c r="R41" s="354">
        <f>P41*Q41</f>
        <v>1350000</v>
      </c>
      <c r="S41" s="346">
        <v>100</v>
      </c>
      <c r="T41" s="353">
        <v>3650</v>
      </c>
      <c r="U41" s="354">
        <f>S41*T41</f>
        <v>365000</v>
      </c>
      <c r="V41" s="346">
        <v>150</v>
      </c>
      <c r="W41" s="353">
        <v>3395</v>
      </c>
      <c r="X41" s="354">
        <f>V41*W41</f>
        <v>509250</v>
      </c>
      <c r="Y41" s="346">
        <v>5</v>
      </c>
      <c r="Z41" s="353">
        <v>2640</v>
      </c>
      <c r="AA41" s="354">
        <f>Y41*Z41</f>
        <v>13200</v>
      </c>
      <c r="AB41" s="425">
        <f>SUMIF($D$6:$AA$6,AB$6,$D41:$AA41)</f>
        <v>2275</v>
      </c>
      <c r="AC41" s="426">
        <f>IF(AB41=0,0,AD41/AB41)</f>
        <v>3853.6786813186814</v>
      </c>
      <c r="AD41" s="427">
        <f>SUMIF($D$6:$AA$6,AD$6,$D41:$AA41)</f>
        <v>8767119</v>
      </c>
      <c r="AE41" s="346">
        <v>1400</v>
      </c>
      <c r="AF41" s="353">
        <v>3400</v>
      </c>
      <c r="AG41" s="354">
        <f>AE41*AF41</f>
        <v>4760000</v>
      </c>
      <c r="AH41" s="346">
        <v>100</v>
      </c>
      <c r="AI41" s="353">
        <v>3800</v>
      </c>
      <c r="AJ41" s="354">
        <f>AH41*AI41</f>
        <v>380000</v>
      </c>
      <c r="AK41" s="346">
        <v>360</v>
      </c>
      <c r="AL41" s="353">
        <v>3311.6</v>
      </c>
      <c r="AM41" s="354">
        <f>AK41*AL41</f>
        <v>1192176</v>
      </c>
      <c r="AN41" s="346">
        <v>230</v>
      </c>
      <c r="AO41" s="353">
        <v>3104.6</v>
      </c>
      <c r="AP41" s="354">
        <f>AN41*AO41</f>
        <v>714058</v>
      </c>
      <c r="AQ41" s="346">
        <v>100</v>
      </c>
      <c r="AR41" s="353">
        <v>3000</v>
      </c>
      <c r="AS41" s="354">
        <f>AQ41*AR41</f>
        <v>300000</v>
      </c>
      <c r="AT41" s="448"/>
      <c r="AU41" s="56"/>
      <c r="AV41" s="43">
        <f>AT41*AU41</f>
        <v>0</v>
      </c>
      <c r="AW41" s="55"/>
      <c r="AX41" s="56"/>
      <c r="AY41" s="57">
        <f t="shared" si="57"/>
        <v>0</v>
      </c>
      <c r="AZ41" s="55"/>
      <c r="BA41" s="56"/>
      <c r="BB41" s="57">
        <f t="shared" si="58"/>
        <v>0</v>
      </c>
      <c r="BC41" s="55"/>
      <c r="BD41" s="56"/>
      <c r="BE41" s="57">
        <f t="shared" si="59"/>
        <v>0</v>
      </c>
      <c r="BF41" s="55"/>
      <c r="BG41" s="56"/>
      <c r="BH41" s="454">
        <f t="shared" si="60"/>
        <v>0</v>
      </c>
      <c r="BI41" s="458">
        <f>SUMIF($AE$6:$BH$6,BI$6,$AE41:$BH41)</f>
        <v>2190</v>
      </c>
      <c r="BJ41" s="459">
        <f t="shared" si="61"/>
        <v>3354.4447488584474</v>
      </c>
      <c r="BK41" s="460">
        <f>SUMIF($AE$6:$BH$6,BK$6,$AE41:$BH41)</f>
        <v>7346234</v>
      </c>
      <c r="BL41" s="458">
        <f>BI41+AB41</f>
        <v>4465</v>
      </c>
      <c r="BM41" s="459">
        <f t="shared" si="7"/>
        <v>3608.8136618141098</v>
      </c>
      <c r="BN41" s="460">
        <f>BK41+AD41</f>
        <v>16113353</v>
      </c>
      <c r="BP41" s="50">
        <f>261*30</f>
        <v>7830</v>
      </c>
      <c r="BQ41" s="61">
        <f t="shared" si="8"/>
        <v>0.57024265644955296</v>
      </c>
    </row>
    <row r="42" spans="1:69" x14ac:dyDescent="0.2">
      <c r="A42" s="39" t="e">
        <f>DATE(YEAR(A38),MONTH(A38)+2,1)-1</f>
        <v>#REF!</v>
      </c>
      <c r="B42" s="521"/>
      <c r="C42" s="62" t="s">
        <v>33</v>
      </c>
      <c r="D42" s="359">
        <v>354</v>
      </c>
      <c r="E42" s="360">
        <v>5405</v>
      </c>
      <c r="F42" s="361">
        <f>D42*E42</f>
        <v>1913370</v>
      </c>
      <c r="G42" s="359">
        <f>145+129+16</f>
        <v>290</v>
      </c>
      <c r="H42" s="360">
        <v>3088.56</v>
      </c>
      <c r="I42" s="361">
        <f>G42*H42</f>
        <v>895682.4</v>
      </c>
      <c r="J42" s="406">
        <f>129-129+390</f>
        <v>390</v>
      </c>
      <c r="K42" s="411">
        <v>2990.4</v>
      </c>
      <c r="L42" s="412">
        <f>J42*K42</f>
        <v>1166256</v>
      </c>
      <c r="M42" s="359">
        <f>720-16-335-8-4-43</f>
        <v>314</v>
      </c>
      <c r="N42" s="360">
        <v>3277.28</v>
      </c>
      <c r="O42" s="361">
        <f>M42*N42</f>
        <v>1029065.92</v>
      </c>
      <c r="P42" s="359">
        <v>592</v>
      </c>
      <c r="Q42" s="360">
        <v>3621</v>
      </c>
      <c r="R42" s="361">
        <f>P42*Q42</f>
        <v>2143632</v>
      </c>
      <c r="S42" s="359">
        <v>29</v>
      </c>
      <c r="T42" s="360">
        <v>3284</v>
      </c>
      <c r="U42" s="361">
        <f>S42*T42</f>
        <v>95236</v>
      </c>
      <c r="V42" s="359">
        <v>56</v>
      </c>
      <c r="W42" s="360">
        <v>3691</v>
      </c>
      <c r="X42" s="361">
        <f>V42*W42</f>
        <v>206696</v>
      </c>
      <c r="Y42" s="359">
        <v>7</v>
      </c>
      <c r="Z42" s="360">
        <v>2246</v>
      </c>
      <c r="AA42" s="361">
        <f>Y42*Z42</f>
        <v>15722</v>
      </c>
      <c r="AB42" s="432">
        <f>SUMIF($D$6:$AA$6,AB$6,$D42:$AA42)</f>
        <v>2032</v>
      </c>
      <c r="AC42" s="433">
        <f>IF(AB42=0,0,AD42/AB42)</f>
        <v>3674.0454330708662</v>
      </c>
      <c r="AD42" s="434">
        <f>SUMIF($D$6:$AA$6,AD$6,$D42:$AA42)</f>
        <v>7465660.3200000003</v>
      </c>
      <c r="AE42" s="359">
        <v>412</v>
      </c>
      <c r="AF42" s="360">
        <v>3123</v>
      </c>
      <c r="AG42" s="361">
        <f>AE42*AF42</f>
        <v>1286676</v>
      </c>
      <c r="AH42" s="359">
        <v>20</v>
      </c>
      <c r="AI42" s="360">
        <v>2443</v>
      </c>
      <c r="AJ42" s="361">
        <f>AH42*AI42</f>
        <v>48860</v>
      </c>
      <c r="AK42" s="359">
        <v>329</v>
      </c>
      <c r="AL42" s="360">
        <v>2819</v>
      </c>
      <c r="AM42" s="361">
        <f>AK42*AL42</f>
        <v>927451</v>
      </c>
      <c r="AN42" s="359">
        <v>14.994199999999999</v>
      </c>
      <c r="AO42" s="360">
        <v>2792.5911999999998</v>
      </c>
      <c r="AP42" s="361">
        <f>AN42*AO42</f>
        <v>41872.670971039995</v>
      </c>
      <c r="AQ42" s="359">
        <v>0</v>
      </c>
      <c r="AR42" s="360">
        <v>0</v>
      </c>
      <c r="AS42" s="361">
        <f>AQ42*AR42</f>
        <v>0</v>
      </c>
      <c r="AT42" s="142">
        <v>0</v>
      </c>
      <c r="AU42" s="135"/>
      <c r="AV42" s="136">
        <f>AT42*AU42</f>
        <v>0</v>
      </c>
      <c r="AW42" s="92"/>
      <c r="AX42" s="93"/>
      <c r="AY42" s="91">
        <f t="shared" si="57"/>
        <v>0</v>
      </c>
      <c r="AZ42" s="92"/>
      <c r="BA42" s="93"/>
      <c r="BB42" s="91">
        <f t="shared" si="58"/>
        <v>0</v>
      </c>
      <c r="BC42" s="92"/>
      <c r="BD42" s="93"/>
      <c r="BE42" s="91">
        <f t="shared" si="59"/>
        <v>0</v>
      </c>
      <c r="BF42" s="92"/>
      <c r="BG42" s="93"/>
      <c r="BH42" s="456">
        <f t="shared" si="60"/>
        <v>0</v>
      </c>
      <c r="BI42" s="463">
        <f>SUMIF($AE$6:$BH$6,BI$6,$AE42:$BH42)</f>
        <v>775.99419999999998</v>
      </c>
      <c r="BJ42" s="464">
        <f t="shared" si="61"/>
        <v>2970.2021883295524</v>
      </c>
      <c r="BK42" s="465">
        <f>SUMIF($AE$6:$BH$6,BK$6,$AE42:$BH42)</f>
        <v>2304859.6709710401</v>
      </c>
      <c r="BL42" s="463">
        <f>BI42+AB42</f>
        <v>2807.9942000000001</v>
      </c>
      <c r="BM42" s="464">
        <f t="shared" si="7"/>
        <v>3479.537098392525</v>
      </c>
      <c r="BN42" s="465">
        <f>BK42+AD42</f>
        <v>9770519.99097104</v>
      </c>
      <c r="BP42" s="50">
        <f>261*30</f>
        <v>7830</v>
      </c>
      <c r="BQ42" s="61">
        <f t="shared" si="8"/>
        <v>0.35861994891443166</v>
      </c>
    </row>
    <row r="43" spans="1:69" x14ac:dyDescent="0.2">
      <c r="A43" s="39"/>
      <c r="B43" s="520">
        <f>DATE(YEAR(B39),MONTH(B39)+2,1)-1</f>
        <v>305</v>
      </c>
      <c r="C43" s="24" t="s">
        <v>27</v>
      </c>
      <c r="D43" s="343">
        <f>(D44/D45)-1</f>
        <v>0.49647058823529422</v>
      </c>
      <c r="E43" s="344">
        <f>(E44/E45)-1</f>
        <v>-6.9493731833015326E-2</v>
      </c>
      <c r="F43" s="345">
        <f>(F44/F45)-1</f>
        <v>0.39247526248047593</v>
      </c>
      <c r="G43" s="343">
        <f t="shared" ref="G43:AS43" si="62">G44/G45-1</f>
        <v>-0.59056603773584904</v>
      </c>
      <c r="H43" s="382">
        <f t="shared" si="62"/>
        <v>-0.11967366338929264</v>
      </c>
      <c r="I43" s="345">
        <f t="shared" si="62"/>
        <v>-0.63956449991599351</v>
      </c>
      <c r="J43" s="365">
        <v>0</v>
      </c>
      <c r="K43" s="390">
        <v>0</v>
      </c>
      <c r="L43" s="367">
        <v>0</v>
      </c>
      <c r="M43" s="343">
        <f t="shared" si="62"/>
        <v>-0.48278688524590163</v>
      </c>
      <c r="N43" s="382">
        <f t="shared" si="62"/>
        <v>0.10180180180180187</v>
      </c>
      <c r="O43" s="345">
        <f t="shared" si="62"/>
        <v>-0.43013365824841232</v>
      </c>
      <c r="P43" s="343">
        <f t="shared" si="62"/>
        <v>0.89756097560975601</v>
      </c>
      <c r="Q43" s="382">
        <f t="shared" si="62"/>
        <v>-3.077864838393729E-2</v>
      </c>
      <c r="R43" s="383">
        <f t="shared" si="62"/>
        <v>0.83915661355438265</v>
      </c>
      <c r="S43" s="343">
        <f t="shared" si="62"/>
        <v>-0.1428571428571429</v>
      </c>
      <c r="T43" s="382">
        <f t="shared" si="62"/>
        <v>-5.8028169014083808E-3</v>
      </c>
      <c r="U43" s="345">
        <f t="shared" si="62"/>
        <v>-0.14783098591549293</v>
      </c>
      <c r="V43" s="343">
        <f t="shared" si="62"/>
        <v>-0.46666666666666667</v>
      </c>
      <c r="W43" s="382">
        <f t="shared" si="62"/>
        <v>0.57853260869565237</v>
      </c>
      <c r="X43" s="345">
        <f t="shared" si="62"/>
        <v>-0.15811594202898549</v>
      </c>
      <c r="Y43" s="343">
        <f t="shared" si="62"/>
        <v>-1</v>
      </c>
      <c r="Z43" s="382">
        <f t="shared" si="62"/>
        <v>-1</v>
      </c>
      <c r="AA43" s="345">
        <f t="shared" si="62"/>
        <v>-1</v>
      </c>
      <c r="AB43" s="422">
        <f t="shared" si="62"/>
        <v>-7.7384923282188156E-2</v>
      </c>
      <c r="AC43" s="423">
        <f t="shared" si="62"/>
        <v>6.7420436779758397E-2</v>
      </c>
      <c r="AD43" s="424">
        <f t="shared" si="62"/>
        <v>-1.5181811830282776E-2</v>
      </c>
      <c r="AE43" s="343">
        <f t="shared" si="62"/>
        <v>-0.53749999999999998</v>
      </c>
      <c r="AF43" s="382">
        <f t="shared" si="62"/>
        <v>7.3421052631579053E-2</v>
      </c>
      <c r="AG43" s="345">
        <f t="shared" si="62"/>
        <v>-0.50354276315789481</v>
      </c>
      <c r="AH43" s="343">
        <f t="shared" si="62"/>
        <v>-0.96527777777777779</v>
      </c>
      <c r="AI43" s="382">
        <f t="shared" si="62"/>
        <v>-4.973684210526319E-2</v>
      </c>
      <c r="AJ43" s="345">
        <f t="shared" si="62"/>
        <v>-0.96700475146198828</v>
      </c>
      <c r="AK43" s="343">
        <f t="shared" si="62"/>
        <v>-0.53600000000000003</v>
      </c>
      <c r="AL43" s="382">
        <f t="shared" si="62"/>
        <v>-9.9999999999999978E-2</v>
      </c>
      <c r="AM43" s="345">
        <f t="shared" si="62"/>
        <v>-0.58240000000000003</v>
      </c>
      <c r="AN43" s="343">
        <f t="shared" si="62"/>
        <v>-1</v>
      </c>
      <c r="AO43" s="382">
        <f t="shared" si="62"/>
        <v>-1</v>
      </c>
      <c r="AP43" s="345">
        <f t="shared" si="62"/>
        <v>-1</v>
      </c>
      <c r="AQ43" s="343">
        <f t="shared" si="62"/>
        <v>1.48</v>
      </c>
      <c r="AR43" s="382">
        <f t="shared" si="62"/>
        <v>0.30191780821917802</v>
      </c>
      <c r="AS43" s="345">
        <f t="shared" si="62"/>
        <v>2.2287561643835616</v>
      </c>
      <c r="AT43" s="33"/>
      <c r="AU43" s="33"/>
      <c r="AV43" s="34"/>
      <c r="AW43" s="35"/>
      <c r="AX43" s="33"/>
      <c r="AY43" s="34"/>
      <c r="AZ43" s="35"/>
      <c r="BA43" s="33"/>
      <c r="BB43" s="34"/>
      <c r="BC43" s="35"/>
      <c r="BD43" s="33"/>
      <c r="BE43" s="34"/>
      <c r="BF43" s="35"/>
      <c r="BG43" s="33"/>
      <c r="BH43" s="453"/>
      <c r="BI43" s="343">
        <f t="shared" ref="BI43:BM43" si="63">BI44/BI45-1</f>
        <v>-0.63774954627949176</v>
      </c>
      <c r="BJ43" s="382">
        <f t="shared" si="63"/>
        <v>8.220811105945014E-2</v>
      </c>
      <c r="BK43" s="345">
        <f t="shared" si="63"/>
        <v>-0.60796962074869998</v>
      </c>
      <c r="BL43" s="467">
        <f t="shared" si="63"/>
        <v>-0.34573266122023294</v>
      </c>
      <c r="BM43" s="423">
        <f t="shared" si="63"/>
        <v>8.3788417684748984E-2</v>
      </c>
      <c r="BN43" s="424">
        <f t="shared" ref="BN43" si="64">BN44/BN45-1</f>
        <v>-0.29091263616106455</v>
      </c>
      <c r="BO43" s="75"/>
      <c r="BP43" s="50"/>
      <c r="BQ43" s="51"/>
    </row>
    <row r="44" spans="1:69" x14ac:dyDescent="0.2">
      <c r="A44" s="39" t="e">
        <f>DATE(YEAR(A40),MONTH(A40)+2,1)-1</f>
        <v>#REF!</v>
      </c>
      <c r="B44" s="521"/>
      <c r="C44" s="331" t="s">
        <v>29</v>
      </c>
      <c r="D44" s="355">
        <v>636</v>
      </c>
      <c r="E44" s="356">
        <v>5218</v>
      </c>
      <c r="F44" s="368">
        <f>D44*E44</f>
        <v>3318648</v>
      </c>
      <c r="G44" s="355">
        <v>217</v>
      </c>
      <c r="H44" s="356">
        <v>3645</v>
      </c>
      <c r="I44" s="368">
        <f>G44*H44</f>
        <v>790965</v>
      </c>
      <c r="J44" s="346">
        <v>254</v>
      </c>
      <c r="K44" s="356">
        <v>3410</v>
      </c>
      <c r="L44" s="368">
        <f>J44*K44</f>
        <v>866140</v>
      </c>
      <c r="M44" s="355">
        <v>631</v>
      </c>
      <c r="N44" s="356">
        <v>3669</v>
      </c>
      <c r="O44" s="368">
        <f>M44*N44</f>
        <v>2315139</v>
      </c>
      <c r="P44" s="355">
        <v>778</v>
      </c>
      <c r="Q44" s="356">
        <v>3958.3</v>
      </c>
      <c r="R44" s="368">
        <f>P44*Q44</f>
        <v>3079557.4000000004</v>
      </c>
      <c r="S44" s="355">
        <v>90</v>
      </c>
      <c r="T44" s="356">
        <v>3529.4</v>
      </c>
      <c r="U44" s="368">
        <f>S44*T44</f>
        <v>317646</v>
      </c>
      <c r="V44" s="355">
        <v>160</v>
      </c>
      <c r="W44" s="356">
        <v>5228.1000000000004</v>
      </c>
      <c r="X44" s="368">
        <f>V44*W44</f>
        <v>836496</v>
      </c>
      <c r="Y44" s="355">
        <v>0</v>
      </c>
      <c r="Z44" s="356">
        <v>0</v>
      </c>
      <c r="AA44" s="368">
        <f>Y44*Z44</f>
        <v>0</v>
      </c>
      <c r="AB44" s="429">
        <f>SUMIF($D$6:$AA$6,AB$6,$D44:$AA44)</f>
        <v>2766</v>
      </c>
      <c r="AC44" s="430">
        <f>IF(AB44=0,0,AD44/AB44)</f>
        <v>4166.5189443239333</v>
      </c>
      <c r="AD44" s="431">
        <f>SUMIF($D$6:$AA$6,AD$6,$D44:$AA44)</f>
        <v>11524591.4</v>
      </c>
      <c r="AE44" s="355">
        <v>555</v>
      </c>
      <c r="AF44" s="356">
        <v>4079</v>
      </c>
      <c r="AG44" s="368">
        <f>AE44*AF44</f>
        <v>2263845</v>
      </c>
      <c r="AH44" s="355">
        <v>25</v>
      </c>
      <c r="AI44" s="356">
        <v>3611</v>
      </c>
      <c r="AJ44" s="368">
        <f>AH44*AI44</f>
        <v>90275</v>
      </c>
      <c r="AK44" s="355">
        <v>232</v>
      </c>
      <c r="AL44" s="356">
        <v>3240</v>
      </c>
      <c r="AM44" s="368">
        <f>AK44*AL44</f>
        <v>751680</v>
      </c>
      <c r="AN44" s="355"/>
      <c r="AO44" s="356"/>
      <c r="AP44" s="368">
        <f>AN44*AO44</f>
        <v>0</v>
      </c>
      <c r="AQ44" s="355">
        <v>186</v>
      </c>
      <c r="AR44" s="356">
        <v>4752</v>
      </c>
      <c r="AS44" s="368">
        <f>AQ44*AR44</f>
        <v>883872</v>
      </c>
      <c r="AT44" s="450"/>
      <c r="AU44" s="330"/>
      <c r="AV44" s="43">
        <f>AT44*AU44</f>
        <v>0</v>
      </c>
      <c r="AW44" s="49"/>
      <c r="AX44" s="42"/>
      <c r="AY44" s="43">
        <f t="shared" ref="AY44:AY46" si="65">AW44*AX44</f>
        <v>0</v>
      </c>
      <c r="AZ44" s="49"/>
      <c r="BA44" s="42"/>
      <c r="BB44" s="43">
        <f t="shared" ref="BB44:BB46" si="66">AZ44*BA44</f>
        <v>0</v>
      </c>
      <c r="BC44" s="49"/>
      <c r="BD44" s="42"/>
      <c r="BE44" s="43">
        <f t="shared" ref="BE44:BE46" si="67">BC44*BD44</f>
        <v>0</v>
      </c>
      <c r="BF44" s="49"/>
      <c r="BG44" s="42"/>
      <c r="BH44" s="133">
        <f t="shared" ref="BH44:BH46" si="68">BF44*BG44</f>
        <v>0</v>
      </c>
      <c r="BI44" s="392">
        <f>SUMIF($AE$6:$BH$6,BI$6,$AE44:$BH44)</f>
        <v>998</v>
      </c>
      <c r="BJ44" s="393">
        <f t="shared" ref="BJ44:BJ46" si="69">IF(BI44=0,0,BK44/BI44)</f>
        <v>3997.6673346693387</v>
      </c>
      <c r="BK44" s="377">
        <f>SUMIF($AE$6:$BH$6,BK$6,$AE44:$BH44)</f>
        <v>3989672</v>
      </c>
      <c r="BL44" s="392">
        <f>BI44+AB44</f>
        <v>3764</v>
      </c>
      <c r="BM44" s="393">
        <f t="shared" si="7"/>
        <v>4121.7490435706695</v>
      </c>
      <c r="BN44" s="377">
        <f>BK44+AD44</f>
        <v>15514263.4</v>
      </c>
      <c r="BP44" s="49">
        <f>261*31</f>
        <v>8091</v>
      </c>
      <c r="BQ44" s="51">
        <f t="shared" si="8"/>
        <v>0.46520825608701027</v>
      </c>
    </row>
    <row r="45" spans="1:69" x14ac:dyDescent="0.2">
      <c r="A45" s="39" t="e">
        <f>DATE(YEAR(A41),MONTH(A41)+2,1)-1</f>
        <v>#REF!</v>
      </c>
      <c r="B45" s="521"/>
      <c r="C45" s="52" t="s">
        <v>30</v>
      </c>
      <c r="D45" s="355">
        <v>425</v>
      </c>
      <c r="E45" s="356">
        <v>5607.7</v>
      </c>
      <c r="F45" s="368">
        <f>D45*E45</f>
        <v>2383272.5</v>
      </c>
      <c r="G45" s="355">
        <f>300+230</f>
        <v>530</v>
      </c>
      <c r="H45" s="356">
        <v>4140.51</v>
      </c>
      <c r="I45" s="368">
        <f>G45*H45</f>
        <v>2194470.3000000003</v>
      </c>
      <c r="J45" s="346">
        <f>230-230</f>
        <v>0</v>
      </c>
      <c r="K45" s="356"/>
      <c r="L45" s="368">
        <f>J45*K45</f>
        <v>0</v>
      </c>
      <c r="M45" s="355">
        <v>1220</v>
      </c>
      <c r="N45" s="356">
        <v>3330</v>
      </c>
      <c r="O45" s="368">
        <f>M45*N45</f>
        <v>4062600</v>
      </c>
      <c r="P45" s="355">
        <v>410</v>
      </c>
      <c r="Q45" s="356">
        <v>4084</v>
      </c>
      <c r="R45" s="368">
        <f>P45*Q45</f>
        <v>1674440</v>
      </c>
      <c r="S45" s="355">
        <v>105</v>
      </c>
      <c r="T45" s="356">
        <v>3550</v>
      </c>
      <c r="U45" s="368">
        <f>S45*T45</f>
        <v>372750</v>
      </c>
      <c r="V45" s="355">
        <v>300</v>
      </c>
      <c r="W45" s="356">
        <v>3312</v>
      </c>
      <c r="X45" s="368">
        <f>V45*W45</f>
        <v>993600</v>
      </c>
      <c r="Y45" s="355">
        <v>8</v>
      </c>
      <c r="Z45" s="356">
        <v>2640</v>
      </c>
      <c r="AA45" s="368">
        <f>Y45*Z45</f>
        <v>21120</v>
      </c>
      <c r="AB45" s="429">
        <f>SUMIF($D$6:$AA$6,AB$6,$D45:$AA45)</f>
        <v>2998</v>
      </c>
      <c r="AC45" s="430">
        <f>IF(AB45=0,0,AD45/AB45)</f>
        <v>3903.3531687791865</v>
      </c>
      <c r="AD45" s="431">
        <f>SUMIF($D$6:$AA$6,AD$6,$D45:$AA45)</f>
        <v>11702252.800000001</v>
      </c>
      <c r="AE45" s="355">
        <v>1200</v>
      </c>
      <c r="AF45" s="356">
        <v>3800</v>
      </c>
      <c r="AG45" s="368">
        <f>AE45*AF45</f>
        <v>4560000</v>
      </c>
      <c r="AH45" s="355">
        <v>720</v>
      </c>
      <c r="AI45" s="356">
        <v>3800</v>
      </c>
      <c r="AJ45" s="368">
        <f>AH45*AI45</f>
        <v>2736000</v>
      </c>
      <c r="AK45" s="355">
        <v>500</v>
      </c>
      <c r="AL45" s="356">
        <v>3600</v>
      </c>
      <c r="AM45" s="368">
        <f>AK45*AL45</f>
        <v>1800000</v>
      </c>
      <c r="AN45" s="355">
        <v>260</v>
      </c>
      <c r="AO45" s="356">
        <v>3104.6</v>
      </c>
      <c r="AP45" s="368">
        <f>AN45*AO45</f>
        <v>807196</v>
      </c>
      <c r="AQ45" s="355">
        <v>75</v>
      </c>
      <c r="AR45" s="356">
        <v>3650</v>
      </c>
      <c r="AS45" s="368">
        <f>AQ45*AR45</f>
        <v>273750</v>
      </c>
      <c r="AT45" s="448"/>
      <c r="AU45" s="56"/>
      <c r="AV45" s="43">
        <f>AT45*AU45</f>
        <v>0</v>
      </c>
      <c r="AW45" s="55"/>
      <c r="AX45" s="56"/>
      <c r="AY45" s="57">
        <f t="shared" si="65"/>
        <v>0</v>
      </c>
      <c r="AZ45" s="55"/>
      <c r="BA45" s="56"/>
      <c r="BB45" s="57">
        <f t="shared" si="66"/>
        <v>0</v>
      </c>
      <c r="BC45" s="55"/>
      <c r="BD45" s="56"/>
      <c r="BE45" s="57">
        <f t="shared" si="67"/>
        <v>0</v>
      </c>
      <c r="BF45" s="55"/>
      <c r="BG45" s="56"/>
      <c r="BH45" s="454">
        <f t="shared" si="68"/>
        <v>0</v>
      </c>
      <c r="BI45" s="458">
        <f>SUMIF($AE$6:$BH$6,BI$6,$AE45:$BH45)</f>
        <v>2755</v>
      </c>
      <c r="BJ45" s="459">
        <f t="shared" si="69"/>
        <v>3693.9912885662434</v>
      </c>
      <c r="BK45" s="460">
        <f>SUMIF($AE$6:$BH$6,BK$6,$AE45:$BH45)</f>
        <v>10176946</v>
      </c>
      <c r="BL45" s="458">
        <f>BI45+AB45</f>
        <v>5753</v>
      </c>
      <c r="BM45" s="459">
        <f t="shared" si="7"/>
        <v>3803.0938293064492</v>
      </c>
      <c r="BN45" s="460">
        <f>BK45+AD45</f>
        <v>21879198.800000001</v>
      </c>
      <c r="BP45" s="50">
        <f>261*31</f>
        <v>8091</v>
      </c>
      <c r="BQ45" s="61">
        <f t="shared" si="8"/>
        <v>0.71103695464095906</v>
      </c>
    </row>
    <row r="46" spans="1:69" x14ac:dyDescent="0.2">
      <c r="A46" s="39" t="e">
        <f>DATE(YEAR(A42),MONTH(A42)+2,1)-1</f>
        <v>#REF!</v>
      </c>
      <c r="B46" s="522"/>
      <c r="C46" s="62" t="s">
        <v>33</v>
      </c>
      <c r="D46" s="369">
        <v>650</v>
      </c>
      <c r="E46" s="370">
        <v>5595</v>
      </c>
      <c r="F46" s="371">
        <f>D46*E46</f>
        <v>3636750</v>
      </c>
      <c r="G46" s="369">
        <f>402+134+5</f>
        <v>541</v>
      </c>
      <c r="H46" s="370">
        <v>3077.68</v>
      </c>
      <c r="I46" s="371">
        <f>G46*H46</f>
        <v>1665024.88</v>
      </c>
      <c r="J46" s="403">
        <f>134-134+268+15+4</f>
        <v>287</v>
      </c>
      <c r="K46" s="370">
        <v>3538.42</v>
      </c>
      <c r="L46" s="371">
        <f>J46*K46</f>
        <v>1015526.54</v>
      </c>
      <c r="M46" s="369">
        <f>789-5-268-15-4</f>
        <v>497</v>
      </c>
      <c r="N46" s="370">
        <v>3566.57</v>
      </c>
      <c r="O46" s="371">
        <f>M46*N46</f>
        <v>1772585.29</v>
      </c>
      <c r="P46" s="369">
        <v>695</v>
      </c>
      <c r="Q46" s="370">
        <v>3700</v>
      </c>
      <c r="R46" s="371">
        <f>P46*Q46</f>
        <v>2571500</v>
      </c>
      <c r="S46" s="369">
        <v>63</v>
      </c>
      <c r="T46" s="370">
        <v>3185</v>
      </c>
      <c r="U46" s="371">
        <f>S46*T46</f>
        <v>200655</v>
      </c>
      <c r="V46" s="369">
        <v>96</v>
      </c>
      <c r="W46" s="370">
        <v>4263</v>
      </c>
      <c r="X46" s="371">
        <f>V46*W46</f>
        <v>409248</v>
      </c>
      <c r="Y46" s="369">
        <v>2</v>
      </c>
      <c r="Z46" s="370">
        <v>2851</v>
      </c>
      <c r="AA46" s="371">
        <f>Y46*Z46</f>
        <v>5702</v>
      </c>
      <c r="AB46" s="441">
        <f>SUMIF($D$6:$AA$6,AB$6,$D46:$AA46)</f>
        <v>2831</v>
      </c>
      <c r="AC46" s="442">
        <f>IF(AB46=0,0,AD46/AB46)</f>
        <v>3983.3951642529146</v>
      </c>
      <c r="AD46" s="443">
        <f>SUMIF($D$6:$AA$6,AD$6,$D46:$AA46)</f>
        <v>11276991.710000001</v>
      </c>
      <c r="AE46" s="369">
        <v>986</v>
      </c>
      <c r="AF46" s="370">
        <v>3134</v>
      </c>
      <c r="AG46" s="371">
        <f>AE46*AF46</f>
        <v>3090124</v>
      </c>
      <c r="AH46" s="369">
        <v>46</v>
      </c>
      <c r="AI46" s="370">
        <v>3024</v>
      </c>
      <c r="AJ46" s="371">
        <f>AH46*AI46</f>
        <v>139104</v>
      </c>
      <c r="AK46" s="369">
        <v>199</v>
      </c>
      <c r="AL46" s="370">
        <v>3104</v>
      </c>
      <c r="AM46" s="371">
        <f>AK46*AL46</f>
        <v>617696</v>
      </c>
      <c r="AN46" s="369">
        <v>138</v>
      </c>
      <c r="AO46" s="370">
        <v>2817</v>
      </c>
      <c r="AP46" s="371">
        <f>AN46*AO46</f>
        <v>388746</v>
      </c>
      <c r="AQ46" s="369">
        <v>44.103400000000001</v>
      </c>
      <c r="AR46" s="370">
        <v>5594.2356</v>
      </c>
      <c r="AS46" s="371">
        <f>AQ46*AR46</f>
        <v>246724.81036104</v>
      </c>
      <c r="AT46" s="283"/>
      <c r="AU46" s="279"/>
      <c r="AV46" s="280">
        <f>AT46*AU46</f>
        <v>0</v>
      </c>
      <c r="AW46" s="64"/>
      <c r="AX46" s="65"/>
      <c r="AY46" s="63">
        <f t="shared" si="65"/>
        <v>0</v>
      </c>
      <c r="AZ46" s="64"/>
      <c r="BA46" s="65"/>
      <c r="BB46" s="63">
        <f t="shared" si="66"/>
        <v>0</v>
      </c>
      <c r="BC46" s="64"/>
      <c r="BD46" s="65"/>
      <c r="BE46" s="63">
        <f t="shared" si="67"/>
        <v>0</v>
      </c>
      <c r="BF46" s="64"/>
      <c r="BG46" s="65"/>
      <c r="BH46" s="455">
        <f t="shared" si="68"/>
        <v>0</v>
      </c>
      <c r="BI46" s="394">
        <f>SUMIF($AE$6:$BH$6,BI$6,$AE46:$BH46)</f>
        <v>1413.1034</v>
      </c>
      <c r="BJ46" s="395">
        <f t="shared" si="69"/>
        <v>3172.0218140873767</v>
      </c>
      <c r="BK46" s="396">
        <f>SUMIF($AE$6:$BH$6,BK$6,$AE46:$BH46)</f>
        <v>4482394.8103610398</v>
      </c>
      <c r="BL46" s="394">
        <f>BI46+AB46</f>
        <v>4244.1034</v>
      </c>
      <c r="BM46" s="395">
        <f t="shared" si="7"/>
        <v>3713.242830125449</v>
      </c>
      <c r="BN46" s="396">
        <f>BK46+AD46</f>
        <v>15759386.52036104</v>
      </c>
      <c r="BP46" s="50">
        <f>261*31</f>
        <v>8091</v>
      </c>
      <c r="BQ46" s="61">
        <f t="shared" si="8"/>
        <v>0.52454621184031636</v>
      </c>
    </row>
    <row r="47" spans="1:69" x14ac:dyDescent="0.2">
      <c r="A47" s="39"/>
      <c r="B47" s="521">
        <f>DATE(YEAR(B43),MONTH(B43)+2,1)-1</f>
        <v>335</v>
      </c>
      <c r="C47" s="78" t="s">
        <v>27</v>
      </c>
      <c r="D47" s="365">
        <f>(D48/D49)-1</f>
        <v>0.55428571428571427</v>
      </c>
      <c r="E47" s="366">
        <f>(E48/E49)-1</f>
        <v>-9.1379310344827935E-3</v>
      </c>
      <c r="F47" s="367">
        <f>(F48/F49)-1</f>
        <v>0.54008275862068955</v>
      </c>
      <c r="G47" s="365">
        <f t="shared" ref="G47:AS47" si="70">G48/G49-1</f>
        <v>-0.75882352941176467</v>
      </c>
      <c r="H47" s="390">
        <f t="shared" si="70"/>
        <v>-0.13868363709558496</v>
      </c>
      <c r="I47" s="367">
        <f t="shared" si="70"/>
        <v>-0.79227075953481751</v>
      </c>
      <c r="J47" s="365">
        <v>0</v>
      </c>
      <c r="K47" s="382">
        <v>0</v>
      </c>
      <c r="L47" s="367">
        <v>0</v>
      </c>
      <c r="M47" s="365">
        <f t="shared" si="70"/>
        <v>-0.64496124031007751</v>
      </c>
      <c r="N47" s="390">
        <f t="shared" si="70"/>
        <v>3.715083798882679E-2</v>
      </c>
      <c r="O47" s="367">
        <f t="shared" si="70"/>
        <v>-0.6317712528690832</v>
      </c>
      <c r="P47" s="365">
        <f t="shared" si="70"/>
        <v>-0.18478260869565222</v>
      </c>
      <c r="Q47" s="390">
        <f t="shared" si="70"/>
        <v>9.7560975609756184E-3</v>
      </c>
      <c r="R47" s="367">
        <f t="shared" si="70"/>
        <v>-0.17682926829268297</v>
      </c>
      <c r="S47" s="365">
        <f t="shared" si="70"/>
        <v>-0.36774193548387102</v>
      </c>
      <c r="T47" s="390">
        <f t="shared" si="70"/>
        <v>-3.8174999999999959E-2</v>
      </c>
      <c r="U47" s="367">
        <f t="shared" si="70"/>
        <v>-0.39187838709677414</v>
      </c>
      <c r="V47" s="365">
        <f t="shared" si="70"/>
        <v>1.5294117647058822</v>
      </c>
      <c r="W47" s="390">
        <f t="shared" si="70"/>
        <v>0.3733091787439613</v>
      </c>
      <c r="X47" s="367">
        <f t="shared" si="70"/>
        <v>2.4736643932935487</v>
      </c>
      <c r="Y47" s="365">
        <f t="shared" si="70"/>
        <v>-1</v>
      </c>
      <c r="Z47" s="390">
        <f t="shared" si="70"/>
        <v>-1</v>
      </c>
      <c r="AA47" s="367">
        <f t="shared" si="70"/>
        <v>-1</v>
      </c>
      <c r="AB47" s="438">
        <f t="shared" si="70"/>
        <v>-0.22468916518650084</v>
      </c>
      <c r="AC47" s="439">
        <f t="shared" si="70"/>
        <v>0.10253322352582428</v>
      </c>
      <c r="AD47" s="440">
        <f t="shared" si="70"/>
        <v>-0.145194046058575</v>
      </c>
      <c r="AE47" s="365">
        <f t="shared" si="70"/>
        <v>-0.71027027027027034</v>
      </c>
      <c r="AF47" s="390">
        <f t="shared" si="70"/>
        <v>6.0886842105263073E-2</v>
      </c>
      <c r="AG47" s="367">
        <f t="shared" si="70"/>
        <v>-0.69262954196301574</v>
      </c>
      <c r="AH47" s="365">
        <f t="shared" si="70"/>
        <v>0.35571428571428565</v>
      </c>
      <c r="AI47" s="390">
        <f t="shared" si="70"/>
        <v>-5.4210526315788821E-3</v>
      </c>
      <c r="AJ47" s="367">
        <f t="shared" si="70"/>
        <v>0.34836488721804515</v>
      </c>
      <c r="AK47" s="365">
        <f t="shared" si="70"/>
        <v>-0.65833333333333333</v>
      </c>
      <c r="AL47" s="390">
        <f t="shared" si="70"/>
        <v>2.1944444444444544E-2</v>
      </c>
      <c r="AM47" s="367">
        <f t="shared" si="70"/>
        <v>-0.65083564814814809</v>
      </c>
      <c r="AN47" s="365">
        <f t="shared" si="70"/>
        <v>-1</v>
      </c>
      <c r="AO47" s="390">
        <f t="shared" si="70"/>
        <v>-1</v>
      </c>
      <c r="AP47" s="367">
        <f t="shared" si="70"/>
        <v>-1</v>
      </c>
      <c r="AQ47" s="365">
        <f t="shared" si="70"/>
        <v>-0.11428571428571432</v>
      </c>
      <c r="AR47" s="390">
        <f t="shared" si="70"/>
        <v>0.82133333333333325</v>
      </c>
      <c r="AS47" s="367">
        <f t="shared" si="70"/>
        <v>0.61318095238095238</v>
      </c>
      <c r="AT47" s="86"/>
      <c r="AU47" s="86"/>
      <c r="AV47" s="87"/>
      <c r="AW47" s="88"/>
      <c r="AX47" s="86"/>
      <c r="AY47" s="87"/>
      <c r="AZ47" s="88"/>
      <c r="BA47" s="86"/>
      <c r="BB47" s="87"/>
      <c r="BC47" s="88"/>
      <c r="BD47" s="86"/>
      <c r="BE47" s="87"/>
      <c r="BF47" s="88"/>
      <c r="BG47" s="86"/>
      <c r="BH47" s="100"/>
      <c r="BI47" s="365">
        <f t="shared" ref="BI47:BM47" si="71">BI48/BI49-1</f>
        <v>-0.49069767441860468</v>
      </c>
      <c r="BJ47" s="390">
        <f t="shared" si="71"/>
        <v>5.0236203419826042E-2</v>
      </c>
      <c r="BK47" s="367">
        <f t="shared" si="71"/>
        <v>-0.46511225918850718</v>
      </c>
      <c r="BL47" s="468">
        <f t="shared" si="71"/>
        <v>-0.35890290407744208</v>
      </c>
      <c r="BM47" s="390">
        <f t="shared" si="71"/>
        <v>9.8560983397124824E-2</v>
      </c>
      <c r="BN47" s="440">
        <f t="shared" ref="BN47" si="72">BN48/BN49-1</f>
        <v>-0.29571574385027388</v>
      </c>
      <c r="BO47" s="75"/>
      <c r="BP47" s="50"/>
      <c r="BQ47" s="51"/>
    </row>
    <row r="48" spans="1:69" x14ac:dyDescent="0.2">
      <c r="A48" s="39" t="e">
        <f>DATE(YEAR(A44),MONTH(A44)+2,1)-1</f>
        <v>#REF!</v>
      </c>
      <c r="B48" s="521"/>
      <c r="C48" s="331" t="s">
        <v>29</v>
      </c>
      <c r="D48" s="372">
        <v>1088</v>
      </c>
      <c r="E48" s="373">
        <v>5747</v>
      </c>
      <c r="F48" s="374">
        <v>6252736</v>
      </c>
      <c r="G48" s="372">
        <v>164</v>
      </c>
      <c r="H48" s="373">
        <v>3680</v>
      </c>
      <c r="I48" s="374">
        <v>603520</v>
      </c>
      <c r="J48" s="372">
        <v>221</v>
      </c>
      <c r="K48" s="373">
        <v>3793</v>
      </c>
      <c r="L48" s="374">
        <v>838253</v>
      </c>
      <c r="M48" s="372">
        <v>458</v>
      </c>
      <c r="N48" s="373">
        <v>3713</v>
      </c>
      <c r="O48" s="374">
        <v>1700554</v>
      </c>
      <c r="P48" s="372">
        <v>375</v>
      </c>
      <c r="Q48" s="373">
        <v>4140</v>
      </c>
      <c r="R48" s="374">
        <v>1552500</v>
      </c>
      <c r="S48" s="372">
        <v>98</v>
      </c>
      <c r="T48" s="373">
        <v>3847.3</v>
      </c>
      <c r="U48" s="374">
        <v>377035.4</v>
      </c>
      <c r="V48" s="372">
        <v>215</v>
      </c>
      <c r="W48" s="373">
        <v>4548.3999999999996</v>
      </c>
      <c r="X48" s="374">
        <v>977905.99999999988</v>
      </c>
      <c r="Y48" s="372">
        <v>0</v>
      </c>
      <c r="Z48" s="373">
        <v>0</v>
      </c>
      <c r="AA48" s="374">
        <v>0</v>
      </c>
      <c r="AB48" s="429">
        <f>SUMIF($D$6:$AA$6,AB$6,$D48:$AA48)</f>
        <v>2619</v>
      </c>
      <c r="AC48" s="430">
        <f>IF(AB48=0,0,AD48/AB48)</f>
        <v>4697.4052691867128</v>
      </c>
      <c r="AD48" s="431">
        <f>SUMIF($D$6:$AA$6,AD$6,$D48:$AA48)</f>
        <v>12302504.4</v>
      </c>
      <c r="AE48" s="446">
        <v>536</v>
      </c>
      <c r="AF48" s="430">
        <v>4031.37</v>
      </c>
      <c r="AG48" s="368">
        <v>2160814.3199999998</v>
      </c>
      <c r="AH48" s="446">
        <v>949</v>
      </c>
      <c r="AI48" s="430">
        <v>3779.4</v>
      </c>
      <c r="AJ48" s="368">
        <v>3586650.6</v>
      </c>
      <c r="AK48" s="446">
        <v>205</v>
      </c>
      <c r="AL48" s="430">
        <v>3679</v>
      </c>
      <c r="AM48" s="368">
        <v>754195</v>
      </c>
      <c r="AN48" s="446">
        <v>0</v>
      </c>
      <c r="AO48" s="430"/>
      <c r="AP48" s="447">
        <v>0</v>
      </c>
      <c r="AQ48" s="446">
        <v>62</v>
      </c>
      <c r="AR48" s="430">
        <v>5464</v>
      </c>
      <c r="AS48" s="368">
        <v>338768</v>
      </c>
      <c r="AT48" s="451"/>
      <c r="AU48" s="332"/>
      <c r="AV48" s="333">
        <f>AT48*AU48</f>
        <v>0</v>
      </c>
      <c r="AW48" s="334"/>
      <c r="AX48" s="335"/>
      <c r="AY48" s="333">
        <f t="shared" ref="AY48:AY50" si="73">AW48*AX48</f>
        <v>0</v>
      </c>
      <c r="AZ48" s="334"/>
      <c r="BA48" s="335"/>
      <c r="BB48" s="333">
        <f t="shared" ref="BB48:BB50" si="74">AZ48*BA48</f>
        <v>0</v>
      </c>
      <c r="BC48" s="334"/>
      <c r="BD48" s="335"/>
      <c r="BE48" s="333">
        <f t="shared" ref="BE48:BE50" si="75">BC48*BD48</f>
        <v>0</v>
      </c>
      <c r="BF48" s="334"/>
      <c r="BG48" s="335"/>
      <c r="BH48" s="457">
        <f t="shared" ref="BH48:BH50" si="76">BF48*BG48</f>
        <v>0</v>
      </c>
      <c r="BI48" s="466">
        <f>SUMIF($AE$6:$BH$6,BI$6,$AE48:$BH48)</f>
        <v>1752</v>
      </c>
      <c r="BJ48" s="430">
        <f t="shared" ref="BJ48:BJ50" si="77">IF(BI48=0,0,BK48/BI48)</f>
        <v>3904.3538356164381</v>
      </c>
      <c r="BK48" s="447">
        <f>SUMIF($AE$6:$BH$6,BK$6,$AE48:$BH48)</f>
        <v>6840427.9199999999</v>
      </c>
      <c r="BL48" s="392">
        <f>BI48+AB48</f>
        <v>4371</v>
      </c>
      <c r="BM48" s="393">
        <f t="shared" si="7"/>
        <v>4379.53153054221</v>
      </c>
      <c r="BN48" s="377">
        <f>BK48+AD48</f>
        <v>19142932.32</v>
      </c>
      <c r="BP48" s="327">
        <f>261*30</f>
        <v>7830</v>
      </c>
      <c r="BQ48" s="328">
        <f t="shared" si="8"/>
        <v>0.55823754789272029</v>
      </c>
    </row>
    <row r="49" spans="1:71" x14ac:dyDescent="0.2">
      <c r="A49" s="39" t="e">
        <f>DATE(YEAR(A45),MONTH(A45)+2,1)-1</f>
        <v>#REF!</v>
      </c>
      <c r="B49" s="521"/>
      <c r="C49" s="52" t="s">
        <v>30</v>
      </c>
      <c r="D49" s="355">
        <v>700</v>
      </c>
      <c r="E49" s="356">
        <v>5800</v>
      </c>
      <c r="F49" s="368">
        <f>D49*E49</f>
        <v>4060000</v>
      </c>
      <c r="G49" s="355">
        <f>400+280</f>
        <v>680</v>
      </c>
      <c r="H49" s="356">
        <v>4272.53</v>
      </c>
      <c r="I49" s="368">
        <f>G49*H49</f>
        <v>2905320.4</v>
      </c>
      <c r="J49" s="355">
        <f>280-280</f>
        <v>0</v>
      </c>
      <c r="K49" s="356"/>
      <c r="L49" s="368">
        <f>J49*K49</f>
        <v>0</v>
      </c>
      <c r="M49" s="355">
        <v>1290</v>
      </c>
      <c r="N49" s="356">
        <v>3580</v>
      </c>
      <c r="O49" s="368">
        <f>M49*N49</f>
        <v>4618200</v>
      </c>
      <c r="P49" s="355">
        <v>460</v>
      </c>
      <c r="Q49" s="356">
        <v>4100</v>
      </c>
      <c r="R49" s="368">
        <f>P49*Q49</f>
        <v>1886000</v>
      </c>
      <c r="S49" s="355">
        <v>155</v>
      </c>
      <c r="T49" s="356">
        <v>4000</v>
      </c>
      <c r="U49" s="368">
        <f>S49*T49</f>
        <v>620000</v>
      </c>
      <c r="V49" s="355">
        <v>85</v>
      </c>
      <c r="W49" s="356">
        <v>3312</v>
      </c>
      <c r="X49" s="368">
        <f>V49*W49</f>
        <v>281520</v>
      </c>
      <c r="Y49" s="355">
        <v>8</v>
      </c>
      <c r="Z49" s="356">
        <v>2640</v>
      </c>
      <c r="AA49" s="368">
        <f>Y49*Z49</f>
        <v>21120</v>
      </c>
      <c r="AB49" s="429">
        <f>SUMIF($D$6:$AA$6,AB$6,$D49:$AA49)</f>
        <v>3378</v>
      </c>
      <c r="AC49" s="430">
        <f>IF(AB49=0,0,AD49/AB49)</f>
        <v>4260.5566607460032</v>
      </c>
      <c r="AD49" s="431">
        <f>SUMIF($D$6:$AA$6,AD$6,$D49:$AA49)</f>
        <v>14392160.4</v>
      </c>
      <c r="AE49" s="355">
        <v>1850</v>
      </c>
      <c r="AF49" s="356">
        <v>3800</v>
      </c>
      <c r="AG49" s="368">
        <f>AE49*AF49</f>
        <v>7030000</v>
      </c>
      <c r="AH49" s="355">
        <v>700</v>
      </c>
      <c r="AI49" s="356">
        <v>3800</v>
      </c>
      <c r="AJ49" s="368">
        <f>AH49*AI49</f>
        <v>2660000</v>
      </c>
      <c r="AK49" s="355">
        <v>600</v>
      </c>
      <c r="AL49" s="356">
        <v>3600</v>
      </c>
      <c r="AM49" s="368">
        <f>AK49*AL49</f>
        <v>2160000</v>
      </c>
      <c r="AN49" s="355">
        <v>220</v>
      </c>
      <c r="AO49" s="356">
        <v>3311.5</v>
      </c>
      <c r="AP49" s="368">
        <f>AN49*AO49</f>
        <v>728530</v>
      </c>
      <c r="AQ49" s="355">
        <v>70</v>
      </c>
      <c r="AR49" s="356">
        <v>3000</v>
      </c>
      <c r="AS49" s="368">
        <f>AQ49*AR49</f>
        <v>210000</v>
      </c>
      <c r="AT49" s="450"/>
      <c r="AU49" s="330"/>
      <c r="AV49" s="43">
        <f>AT49*AU49</f>
        <v>0</v>
      </c>
      <c r="AW49" s="329"/>
      <c r="AX49" s="330"/>
      <c r="AY49" s="57">
        <f t="shared" si="73"/>
        <v>0</v>
      </c>
      <c r="AZ49" s="329"/>
      <c r="BA49" s="330"/>
      <c r="BB49" s="57">
        <f t="shared" si="74"/>
        <v>0</v>
      </c>
      <c r="BC49" s="329"/>
      <c r="BD49" s="330"/>
      <c r="BE49" s="57">
        <f t="shared" si="75"/>
        <v>0</v>
      </c>
      <c r="BF49" s="329"/>
      <c r="BG49" s="330"/>
      <c r="BH49" s="454">
        <f t="shared" si="76"/>
        <v>0</v>
      </c>
      <c r="BI49" s="458">
        <f>SUMIF($AE$6:$BH$6,BI$6,$AE49:$BH49)</f>
        <v>3440</v>
      </c>
      <c r="BJ49" s="459">
        <f t="shared" si="77"/>
        <v>3717.5959302325582</v>
      </c>
      <c r="BK49" s="460">
        <f>SUMIF($AE$6:$BH$6,BK$6,$AE49:$BH49)</f>
        <v>12788530</v>
      </c>
      <c r="BL49" s="458">
        <f>BI49+AB49</f>
        <v>6818</v>
      </c>
      <c r="BM49" s="459">
        <f t="shared" si="7"/>
        <v>3986.6075682018186</v>
      </c>
      <c r="BN49" s="460">
        <f>BK49+AD49</f>
        <v>27180690.399999999</v>
      </c>
      <c r="BP49" s="50">
        <f>261*30</f>
        <v>7830</v>
      </c>
      <c r="BQ49" s="61">
        <f t="shared" si="8"/>
        <v>0.87075351213282248</v>
      </c>
    </row>
    <row r="50" spans="1:71" x14ac:dyDescent="0.2">
      <c r="A50" s="39" t="e">
        <f>DATE(YEAR(A46),MONTH(A46)+2,1)-1</f>
        <v>#REF!</v>
      </c>
      <c r="B50" s="522"/>
      <c r="C50" s="62" t="s">
        <v>33</v>
      </c>
      <c r="D50" s="375">
        <v>819</v>
      </c>
      <c r="E50" s="376">
        <v>5684.1359000000002</v>
      </c>
      <c r="F50" s="377">
        <f>D50*E50</f>
        <v>4655307.3021</v>
      </c>
      <c r="G50" s="375">
        <f>182+152</f>
        <v>334</v>
      </c>
      <c r="H50" s="376">
        <v>3610.45</v>
      </c>
      <c r="I50" s="377">
        <f>G50*H50</f>
        <v>1205890.3</v>
      </c>
      <c r="J50" s="413">
        <f>152-152</f>
        <v>0</v>
      </c>
      <c r="K50" s="414"/>
      <c r="L50" s="415">
        <f>J50*K50</f>
        <v>0</v>
      </c>
      <c r="M50" s="375">
        <v>536</v>
      </c>
      <c r="N50" s="376">
        <v>3587</v>
      </c>
      <c r="O50" s="377">
        <f>M50*N50</f>
        <v>1922632</v>
      </c>
      <c r="P50" s="375">
        <v>835</v>
      </c>
      <c r="Q50" s="376">
        <v>3778.1298999999999</v>
      </c>
      <c r="R50" s="377">
        <f>P50*Q50</f>
        <v>3154738.4665000001</v>
      </c>
      <c r="S50" s="375">
        <v>65</v>
      </c>
      <c r="T50" s="376">
        <v>3187.3753000000002</v>
      </c>
      <c r="U50" s="377">
        <f>S50*T50</f>
        <v>207179.39450000002</v>
      </c>
      <c r="V50" s="375">
        <v>116</v>
      </c>
      <c r="W50" s="376">
        <v>4293.2350999999999</v>
      </c>
      <c r="X50" s="377">
        <f>V50*W50</f>
        <v>498015.27159999998</v>
      </c>
      <c r="Y50" s="375">
        <v>2</v>
      </c>
      <c r="Z50" s="376">
        <v>2444.335</v>
      </c>
      <c r="AA50" s="377">
        <f>Y50*Z50</f>
        <v>4888.67</v>
      </c>
      <c r="AB50" s="428">
        <f>SUMIF($D$6:$AA$6,AB$6,$D50:$AA50)</f>
        <v>2707</v>
      </c>
      <c r="AC50" s="391">
        <f>IF(AB50=0,0,AD50/AB50)</f>
        <v>4303.1589969338747</v>
      </c>
      <c r="AD50" s="380">
        <f>SUMIF($D$6:$AA$6,AD$6,$D50:$AA50)</f>
        <v>11648651.4047</v>
      </c>
      <c r="AE50" s="375">
        <v>989</v>
      </c>
      <c r="AF50" s="376">
        <v>3334</v>
      </c>
      <c r="AG50" s="377">
        <f>AE50*AF50</f>
        <v>3297326</v>
      </c>
      <c r="AH50" s="375">
        <v>468</v>
      </c>
      <c r="AI50" s="376">
        <v>3688</v>
      </c>
      <c r="AJ50" s="377">
        <f>AH50*AI50</f>
        <v>1725984</v>
      </c>
      <c r="AK50" s="375">
        <v>915</v>
      </c>
      <c r="AL50" s="376">
        <v>3494.2350999999999</v>
      </c>
      <c r="AM50" s="377">
        <f>AK50*AL50</f>
        <v>3197225.1165</v>
      </c>
      <c r="AN50" s="375">
        <v>199</v>
      </c>
      <c r="AO50" s="376">
        <v>3093.3325</v>
      </c>
      <c r="AP50" s="377">
        <f>AN50*AO50</f>
        <v>615573.16749999998</v>
      </c>
      <c r="AQ50" s="375">
        <v>118</v>
      </c>
      <c r="AR50" s="376">
        <v>4070</v>
      </c>
      <c r="AS50" s="377">
        <f>AQ50*AR50</f>
        <v>480260</v>
      </c>
      <c r="AT50" s="192"/>
      <c r="AU50" s="190"/>
      <c r="AV50" s="47">
        <f>AT50*AU50</f>
        <v>0</v>
      </c>
      <c r="AW50" s="336"/>
      <c r="AX50" s="337"/>
      <c r="AY50" s="63">
        <f t="shared" si="73"/>
        <v>0</v>
      </c>
      <c r="AZ50" s="336"/>
      <c r="BA50" s="337"/>
      <c r="BB50" s="63">
        <f t="shared" si="74"/>
        <v>0</v>
      </c>
      <c r="BC50" s="336"/>
      <c r="BD50" s="337"/>
      <c r="BE50" s="63">
        <f t="shared" si="75"/>
        <v>0</v>
      </c>
      <c r="BF50" s="336"/>
      <c r="BG50" s="337"/>
      <c r="BH50" s="455">
        <f t="shared" si="76"/>
        <v>0</v>
      </c>
      <c r="BI50" s="394">
        <f>SUMIF($AE$6:$BH$6,BI$6,$AE50:$BH50)</f>
        <v>2689</v>
      </c>
      <c r="BJ50" s="395">
        <f t="shared" si="77"/>
        <v>3464.621898103384</v>
      </c>
      <c r="BK50" s="396">
        <f>SUMIF($AE$6:$BH$6,BK$6,$AE50:$BH50)</f>
        <v>9316368.284</v>
      </c>
      <c r="BL50" s="394">
        <f>BI50+AB50</f>
        <v>5396</v>
      </c>
      <c r="BM50" s="395">
        <f t="shared" si="7"/>
        <v>3885.289045348406</v>
      </c>
      <c r="BN50" s="396">
        <f>BK50+AD50</f>
        <v>20965019.688699998</v>
      </c>
      <c r="BP50" s="50">
        <f>261*30</f>
        <v>7830</v>
      </c>
      <c r="BQ50" s="61">
        <f t="shared" si="8"/>
        <v>0.68914431673052368</v>
      </c>
    </row>
    <row r="51" spans="1:71" x14ac:dyDescent="0.2">
      <c r="A51" s="39"/>
      <c r="B51" s="520">
        <f>DATE(YEAR(B47),MONTH(B47)+2,1)-1</f>
        <v>366</v>
      </c>
      <c r="C51" s="24" t="s">
        <v>27</v>
      </c>
      <c r="D51" s="343">
        <f>(D52/D53)-1</f>
        <v>0.12159999999999993</v>
      </c>
      <c r="E51" s="344">
        <f>(E52/E53)-1</f>
        <v>0.10965517241379308</v>
      </c>
      <c r="F51" s="345">
        <f>(F52/F53)-1</f>
        <v>0.24458924137931026</v>
      </c>
      <c r="G51" s="343">
        <f t="shared" ref="G51:AP51" si="78">G52/G53-1</f>
        <v>-0.66465863453815266</v>
      </c>
      <c r="H51" s="382">
        <f t="shared" si="78"/>
        <v>-0.18384403087085754</v>
      </c>
      <c r="I51" s="345">
        <f t="shared" si="78"/>
        <v>-0.72630914288239601</v>
      </c>
      <c r="J51" s="365">
        <v>0</v>
      </c>
      <c r="K51" s="390">
        <v>0</v>
      </c>
      <c r="L51" s="367">
        <v>0</v>
      </c>
      <c r="M51" s="343">
        <f t="shared" si="78"/>
        <v>-4.6666666666666634E-2</v>
      </c>
      <c r="N51" s="382">
        <f t="shared" si="78"/>
        <v>0.26360000000000006</v>
      </c>
      <c r="O51" s="345">
        <f t="shared" si="78"/>
        <v>0.20463199999999993</v>
      </c>
      <c r="P51" s="343">
        <f t="shared" si="78"/>
        <v>-0.24736842105263157</v>
      </c>
      <c r="Q51" s="382">
        <f t="shared" si="78"/>
        <v>0.14043478260869557</v>
      </c>
      <c r="R51" s="345">
        <f t="shared" si="78"/>
        <v>-0.14167276887871849</v>
      </c>
      <c r="S51" s="343">
        <f t="shared" si="78"/>
        <v>-0.72380952380952379</v>
      </c>
      <c r="T51" s="382">
        <f t="shared" si="78"/>
        <v>0.21545893719806752</v>
      </c>
      <c r="U51" s="345">
        <f t="shared" si="78"/>
        <v>-0.66430181734529559</v>
      </c>
      <c r="V51" s="343">
        <f t="shared" si="78"/>
        <v>-0.40555555555555556</v>
      </c>
      <c r="W51" s="382">
        <f t="shared" si="78"/>
        <v>0.41867954911433181</v>
      </c>
      <c r="X51" s="345">
        <f t="shared" si="78"/>
        <v>-0.15667382358203619</v>
      </c>
      <c r="Y51" s="343">
        <f t="shared" si="78"/>
        <v>-1</v>
      </c>
      <c r="Z51" s="382">
        <f t="shared" si="78"/>
        <v>-1</v>
      </c>
      <c r="AA51" s="345">
        <f t="shared" si="78"/>
        <v>-1</v>
      </c>
      <c r="AB51" s="422">
        <f t="shared" si="78"/>
        <v>-0.1421140241364961</v>
      </c>
      <c r="AC51" s="423">
        <f t="shared" si="78"/>
        <v>0.21316561552069779</v>
      </c>
      <c r="AD51" s="424">
        <f t="shared" si="78"/>
        <v>4.0757767955022395E-2</v>
      </c>
      <c r="AE51" s="343">
        <f t="shared" si="78"/>
        <v>4.7252747252747307E-2</v>
      </c>
      <c r="AF51" s="382">
        <f t="shared" si="78"/>
        <v>3.026315789473677E-2</v>
      </c>
      <c r="AG51" s="345">
        <f t="shared" si="78"/>
        <v>7.8945922498554033E-2</v>
      </c>
      <c r="AH51" s="343">
        <f t="shared" si="78"/>
        <v>-2.0270270270270285E-2</v>
      </c>
      <c r="AI51" s="382">
        <f t="shared" si="78"/>
        <v>6.3291139240506666E-3</v>
      </c>
      <c r="AJ51" s="345">
        <f t="shared" si="78"/>
        <v>-1.406944919603148E-2</v>
      </c>
      <c r="AK51" s="343">
        <f t="shared" si="78"/>
        <v>0.22999999999999998</v>
      </c>
      <c r="AL51" s="382">
        <f t="shared" si="78"/>
        <v>0.12999999999999989</v>
      </c>
      <c r="AM51" s="345">
        <f t="shared" si="78"/>
        <v>0.38989999999999991</v>
      </c>
      <c r="AN51" s="343">
        <f t="shared" si="78"/>
        <v>-0.26400000000000001</v>
      </c>
      <c r="AO51" s="382">
        <f t="shared" si="78"/>
        <v>-7.4214975845410702E-2</v>
      </c>
      <c r="AP51" s="345">
        <f t="shared" si="78"/>
        <v>-0.31862222222222225</v>
      </c>
      <c r="AQ51" s="343">
        <v>0</v>
      </c>
      <c r="AR51" s="382">
        <v>0</v>
      </c>
      <c r="AS51" s="345">
        <v>0</v>
      </c>
      <c r="AT51" s="338"/>
      <c r="AU51" s="338"/>
      <c r="AV51" s="34"/>
      <c r="AW51" s="339"/>
      <c r="AX51" s="338"/>
      <c r="AY51" s="34"/>
      <c r="AZ51" s="339"/>
      <c r="BA51" s="338"/>
      <c r="BB51" s="34"/>
      <c r="BC51" s="339"/>
      <c r="BD51" s="338"/>
      <c r="BE51" s="34"/>
      <c r="BF51" s="339"/>
      <c r="BG51" s="338"/>
      <c r="BH51" s="453"/>
      <c r="BI51" s="343">
        <f t="shared" ref="BI51:BM51" si="79">BI52/BI53-1</f>
        <v>7.2737068965517349E-2</v>
      </c>
      <c r="BJ51" s="382">
        <f t="shared" si="79"/>
        <v>6.0265112020218004E-2</v>
      </c>
      <c r="BK51" s="345">
        <f t="shared" si="79"/>
        <v>0.13738568859496469</v>
      </c>
      <c r="BL51" s="343">
        <f t="shared" si="79"/>
        <v>-8.2257580306214328E-2</v>
      </c>
      <c r="BM51" s="382">
        <f t="shared" si="79"/>
        <v>0.15846514669127698</v>
      </c>
      <c r="BN51" s="424">
        <f t="shared" ref="BN51" si="80">BN52/BN53-1</f>
        <v>6.3172606855368851E-2</v>
      </c>
      <c r="BO51" s="75"/>
      <c r="BP51" s="50"/>
      <c r="BQ51" s="51"/>
    </row>
    <row r="52" spans="1:71" x14ac:dyDescent="0.2">
      <c r="A52" s="39" t="e">
        <f>DATE(YEAR(A48),MONTH(A48)+2,1)-1</f>
        <v>#REF!</v>
      </c>
      <c r="B52" s="521"/>
      <c r="C52" s="331" t="s">
        <v>29</v>
      </c>
      <c r="D52" s="372">
        <v>1402</v>
      </c>
      <c r="E52" s="373">
        <v>6436</v>
      </c>
      <c r="F52" s="374">
        <f>D52*E52</f>
        <v>9023272</v>
      </c>
      <c r="G52" s="372">
        <v>167</v>
      </c>
      <c r="H52" s="373">
        <v>3457</v>
      </c>
      <c r="I52" s="374">
        <f>G52*H52</f>
        <v>577319</v>
      </c>
      <c r="J52" s="372">
        <v>173</v>
      </c>
      <c r="K52" s="373">
        <v>3723</v>
      </c>
      <c r="L52" s="374">
        <f>J52*K52</f>
        <v>644079</v>
      </c>
      <c r="M52" s="372">
        <v>1287</v>
      </c>
      <c r="N52" s="373">
        <v>6318</v>
      </c>
      <c r="O52" s="374">
        <f>M52*N52</f>
        <v>8131266</v>
      </c>
      <c r="P52" s="372">
        <v>715</v>
      </c>
      <c r="Q52" s="373">
        <v>5246</v>
      </c>
      <c r="R52" s="374">
        <f>P52*Q52</f>
        <v>3750890</v>
      </c>
      <c r="S52" s="372">
        <v>58</v>
      </c>
      <c r="T52" s="373">
        <v>3774</v>
      </c>
      <c r="U52" s="374">
        <f>S52*T52</f>
        <v>218892</v>
      </c>
      <c r="V52" s="372">
        <v>321</v>
      </c>
      <c r="W52" s="373">
        <v>4405</v>
      </c>
      <c r="X52" s="374">
        <f>V52*W52</f>
        <v>1414005</v>
      </c>
      <c r="Y52" s="372">
        <v>0</v>
      </c>
      <c r="Z52" s="373"/>
      <c r="AA52" s="374">
        <v>0</v>
      </c>
      <c r="AB52" s="429">
        <f>SUMIF($D$6:$AA$6,AB$6,$D52:$AA52)</f>
        <v>4123</v>
      </c>
      <c r="AC52" s="430">
        <f>IF(AB52=0,0,AD52/AB52)</f>
        <v>5762.7268978898865</v>
      </c>
      <c r="AD52" s="431">
        <f>SUMIF($D$6:$AA$6,AD$6,$D52:$AA52)</f>
        <v>23759723</v>
      </c>
      <c r="AE52" s="446">
        <v>953</v>
      </c>
      <c r="AF52" s="430">
        <v>3915</v>
      </c>
      <c r="AG52" s="368">
        <f>AE52*AF52</f>
        <v>3730995</v>
      </c>
      <c r="AH52" s="446">
        <v>290</v>
      </c>
      <c r="AI52" s="430">
        <v>3975</v>
      </c>
      <c r="AJ52" s="447">
        <f>AH52*AI52</f>
        <v>1152750</v>
      </c>
      <c r="AK52" s="446">
        <v>492</v>
      </c>
      <c r="AL52" s="430">
        <v>4068</v>
      </c>
      <c r="AM52" s="447">
        <f>AK52*AL52</f>
        <v>2001456</v>
      </c>
      <c r="AN52" s="446">
        <v>184</v>
      </c>
      <c r="AO52" s="430">
        <v>3066.2</v>
      </c>
      <c r="AP52" s="368">
        <f>AN52*AO52</f>
        <v>564180.79999999993</v>
      </c>
      <c r="AQ52" s="446">
        <v>72</v>
      </c>
      <c r="AR52" s="430">
        <v>5460</v>
      </c>
      <c r="AS52" s="368">
        <f>AQ52*AR52</f>
        <v>393120</v>
      </c>
      <c r="AT52" s="451"/>
      <c r="AU52" s="332"/>
      <c r="AV52" s="333">
        <f>AT52*AU52</f>
        <v>0</v>
      </c>
      <c r="AW52" s="334"/>
      <c r="AX52" s="335"/>
      <c r="AY52" s="333">
        <f t="shared" ref="AY52:AY54" si="81">AW52*AX52</f>
        <v>0</v>
      </c>
      <c r="AZ52" s="334"/>
      <c r="BA52" s="335"/>
      <c r="BB52" s="333">
        <f t="shared" ref="BB52:BB54" si="82">AZ52*BA52</f>
        <v>0</v>
      </c>
      <c r="BC52" s="334"/>
      <c r="BD52" s="335"/>
      <c r="BE52" s="333">
        <f t="shared" ref="BE52:BE54" si="83">BC52*BD52</f>
        <v>0</v>
      </c>
      <c r="BF52" s="334"/>
      <c r="BG52" s="335"/>
      <c r="BH52" s="457">
        <f t="shared" ref="BH52:BH54" si="84">BF52*BG52</f>
        <v>0</v>
      </c>
      <c r="BI52" s="446">
        <f>SUMIF($AE$6:$BH$6,BI$6,$AE52:$BH52)</f>
        <v>1991</v>
      </c>
      <c r="BJ52" s="430">
        <f>IF(BI52=0,0,BK52/BI52)</f>
        <v>3938.9762933199395</v>
      </c>
      <c r="BK52" s="447">
        <f>SUMIF($AE$6:$BH$6,BK$6,$AE52:$BH52)</f>
        <v>7842501.7999999998</v>
      </c>
      <c r="BL52" s="392">
        <f>BI52+AB52</f>
        <v>6114</v>
      </c>
      <c r="BM52" s="393">
        <f t="shared" si="7"/>
        <v>5168.8297023225387</v>
      </c>
      <c r="BN52" s="377">
        <f>BK52+AD52</f>
        <v>31602224.800000001</v>
      </c>
      <c r="BP52" s="327">
        <f>261*31</f>
        <v>8091</v>
      </c>
      <c r="BQ52" s="328">
        <f t="shared" ref="BQ52:BQ62" si="85">IF(BP52=0,0,BL52/BP52)</f>
        <v>0.75565443084909156</v>
      </c>
    </row>
    <row r="53" spans="1:71" x14ac:dyDescent="0.2">
      <c r="A53" s="39" t="e">
        <f>DATE(YEAR(A49),MONTH(A49)+2,1)-1</f>
        <v>#REF!</v>
      </c>
      <c r="B53" s="521"/>
      <c r="C53" s="52" t="s">
        <v>30</v>
      </c>
      <c r="D53" s="355">
        <v>1250</v>
      </c>
      <c r="E53" s="356">
        <v>5800</v>
      </c>
      <c r="F53" s="368">
        <f>D53*E53</f>
        <v>7250000</v>
      </c>
      <c r="G53" s="355">
        <f>300+198</f>
        <v>498</v>
      </c>
      <c r="H53" s="356">
        <v>4235.71</v>
      </c>
      <c r="I53" s="368">
        <f>G53*H53</f>
        <v>2109383.58</v>
      </c>
      <c r="J53" s="355">
        <f>198-198</f>
        <v>0</v>
      </c>
      <c r="K53" s="356"/>
      <c r="L53" s="368">
        <f>J53*K53</f>
        <v>0</v>
      </c>
      <c r="M53" s="355">
        <v>1350</v>
      </c>
      <c r="N53" s="356">
        <v>5000</v>
      </c>
      <c r="O53" s="368">
        <f>M53*N53</f>
        <v>6750000</v>
      </c>
      <c r="P53" s="355">
        <v>950</v>
      </c>
      <c r="Q53" s="356">
        <v>4600</v>
      </c>
      <c r="R53" s="368">
        <f>P53*Q53</f>
        <v>4370000</v>
      </c>
      <c r="S53" s="355">
        <v>210</v>
      </c>
      <c r="T53" s="356">
        <v>3105</v>
      </c>
      <c r="U53" s="368">
        <f>S53*T53</f>
        <v>652050</v>
      </c>
      <c r="V53" s="355">
        <v>540</v>
      </c>
      <c r="W53" s="356">
        <v>3105</v>
      </c>
      <c r="X53" s="368">
        <f>V53*W53</f>
        <v>1676700</v>
      </c>
      <c r="Y53" s="355">
        <v>8</v>
      </c>
      <c r="Z53" s="356">
        <v>2640</v>
      </c>
      <c r="AA53" s="368">
        <f>Y53*Z53</f>
        <v>21120</v>
      </c>
      <c r="AB53" s="429">
        <f>SUMIF($D$6:$AA$6,AB$6,$D53:$AA53)</f>
        <v>4806</v>
      </c>
      <c r="AC53" s="430">
        <f>IF(AB53=0,0,AD53/AB53)</f>
        <v>4750.1567998335413</v>
      </c>
      <c r="AD53" s="431">
        <f>SUMIF($D$6:$AA$6,AD$6,$D53:$AA53)</f>
        <v>22829253.579999998</v>
      </c>
      <c r="AE53" s="355">
        <v>910</v>
      </c>
      <c r="AF53" s="356">
        <v>3800</v>
      </c>
      <c r="AG53" s="368">
        <f>AE53*AF53</f>
        <v>3458000</v>
      </c>
      <c r="AH53" s="355">
        <v>296</v>
      </c>
      <c r="AI53" s="356">
        <v>3950</v>
      </c>
      <c r="AJ53" s="368">
        <f>AH53*AI53</f>
        <v>1169200</v>
      </c>
      <c r="AK53" s="355">
        <v>400</v>
      </c>
      <c r="AL53" s="356">
        <v>3600</v>
      </c>
      <c r="AM53" s="368">
        <f>AK53*AL53</f>
        <v>1440000</v>
      </c>
      <c r="AN53" s="355">
        <v>250</v>
      </c>
      <c r="AO53" s="356">
        <v>3312</v>
      </c>
      <c r="AP53" s="368">
        <f>AN53*AO53</f>
        <v>828000</v>
      </c>
      <c r="AQ53" s="355">
        <v>0</v>
      </c>
      <c r="AR53" s="356">
        <v>0</v>
      </c>
      <c r="AS53" s="368">
        <f>AQ53*AR53</f>
        <v>0</v>
      </c>
      <c r="AT53" s="448"/>
      <c r="AU53" s="56"/>
      <c r="AV53" s="43">
        <f>AT53*AU53</f>
        <v>0</v>
      </c>
      <c r="AW53" s="55"/>
      <c r="AX53" s="56"/>
      <c r="AY53" s="57">
        <f t="shared" si="81"/>
        <v>0</v>
      </c>
      <c r="AZ53" s="55"/>
      <c r="BA53" s="56"/>
      <c r="BB53" s="57">
        <f t="shared" si="82"/>
        <v>0</v>
      </c>
      <c r="BC53" s="55"/>
      <c r="BD53" s="56"/>
      <c r="BE53" s="57">
        <f t="shared" si="83"/>
        <v>0</v>
      </c>
      <c r="BF53" s="55"/>
      <c r="BG53" s="56"/>
      <c r="BH53" s="454">
        <f t="shared" si="84"/>
        <v>0</v>
      </c>
      <c r="BI53" s="458">
        <f>SUMIF($AE$6:$BH$6,BI$6,$AE53:$BH53)</f>
        <v>1856</v>
      </c>
      <c r="BJ53" s="459">
        <f t="shared" ref="BJ53:BJ54" si="86">IF(BI53=0,0,BK53/BI53)</f>
        <v>3715.0862068965516</v>
      </c>
      <c r="BK53" s="460">
        <f>SUMIF($AE$6:$BH$6,BK$6,$AE53:$BH53)</f>
        <v>6895200</v>
      </c>
      <c r="BL53" s="458">
        <f>BI53+AB53</f>
        <v>6662</v>
      </c>
      <c r="BM53" s="459">
        <f t="shared" si="7"/>
        <v>4461.7912909036322</v>
      </c>
      <c r="BN53" s="460">
        <f>BK53+AD53</f>
        <v>29724453.579999998</v>
      </c>
      <c r="BP53" s="50">
        <f>261*31</f>
        <v>8091</v>
      </c>
      <c r="BQ53" s="61">
        <f t="shared" si="85"/>
        <v>0.82338400692127056</v>
      </c>
    </row>
    <row r="54" spans="1:71" x14ac:dyDescent="0.2">
      <c r="A54" s="39" t="e">
        <f>DATE(YEAR(A50),MONTH(A50)+2,1)-1</f>
        <v>#REF!</v>
      </c>
      <c r="B54" s="522"/>
      <c r="C54" s="62" t="s">
        <v>33</v>
      </c>
      <c r="D54" s="378">
        <v>1237</v>
      </c>
      <c r="E54" s="379">
        <v>6187</v>
      </c>
      <c r="F54" s="380">
        <f>D54*E54</f>
        <v>7653319</v>
      </c>
      <c r="G54" s="375">
        <f>180+165</f>
        <v>345</v>
      </c>
      <c r="H54" s="376">
        <v>3567.69</v>
      </c>
      <c r="I54" s="377">
        <f>G54*H54</f>
        <v>1230853.05</v>
      </c>
      <c r="J54" s="413">
        <f>165-165+227+9</f>
        <v>236</v>
      </c>
      <c r="K54" s="414">
        <v>3356.4</v>
      </c>
      <c r="L54" s="415">
        <f>J54*K54</f>
        <v>792110.4</v>
      </c>
      <c r="M54" s="375">
        <f>1282-227-9</f>
        <v>1046</v>
      </c>
      <c r="N54" s="376">
        <v>6062.08</v>
      </c>
      <c r="O54" s="377">
        <f>M54*N54</f>
        <v>6340935.6799999997</v>
      </c>
      <c r="P54" s="375">
        <v>1029</v>
      </c>
      <c r="Q54" s="376">
        <v>4555</v>
      </c>
      <c r="R54" s="377">
        <f>P54*Q54</f>
        <v>4687095</v>
      </c>
      <c r="S54" s="375">
        <v>105</v>
      </c>
      <c r="T54" s="376">
        <v>3037</v>
      </c>
      <c r="U54" s="377">
        <f>S54*T54</f>
        <v>318885</v>
      </c>
      <c r="V54" s="375">
        <v>455</v>
      </c>
      <c r="W54" s="376">
        <v>3513</v>
      </c>
      <c r="X54" s="377">
        <f>V54*W54</f>
        <v>1598415</v>
      </c>
      <c r="Y54" s="375">
        <v>12</v>
      </c>
      <c r="Z54" s="376">
        <v>2545</v>
      </c>
      <c r="AA54" s="377">
        <f>Y54*Z54</f>
        <v>30540</v>
      </c>
      <c r="AB54" s="428">
        <f>SUMIF($D$6:$AA$6,AB$6,$D54:$AA54)</f>
        <v>4465</v>
      </c>
      <c r="AC54" s="391">
        <f>IF(AB54=0,0,AD54/AB54)</f>
        <v>5073.2705778275485</v>
      </c>
      <c r="AD54" s="380">
        <f>SUMIF($D$6:$AA$6,AD$6,$D54:$AA54)</f>
        <v>22652153.130000003</v>
      </c>
      <c r="AE54" s="375">
        <v>833</v>
      </c>
      <c r="AF54" s="376">
        <v>3339</v>
      </c>
      <c r="AG54" s="377">
        <f>AE54*AF54</f>
        <v>2781387</v>
      </c>
      <c r="AH54" s="375">
        <v>0</v>
      </c>
      <c r="AI54" s="376">
        <v>0</v>
      </c>
      <c r="AJ54" s="377">
        <f>AH54*AI54</f>
        <v>0</v>
      </c>
      <c r="AK54" s="375">
        <v>112</v>
      </c>
      <c r="AL54" s="376">
        <v>3208</v>
      </c>
      <c r="AM54" s="377">
        <f>AK54*AL54</f>
        <v>359296</v>
      </c>
      <c r="AN54" s="375">
        <v>10</v>
      </c>
      <c r="AO54" s="376">
        <v>2728</v>
      </c>
      <c r="AP54" s="377">
        <f>AN54*AO54</f>
        <v>27280</v>
      </c>
      <c r="AQ54" s="375">
        <v>314.98439999999999</v>
      </c>
      <c r="AR54" s="376">
        <v>4026.5068999999999</v>
      </c>
      <c r="AS54" s="377">
        <f>AQ54*AR54</f>
        <v>1268286.85999236</v>
      </c>
      <c r="AT54" s="192"/>
      <c r="AU54" s="190"/>
      <c r="AV54" s="47">
        <f>AT54*AU54</f>
        <v>0</v>
      </c>
      <c r="AW54" s="64"/>
      <c r="AX54" s="65"/>
      <c r="AY54" s="63">
        <f t="shared" si="81"/>
        <v>0</v>
      </c>
      <c r="AZ54" s="64"/>
      <c r="BA54" s="65"/>
      <c r="BB54" s="63">
        <f t="shared" si="82"/>
        <v>0</v>
      </c>
      <c r="BC54" s="64"/>
      <c r="BD54" s="65"/>
      <c r="BE54" s="63">
        <f t="shared" si="83"/>
        <v>0</v>
      </c>
      <c r="BF54" s="64"/>
      <c r="BG54" s="65"/>
      <c r="BH54" s="455">
        <f t="shared" si="84"/>
        <v>0</v>
      </c>
      <c r="BI54" s="394">
        <f>SUMIF($AE$6:$BH$6,BI$6,$AE54:$BH54)</f>
        <v>1269.9844000000001</v>
      </c>
      <c r="BJ54" s="395">
        <f t="shared" si="86"/>
        <v>3493.1530339997557</v>
      </c>
      <c r="BK54" s="396">
        <f>SUMIF($AE$6:$BH$6,BK$6,$AE54:$BH54)</f>
        <v>4436249.8599923598</v>
      </c>
      <c r="BL54" s="394">
        <f t="shared" ref="BL54" si="87">BI54+AB54</f>
        <v>5734.9844000000003</v>
      </c>
      <c r="BM54" s="395">
        <f t="shared" si="7"/>
        <v>4723.3612335532007</v>
      </c>
      <c r="BN54" s="396">
        <f t="shared" ref="BN54" si="88">BK54+AD54</f>
        <v>27088402.989992362</v>
      </c>
      <c r="BP54" s="55">
        <f>261*31</f>
        <v>8091</v>
      </c>
      <c r="BQ54" s="61">
        <f t="shared" si="85"/>
        <v>0.7088103324681746</v>
      </c>
    </row>
    <row r="55" spans="1:71" hidden="1" x14ac:dyDescent="0.2">
      <c r="A55" s="39"/>
      <c r="B55" s="520" t="s">
        <v>28</v>
      </c>
      <c r="C55" s="286" t="s">
        <v>27</v>
      </c>
      <c r="D55" s="381">
        <f>(D56/D57)-1</f>
        <v>0.2372182871860915</v>
      </c>
      <c r="E55" s="382">
        <f>(E56/E57)-1</f>
        <v>3.8811401782010257E-2</v>
      </c>
      <c r="F55" s="383">
        <f>(F56/F57)-1</f>
        <v>0.28523646322212137</v>
      </c>
      <c r="G55" s="343">
        <f t="shared" ref="G55:AA55" si="89">(G56/G57)-1</f>
        <v>-0.68230467356403857</v>
      </c>
      <c r="H55" s="344">
        <f t="shared" si="89"/>
        <v>-7.9254208213680677E-2</v>
      </c>
      <c r="I55" s="345">
        <f t="shared" si="89"/>
        <v>-0.70748336511390741</v>
      </c>
      <c r="J55" s="365">
        <v>0</v>
      </c>
      <c r="K55" s="390">
        <v>0</v>
      </c>
      <c r="L55" s="367">
        <v>0</v>
      </c>
      <c r="M55" s="343">
        <f t="shared" si="89"/>
        <v>-0.33036164844407068</v>
      </c>
      <c r="N55" s="344">
        <f t="shared" si="89"/>
        <v>0.11043341941128726</v>
      </c>
      <c r="O55" s="345">
        <f t="shared" si="89"/>
        <v>-0.25641119551281155</v>
      </c>
      <c r="P55" s="343">
        <f t="shared" si="89"/>
        <v>3.6521739130434883E-2</v>
      </c>
      <c r="Q55" s="344">
        <f t="shared" si="89"/>
        <v>9.1227739790987972E-2</v>
      </c>
      <c r="R55" s="345">
        <f t="shared" si="89"/>
        <v>0.13108127463552832</v>
      </c>
      <c r="S55" s="343">
        <f t="shared" si="89"/>
        <v>-0.39523293607800647</v>
      </c>
      <c r="T55" s="344">
        <f t="shared" si="89"/>
        <v>3.8656693201881254E-2</v>
      </c>
      <c r="U55" s="345">
        <f t="shared" si="89"/>
        <v>-0.3718546412293714</v>
      </c>
      <c r="V55" s="343">
        <f t="shared" si="89"/>
        <v>-0.2087702573879886</v>
      </c>
      <c r="W55" s="344">
        <f t="shared" si="89"/>
        <v>0.22136218109069605</v>
      </c>
      <c r="X55" s="345">
        <f t="shared" si="89"/>
        <v>-3.3621915819563641E-2</v>
      </c>
      <c r="Y55" s="343">
        <f t="shared" si="89"/>
        <v>-0.48837209302325579</v>
      </c>
      <c r="Z55" s="344">
        <f t="shared" si="89"/>
        <v>-4.338295897533484E-2</v>
      </c>
      <c r="AA55" s="345">
        <f t="shared" si="89"/>
        <v>-0.51056802552226443</v>
      </c>
      <c r="AB55" s="422">
        <f>AB56/AB57-1</f>
        <v>-0.10634546271338718</v>
      </c>
      <c r="AC55" s="423">
        <f>AC56/AC57-1</f>
        <v>9.6919061052483269E-2</v>
      </c>
      <c r="AD55" s="424">
        <f>AD56/AD57-1</f>
        <v>-1.9733304054277312E-2</v>
      </c>
      <c r="AE55" s="343">
        <f t="shared" ref="AE55:AV55" si="90">(AE56/AE57)-1</f>
        <v>-0.28143191702910675</v>
      </c>
      <c r="AF55" s="344">
        <f t="shared" si="90"/>
        <v>6.9892514099175296E-2</v>
      </c>
      <c r="AG55" s="345">
        <f t="shared" si="90"/>
        <v>-0.2312093871588462</v>
      </c>
      <c r="AH55" s="343">
        <f t="shared" si="90"/>
        <v>3.5567715458276306E-2</v>
      </c>
      <c r="AI55" s="344">
        <f t="shared" si="90"/>
        <v>-0.11909872000968114</v>
      </c>
      <c r="AJ55" s="345">
        <f t="shared" si="90"/>
        <v>-8.7767073936154127E-2</v>
      </c>
      <c r="AK55" s="343">
        <f t="shared" si="90"/>
        <v>-0.19457459926017262</v>
      </c>
      <c r="AL55" s="344">
        <f t="shared" si="90"/>
        <v>0.42744808349364205</v>
      </c>
      <c r="AM55" s="345">
        <f t="shared" si="90"/>
        <v>0.14970294468316525</v>
      </c>
      <c r="AN55" s="343">
        <f t="shared" si="90"/>
        <v>-0.76088560885608858</v>
      </c>
      <c r="AO55" s="344">
        <f t="shared" si="90"/>
        <v>-2.3131539284298674E-2</v>
      </c>
      <c r="AP55" s="345">
        <f t="shared" si="90"/>
        <v>-0.76641669278827507</v>
      </c>
      <c r="AQ55" s="343">
        <f t="shared" si="90"/>
        <v>0.36714285714285722</v>
      </c>
      <c r="AR55" s="344">
        <f t="shared" si="90"/>
        <v>0.41130895429144498</v>
      </c>
      <c r="AS55" s="345">
        <f t="shared" si="90"/>
        <v>0.92946095608130408</v>
      </c>
      <c r="AT55" s="25" t="e">
        <f t="shared" si="90"/>
        <v>#DIV/0!</v>
      </c>
      <c r="AU55" s="26" t="e">
        <f t="shared" si="90"/>
        <v>#DIV/0!</v>
      </c>
      <c r="AV55" s="31" t="e">
        <f t="shared" si="90"/>
        <v>#DIV/0!</v>
      </c>
      <c r="AW55" s="147"/>
      <c r="AX55" s="150"/>
      <c r="AY55" s="149"/>
      <c r="AZ55" s="147"/>
      <c r="BA55" s="150"/>
      <c r="BB55" s="149"/>
      <c r="BC55" s="147"/>
      <c r="BD55" s="150"/>
      <c r="BE55" s="149"/>
      <c r="BF55" s="147"/>
      <c r="BG55" s="150"/>
      <c r="BH55" s="146"/>
      <c r="BI55" s="381">
        <f>BI56/BI57-1</f>
        <v>-0.2479474548440066</v>
      </c>
      <c r="BJ55" s="382">
        <f t="shared" ref="BJ55:BN55" si="91">BJ56/BJ57-1</f>
        <v>0.10598249429083251</v>
      </c>
      <c r="BK55" s="383">
        <f t="shared" si="91"/>
        <v>-0.16824305027060538</v>
      </c>
      <c r="BL55" s="343">
        <f t="shared" si="91"/>
        <v>-0.16714093443568545</v>
      </c>
      <c r="BM55" s="382">
        <f t="shared" si="91"/>
        <v>0.10755746860298809</v>
      </c>
      <c r="BN55" s="424">
        <f t="shared" si="91"/>
        <v>-7.7560721640537622E-2</v>
      </c>
      <c r="BP55" s="155"/>
      <c r="BQ55" s="145"/>
    </row>
    <row r="56" spans="1:71" hidden="1" x14ac:dyDescent="0.2">
      <c r="A56" s="39"/>
      <c r="B56" s="521"/>
      <c r="C56" s="287" t="s">
        <v>29</v>
      </c>
      <c r="D56" s="384">
        <f>+D8+D12+D16+D20+D24+D28+D32+D36+D40+D44+D48+D52</f>
        <v>9607</v>
      </c>
      <c r="E56" s="385">
        <f>+F56/D56</f>
        <v>5913.4004593317377</v>
      </c>
      <c r="F56" s="386">
        <f>+F8+F12+F16+F20+F24+F28+F32+F36+F40+F44+F48+F52</f>
        <v>56810038.212800004</v>
      </c>
      <c r="G56" s="384">
        <f>+G8+G12+G16+G20+G24+G28+G32+G36+G40+G44+G48+G52</f>
        <v>1781</v>
      </c>
      <c r="H56" s="385">
        <f>+I56/G56</f>
        <v>3753.4332397529474</v>
      </c>
      <c r="I56" s="386">
        <f t="shared" ref="I56:J58" si="92">+I8+I12+I16+I20+I24+I28+I32+I36+I40+I44+I48+I52</f>
        <v>6684864.5999999996</v>
      </c>
      <c r="J56" s="384">
        <f t="shared" si="92"/>
        <v>3102</v>
      </c>
      <c r="K56" s="385">
        <f>+L56/J56</f>
        <v>3582.9732785299811</v>
      </c>
      <c r="L56" s="386">
        <f t="shared" ref="L56:M58" si="93">+L8+L12+L16+L20+L24+L28+L32+L36+L40+L44+L48+L52</f>
        <v>11114383.110000001</v>
      </c>
      <c r="M56" s="384">
        <f t="shared" si="93"/>
        <v>7962</v>
      </c>
      <c r="N56" s="385">
        <f>+O56/M56</f>
        <v>4058.7172670183372</v>
      </c>
      <c r="O56" s="386">
        <f t="shared" ref="O56:P58" si="94">+O8+O12+O16+O20+O24+O28+O32+O36+O40+O44+O48+O52</f>
        <v>32315506.880000003</v>
      </c>
      <c r="P56" s="384">
        <f t="shared" si="94"/>
        <v>6556</v>
      </c>
      <c r="Q56" s="385">
        <f>+R56/P56</f>
        <v>4325.9726754118365</v>
      </c>
      <c r="R56" s="386">
        <f t="shared" ref="R56:S58" si="95">+R8+R12+R16+R20+R24+R28+R32+R36+R40+R44+R48+R52</f>
        <v>28361076.859999999</v>
      </c>
      <c r="S56" s="384">
        <f t="shared" si="95"/>
        <v>1116.4000000000001</v>
      </c>
      <c r="T56" s="385">
        <f>+U56/S56</f>
        <v>3447.9407380867065</v>
      </c>
      <c r="U56" s="386">
        <f t="shared" ref="U56:V58" si="96">+U8+U12+U16+U20+U24+U28+U32+U36+U40+U44+U48+U52</f>
        <v>3849281.0399999996</v>
      </c>
      <c r="V56" s="384">
        <f t="shared" si="96"/>
        <v>1660</v>
      </c>
      <c r="W56" s="385">
        <f>+X56/V56</f>
        <v>4539.447530120482</v>
      </c>
      <c r="X56" s="386">
        <f>+X8+X12+X16+X20+X24+X28+X32+X36+X40+X44+X48+X52</f>
        <v>7535482.9000000004</v>
      </c>
      <c r="Y56" s="384">
        <f>+Y8+Y12+Y16+Y20+Y24+Y28+Y32+Y36+Y40+Y44+Y48+Y52</f>
        <v>44</v>
      </c>
      <c r="Z56" s="385">
        <f>+AA56/Y56</f>
        <v>2431.0627272727274</v>
      </c>
      <c r="AA56" s="386">
        <f t="shared" ref="AA56:AB58" si="97">+AA8+AA12+AA16+AA20+AA24+AA28+AA32+AA36+AA40+AA44+AA48+AA52</f>
        <v>106966.76000000001</v>
      </c>
      <c r="AB56" s="384">
        <f t="shared" si="97"/>
        <v>31828.400000000001</v>
      </c>
      <c r="AC56" s="385">
        <f>+AD56/AB56</f>
        <v>4611.5293374093571</v>
      </c>
      <c r="AD56" s="386">
        <f t="shared" ref="AD56:AE58" si="98">+AD8+AD12+AD16+AD20+AD24+AD28+AD32+AD36+AD40+AD44+AD48+AD52</f>
        <v>146777600.3628</v>
      </c>
      <c r="AE56" s="384">
        <f t="shared" si="98"/>
        <v>10739</v>
      </c>
      <c r="AF56" s="385">
        <f t="shared" ref="AF56:AF58" si="99">+AG56/AE56</f>
        <v>3872.9106769159143</v>
      </c>
      <c r="AG56" s="386">
        <f t="shared" ref="AG56:AH58" si="100">+AG8+AG12+AG16+AG20+AG24+AG28+AG32+AG36+AG40+AG44+AG48+AG52</f>
        <v>41591187.759400003</v>
      </c>
      <c r="AH56" s="384">
        <f t="shared" si="100"/>
        <v>4542</v>
      </c>
      <c r="AI56" s="385">
        <f t="shared" ref="AI56:AI58" si="101">+AJ56/AH56</f>
        <v>3463.9494649933949</v>
      </c>
      <c r="AJ56" s="386">
        <f t="shared" ref="AJ56:AK58" si="102">+AJ8+AJ12+AJ16+AJ20+AJ24+AJ28+AJ32+AJ36+AJ40+AJ44+AJ48+AJ52</f>
        <v>15733258.469999999</v>
      </c>
      <c r="AK56" s="384">
        <f t="shared" si="102"/>
        <v>3266</v>
      </c>
      <c r="AL56" s="385">
        <f t="shared" ref="AL56:AL58" si="103">+AM56/AK56</f>
        <v>4743.515939987753</v>
      </c>
      <c r="AM56" s="386">
        <f t="shared" ref="AM56:AN58" si="104">+AM8+AM12+AM16+AM20+AM24+AM28+AM32+AM36+AM40+AM44+AM48+AM52</f>
        <v>15492323.060000001</v>
      </c>
      <c r="AN56" s="384">
        <f t="shared" si="104"/>
        <v>648</v>
      </c>
      <c r="AO56" s="385">
        <f t="shared" ref="AO56:AO58" si="105">+AP56/AN56</f>
        <v>2969.2165586419756</v>
      </c>
      <c r="AP56" s="386">
        <f t="shared" ref="AP56:AQ58" si="106">+AP8+AP12+AP16+AP20+AP24+AP28+AP32+AP36+AP40+AP44+AP48+AP52</f>
        <v>1924052.33</v>
      </c>
      <c r="AQ56" s="384">
        <f t="shared" si="106"/>
        <v>957</v>
      </c>
      <c r="AR56" s="385">
        <f t="shared" ref="AR56:AR58" si="107">+AS56/AQ56</f>
        <v>4888.1290478578894</v>
      </c>
      <c r="AS56" s="386">
        <f>+AS8+AS12+AS16+AS20+AS24+AS28+AS32+AS36+AS40+AS44+AS48+AS52</f>
        <v>4677939.4988000002</v>
      </c>
      <c r="AT56" s="295">
        <f>+AT8+AT12+AT16</f>
        <v>0</v>
      </c>
      <c r="AU56" s="295" t="e">
        <f t="shared" ref="AU56:AU58" si="108">+AV56/AT56</f>
        <v>#DIV/0!</v>
      </c>
      <c r="AV56" s="297">
        <f t="shared" ref="AV56:AW58" si="109">+AV8+AV12+AV16</f>
        <v>0</v>
      </c>
      <c r="AW56" s="296">
        <f t="shared" si="109"/>
        <v>0</v>
      </c>
      <c r="AX56" s="295" t="e">
        <f t="shared" ref="AX56:AX58" si="110">+AY56/AW56</f>
        <v>#DIV/0!</v>
      </c>
      <c r="AY56" s="297">
        <f t="shared" ref="AY56:AZ58" si="111">+AY8+AY12+AY16</f>
        <v>0</v>
      </c>
      <c r="AZ56" s="296">
        <f t="shared" si="111"/>
        <v>0</v>
      </c>
      <c r="BA56" s="295" t="e">
        <f t="shared" ref="BA56:BA58" si="112">+BB56/AZ56</f>
        <v>#DIV/0!</v>
      </c>
      <c r="BB56" s="297">
        <f t="shared" ref="BB56:BC58" si="113">+BB8+BB12+BB16</f>
        <v>0</v>
      </c>
      <c r="BC56" s="296">
        <f t="shared" si="113"/>
        <v>0</v>
      </c>
      <c r="BD56" s="295" t="e">
        <f t="shared" ref="BD56:BD58" si="114">+BE56/BC56</f>
        <v>#DIV/0!</v>
      </c>
      <c r="BE56" s="297">
        <f t="shared" ref="BE56:BF58" si="115">+BE8+BE12+BE16</f>
        <v>0</v>
      </c>
      <c r="BF56" s="296">
        <f t="shared" si="115"/>
        <v>0</v>
      </c>
      <c r="BG56" s="295" t="e">
        <f t="shared" ref="BG56:BG58" si="116">+BH56/BF56</f>
        <v>#DIV/0!</v>
      </c>
      <c r="BH56" s="417">
        <f>+BH8+BH12+BH16</f>
        <v>0</v>
      </c>
      <c r="BI56" s="384">
        <f>+BI8+BI12+BI16+BI20+BI24+BI28+BI32+BI36+BI40+BI44+BI48+BI52</f>
        <v>20152</v>
      </c>
      <c r="BJ56" s="385">
        <f>+BK56/BI56</f>
        <v>3940.9865580686783</v>
      </c>
      <c r="BK56" s="386">
        <f t="shared" ref="BK56:BL58" si="117">+BK8+BK12+BK16+BK20+BK24+BK28+BK32+BK36+BK40+BK44+BK48+BK52</f>
        <v>79418761.118200004</v>
      </c>
      <c r="BL56" s="384">
        <f t="shared" si="117"/>
        <v>51980.4</v>
      </c>
      <c r="BM56" s="385">
        <f>+BN56/BL56</f>
        <v>4351.570235723465</v>
      </c>
      <c r="BN56" s="386">
        <f>+BN8+BN12+BN16+BN20+BN24+BN28+BN32+BN36+BN40+BN44+BN48+BN52</f>
        <v>226196361.48100001</v>
      </c>
      <c r="BP56" s="296">
        <f>+BP8+BP12+BP16+BP20+BP24+BP28+BP32+BP36+BP40+BP44+BP48+BP52</f>
        <v>95265</v>
      </c>
      <c r="BQ56" s="51">
        <f t="shared" si="85"/>
        <v>0.54564005668398674</v>
      </c>
    </row>
    <row r="57" spans="1:71" hidden="1" x14ac:dyDescent="0.2">
      <c r="A57" s="39"/>
      <c r="B57" s="521"/>
      <c r="C57" s="288" t="s">
        <v>30</v>
      </c>
      <c r="D57" s="384">
        <f>+D9+D13+D17+D21+D25+D29+D33+D37+D41+D45+D49+D53</f>
        <v>7765</v>
      </c>
      <c r="E57" s="385">
        <f t="shared" ref="E57:E58" si="118">+F57/D57</f>
        <v>5692.467804249839</v>
      </c>
      <c r="F57" s="386">
        <f>+F9+F13+F17+F21+F25+F29+F33+F37+F41+F45+F49+F53</f>
        <v>44202012.5</v>
      </c>
      <c r="G57" s="384">
        <f>+G9+G13+G17+G21+G25+G29+G33+G37+G41+G45+G49+G53</f>
        <v>5606</v>
      </c>
      <c r="H57" s="385">
        <f t="shared" ref="H57:H58" si="119">+I57/G57</f>
        <v>4076.5141402069203</v>
      </c>
      <c r="I57" s="386">
        <f t="shared" si="92"/>
        <v>22852938.269999996</v>
      </c>
      <c r="J57" s="384">
        <f t="shared" si="92"/>
        <v>0</v>
      </c>
      <c r="K57" s="385">
        <v>0</v>
      </c>
      <c r="L57" s="386">
        <f t="shared" si="93"/>
        <v>0</v>
      </c>
      <c r="M57" s="384">
        <f t="shared" si="93"/>
        <v>11890</v>
      </c>
      <c r="N57" s="385">
        <f t="shared" ref="N57:N58" si="120">+O57/M57</f>
        <v>3655.0748528174936</v>
      </c>
      <c r="O57" s="386">
        <f t="shared" si="94"/>
        <v>43458840</v>
      </c>
      <c r="P57" s="384">
        <f t="shared" si="94"/>
        <v>6325</v>
      </c>
      <c r="Q57" s="385">
        <f t="shared" ref="Q57:Q58" si="121">+R57/P57</f>
        <v>3964.3169960474306</v>
      </c>
      <c r="R57" s="386">
        <f t="shared" si="95"/>
        <v>25074305</v>
      </c>
      <c r="S57" s="384">
        <f t="shared" si="95"/>
        <v>1846</v>
      </c>
      <c r="T57" s="385">
        <f t="shared" ref="T57:T58" si="122">+U57/S57</f>
        <v>3319.6153846153848</v>
      </c>
      <c r="U57" s="386">
        <f t="shared" si="96"/>
        <v>6128010</v>
      </c>
      <c r="V57" s="384">
        <f t="shared" si="96"/>
        <v>2098</v>
      </c>
      <c r="W57" s="385">
        <f t="shared" ref="W57:W58" si="123">+X57/V57</f>
        <v>3716.7087702573881</v>
      </c>
      <c r="X57" s="386">
        <f>+X9+X13+X17+X21+X25+X29+X33+X37+X41+X45+X49+X53</f>
        <v>7797655</v>
      </c>
      <c r="Y57" s="384">
        <f>+Y9+Y13+Y17+Y21+Y25+Y29+Y33+Y37+Y41+Y45+Y49+Y53</f>
        <v>86</v>
      </c>
      <c r="Z57" s="385">
        <f t="shared" ref="Z57:Z58" si="124">+AA57/Y57</f>
        <v>2541.3123779069765</v>
      </c>
      <c r="AA57" s="386">
        <f t="shared" si="97"/>
        <v>218552.8645</v>
      </c>
      <c r="AB57" s="384">
        <f t="shared" si="97"/>
        <v>35616</v>
      </c>
      <c r="AC57" s="385">
        <f t="shared" ref="AC57:AC58" si="125">+AD57/AB57</f>
        <v>4204.074394499663</v>
      </c>
      <c r="AD57" s="386">
        <f t="shared" si="98"/>
        <v>149732313.6345</v>
      </c>
      <c r="AE57" s="384">
        <f t="shared" si="98"/>
        <v>14945</v>
      </c>
      <c r="AF57" s="385">
        <f t="shared" si="99"/>
        <v>3619.9063231850118</v>
      </c>
      <c r="AG57" s="386">
        <f t="shared" si="100"/>
        <v>54099500</v>
      </c>
      <c r="AH57" s="384">
        <f t="shared" si="100"/>
        <v>4386</v>
      </c>
      <c r="AI57" s="385">
        <f t="shared" si="101"/>
        <v>3932.2788417692659</v>
      </c>
      <c r="AJ57" s="386">
        <f t="shared" si="102"/>
        <v>17246975</v>
      </c>
      <c r="AK57" s="384">
        <f t="shared" si="102"/>
        <v>4055</v>
      </c>
      <c r="AL57" s="385">
        <f t="shared" si="103"/>
        <v>3323.0742293464859</v>
      </c>
      <c r="AM57" s="386">
        <f t="shared" si="104"/>
        <v>13475066</v>
      </c>
      <c r="AN57" s="384">
        <f t="shared" si="104"/>
        <v>2710</v>
      </c>
      <c r="AO57" s="385">
        <f t="shared" si="105"/>
        <v>3039.5254612546128</v>
      </c>
      <c r="AP57" s="386">
        <f t="shared" si="106"/>
        <v>8237114</v>
      </c>
      <c r="AQ57" s="384">
        <f t="shared" si="106"/>
        <v>700</v>
      </c>
      <c r="AR57" s="385">
        <f t="shared" si="107"/>
        <v>3463.542857142857</v>
      </c>
      <c r="AS57" s="386">
        <f>+AS9+AS13+AS17+AS21+AS25+AS29+AS33+AS37+AS41+AS45+AS49+AS53</f>
        <v>2424480</v>
      </c>
      <c r="AT57" s="295">
        <f>+AT9+AT13+AT17</f>
        <v>0</v>
      </c>
      <c r="AU57" s="295" t="e">
        <f t="shared" si="108"/>
        <v>#DIV/0!</v>
      </c>
      <c r="AV57" s="297">
        <f t="shared" si="109"/>
        <v>0</v>
      </c>
      <c r="AW57" s="296">
        <f t="shared" si="109"/>
        <v>0</v>
      </c>
      <c r="AX57" s="295" t="e">
        <f t="shared" si="110"/>
        <v>#DIV/0!</v>
      </c>
      <c r="AY57" s="297">
        <f t="shared" si="111"/>
        <v>0</v>
      </c>
      <c r="AZ57" s="296">
        <f t="shared" si="111"/>
        <v>0</v>
      </c>
      <c r="BA57" s="295" t="e">
        <f t="shared" si="112"/>
        <v>#DIV/0!</v>
      </c>
      <c r="BB57" s="297">
        <f t="shared" si="113"/>
        <v>0</v>
      </c>
      <c r="BC57" s="296">
        <f t="shared" si="113"/>
        <v>0</v>
      </c>
      <c r="BD57" s="295" t="e">
        <f t="shared" si="114"/>
        <v>#DIV/0!</v>
      </c>
      <c r="BE57" s="297">
        <f t="shared" si="115"/>
        <v>0</v>
      </c>
      <c r="BF57" s="296">
        <f t="shared" si="115"/>
        <v>0</v>
      </c>
      <c r="BG57" s="295" t="e">
        <f t="shared" si="116"/>
        <v>#DIV/0!</v>
      </c>
      <c r="BH57" s="417">
        <f>+BH9+BH13+BH17</f>
        <v>0</v>
      </c>
      <c r="BI57" s="384">
        <f>+BI9+BI13+BI17+BI21+BI25+BI29+BI33+BI37+BI41+BI45+BI49+BI53</f>
        <v>26796</v>
      </c>
      <c r="BJ57" s="385">
        <f t="shared" ref="BJ57:BJ58" si="126">+BK57/BI57</f>
        <v>3563.3353858784894</v>
      </c>
      <c r="BK57" s="386">
        <f t="shared" si="117"/>
        <v>95483135</v>
      </c>
      <c r="BL57" s="384">
        <f t="shared" si="117"/>
        <v>62412</v>
      </c>
      <c r="BM57" s="385">
        <f t="shared" ref="BM57:BM58" si="127">+BN57/BL57</f>
        <v>3928.9791808386212</v>
      </c>
      <c r="BN57" s="386">
        <f>+BN9+BN13+BN17+BN21+BN25+BN29+BN33+BN37+BN41+BN45+BN49+BN53</f>
        <v>245215448.63450003</v>
      </c>
      <c r="BP57" s="296">
        <f>+BP9+BP13+BP17+BP21+BP25+BP29+BP33+BP37+BP41+BP45+BP49+BP53</f>
        <v>95265</v>
      </c>
      <c r="BQ57" s="61">
        <f t="shared" si="85"/>
        <v>0.65514092268934021</v>
      </c>
    </row>
    <row r="58" spans="1:71" ht="13.5" hidden="1" customHeight="1" x14ac:dyDescent="0.2">
      <c r="A58" s="39"/>
      <c r="B58" s="522"/>
      <c r="C58" s="289" t="s">
        <v>33</v>
      </c>
      <c r="D58" s="387">
        <f>+D10+D14+D18+D22+D26+D30+D34+D38+D42+D46+D50+D54</f>
        <v>7471.9687999999996</v>
      </c>
      <c r="E58" s="388">
        <f t="shared" si="118"/>
        <v>5699.9606713540779</v>
      </c>
      <c r="F58" s="389">
        <f>+F10+F14+F18+F22+F26+F30+F34+F38+F42+F46+F50+F54</f>
        <v>42589928.29758472</v>
      </c>
      <c r="G58" s="387">
        <f>+G10+G14+G18+G22+G26+G30+G34+G38+G42+G46+G50+G54</f>
        <v>4466</v>
      </c>
      <c r="H58" s="388">
        <f t="shared" si="119"/>
        <v>3294.1134281236014</v>
      </c>
      <c r="I58" s="389">
        <f t="shared" si="92"/>
        <v>14711510.570000004</v>
      </c>
      <c r="J58" s="387">
        <f t="shared" si="92"/>
        <v>3997</v>
      </c>
      <c r="K58" s="388">
        <f t="shared" ref="K58" si="128">+L58/J58</f>
        <v>3131.6122892169133</v>
      </c>
      <c r="L58" s="389">
        <f t="shared" si="93"/>
        <v>12517054.320000002</v>
      </c>
      <c r="M58" s="387">
        <f t="shared" si="93"/>
        <v>5903</v>
      </c>
      <c r="N58" s="388">
        <f t="shared" si="120"/>
        <v>4017.6058902253094</v>
      </c>
      <c r="O58" s="389">
        <f t="shared" si="94"/>
        <v>23715927.57</v>
      </c>
      <c r="P58" s="387">
        <f t="shared" si="94"/>
        <v>6355</v>
      </c>
      <c r="Q58" s="388">
        <f t="shared" si="121"/>
        <v>3849.4879978756885</v>
      </c>
      <c r="R58" s="389">
        <f t="shared" si="95"/>
        <v>24463496.226500001</v>
      </c>
      <c r="S58" s="387">
        <f t="shared" si="95"/>
        <v>1280</v>
      </c>
      <c r="T58" s="388">
        <f t="shared" si="122"/>
        <v>3071.233901953125</v>
      </c>
      <c r="U58" s="389">
        <f t="shared" si="96"/>
        <v>3931179.3944999999</v>
      </c>
      <c r="V58" s="387">
        <f t="shared" si="96"/>
        <v>1574</v>
      </c>
      <c r="W58" s="388">
        <f t="shared" si="123"/>
        <v>3992.9198040660735</v>
      </c>
      <c r="X58" s="389">
        <f>+X10+X14+X18+X22+X26+X30+X34+X38+X42+X46+X50+X54</f>
        <v>6284855.7715999996</v>
      </c>
      <c r="Y58" s="387">
        <f>+Y10+Y14+Y18+Y22+Y26+Y30+Y34+Y38+Y42+Y46+Y50+Y54</f>
        <v>73</v>
      </c>
      <c r="Z58" s="388">
        <f t="shared" si="124"/>
        <v>2445.9799246575344</v>
      </c>
      <c r="AA58" s="389">
        <f t="shared" si="97"/>
        <v>178556.53450000001</v>
      </c>
      <c r="AB58" s="387">
        <f t="shared" si="97"/>
        <v>31119.968799999999</v>
      </c>
      <c r="AC58" s="388">
        <f t="shared" si="125"/>
        <v>4125.7274231163346</v>
      </c>
      <c r="AD58" s="389">
        <f t="shared" si="98"/>
        <v>128392508.68468472</v>
      </c>
      <c r="AE58" s="387">
        <f t="shared" si="98"/>
        <v>9741.5069000000003</v>
      </c>
      <c r="AF58" s="388">
        <f t="shared" si="99"/>
        <v>3241.4585885050165</v>
      </c>
      <c r="AG58" s="389">
        <f t="shared" si="100"/>
        <v>31576691.205985881</v>
      </c>
      <c r="AH58" s="387">
        <f t="shared" si="100"/>
        <v>2118</v>
      </c>
      <c r="AI58" s="388">
        <f t="shared" si="101"/>
        <v>3590.1458923512746</v>
      </c>
      <c r="AJ58" s="389">
        <f t="shared" si="102"/>
        <v>7603929</v>
      </c>
      <c r="AK58" s="387">
        <f t="shared" si="102"/>
        <v>2424</v>
      </c>
      <c r="AL58" s="388">
        <f t="shared" si="103"/>
        <v>3207.6490069719471</v>
      </c>
      <c r="AM58" s="389">
        <f t="shared" si="104"/>
        <v>7775341.1929000001</v>
      </c>
      <c r="AN58" s="387">
        <f t="shared" si="104"/>
        <v>1692.5202000000002</v>
      </c>
      <c r="AO58" s="388">
        <f t="shared" si="105"/>
        <v>2936.7902345120842</v>
      </c>
      <c r="AP58" s="389">
        <f t="shared" si="106"/>
        <v>4970576.7950744405</v>
      </c>
      <c r="AQ58" s="387">
        <f t="shared" si="106"/>
        <v>837.32370000000014</v>
      </c>
      <c r="AR58" s="388">
        <f t="shared" si="107"/>
        <v>3975.5504046727565</v>
      </c>
      <c r="AS58" s="389">
        <f>+AS10+AS14+AS18+AS22+AS26+AS30+AS34+AS38+AS42+AS46+AS50+AS54</f>
        <v>3328822.5743770902</v>
      </c>
      <c r="AT58" s="299">
        <f>+AT10+AT14+AT18</f>
        <v>0</v>
      </c>
      <c r="AU58" s="299" t="e">
        <f t="shared" si="108"/>
        <v>#DIV/0!</v>
      </c>
      <c r="AV58" s="300">
        <f t="shared" si="109"/>
        <v>0</v>
      </c>
      <c r="AW58" s="298">
        <f t="shared" si="109"/>
        <v>0</v>
      </c>
      <c r="AX58" s="299" t="e">
        <f t="shared" si="110"/>
        <v>#DIV/0!</v>
      </c>
      <c r="AY58" s="300">
        <f t="shared" si="111"/>
        <v>0</v>
      </c>
      <c r="AZ58" s="298">
        <f t="shared" si="111"/>
        <v>0</v>
      </c>
      <c r="BA58" s="299" t="e">
        <f t="shared" si="112"/>
        <v>#DIV/0!</v>
      </c>
      <c r="BB58" s="300">
        <f t="shared" si="113"/>
        <v>0</v>
      </c>
      <c r="BC58" s="298">
        <f t="shared" si="113"/>
        <v>0</v>
      </c>
      <c r="BD58" s="299" t="e">
        <f t="shared" si="114"/>
        <v>#DIV/0!</v>
      </c>
      <c r="BE58" s="300">
        <f t="shared" si="115"/>
        <v>0</v>
      </c>
      <c r="BF58" s="298">
        <f t="shared" si="115"/>
        <v>0</v>
      </c>
      <c r="BG58" s="299" t="e">
        <f t="shared" si="116"/>
        <v>#DIV/0!</v>
      </c>
      <c r="BH58" s="418">
        <f>+BH10+BH14+BH18</f>
        <v>0</v>
      </c>
      <c r="BI58" s="387">
        <f>+BI10+BI14+BI18+BI22+BI26+BI30+BI34+BI38+BI42+BI46+BI50+BI54</f>
        <v>16813.3508</v>
      </c>
      <c r="BJ58" s="388">
        <f t="shared" si="126"/>
        <v>3286.3979004314488</v>
      </c>
      <c r="BK58" s="389">
        <f t="shared" si="117"/>
        <v>55255360.768337421</v>
      </c>
      <c r="BL58" s="387">
        <f t="shared" si="117"/>
        <v>47933.319600000003</v>
      </c>
      <c r="BM58" s="388">
        <f t="shared" si="127"/>
        <v>3831.319653751294</v>
      </c>
      <c r="BN58" s="389">
        <f>+BN10+BN14+BN18+BN22+BN26+BN30+BN34+BN38+BN42+BN46+BN50+BN54</f>
        <v>183647869.45302212</v>
      </c>
      <c r="BP58" s="298">
        <f>+BP10+BP14+BP18+BP22+BP26+BP30+BP34+BP38+BP42+BP46+BP50+BP54</f>
        <v>95265</v>
      </c>
      <c r="BQ58" s="61">
        <f t="shared" si="85"/>
        <v>0.50315771374586682</v>
      </c>
    </row>
    <row r="59" spans="1:71" x14ac:dyDescent="0.2">
      <c r="A59" s="39"/>
      <c r="B59" s="541" t="s">
        <v>31</v>
      </c>
      <c r="C59" s="469" t="s">
        <v>27</v>
      </c>
      <c r="D59" s="470">
        <f>(D60/D61)-1</f>
        <v>0.2372182871860915</v>
      </c>
      <c r="E59" s="471">
        <f>(E60/E61)-1</f>
        <v>3.8811401782010257E-2</v>
      </c>
      <c r="F59" s="472">
        <f>(F60/F61)-1</f>
        <v>0.28523646322212137</v>
      </c>
      <c r="G59" s="470">
        <f t="shared" ref="G59:AS59" si="129">G60/G61-1</f>
        <v>-0.68230467356403857</v>
      </c>
      <c r="H59" s="471">
        <f t="shared" si="129"/>
        <v>-7.9254208213680677E-2</v>
      </c>
      <c r="I59" s="472">
        <f t="shared" si="129"/>
        <v>-0.70748336511390741</v>
      </c>
      <c r="J59" s="470">
        <v>0</v>
      </c>
      <c r="K59" s="471">
        <v>0</v>
      </c>
      <c r="L59" s="472">
        <v>0</v>
      </c>
      <c r="M59" s="470">
        <f t="shared" si="129"/>
        <v>-0.33036164844407068</v>
      </c>
      <c r="N59" s="471">
        <f t="shared" si="129"/>
        <v>0.11043341941128726</v>
      </c>
      <c r="O59" s="472">
        <f t="shared" si="129"/>
        <v>-0.25641119551281155</v>
      </c>
      <c r="P59" s="470">
        <f t="shared" si="129"/>
        <v>3.6521739130434883E-2</v>
      </c>
      <c r="Q59" s="471">
        <f t="shared" si="129"/>
        <v>9.1227739790987972E-2</v>
      </c>
      <c r="R59" s="472">
        <f t="shared" si="129"/>
        <v>0.13108127463552832</v>
      </c>
      <c r="S59" s="470">
        <f t="shared" si="129"/>
        <v>-0.39523293607800647</v>
      </c>
      <c r="T59" s="471">
        <f t="shared" si="129"/>
        <v>3.8656693201881254E-2</v>
      </c>
      <c r="U59" s="472">
        <f t="shared" si="129"/>
        <v>-0.3718546412293714</v>
      </c>
      <c r="V59" s="470">
        <f t="shared" si="129"/>
        <v>-0.2087702573879886</v>
      </c>
      <c r="W59" s="471">
        <f t="shared" si="129"/>
        <v>0.22136218109069605</v>
      </c>
      <c r="X59" s="472">
        <f t="shared" si="129"/>
        <v>-3.3621915819563641E-2</v>
      </c>
      <c r="Y59" s="470">
        <f t="shared" si="129"/>
        <v>-0.48837209302325579</v>
      </c>
      <c r="Z59" s="471">
        <f t="shared" si="129"/>
        <v>-4.338295897533484E-2</v>
      </c>
      <c r="AA59" s="472">
        <f t="shared" si="129"/>
        <v>-0.51056802552226443</v>
      </c>
      <c r="AB59" s="470">
        <f t="shared" si="129"/>
        <v>-0.10634546271338718</v>
      </c>
      <c r="AC59" s="471">
        <f t="shared" si="129"/>
        <v>9.6919061052483269E-2</v>
      </c>
      <c r="AD59" s="472">
        <f t="shared" si="129"/>
        <v>-1.9733304054277312E-2</v>
      </c>
      <c r="AE59" s="470">
        <f t="shared" si="129"/>
        <v>-0.28143191702910675</v>
      </c>
      <c r="AF59" s="471">
        <f t="shared" si="129"/>
        <v>6.9892514099175296E-2</v>
      </c>
      <c r="AG59" s="472">
        <f t="shared" si="129"/>
        <v>-0.2312093871588462</v>
      </c>
      <c r="AH59" s="470">
        <f t="shared" si="129"/>
        <v>3.5567715458276306E-2</v>
      </c>
      <c r="AI59" s="471">
        <f t="shared" si="129"/>
        <v>-0.11909872000968114</v>
      </c>
      <c r="AJ59" s="472">
        <f t="shared" si="129"/>
        <v>-8.7767073936154127E-2</v>
      </c>
      <c r="AK59" s="470">
        <f t="shared" si="129"/>
        <v>-0.19457459926017262</v>
      </c>
      <c r="AL59" s="471">
        <f t="shared" si="129"/>
        <v>0.42744808349364205</v>
      </c>
      <c r="AM59" s="472">
        <f t="shared" si="129"/>
        <v>0.14970294468316525</v>
      </c>
      <c r="AN59" s="470">
        <f t="shared" si="129"/>
        <v>-0.76088560885608858</v>
      </c>
      <c r="AO59" s="471">
        <f t="shared" si="129"/>
        <v>-2.3131539284298674E-2</v>
      </c>
      <c r="AP59" s="472">
        <f t="shared" si="129"/>
        <v>-0.76641669278827507</v>
      </c>
      <c r="AQ59" s="470">
        <f t="shared" si="129"/>
        <v>0.36714285714285722</v>
      </c>
      <c r="AR59" s="471">
        <f t="shared" si="129"/>
        <v>0.41130895429144498</v>
      </c>
      <c r="AS59" s="472">
        <f t="shared" si="129"/>
        <v>0.92946095608130408</v>
      </c>
      <c r="AT59" s="473"/>
      <c r="AU59" s="474"/>
      <c r="AV59" s="475"/>
      <c r="AW59" s="476"/>
      <c r="AX59" s="473"/>
      <c r="AY59" s="475"/>
      <c r="AZ59" s="476"/>
      <c r="BA59" s="473"/>
      <c r="BB59" s="475"/>
      <c r="BC59" s="476"/>
      <c r="BD59" s="473"/>
      <c r="BE59" s="475"/>
      <c r="BF59" s="476"/>
      <c r="BG59" s="473"/>
      <c r="BH59" s="477"/>
      <c r="BI59" s="470">
        <f t="shared" ref="BI59:BN59" si="130">BI60/BI61-1</f>
        <v>-0.2479474548440066</v>
      </c>
      <c r="BJ59" s="471">
        <f t="shared" si="130"/>
        <v>0.10598249429083251</v>
      </c>
      <c r="BK59" s="472">
        <f t="shared" si="130"/>
        <v>-0.16824305027060538</v>
      </c>
      <c r="BL59" s="470">
        <f t="shared" si="130"/>
        <v>-0.16714093443568545</v>
      </c>
      <c r="BM59" s="471">
        <f t="shared" si="130"/>
        <v>0.10755746860298809</v>
      </c>
      <c r="BN59" s="478">
        <f t="shared" si="130"/>
        <v>-7.7560721640537622E-2</v>
      </c>
      <c r="BP59" s="101"/>
      <c r="BQ59" s="102"/>
    </row>
    <row r="60" spans="1:71" s="2" customFormat="1" x14ac:dyDescent="0.2">
      <c r="B60" s="542"/>
      <c r="C60" s="479" t="s">
        <v>29</v>
      </c>
      <c r="D60" s="480">
        <f>+D8+D12+D16+D20+D24+D28+D32+D36+D40+D44+D48+D52</f>
        <v>9607</v>
      </c>
      <c r="E60" s="481">
        <f>IF(D60=0,0,F60/D60)</f>
        <v>5913.4004593317377</v>
      </c>
      <c r="F60" s="482">
        <f>+F8+F12+F16+F20+F24+F28+F32+F36+F40+F44+F48+F52</f>
        <v>56810038.212800004</v>
      </c>
      <c r="G60" s="484">
        <f>+G8+G12+G16+G20+G24+G28+G32+G36+G40+G44+G48+G52</f>
        <v>1781</v>
      </c>
      <c r="H60" s="481">
        <f>IF(G60=0,0,I60/G60)</f>
        <v>3753.4332397529474</v>
      </c>
      <c r="I60" s="482">
        <f>+I8+I12+I16+I20+I24+I28+I32+I36+I40+I44+I48+I52</f>
        <v>6684864.5999999996</v>
      </c>
      <c r="J60" s="485">
        <f>+J8+J12+J16+J20+J24+J28+J32+J36+J40+J44+J48+J52</f>
        <v>3102</v>
      </c>
      <c r="K60" s="481">
        <f>IF(J60=0,0,L60/J60)</f>
        <v>3582.9732785299811</v>
      </c>
      <c r="L60" s="482">
        <f>+L8+L12+L16+L20+L24+L28+L32+L36+L40+L44+L48+L52</f>
        <v>11114383.110000001</v>
      </c>
      <c r="M60" s="485">
        <f>+M8+M12+M16+M20+M24+M28+M32+M36+M40+M44+M48+M52</f>
        <v>7962</v>
      </c>
      <c r="N60" s="481">
        <f>IF(M60=0,0,O60/M60)</f>
        <v>4058.7172670183372</v>
      </c>
      <c r="O60" s="482">
        <f>+O8+O12+O16+O20+O24+O28+O32+O36+O40+O44+O48+O52</f>
        <v>32315506.880000003</v>
      </c>
      <c r="P60" s="486">
        <f>+P8+P12+P16+P20+P24+P28+P32+P36+P40+P44+P48+P52</f>
        <v>6556</v>
      </c>
      <c r="Q60" s="481">
        <f>IF(P60=0,0,R60/P60)</f>
        <v>4325.9726754118365</v>
      </c>
      <c r="R60" s="482">
        <f>+R8+R12+R16+R20+R24+R28+R32+R36+R40+R44+R48+R52</f>
        <v>28361076.859999999</v>
      </c>
      <c r="S60" s="485">
        <f>+S8+S12+S16+S20+S24+S28+S32+S36+S40+S44+S48+S52</f>
        <v>1116.4000000000001</v>
      </c>
      <c r="T60" s="481">
        <f>IF(S60=0,0,U60/S60)</f>
        <v>3447.9407380867065</v>
      </c>
      <c r="U60" s="482">
        <f>+U8+U12+U16+U20+U24+U28+U32+U36+U40+U44+U48+U52</f>
        <v>3849281.0399999996</v>
      </c>
      <c r="V60" s="485">
        <f>+V8+V12+V16+V20+V24+V28+V32+V36+V40+V44+V48+V52</f>
        <v>1660</v>
      </c>
      <c r="W60" s="481">
        <f>IF(V60=0,0,X60/V60)</f>
        <v>4539.447530120482</v>
      </c>
      <c r="X60" s="482">
        <f>+X8+X12+X16+X20+X24+X28+X32+X36+X40+X44+X48+X52</f>
        <v>7535482.9000000004</v>
      </c>
      <c r="Y60" s="489">
        <f>+Y8+Y12+Y16+Y20+Y24+Y28+Y32+Y36+Y40+Y44+Y48+Y52</f>
        <v>44</v>
      </c>
      <c r="Z60" s="481">
        <f>IF(Y60=0,0,AA60/Y60)</f>
        <v>2431.0627272727274</v>
      </c>
      <c r="AA60" s="482">
        <f>+AA8+AA12+AA16+AA20+AA24+AA28+AA32+AA36+AA40+AA44+AA48+AA52</f>
        <v>106966.76000000001</v>
      </c>
      <c r="AB60" s="485">
        <f>+AB8+AB12+AB16+AB20+AB24+AB28+AB32+AB36+AB40+AB44+AB48+AB52</f>
        <v>31828.400000000001</v>
      </c>
      <c r="AC60" s="481">
        <f>IF(AB60=0,0,AD60/AB60)</f>
        <v>4611.5293374093571</v>
      </c>
      <c r="AD60" s="482">
        <f>+AD8+AD12+AD16+AD20+AD24+AD28+AD32+AD36+AD40+AD44+AD48+AD52</f>
        <v>146777600.3628</v>
      </c>
      <c r="AE60" s="485">
        <f>+AE8+AE12+AE16+AE20+AE24+AE28+AE32+AE36+AE40+AE44+AE48+AE52</f>
        <v>10739</v>
      </c>
      <c r="AF60" s="481">
        <f>IF(AE60=0,0,AG60/AE60)</f>
        <v>3872.9106769159143</v>
      </c>
      <c r="AG60" s="482">
        <f>+AG8+AG12+AG16+AG20+AG24+AG28+AG32+AG36+AG40+AG44+AG48+AG52</f>
        <v>41591187.759400003</v>
      </c>
      <c r="AH60" s="485">
        <f>+AH8+AH12+AH16+AH20+AH24+AH28+AH32+AH36+AH40+AH44+AH48+AH52</f>
        <v>4542</v>
      </c>
      <c r="AI60" s="481">
        <f>IF(AH60=0,0,AJ60/AH60)</f>
        <v>3463.9494649933949</v>
      </c>
      <c r="AJ60" s="482">
        <f>+AJ8+AJ12+AJ16+AJ20+AJ24+AJ28+AJ32+AJ36+AJ40+AJ44+AJ48+AJ52</f>
        <v>15733258.469999999</v>
      </c>
      <c r="AK60" s="485">
        <f>+AK8+AK12+AK16+AK20+AK24+AK28+AK32+AK36+AK40+AK44+AK48+AK52</f>
        <v>3266</v>
      </c>
      <c r="AL60" s="481">
        <f>IF(AK60=0,0,AM60/AK60)</f>
        <v>4743.515939987753</v>
      </c>
      <c r="AM60" s="482">
        <f>+AM8+AM12+AM16+AM20+AM24+AM28+AM32+AM36+AM40+AM44+AM48+AM52</f>
        <v>15492323.060000001</v>
      </c>
      <c r="AN60" s="485">
        <f>+AN8+AN12+AN16+AN20+AN24+AN28+AN32+AN36+AN40+AN44+AN48+AN52</f>
        <v>648</v>
      </c>
      <c r="AO60" s="481">
        <f>IF(AN60=0,0,AP60/AN60)</f>
        <v>2969.2165586419756</v>
      </c>
      <c r="AP60" s="482">
        <f>+AP8+AP12+AP16+AP20+AP24+AP28+AP32+AP36+AP40+AP44+AP48+AP52</f>
        <v>1924052.33</v>
      </c>
      <c r="AQ60" s="485">
        <f>+AQ8+AQ12+AQ16+AQ20+AQ24+AQ28+AQ32+AQ36+AQ40+AQ44+AQ48+AQ52</f>
        <v>957</v>
      </c>
      <c r="AR60" s="481">
        <f>IF(AQ60=0,0,AS60/AQ60)</f>
        <v>4888.1290478578894</v>
      </c>
      <c r="AS60" s="482">
        <f>+AS8+AS12+AS16+AS20+AS24+AS28+AS32+AS36+AS40+AS44+AS48+AS52</f>
        <v>4677939.4988000002</v>
      </c>
      <c r="AT60" s="487">
        <f>+AT8+AT12+AT16+AT20+AT24+AT28+AT32+AT36+AT40+AT44+AT48+AT52</f>
        <v>0</v>
      </c>
      <c r="AU60" s="488">
        <f>IF(AT60=0,0,AV60/AT60)</f>
        <v>0</v>
      </c>
      <c r="AV60" s="490">
        <f>+AV8+AV12+AV16+AV20+AV24+AV28+AV32+AV36+AV40+AV44+AV48+AV52</f>
        <v>0</v>
      </c>
      <c r="AW60" s="488">
        <f>SUMIF($C$8:$C$54,$C60,AW$8:AW$54)</f>
        <v>0</v>
      </c>
      <c r="AX60" s="488">
        <f>IF(AW60=0,0,AY60/AW60)</f>
        <v>0</v>
      </c>
      <c r="AY60" s="491">
        <f t="shared" ref="AY60:AZ62" si="131">SUMIF($C$8:$C$54,$C60,AY$8:AY$54)</f>
        <v>0</v>
      </c>
      <c r="AZ60" s="488">
        <f t="shared" si="131"/>
        <v>0</v>
      </c>
      <c r="BA60" s="488">
        <f>IF(AZ60=0,0,BB60/AZ60)</f>
        <v>0</v>
      </c>
      <c r="BB60" s="491">
        <f t="shared" ref="BB60:BC62" si="132">SUMIF($C$8:$C$54,$C60,BB$8:BB$54)</f>
        <v>0</v>
      </c>
      <c r="BC60" s="488">
        <f t="shared" si="132"/>
        <v>0</v>
      </c>
      <c r="BD60" s="488">
        <f>IF(BC60=0,0,BE60/BC60)</f>
        <v>0</v>
      </c>
      <c r="BE60" s="491">
        <f t="shared" ref="BE60:BF62" si="133">SUMIF($C$8:$C$54,$C60,BE$8:BE$54)</f>
        <v>0</v>
      </c>
      <c r="BF60" s="488">
        <f t="shared" si="133"/>
        <v>0</v>
      </c>
      <c r="BG60" s="488">
        <f>IF(BF60=0,0,BH60/BF60)</f>
        <v>0</v>
      </c>
      <c r="BH60" s="483">
        <f>SUMIF($C$8:$C$54,$C60,BH$8:BH$54)</f>
        <v>0</v>
      </c>
      <c r="BI60" s="484">
        <f>+BI8+BI12+BI16+BI20+BI24+BI28+BI32+BI36+BI40+BI44+BI48+BI52</f>
        <v>20152</v>
      </c>
      <c r="BJ60" s="481">
        <f t="shared" si="6"/>
        <v>3940.9865580686783</v>
      </c>
      <c r="BK60" s="482">
        <f>+BK8+BK12+BK16+BK20+BK24+BK28+BK32+BK36+BK40+BK44+BK48+BK52</f>
        <v>79418761.118200004</v>
      </c>
      <c r="BL60" s="492">
        <f>+BL8+BL12+BL16+BL20+BL24+BL28+BL32+BL36+BL40+BL44+BL48+BL52</f>
        <v>51980.4</v>
      </c>
      <c r="BM60" s="481">
        <f>IF(BL60=0,0,BN60/BL60)</f>
        <v>4351.570235723465</v>
      </c>
      <c r="BN60" s="482">
        <f>+BN8+BN12+BN16+BN20+BN24+BN28+BN32+BN36+BN40+BN44+BN48+BN52</f>
        <v>226196361.48100001</v>
      </c>
      <c r="BO60" s="109"/>
      <c r="BP60" s="58">
        <v>95265</v>
      </c>
      <c r="BQ60" s="110">
        <f t="shared" si="85"/>
        <v>0.54564005668398674</v>
      </c>
      <c r="BR60" s="2">
        <v>237520</v>
      </c>
      <c r="BS60" s="111"/>
    </row>
    <row r="61" spans="1:71" s="2" customFormat="1" x14ac:dyDescent="0.2">
      <c r="B61" s="542"/>
      <c r="C61" s="493" t="s">
        <v>30</v>
      </c>
      <c r="D61" s="494">
        <f>SUMIF($C$8:$C$54,$C61,D$8:D$54)</f>
        <v>7765</v>
      </c>
      <c r="E61" s="495">
        <f>IF(D61=0,0,F61/D61)</f>
        <v>5692.467804249839</v>
      </c>
      <c r="F61" s="496">
        <f>SUMIF($C$8:$C$54,$C61,F$8:F$54)</f>
        <v>44202012.5</v>
      </c>
      <c r="G61" s="494">
        <f>SUMIF($C$8:$C$54,$C61,G$8:G$54)</f>
        <v>5606</v>
      </c>
      <c r="H61" s="495">
        <f>IF(G61=0,0,I61/G61)</f>
        <v>4076.5141402069203</v>
      </c>
      <c r="I61" s="496">
        <f>SUMIF($C$8:$C$54,$C61,I$8:I$54)</f>
        <v>22852938.269999996</v>
      </c>
      <c r="J61" s="494">
        <f>SUMIF($C$8:$C$54,$C61,J$8:J$54)</f>
        <v>0</v>
      </c>
      <c r="K61" s="495">
        <f>IF(J61=0,0,L61/J61)</f>
        <v>0</v>
      </c>
      <c r="L61" s="496">
        <f>SUMIF($C$8:$C$54,$C61,L$8:L$54)</f>
        <v>0</v>
      </c>
      <c r="M61" s="494">
        <f>SUMIF($C$8:$C$54,$C61,M$8:M$54)</f>
        <v>11890</v>
      </c>
      <c r="N61" s="495">
        <f>IF(M61=0,0,O61/M61)</f>
        <v>3655.0748528174936</v>
      </c>
      <c r="O61" s="496">
        <f>SUMIF($C$8:$C$54,$C61,O$8:O$54)</f>
        <v>43458840</v>
      </c>
      <c r="P61" s="494">
        <f>SUMIF($C$8:$C$54,$C61,P$8:P$54)</f>
        <v>6325</v>
      </c>
      <c r="Q61" s="495">
        <f>IF(P61=0,0,R61/P61)</f>
        <v>3964.3169960474306</v>
      </c>
      <c r="R61" s="496">
        <f>SUMIF($C$8:$C$54,$C61,R$8:R$54)</f>
        <v>25074305</v>
      </c>
      <c r="S61" s="494">
        <f>SUMIF($C$8:$C$54,$C61,S$8:S$54)</f>
        <v>1846</v>
      </c>
      <c r="T61" s="495">
        <f>IF(S61=0,0,U61/S61)</f>
        <v>3319.6153846153848</v>
      </c>
      <c r="U61" s="496">
        <f>SUMIF($C$8:$C$54,$C61,U$8:U$54)</f>
        <v>6128010</v>
      </c>
      <c r="V61" s="494">
        <f>SUMIF($C$8:$C$54,$C61,V$8:V$54)</f>
        <v>2098</v>
      </c>
      <c r="W61" s="495">
        <f>IF(V61=0,0,X61/V61)</f>
        <v>3716.7087702573881</v>
      </c>
      <c r="X61" s="496">
        <f>SUMIF($C$8:$C$54,$C61,X$8:X$54)</f>
        <v>7797655</v>
      </c>
      <c r="Y61" s="494">
        <f>SUMIF($C$8:$C$54,$C61,Y$8:Y$54)</f>
        <v>86</v>
      </c>
      <c r="Z61" s="495">
        <f>IF(Y61=0,0,AA61/Y61)</f>
        <v>2541.3123779069765</v>
      </c>
      <c r="AA61" s="496">
        <f>SUMIF($C$8:$C$54,$C61,AA$8:AA$54)</f>
        <v>218552.8645</v>
      </c>
      <c r="AB61" s="494">
        <f>SUMIF($C$8:$C$54,$C61,AB$8:AB$54)</f>
        <v>35616</v>
      </c>
      <c r="AC61" s="495">
        <f>IF(AB61=0,0,AD61/AB61)</f>
        <v>4204.074394499663</v>
      </c>
      <c r="AD61" s="496">
        <f>SUMIF($C$8:$C$54,$C61,AD$8:AD$54)</f>
        <v>149732313.6345</v>
      </c>
      <c r="AE61" s="494">
        <f>SUMIF($C$8:$C$54,$C61,AE$8:AE$54)</f>
        <v>14945</v>
      </c>
      <c r="AF61" s="495">
        <f>IF(AE61=0,0,AG61/AE61)</f>
        <v>3619.9063231850118</v>
      </c>
      <c r="AG61" s="496">
        <f>SUMIF($C$8:$C$54,$C61,AG$8:AG$54)</f>
        <v>54099500</v>
      </c>
      <c r="AH61" s="494">
        <f>SUMIF($C$8:$C$54,$C61,AH$8:AH$54)</f>
        <v>4386</v>
      </c>
      <c r="AI61" s="495">
        <f>IF(AH61=0,0,AJ61/AH61)</f>
        <v>3932.2788417692659</v>
      </c>
      <c r="AJ61" s="496">
        <f>SUMIF($C$8:$C$54,$C61,AJ$8:AJ$54)</f>
        <v>17246975</v>
      </c>
      <c r="AK61" s="494">
        <f>SUMIF($C$8:$C$54,$C61,AK$8:AK$54)</f>
        <v>4055</v>
      </c>
      <c r="AL61" s="495">
        <f>IF(AK61=0,0,AM61/AK61)</f>
        <v>3323.0742293464859</v>
      </c>
      <c r="AM61" s="496">
        <f>SUMIF($C$8:$C$54,$C61,AM$8:AM$54)</f>
        <v>13475066</v>
      </c>
      <c r="AN61" s="494">
        <f>SUMIF($C$8:$C$54,$C61,AN$8:AN$54)</f>
        <v>2710</v>
      </c>
      <c r="AO61" s="495">
        <f>IF(AN61=0,0,AP61/AN61)</f>
        <v>3039.5254612546128</v>
      </c>
      <c r="AP61" s="496">
        <f>SUMIF($C$8:$C$54,$C61,AP$8:AP$54)</f>
        <v>8237114</v>
      </c>
      <c r="AQ61" s="494">
        <f>SUMIF($C$8:$C$54,$C61,AQ$8:AQ$54)</f>
        <v>700</v>
      </c>
      <c r="AR61" s="495">
        <f>IF(AQ61=0,0,AS61/AQ61)</f>
        <v>3463.542857142857</v>
      </c>
      <c r="AS61" s="496">
        <f>SUMIF($C$8:$C$54,$C61,AS$8:AS$54)</f>
        <v>2424480</v>
      </c>
      <c r="AT61" s="497">
        <f>SUMIF($C$8:$C$54,$C61,AT$8:AT$54)</f>
        <v>0</v>
      </c>
      <c r="AU61" s="498">
        <f>IF(AT61=0,0,AV61/AT61)</f>
        <v>0</v>
      </c>
      <c r="AV61" s="500">
        <f>SUMIF($C$8:$C$54,$C61,AV$8:AV$54)</f>
        <v>0</v>
      </c>
      <c r="AW61" s="501">
        <f>SUMIF($C$8:$C$54,$C61,AW$8:AW$54)</f>
        <v>0</v>
      </c>
      <c r="AX61" s="498">
        <f>IF(AW61=0,0,AY61/AW61)</f>
        <v>0</v>
      </c>
      <c r="AY61" s="500">
        <f t="shared" si="131"/>
        <v>0</v>
      </c>
      <c r="AZ61" s="501">
        <f t="shared" si="131"/>
        <v>0</v>
      </c>
      <c r="BA61" s="498">
        <f>IF(AZ61=0,0,BB61/AZ61)</f>
        <v>0</v>
      </c>
      <c r="BB61" s="500">
        <f t="shared" si="132"/>
        <v>0</v>
      </c>
      <c r="BC61" s="501">
        <f t="shared" si="132"/>
        <v>0</v>
      </c>
      <c r="BD61" s="498">
        <f>IF(BC61=0,0,BE61/BC61)</f>
        <v>0</v>
      </c>
      <c r="BE61" s="500">
        <f t="shared" si="133"/>
        <v>0</v>
      </c>
      <c r="BF61" s="501">
        <f t="shared" si="133"/>
        <v>0</v>
      </c>
      <c r="BG61" s="498">
        <f>IF(BF61=0,0,BH61/BF61)</f>
        <v>0</v>
      </c>
      <c r="BH61" s="499">
        <f>SUMIF($C$8:$C$54,$C61,BH$8:BH$54)</f>
        <v>0</v>
      </c>
      <c r="BI61" s="494">
        <f>SUMIF($C$8:$C$54,$C61,BI$8:BI$54)</f>
        <v>26796</v>
      </c>
      <c r="BJ61" s="495">
        <f t="shared" si="6"/>
        <v>3563.3353858784894</v>
      </c>
      <c r="BK61" s="496">
        <f>SUMIF($C$8:$C$54,$C61,BK$8:BK$54)</f>
        <v>95483135</v>
      </c>
      <c r="BL61" s="492">
        <f>+BL9+BL13+BL17+BL21+BL25+BL29+BL33+BL37+BL41+BL45+BL49+BL53</f>
        <v>62412</v>
      </c>
      <c r="BM61" s="495">
        <f>IF(BL61=0,0,BN61/BL61)</f>
        <v>3928.9791808386212</v>
      </c>
      <c r="BN61" s="482">
        <f>+BN9+BN13+BN17+BN21+BN25+BN29+BN33+BN37+BN41+BN45+BN49+BN53</f>
        <v>245215448.63450003</v>
      </c>
      <c r="BO61" s="109"/>
      <c r="BP61" s="58">
        <f>SUMIF($C$8:$C$54,$C61,BP$8:BP$54)</f>
        <v>95265</v>
      </c>
      <c r="BQ61" s="61">
        <f t="shared" si="85"/>
        <v>0.65514092268934021</v>
      </c>
    </row>
    <row r="62" spans="1:71" s="2" customFormat="1" x14ac:dyDescent="0.2">
      <c r="B62" s="543"/>
      <c r="C62" s="502" t="s">
        <v>33</v>
      </c>
      <c r="D62" s="503">
        <f>SUMIF($C$8:$C$54,$C62,D$8:D$54)</f>
        <v>7471.9687999999996</v>
      </c>
      <c r="E62" s="504">
        <f>IF(D62=0,0,F62/D62)</f>
        <v>5699.9606713540779</v>
      </c>
      <c r="F62" s="505">
        <f>SUMIF($C$8:$C$54,$C62,F$8:F$54)</f>
        <v>42589928.29758472</v>
      </c>
      <c r="G62" s="503">
        <f>SUMIF($C$8:$C$54,$C62,G$8:G$54)</f>
        <v>4466</v>
      </c>
      <c r="H62" s="504">
        <f>IF(G62=0,0,I62/G62)</f>
        <v>3294.1134281236014</v>
      </c>
      <c r="I62" s="505">
        <f>SUMIF($C$8:$C$54,$C62,I$8:I$54)</f>
        <v>14711510.570000004</v>
      </c>
      <c r="J62" s="503">
        <f>SUMIF($C$8:$C$54,$C62,J$8:J$54)</f>
        <v>3997</v>
      </c>
      <c r="K62" s="504">
        <f>IF(J62=0,0,L62/J62)</f>
        <v>3131.6122892169133</v>
      </c>
      <c r="L62" s="505">
        <f>SUMIF($C$8:$C$54,$C62,L$8:L$54)</f>
        <v>12517054.320000002</v>
      </c>
      <c r="M62" s="503">
        <f>SUMIF($C$8:$C$54,$C62,M$8:M$54)</f>
        <v>5903</v>
      </c>
      <c r="N62" s="504">
        <f>IF(M62=0,0,O62/M62)</f>
        <v>4017.6058902253094</v>
      </c>
      <c r="O62" s="505">
        <f>SUMIF($C$8:$C$54,$C62,O$8:O$54)</f>
        <v>23715927.57</v>
      </c>
      <c r="P62" s="503">
        <f>SUMIF($C$8:$C$54,$C62,P$8:P$54)</f>
        <v>6355</v>
      </c>
      <c r="Q62" s="504">
        <f>IF(P62=0,0,R62/P62)</f>
        <v>3849.4879978756885</v>
      </c>
      <c r="R62" s="505">
        <f>SUMIF($C$8:$C$54,$C62,R$8:R$54)</f>
        <v>24463496.226500001</v>
      </c>
      <c r="S62" s="503">
        <f>SUMIF($C$8:$C$54,$C62,S$8:S$54)</f>
        <v>1280</v>
      </c>
      <c r="T62" s="504">
        <f>IF(S62=0,0,U62/S62)</f>
        <v>3071.233901953125</v>
      </c>
      <c r="U62" s="505">
        <f>SUMIF($C$8:$C$54,$C62,U$8:U$54)</f>
        <v>3931179.3944999999</v>
      </c>
      <c r="V62" s="503">
        <f>SUMIF($C$8:$C$54,$C62,V$8:V$54)</f>
        <v>1574</v>
      </c>
      <c r="W62" s="504">
        <f>IF(V62=0,0,X62/V62)</f>
        <v>3992.9198040660735</v>
      </c>
      <c r="X62" s="505">
        <f>SUMIF($C$8:$C$54,$C62,X$8:X$54)</f>
        <v>6284855.7715999996</v>
      </c>
      <c r="Y62" s="503">
        <f>SUMIF($C$8:$C$54,$C62,Y$8:Y$54)</f>
        <v>73</v>
      </c>
      <c r="Z62" s="504">
        <f>IF(Y62=0,0,AA62/Y62)</f>
        <v>2445.9799246575344</v>
      </c>
      <c r="AA62" s="505">
        <f>SUMIF($C$8:$C$54,$C62,AA$8:AA$54)</f>
        <v>178556.53450000001</v>
      </c>
      <c r="AB62" s="503" t="e">
        <f>D62+#REF!+G62+J62+M62+P62+S62+V62+#REF!+Y62</f>
        <v>#REF!</v>
      </c>
      <c r="AC62" s="504" t="e">
        <f>IF(AB62=0,0,AD62/AB62)</f>
        <v>#REF!</v>
      </c>
      <c r="AD62" s="505">
        <f>SUMIF($C$8:$C$54,$C62,AD$8:AD$54)</f>
        <v>128392508.68468472</v>
      </c>
      <c r="AE62" s="503">
        <f>AE10+AE14+AE18+AE22+AE26+AE30+AE34+AE38+AE42+AE46+AE50+AE54</f>
        <v>9741.5069000000003</v>
      </c>
      <c r="AF62" s="504">
        <f>IF(AE62=0,0,AG62/AE62)</f>
        <v>3241.4585885050165</v>
      </c>
      <c r="AG62" s="505">
        <f>SUMIF($C$8:$C$54,$C62,AG$8:AG$54)</f>
        <v>31576691.205985881</v>
      </c>
      <c r="AH62" s="503">
        <f>SUMIF($C$8:$C$54,$C62,AH$8:AH$54)</f>
        <v>2118</v>
      </c>
      <c r="AI62" s="504">
        <f>IF(AH62=0,0,AJ62/AH62)</f>
        <v>3590.1458923512746</v>
      </c>
      <c r="AJ62" s="505">
        <f>SUMIF($C$8:$C$54,$C62,AJ$8:AJ$54)</f>
        <v>7603929</v>
      </c>
      <c r="AK62" s="503">
        <f>SUMIF($C$8:$C$54,$C62,AK$8:AK$54)</f>
        <v>2424</v>
      </c>
      <c r="AL62" s="504">
        <f>IF(AK62=0,0,AM62/AK62)</f>
        <v>3207.6490069719471</v>
      </c>
      <c r="AM62" s="505">
        <f>SUMIF($C$8:$C$54,$C62,AM$8:AM$54)</f>
        <v>7775341.1929000001</v>
      </c>
      <c r="AN62" s="503">
        <f>SUMIF($C$8:$C$54,$C62,AN$8:AN$54)</f>
        <v>1692.5202000000002</v>
      </c>
      <c r="AO62" s="504">
        <f>IF(AN62=0,0,AP62/AN62)</f>
        <v>2936.7902345120842</v>
      </c>
      <c r="AP62" s="505">
        <f>SUMIF($C$8:$C$54,$C62,AP$8:AP$54)</f>
        <v>4970576.7950744405</v>
      </c>
      <c r="AQ62" s="503">
        <f>SUMIF($C$8:$C$54,$C62,AQ$8:AQ$54)</f>
        <v>837.32370000000014</v>
      </c>
      <c r="AR62" s="504">
        <f>IF(AQ62=0,0,AS62/AQ62)</f>
        <v>3975.5504046727565</v>
      </c>
      <c r="AS62" s="505">
        <f>SUMIF($C$8:$C$54,$C62,AS$8:AS$54)</f>
        <v>3328822.5743770902</v>
      </c>
      <c r="AT62" s="506">
        <f>SUMIF($C$8:$C$54,$C62,AT$8:AT$54)</f>
        <v>0</v>
      </c>
      <c r="AU62" s="507">
        <f>IF(AT62=0,0,AV62/AT62)</f>
        <v>0</v>
      </c>
      <c r="AV62" s="509">
        <f>SUMIF($C$8:$C$54,$C62,AV$8:AV$54)</f>
        <v>0</v>
      </c>
      <c r="AW62" s="510">
        <f>SUMIF($C$8:$C$54,$C62,AW$8:AW$54)</f>
        <v>0</v>
      </c>
      <c r="AX62" s="507">
        <f>IF(AW62=0,0,AY62/AW62)</f>
        <v>0</v>
      </c>
      <c r="AY62" s="509">
        <f t="shared" si="131"/>
        <v>0</v>
      </c>
      <c r="AZ62" s="510">
        <f t="shared" si="131"/>
        <v>0</v>
      </c>
      <c r="BA62" s="507">
        <f>IF(AZ62=0,0,BB62/AZ62)</f>
        <v>0</v>
      </c>
      <c r="BB62" s="509">
        <f t="shared" si="132"/>
        <v>0</v>
      </c>
      <c r="BC62" s="510">
        <f t="shared" si="132"/>
        <v>0</v>
      </c>
      <c r="BD62" s="507">
        <f>IF(BC62=0,0,BE62/BC62)</f>
        <v>0</v>
      </c>
      <c r="BE62" s="509">
        <f t="shared" si="133"/>
        <v>0</v>
      </c>
      <c r="BF62" s="510">
        <f t="shared" si="133"/>
        <v>0</v>
      </c>
      <c r="BG62" s="507">
        <f>IF(BF62=0,0,BH62/BF62)</f>
        <v>0</v>
      </c>
      <c r="BH62" s="508">
        <f>SUMIF($C$8:$C$54,$C62,BH$8:BH$54)</f>
        <v>0</v>
      </c>
      <c r="BI62" s="503">
        <f>SUMIF($C$8:$C$54,$C62,BI$8:BI$54)</f>
        <v>16813.3508</v>
      </c>
      <c r="BJ62" s="504">
        <f t="shared" si="6"/>
        <v>3286.3979004314488</v>
      </c>
      <c r="BK62" s="505">
        <f>SUMIF($C$8:$C$54,$C62,BK$8:BK$54)</f>
        <v>55255360.768337421</v>
      </c>
      <c r="BL62" s="511">
        <f>+BL10+BL14+BL18+BL22+BL26+BL30+BL34+BL38+BL42+BL46+BL50+BL54</f>
        <v>47933.319600000003</v>
      </c>
      <c r="BM62" s="504">
        <f>IF(BL62=0,0,BN62/BL62)</f>
        <v>3831.319653751294</v>
      </c>
      <c r="BN62" s="512">
        <f>+BN10+BN14+BN18+BN22+BN26+BN30+BN34+BN38+BN42+BN46+BN50+BN54</f>
        <v>183647869.45302212</v>
      </c>
      <c r="BO62" s="109"/>
      <c r="BP62" s="66">
        <f>SUMIF($C$8:$C$54,$C62,BP$8:BP$54)</f>
        <v>95265</v>
      </c>
      <c r="BQ62" s="115">
        <f t="shared" si="85"/>
        <v>0.50315771374586682</v>
      </c>
    </row>
    <row r="63" spans="1:71" x14ac:dyDescent="0.2">
      <c r="F63" s="116"/>
      <c r="O63" s="116"/>
      <c r="BI63" s="302"/>
      <c r="BJ63" s="302"/>
      <c r="BK63" s="302"/>
      <c r="BL63" s="302"/>
      <c r="BM63" s="302"/>
    </row>
    <row r="64" spans="1:71" s="317" customFormat="1" x14ac:dyDescent="0.2">
      <c r="AD64" s="513">
        <f>+AD52-AD53</f>
        <v>930469.42000000179</v>
      </c>
      <c r="BK64" s="513">
        <f>+BK52-BK53</f>
        <v>947301.79999999981</v>
      </c>
      <c r="BO64" s="117"/>
    </row>
    <row r="65" spans="2:66" x14ac:dyDescent="0.2">
      <c r="AB65" s="122"/>
      <c r="AC65" s="123"/>
      <c r="AD65" s="121"/>
      <c r="AG65" s="322"/>
      <c r="BI65" s="124"/>
      <c r="BK65" s="129"/>
      <c r="BL65" s="124"/>
      <c r="BN65" s="130"/>
    </row>
    <row r="66" spans="2:66" x14ac:dyDescent="0.2">
      <c r="AB66" s="122"/>
      <c r="AC66" s="123"/>
      <c r="AD66" s="121"/>
      <c r="AG66" s="322"/>
      <c r="BI66" s="124"/>
      <c r="BK66" s="129"/>
      <c r="BL66" s="124"/>
      <c r="BN66" s="130"/>
    </row>
    <row r="67" spans="2:66" x14ac:dyDescent="0.2">
      <c r="F67" s="323"/>
      <c r="I67" s="324"/>
      <c r="L67" s="324"/>
      <c r="O67" s="324"/>
      <c r="R67" s="324"/>
      <c r="T67" s="324"/>
      <c r="U67" s="324"/>
      <c r="X67" s="324"/>
      <c r="AB67" s="122"/>
      <c r="AD67" s="323"/>
      <c r="AG67" s="322"/>
      <c r="BK67" s="321"/>
      <c r="BM67" s="118"/>
    </row>
    <row r="68" spans="2:66" x14ac:dyDescent="0.2">
      <c r="F68" s="325"/>
      <c r="BK68" s="326"/>
      <c r="BM68" s="119"/>
    </row>
    <row r="71" spans="2:66" x14ac:dyDescent="0.2">
      <c r="B71" s="1" t="s">
        <v>99</v>
      </c>
      <c r="C71" s="1" t="s">
        <v>104</v>
      </c>
    </row>
    <row r="72" spans="2:66" x14ac:dyDescent="0.2">
      <c r="B72" s="1" t="s">
        <v>100</v>
      </c>
    </row>
    <row r="73" spans="2:66" x14ac:dyDescent="0.2">
      <c r="B73" s="1" t="s">
        <v>102</v>
      </c>
    </row>
    <row r="74" spans="2:66" x14ac:dyDescent="0.2">
      <c r="B74" s="1" t="s">
        <v>101</v>
      </c>
    </row>
    <row r="75" spans="2:66" x14ac:dyDescent="0.2">
      <c r="B75" s="1" t="s">
        <v>103</v>
      </c>
    </row>
  </sheetData>
  <mergeCells count="38">
    <mergeCell ref="B59:B62"/>
    <mergeCell ref="B15:B18"/>
    <mergeCell ref="B19:B22"/>
    <mergeCell ref="B23:B26"/>
    <mergeCell ref="B27:B30"/>
    <mergeCell ref="B31:B34"/>
    <mergeCell ref="B35:B38"/>
    <mergeCell ref="B39:B42"/>
    <mergeCell ref="B43:B46"/>
    <mergeCell ref="B47:B50"/>
    <mergeCell ref="B51:B54"/>
    <mergeCell ref="B55:B58"/>
    <mergeCell ref="BI5:BK5"/>
    <mergeCell ref="BL5:BN5"/>
    <mergeCell ref="BR5:BS5"/>
    <mergeCell ref="B7:B10"/>
    <mergeCell ref="AZ5:BB5"/>
    <mergeCell ref="BC5:BE5"/>
    <mergeCell ref="B11:B14"/>
    <mergeCell ref="AN5:AP5"/>
    <mergeCell ref="AQ5:AS5"/>
    <mergeCell ref="AT5:AV5"/>
    <mergeCell ref="AW5:AY5"/>
    <mergeCell ref="Y5:AA5"/>
    <mergeCell ref="AB5:AD5"/>
    <mergeCell ref="AE5:AG5"/>
    <mergeCell ref="AH5:AJ5"/>
    <mergeCell ref="AK5:AM5"/>
    <mergeCell ref="D4:AA4"/>
    <mergeCell ref="AE4:BH4"/>
    <mergeCell ref="D5:F5"/>
    <mergeCell ref="G5:I5"/>
    <mergeCell ref="J5:L5"/>
    <mergeCell ref="M5:O5"/>
    <mergeCell ref="P5:R5"/>
    <mergeCell ref="S5:U5"/>
    <mergeCell ref="V5:X5"/>
    <mergeCell ref="BF5:BH5"/>
  </mergeCells>
  <pageMargins left="0.7" right="0.7" top="0.75" bottom="0.75" header="0.3" footer="0.3"/>
  <pageSetup paperSize="8" scale="9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RoomSeg</vt:lpstr>
      <vt:lpstr>Rooms FS</vt:lpstr>
      <vt:lpstr>onbooks</vt:lpstr>
      <vt:lpstr>RoomSeg (new forecast)</vt:lpstr>
      <vt:lpstr>YR2015</vt:lpstr>
      <vt:lpstr>onbooks!Print_Area</vt:lpstr>
      <vt:lpstr>RoomSeg!Print_Area</vt:lpstr>
      <vt:lpstr>'RoomSeg (new forecast)'!Print_Area</vt:lpstr>
      <vt:lpstr>'YR2015'!Print_Area</vt:lpstr>
      <vt:lpstr>onbooks!Print_Titles</vt:lpstr>
      <vt:lpstr>RoomSeg!Print_Titles</vt:lpstr>
      <vt:lpstr>'RoomSeg (new forecast)'!Print_Titles</vt:lpstr>
      <vt:lpstr>'YR2015'!Print_Titles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2017-08-18T07:30:42Z</dcterms:modified>
</cp:coreProperties>
</file>