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TD\PycharmProjects\ProjectWorkExamples\"/>
    </mc:Choice>
  </mc:AlternateContent>
  <xr:revisionPtr revIDLastSave="0" documentId="13_ncr:1_{3713D945-9A7E-48DC-B3CB-8ECE35578348}" xr6:coauthVersionLast="46" xr6:coauthVersionMax="46" xr10:uidLastSave="{00000000-0000-0000-0000-000000000000}"/>
  <bookViews>
    <workbookView xWindow="-120" yWindow="-120" windowWidth="38640" windowHeight="21240" tabRatio="868" firstSheet="1" activeTab="2" xr2:uid="{00000000-000D-0000-FFFF-FFFF00000000}"/>
  </bookViews>
  <sheets>
    <sheet name="Evaluation Questions" sheetId="24" state="hidden" r:id="rId1"/>
    <sheet name="Template " sheetId="100" r:id="rId2"/>
    <sheet name="KORS" sheetId="81" r:id="rId3"/>
    <sheet name="FTNT" sheetId="64" r:id="rId4"/>
    <sheet name="BIIB" sheetId="106" r:id="rId5"/>
    <sheet name="WFC" sheetId="98" r:id="rId6"/>
    <sheet name="FCAU" sheetId="105" r:id="rId7"/>
    <sheet name="RDS.B" sheetId="103" r:id="rId8"/>
    <sheet name="VIST" sheetId="38" r:id="rId9"/>
    <sheet name="ABC" sheetId="104" r:id="rId10"/>
    <sheet name="YPF" sheetId="102" r:id="rId11"/>
    <sheet name="TGS" sheetId="101" r:id="rId12"/>
    <sheet name="OXY" sheetId="99" r:id="rId13"/>
    <sheet name="MEOH" sheetId="96" r:id="rId14"/>
    <sheet name="CC" sheetId="97" r:id="rId15"/>
    <sheet name="CVS" sheetId="95" r:id="rId16"/>
    <sheet name="DLPH" sheetId="70" r:id="rId17"/>
    <sheet name="BFH" sheetId="89" r:id="rId18"/>
    <sheet name="AT" sheetId="73" r:id="rId19"/>
    <sheet name="CHTR_LBRDK" sheetId="50" r:id="rId20"/>
    <sheet name="LBTYA" sheetId="48" r:id="rId21"/>
    <sheet name="HUN" sheetId="87" r:id="rId22"/>
    <sheet name="PRU" sheetId="88" r:id="rId23"/>
    <sheet name="IDCC" sheetId="72" r:id="rId24"/>
    <sheet name="SD" sheetId="77" r:id="rId25"/>
    <sheet name="TAT" sheetId="76" r:id="rId26"/>
    <sheet name="WB" sheetId="84" r:id="rId27"/>
    <sheet name="EAF" sheetId="94" r:id="rId28"/>
    <sheet name="URBN" sheetId="93" r:id="rId29"/>
    <sheet name="KLIC" sheetId="90" r:id="rId30"/>
    <sheet name="SAFM" sheetId="32" r:id="rId31"/>
    <sheet name="VNTR" sheetId="86" r:id="rId32"/>
    <sheet name="SINA" sheetId="85" r:id="rId33"/>
    <sheet name="SDRL" sheetId="80" r:id="rId34"/>
    <sheet name="HK" sheetId="79" r:id="rId35"/>
    <sheet name="REGI" sheetId="78" r:id="rId36"/>
    <sheet name="UEPS" sheetId="75" r:id="rId37"/>
    <sheet name="MHLD" sheetId="74" r:id="rId38"/>
    <sheet name="Original Copy" sheetId="2" state="hidden" r:id="rId39"/>
    <sheet name="DCF" sheetId="1" state="hidden" r:id="rId40"/>
  </sheets>
  <externalReferences>
    <externalReference r:id="rId41"/>
  </externalReferences>
  <definedNames>
    <definedName name="tgt">[1]Assumptions!$S$9</definedName>
    <definedName name="tgt_shrs">[1]Assumptions!$AA$19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56" i="98" l="1"/>
  <c r="X56" i="98"/>
  <c r="H29" i="98" l="1"/>
  <c r="H16" i="98"/>
  <c r="X62" i="98" l="1"/>
  <c r="X69" i="98"/>
  <c r="Z56" i="98" l="1"/>
  <c r="X59" i="98" l="1"/>
  <c r="Y62" i="98" s="1"/>
  <c r="Z62" i="98" s="1"/>
  <c r="K55" i="106"/>
  <c r="J175" i="106" l="1"/>
  <c r="K173" i="106"/>
  <c r="J173" i="106"/>
  <c r="H173" i="106"/>
  <c r="J170" i="106"/>
  <c r="J165" i="106"/>
  <c r="H170" i="106"/>
  <c r="H165" i="106"/>
  <c r="F170" i="106"/>
  <c r="F169" i="106"/>
  <c r="F168" i="106"/>
  <c r="F167" i="106"/>
  <c r="F166" i="106"/>
  <c r="F165" i="106"/>
  <c r="C65" i="106" l="1"/>
  <c r="J49" i="106"/>
  <c r="A69" i="106" s="1"/>
  <c r="J48" i="106"/>
  <c r="A70" i="106"/>
  <c r="C64" i="106"/>
  <c r="C63" i="106"/>
  <c r="B48" i="106"/>
  <c r="B49" i="106"/>
  <c r="B50" i="106"/>
  <c r="B51" i="106"/>
  <c r="H37" i="106"/>
  <c r="H36" i="106"/>
  <c r="R32" i="106"/>
  <c r="P32" i="106"/>
  <c r="N32" i="106"/>
  <c r="L32" i="106"/>
  <c r="J32" i="106"/>
  <c r="H32" i="106"/>
  <c r="H31" i="106"/>
  <c r="H33" i="106" s="1"/>
  <c r="H29" i="106"/>
  <c r="J29" i="106"/>
  <c r="L29" i="106" s="1"/>
  <c r="N29" i="106" s="1"/>
  <c r="P29" i="106" s="1"/>
  <c r="R29" i="106" s="1"/>
  <c r="H24" i="106"/>
  <c r="H23" i="106"/>
  <c r="R19" i="106"/>
  <c r="P19" i="106"/>
  <c r="N19" i="106"/>
  <c r="L19" i="106"/>
  <c r="J19" i="106"/>
  <c r="H19" i="106"/>
  <c r="H18" i="106"/>
  <c r="H16" i="106"/>
  <c r="J16" i="106"/>
  <c r="L16" i="106"/>
  <c r="N16" i="106" s="1"/>
  <c r="P16" i="106" s="1"/>
  <c r="R16" i="106" s="1"/>
  <c r="J12" i="106"/>
  <c r="J24" i="106" s="1"/>
  <c r="J37" i="106"/>
  <c r="J11" i="106"/>
  <c r="J23" i="106"/>
  <c r="H8" i="106"/>
  <c r="H10" i="106" s="1"/>
  <c r="H13" i="106" s="1"/>
  <c r="J6" i="106"/>
  <c r="J8" i="106"/>
  <c r="J9" i="106" s="1"/>
  <c r="J4" i="106"/>
  <c r="L4" i="106"/>
  <c r="N4" i="106" s="1"/>
  <c r="P4" i="106" s="1"/>
  <c r="R4" i="106" s="1"/>
  <c r="J36" i="106"/>
  <c r="H34" i="106"/>
  <c r="H9" i="106"/>
  <c r="L6" i="106"/>
  <c r="L8" i="106" s="1"/>
  <c r="L9" i="106" s="1"/>
  <c r="L10" i="106" s="1"/>
  <c r="L11" i="106"/>
  <c r="T62" i="105"/>
  <c r="T63" i="105"/>
  <c r="H11" i="105"/>
  <c r="R62" i="105"/>
  <c r="R64" i="105"/>
  <c r="A70" i="105"/>
  <c r="A69" i="105"/>
  <c r="C65" i="105"/>
  <c r="C64" i="105"/>
  <c r="C63" i="105"/>
  <c r="B48" i="105"/>
  <c r="B49" i="105"/>
  <c r="B50" i="105"/>
  <c r="B51" i="105"/>
  <c r="H37" i="105"/>
  <c r="R32" i="105"/>
  <c r="P32" i="105"/>
  <c r="N32" i="105"/>
  <c r="L32" i="105"/>
  <c r="J32" i="105"/>
  <c r="H32" i="105"/>
  <c r="H31" i="105"/>
  <c r="H33" i="105" s="1"/>
  <c r="J31" i="105"/>
  <c r="H29" i="105"/>
  <c r="J29" i="105"/>
  <c r="L29" i="105" s="1"/>
  <c r="N29" i="105" s="1"/>
  <c r="P29" i="105" s="1"/>
  <c r="R29" i="105"/>
  <c r="H24" i="105"/>
  <c r="R19" i="105"/>
  <c r="P19" i="105"/>
  <c r="N19" i="105"/>
  <c r="L19" i="105"/>
  <c r="J19" i="105"/>
  <c r="H19" i="105"/>
  <c r="H18" i="105"/>
  <c r="H16" i="105"/>
  <c r="J16" i="105"/>
  <c r="L16" i="105" s="1"/>
  <c r="N16" i="105" s="1"/>
  <c r="P16" i="105" s="1"/>
  <c r="R16" i="105"/>
  <c r="J12" i="105"/>
  <c r="H8" i="105"/>
  <c r="H9" i="105"/>
  <c r="H10" i="105" s="1"/>
  <c r="H13" i="105" s="1"/>
  <c r="J6" i="105"/>
  <c r="J4" i="105"/>
  <c r="L4" i="105"/>
  <c r="N4" i="105"/>
  <c r="P4" i="105"/>
  <c r="R4" i="105" s="1"/>
  <c r="L36" i="106"/>
  <c r="L23" i="106"/>
  <c r="N11" i="106"/>
  <c r="N6" i="106"/>
  <c r="P6" i="106" s="1"/>
  <c r="L12" i="105"/>
  <c r="H34" i="105"/>
  <c r="H35" i="105" s="1"/>
  <c r="R63" i="105"/>
  <c r="R66" i="105"/>
  <c r="J8" i="105"/>
  <c r="L6" i="105"/>
  <c r="J49" i="104"/>
  <c r="A69" i="104" s="1"/>
  <c r="A70" i="104"/>
  <c r="C65" i="104"/>
  <c r="C64" i="104"/>
  <c r="C63" i="104"/>
  <c r="B48" i="104"/>
  <c r="B49" i="104"/>
  <c r="B50" i="104"/>
  <c r="B51" i="104" s="1"/>
  <c r="H37" i="104"/>
  <c r="J11" i="104"/>
  <c r="J36" i="104"/>
  <c r="H36" i="104"/>
  <c r="R32" i="104"/>
  <c r="P32" i="104"/>
  <c r="N32" i="104"/>
  <c r="L32" i="104"/>
  <c r="J32" i="104"/>
  <c r="H32" i="104"/>
  <c r="H31" i="104"/>
  <c r="H29" i="104"/>
  <c r="J29" i="104"/>
  <c r="L29" i="104"/>
  <c r="N29" i="104" s="1"/>
  <c r="P29" i="104" s="1"/>
  <c r="R29" i="104" s="1"/>
  <c r="H24" i="104"/>
  <c r="H23" i="104"/>
  <c r="R19" i="104"/>
  <c r="P19" i="104"/>
  <c r="N19" i="104"/>
  <c r="L19" i="104"/>
  <c r="J19" i="104"/>
  <c r="H19" i="104"/>
  <c r="H18" i="104"/>
  <c r="H20" i="104" s="1"/>
  <c r="H21" i="104" s="1"/>
  <c r="H16" i="104"/>
  <c r="J16" i="104" s="1"/>
  <c r="L16" i="104" s="1"/>
  <c r="N16" i="104"/>
  <c r="P16" i="104" s="1"/>
  <c r="R16" i="104" s="1"/>
  <c r="J12" i="104"/>
  <c r="J37" i="104"/>
  <c r="J23" i="104"/>
  <c r="H8" i="104"/>
  <c r="H9" i="104"/>
  <c r="J6" i="104"/>
  <c r="J4" i="104"/>
  <c r="L4" i="104"/>
  <c r="N4" i="104" s="1"/>
  <c r="P4" i="104" s="1"/>
  <c r="R4" i="104" s="1"/>
  <c r="N23" i="106"/>
  <c r="N6" i="105"/>
  <c r="N8" i="105" s="1"/>
  <c r="N9" i="105" s="1"/>
  <c r="L8" i="105"/>
  <c r="J9" i="105"/>
  <c r="J10" i="105"/>
  <c r="J24" i="104"/>
  <c r="L12" i="104"/>
  <c r="L24" i="104" s="1"/>
  <c r="H10" i="104"/>
  <c r="H13" i="104" s="1"/>
  <c r="L11" i="104"/>
  <c r="K49" i="103"/>
  <c r="K51" i="103" s="1"/>
  <c r="P6" i="105"/>
  <c r="R6" i="105" s="1"/>
  <c r="R8" i="105" s="1"/>
  <c r="L9" i="105"/>
  <c r="L10" i="105"/>
  <c r="H22" i="104"/>
  <c r="H25" i="104" s="1"/>
  <c r="X67" i="103"/>
  <c r="U67" i="103"/>
  <c r="S67" i="103"/>
  <c r="T66" i="103"/>
  <c r="R61" i="103"/>
  <c r="R62" i="103"/>
  <c r="J47" i="103" s="1"/>
  <c r="A70" i="103" s="1"/>
  <c r="K47" i="103"/>
  <c r="J49" i="103"/>
  <c r="A69" i="103" s="1"/>
  <c r="C65" i="103"/>
  <c r="C64" i="103"/>
  <c r="C63" i="103"/>
  <c r="B48" i="103"/>
  <c r="B49" i="103" s="1"/>
  <c r="B50" i="103" s="1"/>
  <c r="B51" i="103" s="1"/>
  <c r="H37" i="103"/>
  <c r="H36" i="103"/>
  <c r="R32" i="103"/>
  <c r="P32" i="103"/>
  <c r="N32" i="103"/>
  <c r="L32" i="103"/>
  <c r="J32" i="103"/>
  <c r="H32" i="103"/>
  <c r="H33" i="103" s="1"/>
  <c r="H31" i="103"/>
  <c r="H34" i="103"/>
  <c r="H35" i="103" s="1"/>
  <c r="H38" i="103" s="1"/>
  <c r="H29" i="103"/>
  <c r="J29" i="103"/>
  <c r="L29" i="103" s="1"/>
  <c r="N29" i="103"/>
  <c r="P29" i="103" s="1"/>
  <c r="R29" i="103" s="1"/>
  <c r="H24" i="103"/>
  <c r="H23" i="103"/>
  <c r="R19" i="103"/>
  <c r="P19" i="103"/>
  <c r="N19" i="103"/>
  <c r="L19" i="103"/>
  <c r="J19" i="103"/>
  <c r="J20" i="103" s="1"/>
  <c r="H19" i="103"/>
  <c r="H18" i="103"/>
  <c r="H16" i="103"/>
  <c r="J16" i="103" s="1"/>
  <c r="L16" i="103"/>
  <c r="N16" i="103" s="1"/>
  <c r="P16" i="103"/>
  <c r="R16" i="103"/>
  <c r="J12" i="103"/>
  <c r="J37" i="103"/>
  <c r="J11" i="103"/>
  <c r="H8" i="103"/>
  <c r="J6" i="103"/>
  <c r="L6" i="103" s="1"/>
  <c r="L8" i="103" s="1"/>
  <c r="L9" i="103" s="1"/>
  <c r="L10" i="103" s="1"/>
  <c r="L13" i="103" s="1"/>
  <c r="J8" i="103"/>
  <c r="J4" i="103"/>
  <c r="L4" i="103"/>
  <c r="N4" i="103" s="1"/>
  <c r="P4" i="103" s="1"/>
  <c r="R4" i="103" s="1"/>
  <c r="T64" i="103"/>
  <c r="T65" i="103"/>
  <c r="P8" i="105"/>
  <c r="N10" i="105"/>
  <c r="Y65" i="103"/>
  <c r="J24" i="103"/>
  <c r="L12" i="103"/>
  <c r="J31" i="103"/>
  <c r="J33" i="103" s="1"/>
  <c r="H20" i="103"/>
  <c r="J18" i="103"/>
  <c r="L18" i="103" s="1"/>
  <c r="L11" i="103"/>
  <c r="A70" i="102"/>
  <c r="A69" i="102"/>
  <c r="C65" i="102"/>
  <c r="C64" i="102"/>
  <c r="C63" i="102"/>
  <c r="B48" i="102"/>
  <c r="B49" i="102" s="1"/>
  <c r="B50" i="102"/>
  <c r="B51" i="102" s="1"/>
  <c r="H37" i="102"/>
  <c r="H36" i="102"/>
  <c r="R32" i="102"/>
  <c r="P32" i="102"/>
  <c r="N32" i="102"/>
  <c r="L32" i="102"/>
  <c r="J32" i="102"/>
  <c r="H32" i="102"/>
  <c r="H31" i="102"/>
  <c r="J31" i="102"/>
  <c r="H29" i="102"/>
  <c r="J29" i="102"/>
  <c r="L29" i="102"/>
  <c r="N29" i="102" s="1"/>
  <c r="P29" i="102" s="1"/>
  <c r="R29" i="102" s="1"/>
  <c r="H24" i="102"/>
  <c r="H23" i="102"/>
  <c r="R19" i="102"/>
  <c r="P19" i="102"/>
  <c r="N19" i="102"/>
  <c r="L19" i="102"/>
  <c r="J19" i="102"/>
  <c r="H19" i="102"/>
  <c r="H18" i="102"/>
  <c r="J18" i="102" s="1"/>
  <c r="J20" i="102" s="1"/>
  <c r="H16" i="102"/>
  <c r="J16" i="102" s="1"/>
  <c r="L16" i="102" s="1"/>
  <c r="N16" i="102"/>
  <c r="P16" i="102" s="1"/>
  <c r="R16" i="102" s="1"/>
  <c r="J12" i="102"/>
  <c r="L12" i="102" s="1"/>
  <c r="J37" i="102"/>
  <c r="J11" i="102"/>
  <c r="H8" i="102"/>
  <c r="H9" i="102"/>
  <c r="J6" i="102"/>
  <c r="J8" i="102"/>
  <c r="J4" i="102"/>
  <c r="L4" i="102"/>
  <c r="N4" i="102" s="1"/>
  <c r="P4" i="102" s="1"/>
  <c r="R4" i="102" s="1"/>
  <c r="N12" i="103"/>
  <c r="L31" i="103"/>
  <c r="L33" i="103" s="1"/>
  <c r="L34" i="103" s="1"/>
  <c r="L36" i="103"/>
  <c r="N6" i="103"/>
  <c r="H33" i="102"/>
  <c r="L6" i="102"/>
  <c r="N6" i="102" s="1"/>
  <c r="P6" i="102" s="1"/>
  <c r="R6" i="102" s="1"/>
  <c r="R8" i="102" s="1"/>
  <c r="H10" i="102"/>
  <c r="H13" i="102"/>
  <c r="L11" i="102"/>
  <c r="L36" i="102" s="1"/>
  <c r="K47" i="101"/>
  <c r="J37" i="101"/>
  <c r="A70" i="101"/>
  <c r="A69" i="101"/>
  <c r="C65" i="101"/>
  <c r="C64" i="101"/>
  <c r="C63" i="101"/>
  <c r="B48" i="101"/>
  <c r="B49" i="101" s="1"/>
  <c r="B50" i="101" s="1"/>
  <c r="B51" i="101"/>
  <c r="H37" i="101"/>
  <c r="J11" i="101"/>
  <c r="J36" i="101" s="1"/>
  <c r="H36" i="101"/>
  <c r="R32" i="101"/>
  <c r="P32" i="101"/>
  <c r="N32" i="101"/>
  <c r="L32" i="101"/>
  <c r="J32" i="101"/>
  <c r="H32" i="101"/>
  <c r="H31" i="101"/>
  <c r="J31" i="101"/>
  <c r="H29" i="101"/>
  <c r="J29" i="101"/>
  <c r="L29" i="101" s="1"/>
  <c r="N29" i="101" s="1"/>
  <c r="P29" i="101"/>
  <c r="R29" i="101" s="1"/>
  <c r="J24" i="101"/>
  <c r="H24" i="101"/>
  <c r="H23" i="101"/>
  <c r="R19" i="101"/>
  <c r="P19" i="101"/>
  <c r="N19" i="101"/>
  <c r="L19" i="101"/>
  <c r="J19" i="101"/>
  <c r="H19" i="101"/>
  <c r="H18" i="101"/>
  <c r="H20" i="101" s="1"/>
  <c r="H16" i="101"/>
  <c r="J16" i="101"/>
  <c r="L16" i="101" s="1"/>
  <c r="N16" i="101" s="1"/>
  <c r="P16" i="101"/>
  <c r="R16" i="101" s="1"/>
  <c r="L12" i="101"/>
  <c r="L37" i="101"/>
  <c r="H8" i="101"/>
  <c r="H9" i="101" s="1"/>
  <c r="H10" i="101" s="1"/>
  <c r="H13" i="101" s="1"/>
  <c r="J6" i="101"/>
  <c r="L6" i="101" s="1"/>
  <c r="J8" i="101"/>
  <c r="J4" i="101"/>
  <c r="L4" i="101" s="1"/>
  <c r="N4" i="101"/>
  <c r="P4" i="101" s="1"/>
  <c r="R4" i="101" s="1"/>
  <c r="M65" i="38"/>
  <c r="J12" i="38"/>
  <c r="J37" i="38"/>
  <c r="R9" i="105"/>
  <c r="T8" i="105"/>
  <c r="N31" i="103"/>
  <c r="N33" i="103" s="1"/>
  <c r="L20" i="103"/>
  <c r="N18" i="103"/>
  <c r="L8" i="102"/>
  <c r="L9" i="102" s="1"/>
  <c r="H34" i="102"/>
  <c r="H35" i="102"/>
  <c r="H38" i="102"/>
  <c r="T6" i="102"/>
  <c r="H33" i="101"/>
  <c r="H34" i="101"/>
  <c r="N12" i="101"/>
  <c r="N37" i="101" s="1"/>
  <c r="J18" i="101"/>
  <c r="L24" i="101"/>
  <c r="L11" i="101"/>
  <c r="L23" i="101" s="1"/>
  <c r="N12" i="38"/>
  <c r="P12" i="38"/>
  <c r="R12" i="38" s="1"/>
  <c r="L12" i="38"/>
  <c r="L37" i="38" s="1"/>
  <c r="N20" i="103"/>
  <c r="P18" i="103"/>
  <c r="P20" i="103" s="1"/>
  <c r="P21" i="103" s="1"/>
  <c r="P22" i="103" s="1"/>
  <c r="H35" i="101"/>
  <c r="H38" i="101"/>
  <c r="L36" i="101"/>
  <c r="J20" i="101"/>
  <c r="L18" i="101"/>
  <c r="L20" i="101" s="1"/>
  <c r="L21" i="101" s="1"/>
  <c r="N24" i="101"/>
  <c r="P12" i="101"/>
  <c r="H29" i="100"/>
  <c r="J29" i="100" s="1"/>
  <c r="L29" i="100" s="1"/>
  <c r="N29" i="100" s="1"/>
  <c r="P29" i="100" s="1"/>
  <c r="R29" i="100" s="1"/>
  <c r="H16" i="100"/>
  <c r="J16" i="100" s="1"/>
  <c r="L16" i="100" s="1"/>
  <c r="N16" i="100" s="1"/>
  <c r="P16" i="100" s="1"/>
  <c r="R16" i="100" s="1"/>
  <c r="A69" i="100"/>
  <c r="C65" i="100"/>
  <c r="C64" i="100"/>
  <c r="C63" i="100"/>
  <c r="B48" i="100"/>
  <c r="B49" i="100" s="1"/>
  <c r="B50" i="100" s="1"/>
  <c r="B51" i="100" s="1"/>
  <c r="H37" i="100"/>
  <c r="H36" i="100"/>
  <c r="R32" i="100"/>
  <c r="P32" i="100"/>
  <c r="N32" i="100"/>
  <c r="L32" i="100"/>
  <c r="J32" i="100"/>
  <c r="H32" i="100"/>
  <c r="H31" i="100"/>
  <c r="H33" i="100"/>
  <c r="H24" i="100"/>
  <c r="H23" i="100"/>
  <c r="R19" i="100"/>
  <c r="P19" i="100"/>
  <c r="N19" i="100"/>
  <c r="L19" i="100"/>
  <c r="J19" i="100"/>
  <c r="H19" i="100"/>
  <c r="H20" i="100" s="1"/>
  <c r="H18" i="100"/>
  <c r="J12" i="100"/>
  <c r="J24" i="100"/>
  <c r="J11" i="100"/>
  <c r="J23" i="100"/>
  <c r="H8" i="100"/>
  <c r="J6" i="100"/>
  <c r="L6" i="100"/>
  <c r="J4" i="100"/>
  <c r="L4" i="100" s="1"/>
  <c r="N4" i="100" s="1"/>
  <c r="P4" i="100" s="1"/>
  <c r="R4" i="100" s="1"/>
  <c r="M63" i="38"/>
  <c r="J47" i="38" s="1"/>
  <c r="R60" i="38" s="1"/>
  <c r="N34" i="103"/>
  <c r="N35" i="103"/>
  <c r="N21" i="103"/>
  <c r="N22" i="103"/>
  <c r="P24" i="101"/>
  <c r="R12" i="101"/>
  <c r="R24" i="101" s="1"/>
  <c r="P37" i="101"/>
  <c r="J21" i="101"/>
  <c r="J22" i="101"/>
  <c r="J37" i="100"/>
  <c r="L8" i="100"/>
  <c r="N6" i="100"/>
  <c r="P6" i="100"/>
  <c r="R6" i="100" s="1"/>
  <c r="R8" i="100" s="1"/>
  <c r="J8" i="100"/>
  <c r="J18" i="100"/>
  <c r="H34" i="100"/>
  <c r="J36" i="100"/>
  <c r="L11" i="100"/>
  <c r="A70" i="100"/>
  <c r="J31" i="100"/>
  <c r="L12" i="100"/>
  <c r="N12" i="100" s="1"/>
  <c r="P12" i="100" s="1"/>
  <c r="J48" i="99"/>
  <c r="J49" i="99"/>
  <c r="A69" i="99" s="1"/>
  <c r="H12" i="99"/>
  <c r="H11" i="99"/>
  <c r="H23" i="99"/>
  <c r="A70" i="99"/>
  <c r="C65" i="99"/>
  <c r="C64" i="99"/>
  <c r="C63" i="99"/>
  <c r="B48" i="99"/>
  <c r="B49" i="99" s="1"/>
  <c r="B50" i="99" s="1"/>
  <c r="B51" i="99" s="1"/>
  <c r="H36" i="99"/>
  <c r="R32" i="99"/>
  <c r="P32" i="99"/>
  <c r="N32" i="99"/>
  <c r="L32" i="99"/>
  <c r="J32" i="99"/>
  <c r="H32" i="99"/>
  <c r="H33" i="99" s="1"/>
  <c r="H31" i="99"/>
  <c r="J31" i="99"/>
  <c r="J29" i="99"/>
  <c r="L29" i="99"/>
  <c r="N29" i="99"/>
  <c r="P29" i="99" s="1"/>
  <c r="R29" i="99" s="1"/>
  <c r="H24" i="99"/>
  <c r="R19" i="99"/>
  <c r="P19" i="99"/>
  <c r="N19" i="99"/>
  <c r="L19" i="99"/>
  <c r="J19" i="99"/>
  <c r="H19" i="99"/>
  <c r="H18" i="99"/>
  <c r="H20" i="99"/>
  <c r="H21" i="99" s="1"/>
  <c r="J16" i="99"/>
  <c r="L16" i="99"/>
  <c r="N16" i="99" s="1"/>
  <c r="P16" i="99" s="1"/>
  <c r="R16" i="99" s="1"/>
  <c r="J11" i="99"/>
  <c r="J36" i="99" s="1"/>
  <c r="H8" i="99"/>
  <c r="H9" i="99" s="1"/>
  <c r="J6" i="99"/>
  <c r="L6" i="99"/>
  <c r="L8" i="99" s="1"/>
  <c r="J4" i="99"/>
  <c r="L4" i="99"/>
  <c r="N4" i="99"/>
  <c r="P4" i="99" s="1"/>
  <c r="R4" i="99"/>
  <c r="A69" i="98"/>
  <c r="A70" i="98"/>
  <c r="C65" i="98"/>
  <c r="C64" i="98"/>
  <c r="C63" i="98"/>
  <c r="B48" i="98"/>
  <c r="B49" i="98" s="1"/>
  <c r="B50" i="98" s="1"/>
  <c r="B51" i="98" s="1"/>
  <c r="H37" i="98"/>
  <c r="H36" i="98"/>
  <c r="R32" i="98"/>
  <c r="P32" i="98"/>
  <c r="N32" i="98"/>
  <c r="L32" i="98"/>
  <c r="J32" i="98"/>
  <c r="H32" i="98"/>
  <c r="H31" i="98"/>
  <c r="H33" i="98" s="1"/>
  <c r="J29" i="98"/>
  <c r="L29" i="98" s="1"/>
  <c r="N29" i="98" s="1"/>
  <c r="P29" i="98" s="1"/>
  <c r="R29" i="98" s="1"/>
  <c r="H24" i="98"/>
  <c r="H23" i="98"/>
  <c r="R19" i="98"/>
  <c r="P19" i="98"/>
  <c r="N19" i="98"/>
  <c r="L19" i="98"/>
  <c r="J19" i="98"/>
  <c r="H19" i="98"/>
  <c r="H18" i="98"/>
  <c r="J18" i="98" s="1"/>
  <c r="J16" i="98"/>
  <c r="L16" i="98" s="1"/>
  <c r="N16" i="98" s="1"/>
  <c r="P16" i="98" s="1"/>
  <c r="R16" i="98" s="1"/>
  <c r="J12" i="98"/>
  <c r="J24" i="98" s="1"/>
  <c r="J37" i="98"/>
  <c r="J11" i="98"/>
  <c r="J23" i="98" s="1"/>
  <c r="J36" i="98"/>
  <c r="H8" i="98"/>
  <c r="H9" i="98" s="1"/>
  <c r="J6" i="98"/>
  <c r="J8" i="98" s="1"/>
  <c r="J9" i="98" s="1"/>
  <c r="J4" i="98"/>
  <c r="L4" i="98" s="1"/>
  <c r="N4" i="98" s="1"/>
  <c r="P4" i="98" s="1"/>
  <c r="R4" i="98" s="1"/>
  <c r="R37" i="101"/>
  <c r="T6" i="100"/>
  <c r="L12" i="98"/>
  <c r="J33" i="99"/>
  <c r="J20" i="100"/>
  <c r="J21" i="100" s="1"/>
  <c r="J22" i="100" s="1"/>
  <c r="J25" i="100" s="1"/>
  <c r="L18" i="100"/>
  <c r="N18" i="100" s="1"/>
  <c r="P8" i="100"/>
  <c r="P9" i="100"/>
  <c r="P10" i="100" s="1"/>
  <c r="N8" i="100"/>
  <c r="N9" i="100" s="1"/>
  <c r="J9" i="100"/>
  <c r="J10" i="100"/>
  <c r="L9" i="100"/>
  <c r="L10" i="100" s="1"/>
  <c r="L13" i="100" s="1"/>
  <c r="J33" i="100"/>
  <c r="L31" i="100"/>
  <c r="L36" i="100"/>
  <c r="N11" i="100"/>
  <c r="P11" i="100" s="1"/>
  <c r="L23" i="100"/>
  <c r="J8" i="99"/>
  <c r="J9" i="99" s="1"/>
  <c r="J34" i="99"/>
  <c r="J35" i="99"/>
  <c r="J23" i="99"/>
  <c r="H10" i="99"/>
  <c r="H13" i="99" s="1"/>
  <c r="L11" i="99"/>
  <c r="L31" i="99"/>
  <c r="J18" i="99"/>
  <c r="J20" i="99" s="1"/>
  <c r="N12" i="98"/>
  <c r="N37" i="98" s="1"/>
  <c r="L11" i="98"/>
  <c r="A70" i="97"/>
  <c r="A69" i="97"/>
  <c r="C65" i="97"/>
  <c r="C64" i="97"/>
  <c r="C63" i="97"/>
  <c r="B48" i="97"/>
  <c r="B49" i="97" s="1"/>
  <c r="B50" i="97" s="1"/>
  <c r="B51" i="97" s="1"/>
  <c r="H37" i="97"/>
  <c r="H36" i="97"/>
  <c r="R32" i="97"/>
  <c r="P32" i="97"/>
  <c r="N32" i="97"/>
  <c r="L32" i="97"/>
  <c r="J32" i="97"/>
  <c r="H32" i="97"/>
  <c r="H31" i="97"/>
  <c r="J31" i="97" s="1"/>
  <c r="J29" i="97"/>
  <c r="L29" i="97"/>
  <c r="N29" i="97"/>
  <c r="P29" i="97" s="1"/>
  <c r="R29" i="97" s="1"/>
  <c r="H24" i="97"/>
  <c r="H23" i="97"/>
  <c r="R19" i="97"/>
  <c r="P19" i="97"/>
  <c r="N19" i="97"/>
  <c r="L19" i="97"/>
  <c r="J19" i="97"/>
  <c r="H19" i="97"/>
  <c r="H18" i="97"/>
  <c r="H20" i="97"/>
  <c r="J16" i="97"/>
  <c r="L16" i="97"/>
  <c r="N16" i="97"/>
  <c r="P16" i="97" s="1"/>
  <c r="R16" i="97" s="1"/>
  <c r="J12" i="97"/>
  <c r="J37" i="97" s="1"/>
  <c r="J11" i="97"/>
  <c r="J36" i="97" s="1"/>
  <c r="H8" i="97"/>
  <c r="H9" i="97"/>
  <c r="H10" i="97"/>
  <c r="H13" i="97" s="1"/>
  <c r="J6" i="97"/>
  <c r="L6" i="97"/>
  <c r="L8" i="97"/>
  <c r="J4" i="97"/>
  <c r="L4" i="97"/>
  <c r="N4" i="97"/>
  <c r="P4" i="97"/>
  <c r="R4" i="97" s="1"/>
  <c r="J13" i="100"/>
  <c r="L37" i="98"/>
  <c r="L24" i="98"/>
  <c r="L20" i="100"/>
  <c r="L21" i="100" s="1"/>
  <c r="N23" i="100"/>
  <c r="L33" i="100"/>
  <c r="N31" i="100"/>
  <c r="P31" i="100" s="1"/>
  <c r="J34" i="100"/>
  <c r="J35" i="100"/>
  <c r="J38" i="100" s="1"/>
  <c r="N37" i="100"/>
  <c r="L18" i="99"/>
  <c r="L33" i="99"/>
  <c r="N31" i="99"/>
  <c r="L23" i="99"/>
  <c r="L36" i="99"/>
  <c r="N11" i="99"/>
  <c r="L23" i="98"/>
  <c r="N11" i="98"/>
  <c r="L36" i="98"/>
  <c r="J23" i="97"/>
  <c r="H33" i="97"/>
  <c r="H34" i="97" s="1"/>
  <c r="H35" i="97" s="1"/>
  <c r="H38" i="97" s="1"/>
  <c r="J8" i="97"/>
  <c r="J9" i="97" s="1"/>
  <c r="L9" i="97"/>
  <c r="L10" i="97"/>
  <c r="J24" i="97"/>
  <c r="L12" i="97"/>
  <c r="N6" i="97"/>
  <c r="N8" i="97" s="1"/>
  <c r="J18" i="97"/>
  <c r="A70" i="96"/>
  <c r="A69" i="96"/>
  <c r="C65" i="96"/>
  <c r="C64" i="96"/>
  <c r="C63" i="96"/>
  <c r="B48" i="96"/>
  <c r="B49" i="96"/>
  <c r="B50" i="96"/>
  <c r="B51" i="96"/>
  <c r="H37" i="96"/>
  <c r="H36" i="96"/>
  <c r="R32" i="96"/>
  <c r="P32" i="96"/>
  <c r="N32" i="96"/>
  <c r="L32" i="96"/>
  <c r="J32" i="96"/>
  <c r="J33" i="96" s="1"/>
  <c r="H32" i="96"/>
  <c r="H33" i="96" s="1"/>
  <c r="H31" i="96"/>
  <c r="J31" i="96"/>
  <c r="J29" i="96"/>
  <c r="L29" i="96"/>
  <c r="N29" i="96" s="1"/>
  <c r="P29" i="96" s="1"/>
  <c r="R29" i="96" s="1"/>
  <c r="H24" i="96"/>
  <c r="H23" i="96"/>
  <c r="R19" i="96"/>
  <c r="P19" i="96"/>
  <c r="N19" i="96"/>
  <c r="L19" i="96"/>
  <c r="J19" i="96"/>
  <c r="H19" i="96"/>
  <c r="H18" i="96"/>
  <c r="J18" i="96" s="1"/>
  <c r="J16" i="96"/>
  <c r="L16" i="96" s="1"/>
  <c r="N16" i="96" s="1"/>
  <c r="P16" i="96" s="1"/>
  <c r="R16" i="96" s="1"/>
  <c r="J12" i="96"/>
  <c r="J37" i="96"/>
  <c r="J11" i="96"/>
  <c r="J36" i="96"/>
  <c r="H8" i="96"/>
  <c r="H9" i="96"/>
  <c r="H10" i="96" s="1"/>
  <c r="H13" i="96" s="1"/>
  <c r="J6" i="96"/>
  <c r="L6" i="96"/>
  <c r="J4" i="96"/>
  <c r="L4" i="96"/>
  <c r="N4" i="96" s="1"/>
  <c r="P4" i="96" s="1"/>
  <c r="R4" i="96" s="1"/>
  <c r="N33" i="100"/>
  <c r="L34" i="100"/>
  <c r="L35" i="100"/>
  <c r="L20" i="99"/>
  <c r="N18" i="99"/>
  <c r="L34" i="99"/>
  <c r="L35" i="99"/>
  <c r="N36" i="99"/>
  <c r="P11" i="99"/>
  <c r="N23" i="99"/>
  <c r="N33" i="99"/>
  <c r="P31" i="99"/>
  <c r="N36" i="98"/>
  <c r="N23" i="98"/>
  <c r="P11" i="98"/>
  <c r="P23" i="98" s="1"/>
  <c r="L24" i="97"/>
  <c r="N12" i="97"/>
  <c r="P12" i="97" s="1"/>
  <c r="P24" i="97" s="1"/>
  <c r="L37" i="97"/>
  <c r="J20" i="97"/>
  <c r="L18" i="97"/>
  <c r="L8" i="96"/>
  <c r="L9" i="96"/>
  <c r="L10" i="96"/>
  <c r="L13" i="96" s="1"/>
  <c r="N6" i="96"/>
  <c r="N8" i="96"/>
  <c r="N9" i="96" s="1"/>
  <c r="N10" i="96" s="1"/>
  <c r="J8" i="96"/>
  <c r="J23" i="96"/>
  <c r="L11" i="96"/>
  <c r="L31" i="96"/>
  <c r="L33" i="96" s="1"/>
  <c r="L12" i="96"/>
  <c r="J24" i="96"/>
  <c r="A70" i="95"/>
  <c r="A69" i="95"/>
  <c r="C65" i="95"/>
  <c r="C64" i="95"/>
  <c r="C63" i="95"/>
  <c r="B48" i="95"/>
  <c r="B49" i="95"/>
  <c r="B50" i="95"/>
  <c r="B51" i="95" s="1"/>
  <c r="H37" i="95"/>
  <c r="H36" i="95"/>
  <c r="R32" i="95"/>
  <c r="P32" i="95"/>
  <c r="N32" i="95"/>
  <c r="L32" i="95"/>
  <c r="J32" i="95"/>
  <c r="H32" i="95"/>
  <c r="H31" i="95"/>
  <c r="J31" i="95" s="1"/>
  <c r="J29" i="95"/>
  <c r="L29" i="95"/>
  <c r="N29" i="95"/>
  <c r="P29" i="95"/>
  <c r="R29" i="95" s="1"/>
  <c r="H24" i="95"/>
  <c r="H23" i="95"/>
  <c r="R19" i="95"/>
  <c r="P19" i="95"/>
  <c r="N19" i="95"/>
  <c r="L19" i="95"/>
  <c r="J19" i="95"/>
  <c r="H19" i="95"/>
  <c r="H18" i="95"/>
  <c r="H20" i="95" s="1"/>
  <c r="H21" i="95" s="1"/>
  <c r="J16" i="95"/>
  <c r="L16" i="95" s="1"/>
  <c r="N16" i="95" s="1"/>
  <c r="P16" i="95" s="1"/>
  <c r="R16" i="95" s="1"/>
  <c r="J12" i="95"/>
  <c r="J37" i="95"/>
  <c r="J11" i="95"/>
  <c r="J36" i="95"/>
  <c r="H8" i="95"/>
  <c r="H9" i="95" s="1"/>
  <c r="H10" i="95" s="1"/>
  <c r="H13" i="95" s="1"/>
  <c r="J6" i="95"/>
  <c r="L6" i="95"/>
  <c r="L8" i="95" s="1"/>
  <c r="J4" i="95"/>
  <c r="L4" i="95"/>
  <c r="N4" i="95" s="1"/>
  <c r="P4" i="95" s="1"/>
  <c r="R4" i="95" s="1"/>
  <c r="N34" i="100"/>
  <c r="N35" i="100" s="1"/>
  <c r="L21" i="99"/>
  <c r="L22" i="99" s="1"/>
  <c r="P33" i="99"/>
  <c r="R31" i="99"/>
  <c r="N34" i="99"/>
  <c r="N35" i="99" s="1"/>
  <c r="P23" i="99"/>
  <c r="P36" i="99"/>
  <c r="R11" i="99"/>
  <c r="N20" i="99"/>
  <c r="P18" i="99"/>
  <c r="L20" i="97"/>
  <c r="N18" i="97"/>
  <c r="J21" i="97"/>
  <c r="J22" i="97" s="1"/>
  <c r="J25" i="97"/>
  <c r="N24" i="97"/>
  <c r="P6" i="96"/>
  <c r="P8" i="96" s="1"/>
  <c r="J9" i="96"/>
  <c r="N31" i="96"/>
  <c r="L24" i="96"/>
  <c r="N12" i="96"/>
  <c r="L37" i="96"/>
  <c r="L36" i="96"/>
  <c r="N11" i="96"/>
  <c r="L23" i="96"/>
  <c r="H33" i="95"/>
  <c r="H34" i="95" s="1"/>
  <c r="J8" i="95"/>
  <c r="J23" i="95"/>
  <c r="L11" i="95"/>
  <c r="N11" i="95" s="1"/>
  <c r="L12" i="95"/>
  <c r="J24" i="95"/>
  <c r="J18" i="95"/>
  <c r="A70" i="94"/>
  <c r="A69" i="94"/>
  <c r="C65" i="94"/>
  <c r="C64" i="94"/>
  <c r="C63" i="94"/>
  <c r="B48" i="94"/>
  <c r="B49" i="94" s="1"/>
  <c r="B50" i="94"/>
  <c r="B51" i="94" s="1"/>
  <c r="H37" i="94"/>
  <c r="H36" i="94"/>
  <c r="R32" i="94"/>
  <c r="P32" i="94"/>
  <c r="N32" i="94"/>
  <c r="L32" i="94"/>
  <c r="J32" i="94"/>
  <c r="H32" i="94"/>
  <c r="H33" i="94" s="1"/>
  <c r="H35" i="94" s="1"/>
  <c r="H38" i="94" s="1"/>
  <c r="H31" i="94"/>
  <c r="J29" i="94"/>
  <c r="L29" i="94"/>
  <c r="N29" i="94" s="1"/>
  <c r="P29" i="94" s="1"/>
  <c r="R29" i="94" s="1"/>
  <c r="H24" i="94"/>
  <c r="H23" i="94"/>
  <c r="R19" i="94"/>
  <c r="P19" i="94"/>
  <c r="N19" i="94"/>
  <c r="L19" i="94"/>
  <c r="J19" i="94"/>
  <c r="H19" i="94"/>
  <c r="H18" i="94"/>
  <c r="J16" i="94"/>
  <c r="L16" i="94" s="1"/>
  <c r="N16" i="94" s="1"/>
  <c r="P16" i="94" s="1"/>
  <c r="R16" i="94" s="1"/>
  <c r="J12" i="94"/>
  <c r="J37" i="94" s="1"/>
  <c r="J11" i="94"/>
  <c r="J36" i="94" s="1"/>
  <c r="H8" i="94"/>
  <c r="J6" i="94"/>
  <c r="J8" i="94"/>
  <c r="J4" i="94"/>
  <c r="L4" i="94" s="1"/>
  <c r="N4" i="94" s="1"/>
  <c r="P4" i="94" s="1"/>
  <c r="R4" i="94" s="1"/>
  <c r="R33" i="99"/>
  <c r="T31" i="99"/>
  <c r="P34" i="99"/>
  <c r="P35" i="99"/>
  <c r="P20" i="99"/>
  <c r="R18" i="99"/>
  <c r="R20" i="99" s="1"/>
  <c r="R36" i="99"/>
  <c r="R23" i="99"/>
  <c r="N21" i="99"/>
  <c r="N22" i="99" s="1"/>
  <c r="H34" i="94"/>
  <c r="L12" i="94"/>
  <c r="L37" i="94" s="1"/>
  <c r="J24" i="94"/>
  <c r="N20" i="97"/>
  <c r="N21" i="97" s="1"/>
  <c r="N22" i="97" s="1"/>
  <c r="P18" i="97"/>
  <c r="L21" i="97"/>
  <c r="L22" i="97"/>
  <c r="P37" i="97"/>
  <c r="R6" i="96"/>
  <c r="R8" i="96" s="1"/>
  <c r="N36" i="96"/>
  <c r="P11" i="96"/>
  <c r="N23" i="96"/>
  <c r="T6" i="96"/>
  <c r="N33" i="96"/>
  <c r="P31" i="96"/>
  <c r="P33" i="96" s="1"/>
  <c r="P9" i="96"/>
  <c r="P10" i="96"/>
  <c r="P13" i="96" s="1"/>
  <c r="L34" i="96"/>
  <c r="L35" i="96" s="1"/>
  <c r="L38" i="96" s="1"/>
  <c r="N13" i="96"/>
  <c r="N24" i="96"/>
  <c r="P12" i="96"/>
  <c r="N37" i="96"/>
  <c r="J9" i="95"/>
  <c r="J10" i="95" s="1"/>
  <c r="J13" i="95" s="1"/>
  <c r="L24" i="95"/>
  <c r="N12" i="95"/>
  <c r="P12" i="95" s="1"/>
  <c r="L37" i="95"/>
  <c r="L36" i="95"/>
  <c r="L23" i="95"/>
  <c r="J20" i="95"/>
  <c r="J22" i="95" s="1"/>
  <c r="L18" i="95"/>
  <c r="L9" i="95"/>
  <c r="L10" i="95" s="1"/>
  <c r="L13" i="95" s="1"/>
  <c r="H9" i="94"/>
  <c r="H10" i="94" s="1"/>
  <c r="H13" i="94" s="1"/>
  <c r="L24" i="94"/>
  <c r="N12" i="94"/>
  <c r="P12" i="94" s="1"/>
  <c r="L6" i="94"/>
  <c r="J31" i="94"/>
  <c r="J33" i="94" s="1"/>
  <c r="J23" i="94"/>
  <c r="A70" i="93"/>
  <c r="A69" i="93"/>
  <c r="C65" i="93"/>
  <c r="C64" i="93"/>
  <c r="C63" i="93"/>
  <c r="B48" i="93"/>
  <c r="B49" i="93"/>
  <c r="B50" i="93" s="1"/>
  <c r="B51" i="93"/>
  <c r="H37" i="93"/>
  <c r="H36" i="93"/>
  <c r="R32" i="93"/>
  <c r="P32" i="93"/>
  <c r="N32" i="93"/>
  <c r="L32" i="93"/>
  <c r="J32" i="93"/>
  <c r="H32" i="93"/>
  <c r="H31" i="93"/>
  <c r="J31" i="93" s="1"/>
  <c r="J29" i="93"/>
  <c r="L29" i="93"/>
  <c r="N29" i="93" s="1"/>
  <c r="P29" i="93" s="1"/>
  <c r="R29" i="93" s="1"/>
  <c r="H24" i="93"/>
  <c r="H23" i="93"/>
  <c r="R19" i="93"/>
  <c r="P19" i="93"/>
  <c r="N19" i="93"/>
  <c r="L19" i="93"/>
  <c r="J19" i="93"/>
  <c r="H19" i="93"/>
  <c r="H18" i="93"/>
  <c r="H20" i="93" s="1"/>
  <c r="J16" i="93"/>
  <c r="L16" i="93" s="1"/>
  <c r="N16" i="93" s="1"/>
  <c r="P16" i="93" s="1"/>
  <c r="R16" i="93" s="1"/>
  <c r="J12" i="93"/>
  <c r="J37" i="93" s="1"/>
  <c r="J11" i="93"/>
  <c r="H8" i="93"/>
  <c r="H10" i="93" s="1"/>
  <c r="H13" i="93" s="1"/>
  <c r="J6" i="93"/>
  <c r="L6" i="93"/>
  <c r="L8" i="93" s="1"/>
  <c r="L9" i="93" s="1"/>
  <c r="L10" i="93" s="1"/>
  <c r="J4" i="93"/>
  <c r="L4" i="93" s="1"/>
  <c r="N4" i="93" s="1"/>
  <c r="P4" i="93" s="1"/>
  <c r="R4" i="93" s="1"/>
  <c r="T18" i="99"/>
  <c r="P21" i="99"/>
  <c r="P22" i="99"/>
  <c r="T33" i="99"/>
  <c r="R34" i="99"/>
  <c r="R35" i="99" s="1"/>
  <c r="P20" i="97"/>
  <c r="R18" i="97"/>
  <c r="N34" i="96"/>
  <c r="N35" i="96" s="1"/>
  <c r="N38" i="96" s="1"/>
  <c r="P23" i="96"/>
  <c r="P36" i="96"/>
  <c r="R11" i="96"/>
  <c r="R31" i="96"/>
  <c r="N23" i="95"/>
  <c r="L20" i="95"/>
  <c r="N18" i="95"/>
  <c r="N37" i="95"/>
  <c r="J21" i="95"/>
  <c r="J25" i="95"/>
  <c r="N24" i="95"/>
  <c r="L31" i="94"/>
  <c r="L33" i="94" s="1"/>
  <c r="N37" i="94"/>
  <c r="N24" i="94"/>
  <c r="N6" i="94"/>
  <c r="L8" i="94"/>
  <c r="J8" i="93"/>
  <c r="J9" i="93" s="1"/>
  <c r="J10" i="93" s="1"/>
  <c r="J13" i="93" s="1"/>
  <c r="N6" i="93"/>
  <c r="P6" i="93" s="1"/>
  <c r="R6" i="93" s="1"/>
  <c r="N8" i="93"/>
  <c r="H9" i="93"/>
  <c r="J36" i="93"/>
  <c r="J24" i="93"/>
  <c r="T35" i="99"/>
  <c r="R20" i="97"/>
  <c r="T18" i="97"/>
  <c r="P21" i="97"/>
  <c r="P22" i="97" s="1"/>
  <c r="N20" i="95"/>
  <c r="N21" i="95" s="1"/>
  <c r="P18" i="95"/>
  <c r="P20" i="95" s="1"/>
  <c r="L21" i="95"/>
  <c r="L22" i="95" s="1"/>
  <c r="L25" i="95" s="1"/>
  <c r="L9" i="94"/>
  <c r="L10" i="94"/>
  <c r="N31" i="94"/>
  <c r="P6" i="94"/>
  <c r="R6" i="94" s="1"/>
  <c r="N8" i="94"/>
  <c r="N9" i="94" s="1"/>
  <c r="J34" i="94"/>
  <c r="J35" i="94"/>
  <c r="J38" i="94" s="1"/>
  <c r="R21" i="97"/>
  <c r="R22" i="97" s="1"/>
  <c r="T20" i="97"/>
  <c r="N22" i="95"/>
  <c r="N25" i="95" s="1"/>
  <c r="R18" i="95"/>
  <c r="L34" i="94"/>
  <c r="L35" i="94"/>
  <c r="P31" i="94"/>
  <c r="N33" i="94"/>
  <c r="P8" i="94"/>
  <c r="P9" i="94" s="1"/>
  <c r="T6" i="93"/>
  <c r="R8" i="93"/>
  <c r="R9" i="93" s="1"/>
  <c r="A70" i="90"/>
  <c r="A69" i="90"/>
  <c r="C65" i="90"/>
  <c r="C64" i="90"/>
  <c r="C63" i="90"/>
  <c r="B48" i="90"/>
  <c r="B49" i="90"/>
  <c r="B50" i="90" s="1"/>
  <c r="B51" i="90" s="1"/>
  <c r="H37" i="90"/>
  <c r="H36" i="90"/>
  <c r="R32" i="90"/>
  <c r="P32" i="90"/>
  <c r="N32" i="90"/>
  <c r="L32" i="90"/>
  <c r="J32" i="90"/>
  <c r="H32" i="90"/>
  <c r="H31" i="90"/>
  <c r="H33" i="90" s="1"/>
  <c r="H35" i="90" s="1"/>
  <c r="H38" i="90" s="1"/>
  <c r="J31" i="90"/>
  <c r="J29" i="90"/>
  <c r="L29" i="90"/>
  <c r="N29" i="90" s="1"/>
  <c r="P29" i="90" s="1"/>
  <c r="R29" i="90" s="1"/>
  <c r="H24" i="90"/>
  <c r="H23" i="90"/>
  <c r="R19" i="90"/>
  <c r="P19" i="90"/>
  <c r="N19" i="90"/>
  <c r="L19" i="90"/>
  <c r="J19" i="90"/>
  <c r="H19" i="90"/>
  <c r="H18" i="90"/>
  <c r="J16" i="90"/>
  <c r="L16" i="90" s="1"/>
  <c r="N16" i="90" s="1"/>
  <c r="P16" i="90" s="1"/>
  <c r="R16" i="90" s="1"/>
  <c r="J12" i="90"/>
  <c r="J37" i="90" s="1"/>
  <c r="J11" i="90"/>
  <c r="H8" i="90"/>
  <c r="H9" i="90" s="1"/>
  <c r="J6" i="90"/>
  <c r="L6" i="90" s="1"/>
  <c r="N6" i="90" s="1"/>
  <c r="P6" i="90" s="1"/>
  <c r="L8" i="90"/>
  <c r="L9" i="90" s="1"/>
  <c r="J4" i="90"/>
  <c r="L4" i="90"/>
  <c r="N4" i="90" s="1"/>
  <c r="P4" i="90" s="1"/>
  <c r="R4" i="90" s="1"/>
  <c r="T18" i="95"/>
  <c r="R20" i="95"/>
  <c r="P21" i="95"/>
  <c r="P22" i="95"/>
  <c r="N34" i="94"/>
  <c r="H34" i="90"/>
  <c r="J8" i="90"/>
  <c r="J9" i="90" s="1"/>
  <c r="T8" i="93"/>
  <c r="R10" i="93"/>
  <c r="T10" i="93" s="1"/>
  <c r="H10" i="90"/>
  <c r="H13" i="90" s="1"/>
  <c r="J24" i="90"/>
  <c r="T64" i="77"/>
  <c r="R21" i="95"/>
  <c r="T20" i="95"/>
  <c r="N8" i="90"/>
  <c r="E77" i="89"/>
  <c r="N9" i="90"/>
  <c r="A70" i="89"/>
  <c r="A69" i="89"/>
  <c r="C65" i="89"/>
  <c r="C64" i="89"/>
  <c r="C63" i="89"/>
  <c r="B48" i="89"/>
  <c r="B49" i="89"/>
  <c r="B50" i="89"/>
  <c r="B51" i="89" s="1"/>
  <c r="H37" i="89"/>
  <c r="H36" i="89"/>
  <c r="R32" i="89"/>
  <c r="P32" i="89"/>
  <c r="N32" i="89"/>
  <c r="L32" i="89"/>
  <c r="J32" i="89"/>
  <c r="H32" i="89"/>
  <c r="H31" i="89"/>
  <c r="J31" i="89" s="1"/>
  <c r="J29" i="89"/>
  <c r="L29" i="89"/>
  <c r="N29" i="89" s="1"/>
  <c r="P29" i="89" s="1"/>
  <c r="R29" i="89" s="1"/>
  <c r="H24" i="89"/>
  <c r="H23" i="89"/>
  <c r="R19" i="89"/>
  <c r="P19" i="89"/>
  <c r="N19" i="89"/>
  <c r="L19" i="89"/>
  <c r="J19" i="89"/>
  <c r="H19" i="89"/>
  <c r="H18" i="89"/>
  <c r="J18" i="89" s="1"/>
  <c r="L18" i="89" s="1"/>
  <c r="L20" i="89" s="1"/>
  <c r="J16" i="89"/>
  <c r="L16" i="89" s="1"/>
  <c r="N16" i="89" s="1"/>
  <c r="P16" i="89" s="1"/>
  <c r="R16" i="89" s="1"/>
  <c r="J12" i="89"/>
  <c r="J11" i="89"/>
  <c r="J36" i="89" s="1"/>
  <c r="H8" i="89"/>
  <c r="H9" i="89" s="1"/>
  <c r="J6" i="89"/>
  <c r="L6" i="89"/>
  <c r="J4" i="89"/>
  <c r="L4" i="89"/>
  <c r="N4" i="89" s="1"/>
  <c r="P4" i="89" s="1"/>
  <c r="R4" i="89" s="1"/>
  <c r="H33" i="89"/>
  <c r="J8" i="89"/>
  <c r="J9" i="89"/>
  <c r="J37" i="89"/>
  <c r="J24" i="89"/>
  <c r="L12" i="89"/>
  <c r="L24" i="89" s="1"/>
  <c r="H10" i="89"/>
  <c r="H13" i="89" s="1"/>
  <c r="J23" i="89"/>
  <c r="J77" i="88"/>
  <c r="M60" i="88"/>
  <c r="J10" i="89"/>
  <c r="J13" i="89" s="1"/>
  <c r="N12" i="89"/>
  <c r="N37" i="89" s="1"/>
  <c r="L37" i="89"/>
  <c r="J20" i="89"/>
  <c r="J49" i="88"/>
  <c r="A69" i="88"/>
  <c r="A70" i="88"/>
  <c r="C65" i="88"/>
  <c r="C64" i="88"/>
  <c r="C63" i="88"/>
  <c r="B48" i="88"/>
  <c r="B49" i="88"/>
  <c r="B50" i="88" s="1"/>
  <c r="B51" i="88" s="1"/>
  <c r="H37" i="88"/>
  <c r="H36" i="88"/>
  <c r="R32" i="88"/>
  <c r="P32" i="88"/>
  <c r="N32" i="88"/>
  <c r="L32" i="88"/>
  <c r="J32" i="88"/>
  <c r="H32" i="88"/>
  <c r="H31" i="88"/>
  <c r="H33" i="88" s="1"/>
  <c r="J29" i="88"/>
  <c r="L29" i="88"/>
  <c r="N29" i="88" s="1"/>
  <c r="P29" i="88" s="1"/>
  <c r="R29" i="88" s="1"/>
  <c r="H24" i="88"/>
  <c r="H23" i="88"/>
  <c r="R19" i="88"/>
  <c r="P19" i="88"/>
  <c r="N19" i="88"/>
  <c r="L19" i="88"/>
  <c r="J19" i="88"/>
  <c r="H19" i="88"/>
  <c r="H20" i="88" s="1"/>
  <c r="H18" i="88"/>
  <c r="J16" i="88"/>
  <c r="L16" i="88"/>
  <c r="N16" i="88" s="1"/>
  <c r="P16" i="88" s="1"/>
  <c r="R16" i="88"/>
  <c r="J12" i="88"/>
  <c r="J11" i="88"/>
  <c r="L11" i="88" s="1"/>
  <c r="L36" i="88" s="1"/>
  <c r="J36" i="88"/>
  <c r="H8" i="88"/>
  <c r="H9" i="88"/>
  <c r="J6" i="88"/>
  <c r="L6" i="88" s="1"/>
  <c r="N6" i="88" s="1"/>
  <c r="J4" i="88"/>
  <c r="L4" i="88"/>
  <c r="N4" i="88"/>
  <c r="P4" i="88" s="1"/>
  <c r="R4" i="88"/>
  <c r="J8" i="88"/>
  <c r="N18" i="89"/>
  <c r="P12" i="89"/>
  <c r="P24" i="89" s="1"/>
  <c r="J31" i="88"/>
  <c r="J33" i="88" s="1"/>
  <c r="J23" i="88"/>
  <c r="J37" i="88"/>
  <c r="J24" i="88"/>
  <c r="L12" i="88"/>
  <c r="J18" i="88"/>
  <c r="J20" i="88" s="1"/>
  <c r="H77" i="87"/>
  <c r="N20" i="89"/>
  <c r="N22" i="89" s="1"/>
  <c r="P18" i="89"/>
  <c r="R18" i="89" s="1"/>
  <c r="P37" i="89"/>
  <c r="L21" i="89"/>
  <c r="L31" i="88"/>
  <c r="L18" i="88"/>
  <c r="L24" i="88"/>
  <c r="N12" i="88"/>
  <c r="L37" i="88"/>
  <c r="N11" i="88"/>
  <c r="L23" i="88"/>
  <c r="A70" i="87"/>
  <c r="A69" i="87"/>
  <c r="C65" i="87"/>
  <c r="C64" i="87"/>
  <c r="C63" i="87"/>
  <c r="B48" i="87"/>
  <c r="B49" i="87"/>
  <c r="B50" i="87"/>
  <c r="B51" i="87" s="1"/>
  <c r="H37" i="87"/>
  <c r="H36" i="87"/>
  <c r="R32" i="87"/>
  <c r="P32" i="87"/>
  <c r="N32" i="87"/>
  <c r="L32" i="87"/>
  <c r="J32" i="87"/>
  <c r="H32" i="87"/>
  <c r="H31" i="87"/>
  <c r="J31" i="87" s="1"/>
  <c r="J29" i="87"/>
  <c r="L29" i="87" s="1"/>
  <c r="N29" i="87" s="1"/>
  <c r="P29" i="87" s="1"/>
  <c r="R29" i="87" s="1"/>
  <c r="H24" i="87"/>
  <c r="H23" i="87"/>
  <c r="R19" i="87"/>
  <c r="P19" i="87"/>
  <c r="N19" i="87"/>
  <c r="L19" i="87"/>
  <c r="J19" i="87"/>
  <c r="H19" i="87"/>
  <c r="H18" i="87"/>
  <c r="J16" i="87"/>
  <c r="L16" i="87"/>
  <c r="N16" i="87" s="1"/>
  <c r="P16" i="87" s="1"/>
  <c r="R16" i="87" s="1"/>
  <c r="J12" i="87"/>
  <c r="J37" i="87"/>
  <c r="J11" i="87"/>
  <c r="J23" i="87"/>
  <c r="H8" i="87"/>
  <c r="J6" i="87"/>
  <c r="L6" i="87"/>
  <c r="J4" i="87"/>
  <c r="L4" i="87" s="1"/>
  <c r="N4" i="87" s="1"/>
  <c r="P4" i="87" s="1"/>
  <c r="R4" i="87" s="1"/>
  <c r="A70" i="86"/>
  <c r="A69" i="86"/>
  <c r="C65" i="86"/>
  <c r="C64" i="86"/>
  <c r="C63" i="86"/>
  <c r="B48" i="86"/>
  <c r="B49" i="86" s="1"/>
  <c r="B50" i="86" s="1"/>
  <c r="B51" i="86" s="1"/>
  <c r="H37" i="86"/>
  <c r="H36" i="86"/>
  <c r="R32" i="86"/>
  <c r="P32" i="86"/>
  <c r="N32" i="86"/>
  <c r="L32" i="86"/>
  <c r="J32" i="86"/>
  <c r="H32" i="86"/>
  <c r="H31" i="86"/>
  <c r="H33" i="86" s="1"/>
  <c r="J29" i="86"/>
  <c r="L29" i="86" s="1"/>
  <c r="N29" i="86" s="1"/>
  <c r="P29" i="86" s="1"/>
  <c r="R29" i="86" s="1"/>
  <c r="H24" i="86"/>
  <c r="H23" i="86"/>
  <c r="R19" i="86"/>
  <c r="P19" i="86"/>
  <c r="N19" i="86"/>
  <c r="L19" i="86"/>
  <c r="J19" i="86"/>
  <c r="H19" i="86"/>
  <c r="H18" i="86"/>
  <c r="J16" i="86"/>
  <c r="L16" i="86" s="1"/>
  <c r="N16" i="86" s="1"/>
  <c r="P16" i="86" s="1"/>
  <c r="R16" i="86" s="1"/>
  <c r="J12" i="86"/>
  <c r="J11" i="86"/>
  <c r="L11" i="86" s="1"/>
  <c r="N11" i="86" s="1"/>
  <c r="H8" i="86"/>
  <c r="H9" i="86"/>
  <c r="J6" i="86"/>
  <c r="L6" i="86" s="1"/>
  <c r="J4" i="86"/>
  <c r="L4" i="86" s="1"/>
  <c r="N4" i="86" s="1"/>
  <c r="P4" i="86" s="1"/>
  <c r="R4" i="86" s="1"/>
  <c r="J8" i="86"/>
  <c r="H20" i="86"/>
  <c r="H21" i="86" s="1"/>
  <c r="H22" i="86" s="1"/>
  <c r="H25" i="86" s="1"/>
  <c r="J31" i="86"/>
  <c r="L31" i="86" s="1"/>
  <c r="H20" i="87"/>
  <c r="H21" i="87" s="1"/>
  <c r="H22" i="87" s="1"/>
  <c r="H25" i="87" s="1"/>
  <c r="P20" i="89"/>
  <c r="N21" i="89"/>
  <c r="J8" i="87"/>
  <c r="J9" i="87"/>
  <c r="J34" i="88"/>
  <c r="J35" i="88" s="1"/>
  <c r="J38" i="88" s="1"/>
  <c r="N31" i="88"/>
  <c r="L33" i="88"/>
  <c r="L34" i="88"/>
  <c r="L35" i="88" s="1"/>
  <c r="L38" i="88" s="1"/>
  <c r="J21" i="88"/>
  <c r="J22" i="88" s="1"/>
  <c r="J25" i="88" s="1"/>
  <c r="N37" i="88"/>
  <c r="N24" i="88"/>
  <c r="P12" i="88"/>
  <c r="P37" i="88" s="1"/>
  <c r="P38" i="88" s="1"/>
  <c r="N36" i="88"/>
  <c r="P11" i="88"/>
  <c r="N23" i="88"/>
  <c r="L20" i="88"/>
  <c r="L21" i="88" s="1"/>
  <c r="N18" i="88"/>
  <c r="L11" i="87"/>
  <c r="L36" i="87"/>
  <c r="N6" i="87"/>
  <c r="L8" i="87"/>
  <c r="J36" i="87"/>
  <c r="L12" i="87"/>
  <c r="L24" i="87" s="1"/>
  <c r="J24" i="87"/>
  <c r="J18" i="87"/>
  <c r="L36" i="86"/>
  <c r="L23" i="86"/>
  <c r="J36" i="86"/>
  <c r="J23" i="86"/>
  <c r="J37" i="86"/>
  <c r="J24" i="86"/>
  <c r="L12" i="86"/>
  <c r="J18" i="86"/>
  <c r="J53" i="85"/>
  <c r="J55" i="85"/>
  <c r="J53" i="84"/>
  <c r="J54" i="84" s="1"/>
  <c r="A70" i="85"/>
  <c r="A69" i="85"/>
  <c r="C65" i="85"/>
  <c r="C64" i="85"/>
  <c r="C63" i="85"/>
  <c r="B48" i="85"/>
  <c r="B49" i="85" s="1"/>
  <c r="B50" i="85" s="1"/>
  <c r="B51" i="85" s="1"/>
  <c r="H37" i="85"/>
  <c r="H36" i="85"/>
  <c r="R32" i="85"/>
  <c r="P32" i="85"/>
  <c r="N32" i="85"/>
  <c r="L32" i="85"/>
  <c r="J32" i="85"/>
  <c r="H32" i="85"/>
  <c r="H33" i="85" s="1"/>
  <c r="H31" i="85"/>
  <c r="J31" i="85" s="1"/>
  <c r="J29" i="85"/>
  <c r="L29" i="85" s="1"/>
  <c r="N29" i="85" s="1"/>
  <c r="P29" i="85" s="1"/>
  <c r="R29" i="85" s="1"/>
  <c r="H24" i="85"/>
  <c r="H23" i="85"/>
  <c r="R19" i="85"/>
  <c r="P19" i="85"/>
  <c r="N19" i="85"/>
  <c r="L19" i="85"/>
  <c r="J19" i="85"/>
  <c r="H19" i="85"/>
  <c r="H18" i="85"/>
  <c r="H20" i="85" s="1"/>
  <c r="J16" i="85"/>
  <c r="L16" i="85" s="1"/>
  <c r="N16" i="85" s="1"/>
  <c r="P16" i="85" s="1"/>
  <c r="R16" i="85" s="1"/>
  <c r="J12" i="85"/>
  <c r="J37" i="85" s="1"/>
  <c r="J11" i="85"/>
  <c r="J23" i="85" s="1"/>
  <c r="J6" i="85"/>
  <c r="L6" i="85" s="1"/>
  <c r="J8" i="85"/>
  <c r="J9" i="85" s="1"/>
  <c r="J10" i="85" s="1"/>
  <c r="J13" i="85" s="1"/>
  <c r="H8" i="85"/>
  <c r="H10" i="85" s="1"/>
  <c r="H13" i="85" s="1"/>
  <c r="J4" i="85"/>
  <c r="L4" i="85"/>
  <c r="N4" i="85" s="1"/>
  <c r="P4" i="85" s="1"/>
  <c r="R4" i="85" s="1"/>
  <c r="N11" i="87"/>
  <c r="N23" i="87"/>
  <c r="L23" i="87"/>
  <c r="P21" i="89"/>
  <c r="P22" i="89" s="1"/>
  <c r="J10" i="87"/>
  <c r="J13" i="87" s="1"/>
  <c r="N33" i="88"/>
  <c r="P31" i="88"/>
  <c r="N20" i="88"/>
  <c r="P18" i="88"/>
  <c r="R18" i="88" s="1"/>
  <c r="P23" i="88"/>
  <c r="R11" i="88"/>
  <c r="P36" i="88"/>
  <c r="P24" i="88"/>
  <c r="R12" i="88"/>
  <c r="R24" i="88" s="1"/>
  <c r="L37" i="87"/>
  <c r="N12" i="87"/>
  <c r="P12" i="87" s="1"/>
  <c r="L9" i="87"/>
  <c r="L10" i="87" s="1"/>
  <c r="L13" i="87" s="1"/>
  <c r="J20" i="87"/>
  <c r="L18" i="87"/>
  <c r="P11" i="87"/>
  <c r="N8" i="87"/>
  <c r="P6" i="87"/>
  <c r="L18" i="86"/>
  <c r="J20" i="86"/>
  <c r="L24" i="86"/>
  <c r="N12" i="86"/>
  <c r="N37" i="86" s="1"/>
  <c r="L37" i="86"/>
  <c r="L12" i="85"/>
  <c r="J24" i="85"/>
  <c r="H9" i="85"/>
  <c r="J18" i="85"/>
  <c r="J20" i="85" s="1"/>
  <c r="L11" i="85"/>
  <c r="L36" i="85" s="1"/>
  <c r="P77" i="84"/>
  <c r="L77" i="84"/>
  <c r="A70" i="84"/>
  <c r="A69" i="84"/>
  <c r="C65" i="84"/>
  <c r="C64" i="84"/>
  <c r="C63" i="84"/>
  <c r="B48" i="84"/>
  <c r="B49" i="84" s="1"/>
  <c r="B50" i="84" s="1"/>
  <c r="B51" i="84" s="1"/>
  <c r="H37" i="84"/>
  <c r="H36" i="84"/>
  <c r="R32" i="84"/>
  <c r="P32" i="84"/>
  <c r="N32" i="84"/>
  <c r="L32" i="84"/>
  <c r="J32" i="84"/>
  <c r="H32" i="84"/>
  <c r="H31" i="84"/>
  <c r="H33" i="84" s="1"/>
  <c r="J29" i="84"/>
  <c r="L29" i="84" s="1"/>
  <c r="N29" i="84" s="1"/>
  <c r="P29" i="84" s="1"/>
  <c r="R29" i="84" s="1"/>
  <c r="H24" i="84"/>
  <c r="H23" i="84"/>
  <c r="R19" i="84"/>
  <c r="P19" i="84"/>
  <c r="N19" i="84"/>
  <c r="L19" i="84"/>
  <c r="J19" i="84"/>
  <c r="H19" i="84"/>
  <c r="H18" i="84"/>
  <c r="J16" i="84"/>
  <c r="L16" i="84" s="1"/>
  <c r="N16" i="84" s="1"/>
  <c r="P16" i="84" s="1"/>
  <c r="R16" i="84" s="1"/>
  <c r="J12" i="84"/>
  <c r="J37" i="84" s="1"/>
  <c r="J11" i="84"/>
  <c r="J36" i="84" s="1"/>
  <c r="H8" i="84"/>
  <c r="H10" i="84" s="1"/>
  <c r="H13" i="84" s="1"/>
  <c r="J6" i="84"/>
  <c r="J8" i="84" s="1"/>
  <c r="J4" i="84"/>
  <c r="L4" i="84" s="1"/>
  <c r="N4" i="84" s="1"/>
  <c r="P4" i="84" s="1"/>
  <c r="R4" i="84" s="1"/>
  <c r="M77" i="81"/>
  <c r="N77" i="81" s="1"/>
  <c r="J49" i="81"/>
  <c r="A69" i="81"/>
  <c r="M62" i="81"/>
  <c r="A70" i="81"/>
  <c r="C65" i="81"/>
  <c r="C64" i="81"/>
  <c r="C63" i="81"/>
  <c r="B48" i="81"/>
  <c r="B49" i="81" s="1"/>
  <c r="B50" i="81" s="1"/>
  <c r="B51" i="81" s="1"/>
  <c r="H37" i="81"/>
  <c r="H36" i="81"/>
  <c r="R32" i="81"/>
  <c r="P32" i="81"/>
  <c r="N32" i="81"/>
  <c r="L32" i="81"/>
  <c r="J32" i="81"/>
  <c r="H32" i="81"/>
  <c r="H31" i="81"/>
  <c r="H33" i="81" s="1"/>
  <c r="J29" i="81"/>
  <c r="L29" i="81"/>
  <c r="N29" i="81" s="1"/>
  <c r="P29" i="81" s="1"/>
  <c r="R29" i="81" s="1"/>
  <c r="H24" i="81"/>
  <c r="H23" i="81"/>
  <c r="R19" i="81"/>
  <c r="P19" i="81"/>
  <c r="N19" i="81"/>
  <c r="L19" i="81"/>
  <c r="J19" i="81"/>
  <c r="H19" i="81"/>
  <c r="H18" i="81"/>
  <c r="J16" i="81"/>
  <c r="L16" i="81"/>
  <c r="N16" i="81"/>
  <c r="P16" i="81"/>
  <c r="R16" i="81" s="1"/>
  <c r="J12" i="81"/>
  <c r="J11" i="81"/>
  <c r="J23" i="81"/>
  <c r="H8" i="81"/>
  <c r="H9" i="81"/>
  <c r="J6" i="81"/>
  <c r="L6" i="81"/>
  <c r="L8" i="81" s="1"/>
  <c r="J4" i="81"/>
  <c r="L4" i="81" s="1"/>
  <c r="N4" i="81" s="1"/>
  <c r="P4" i="81" s="1"/>
  <c r="R4" i="81" s="1"/>
  <c r="N36" i="87"/>
  <c r="H20" i="81"/>
  <c r="H21" i="81" s="1"/>
  <c r="H22" i="81" s="1"/>
  <c r="H25" i="81" s="1"/>
  <c r="H20" i="84"/>
  <c r="H21" i="84"/>
  <c r="P33" i="88"/>
  <c r="R31" i="88"/>
  <c r="N34" i="88"/>
  <c r="N35" i="88" s="1"/>
  <c r="N38" i="88" s="1"/>
  <c r="N21" i="88"/>
  <c r="N22" i="88"/>
  <c r="N25" i="88" s="1"/>
  <c r="R36" i="88"/>
  <c r="R23" i="88"/>
  <c r="R37" i="88"/>
  <c r="P8" i="87"/>
  <c r="R6" i="87"/>
  <c r="P36" i="87"/>
  <c r="R11" i="87"/>
  <c r="P23" i="87"/>
  <c r="N9" i="87"/>
  <c r="N10" i="87"/>
  <c r="N13" i="87"/>
  <c r="L20" i="87"/>
  <c r="N18" i="87"/>
  <c r="N37" i="87"/>
  <c r="J21" i="87"/>
  <c r="J22" i="87"/>
  <c r="J25" i="87" s="1"/>
  <c r="N24" i="86"/>
  <c r="P12" i="86"/>
  <c r="P37" i="86" s="1"/>
  <c r="J21" i="86"/>
  <c r="J22" i="86" s="1"/>
  <c r="J25" i="86" s="1"/>
  <c r="L20" i="86"/>
  <c r="N18" i="86"/>
  <c r="N11" i="85"/>
  <c r="L18" i="85"/>
  <c r="L37" i="85"/>
  <c r="L24" i="85"/>
  <c r="N12" i="85"/>
  <c r="N24" i="85" s="1"/>
  <c r="L6" i="84"/>
  <c r="J31" i="84"/>
  <c r="J33" i="84" s="1"/>
  <c r="J18" i="84"/>
  <c r="L11" i="84"/>
  <c r="H22" i="84"/>
  <c r="H25" i="84" s="1"/>
  <c r="H9" i="84"/>
  <c r="J23" i="84"/>
  <c r="L12" i="84"/>
  <c r="J24" i="84"/>
  <c r="N6" i="81"/>
  <c r="N8" i="81" s="1"/>
  <c r="J8" i="81"/>
  <c r="J9" i="81" s="1"/>
  <c r="J10" i="81" s="1"/>
  <c r="J13" i="81" s="1"/>
  <c r="H10" i="81"/>
  <c r="H13" i="81" s="1"/>
  <c r="J36" i="81"/>
  <c r="L11" i="81"/>
  <c r="J37" i="81"/>
  <c r="J24" i="81"/>
  <c r="L12" i="81"/>
  <c r="J18" i="81"/>
  <c r="J20" i="81" s="1"/>
  <c r="M67" i="76"/>
  <c r="N67" i="76" s="1"/>
  <c r="A70" i="80"/>
  <c r="A69" i="80"/>
  <c r="C65" i="80"/>
  <c r="C64" i="80"/>
  <c r="C63" i="80"/>
  <c r="B48" i="80"/>
  <c r="B49" i="80"/>
  <c r="B50" i="80" s="1"/>
  <c r="B51" i="80" s="1"/>
  <c r="H37" i="80"/>
  <c r="H36" i="80"/>
  <c r="R32" i="80"/>
  <c r="P32" i="80"/>
  <c r="N32" i="80"/>
  <c r="L32" i="80"/>
  <c r="J32" i="80"/>
  <c r="H32" i="80"/>
  <c r="H31" i="80"/>
  <c r="H33" i="80"/>
  <c r="H34" i="80" s="1"/>
  <c r="J29" i="80"/>
  <c r="L29" i="80"/>
  <c r="N29" i="80" s="1"/>
  <c r="P29" i="80" s="1"/>
  <c r="R29" i="80" s="1"/>
  <c r="H24" i="80"/>
  <c r="H23" i="80"/>
  <c r="R19" i="80"/>
  <c r="P19" i="80"/>
  <c r="N19" i="80"/>
  <c r="L19" i="80"/>
  <c r="J19" i="80"/>
  <c r="H19" i="80"/>
  <c r="H18" i="80"/>
  <c r="H20" i="80" s="1"/>
  <c r="J18" i="80"/>
  <c r="J20" i="80" s="1"/>
  <c r="J16" i="80"/>
  <c r="L16" i="80"/>
  <c r="N16" i="80"/>
  <c r="P16" i="80" s="1"/>
  <c r="R16" i="80" s="1"/>
  <c r="J12" i="80"/>
  <c r="J37" i="80"/>
  <c r="J11" i="80"/>
  <c r="L11" i="80" s="1"/>
  <c r="H8" i="80"/>
  <c r="H9" i="80"/>
  <c r="J6" i="80"/>
  <c r="J8" i="80" s="1"/>
  <c r="J4" i="80"/>
  <c r="L4" i="80"/>
  <c r="N4" i="80"/>
  <c r="P4" i="80" s="1"/>
  <c r="R4" i="80" s="1"/>
  <c r="P6" i="81"/>
  <c r="L6" i="80"/>
  <c r="L8" i="80" s="1"/>
  <c r="J31" i="80"/>
  <c r="L31" i="80"/>
  <c r="T31" i="88"/>
  <c r="R33" i="88"/>
  <c r="P34" i="88"/>
  <c r="P35" i="88"/>
  <c r="N20" i="87"/>
  <c r="P18" i="87"/>
  <c r="L21" i="87"/>
  <c r="L22" i="87"/>
  <c r="L25" i="87" s="1"/>
  <c r="R23" i="87"/>
  <c r="R36" i="87"/>
  <c r="T6" i="87"/>
  <c r="R8" i="87"/>
  <c r="P9" i="87"/>
  <c r="P10" i="87" s="1"/>
  <c r="P13" i="87" s="1"/>
  <c r="N20" i="86"/>
  <c r="P18" i="86"/>
  <c r="L21" i="86"/>
  <c r="L22" i="86"/>
  <c r="L25" i="86"/>
  <c r="R12" i="86"/>
  <c r="P24" i="86"/>
  <c r="N36" i="85"/>
  <c r="P11" i="85"/>
  <c r="R11" i="85" s="1"/>
  <c r="N23" i="85"/>
  <c r="N37" i="85"/>
  <c r="P12" i="85"/>
  <c r="L20" i="85"/>
  <c r="N18" i="85"/>
  <c r="P18" i="85" s="1"/>
  <c r="L31" i="84"/>
  <c r="N31" i="84"/>
  <c r="L18" i="84"/>
  <c r="J20" i="84"/>
  <c r="L8" i="84"/>
  <c r="L9" i="84"/>
  <c r="L10" i="84"/>
  <c r="L13" i="84"/>
  <c r="N6" i="84"/>
  <c r="L24" i="84"/>
  <c r="N12" i="84"/>
  <c r="L37" i="84"/>
  <c r="L23" i="84"/>
  <c r="L36" i="84"/>
  <c r="N11" i="84"/>
  <c r="J34" i="84"/>
  <c r="L24" i="81"/>
  <c r="N12" i="81"/>
  <c r="L37" i="81"/>
  <c r="L18" i="81"/>
  <c r="R6" i="81"/>
  <c r="P8" i="81"/>
  <c r="L36" i="81"/>
  <c r="N11" i="81"/>
  <c r="L23" i="81"/>
  <c r="H21" i="80"/>
  <c r="L9" i="80"/>
  <c r="L10" i="80" s="1"/>
  <c r="L13" i="80" s="1"/>
  <c r="L33" i="80"/>
  <c r="N31" i="80"/>
  <c r="L36" i="80"/>
  <c r="J23" i="80"/>
  <c r="H10" i="80"/>
  <c r="H13" i="80" s="1"/>
  <c r="J33" i="80"/>
  <c r="H35" i="80"/>
  <c r="H38" i="80" s="1"/>
  <c r="J36" i="80"/>
  <c r="L12" i="80"/>
  <c r="L24" i="80" s="1"/>
  <c r="J24" i="80"/>
  <c r="A70" i="79"/>
  <c r="A69" i="79"/>
  <c r="C65" i="79"/>
  <c r="C64" i="79"/>
  <c r="C63" i="79"/>
  <c r="B48" i="79"/>
  <c r="B49" i="79"/>
  <c r="B50" i="79" s="1"/>
  <c r="B51" i="79" s="1"/>
  <c r="H37" i="79"/>
  <c r="H36" i="79"/>
  <c r="R32" i="79"/>
  <c r="P32" i="79"/>
  <c r="N32" i="79"/>
  <c r="L32" i="79"/>
  <c r="J32" i="79"/>
  <c r="H32" i="79"/>
  <c r="H31" i="79"/>
  <c r="H33" i="79" s="1"/>
  <c r="J29" i="79"/>
  <c r="L29" i="79" s="1"/>
  <c r="N29" i="79" s="1"/>
  <c r="P29" i="79" s="1"/>
  <c r="R29" i="79" s="1"/>
  <c r="H24" i="79"/>
  <c r="H23" i="79"/>
  <c r="R19" i="79"/>
  <c r="P19" i="79"/>
  <c r="N19" i="79"/>
  <c r="L19" i="79"/>
  <c r="J19" i="79"/>
  <c r="H19" i="79"/>
  <c r="H18" i="79"/>
  <c r="J18" i="79"/>
  <c r="J16" i="79"/>
  <c r="L16" i="79" s="1"/>
  <c r="N16" i="79" s="1"/>
  <c r="P16" i="79" s="1"/>
  <c r="R16" i="79" s="1"/>
  <c r="J12" i="79"/>
  <c r="J37" i="79" s="1"/>
  <c r="J11" i="79"/>
  <c r="J23" i="79"/>
  <c r="H8" i="79"/>
  <c r="J6" i="79"/>
  <c r="J8" i="79"/>
  <c r="J9" i="79" s="1"/>
  <c r="J10" i="79" s="1"/>
  <c r="J13" i="79" s="1"/>
  <c r="J4" i="79"/>
  <c r="L4" i="79" s="1"/>
  <c r="N4" i="79"/>
  <c r="P4" i="79" s="1"/>
  <c r="R4" i="79" s="1"/>
  <c r="N6" i="80"/>
  <c r="L33" i="84"/>
  <c r="T33" i="88"/>
  <c r="R34" i="88"/>
  <c r="R9" i="87"/>
  <c r="R10" i="87"/>
  <c r="T8" i="87"/>
  <c r="N21" i="87"/>
  <c r="N22" i="87" s="1"/>
  <c r="P20" i="87"/>
  <c r="R18" i="87"/>
  <c r="N21" i="86"/>
  <c r="N22" i="86"/>
  <c r="P20" i="86"/>
  <c r="R18" i="86"/>
  <c r="R37" i="86"/>
  <c r="R24" i="86"/>
  <c r="N20" i="85"/>
  <c r="P36" i="85"/>
  <c r="P23" i="85"/>
  <c r="P24" i="85"/>
  <c r="R12" i="85"/>
  <c r="P37" i="85"/>
  <c r="L21" i="85"/>
  <c r="L22" i="85" s="1"/>
  <c r="P6" i="84"/>
  <c r="N8" i="84"/>
  <c r="N9" i="84"/>
  <c r="N10" i="84" s="1"/>
  <c r="N13" i="84" s="1"/>
  <c r="J21" i="84"/>
  <c r="J22" i="84"/>
  <c r="J25" i="84" s="1"/>
  <c r="L20" i="84"/>
  <c r="L21" i="84" s="1"/>
  <c r="L22" i="84"/>
  <c r="L25" i="84"/>
  <c r="N18" i="84"/>
  <c r="L34" i="84"/>
  <c r="L35" i="84" s="1"/>
  <c r="L38" i="84" s="1"/>
  <c r="N36" i="84"/>
  <c r="P11" i="84"/>
  <c r="N23" i="84"/>
  <c r="N37" i="84"/>
  <c r="N24" i="84"/>
  <c r="P12" i="84"/>
  <c r="N33" i="84"/>
  <c r="P31" i="84"/>
  <c r="T6" i="81"/>
  <c r="R8" i="81"/>
  <c r="L20" i="81"/>
  <c r="N18" i="81"/>
  <c r="N36" i="81"/>
  <c r="P11" i="81"/>
  <c r="N23" i="81"/>
  <c r="J21" i="81"/>
  <c r="J22" i="81" s="1"/>
  <c r="J25" i="81" s="1"/>
  <c r="N37" i="81"/>
  <c r="N24" i="81"/>
  <c r="P12" i="81"/>
  <c r="P9" i="81"/>
  <c r="P10" i="81"/>
  <c r="P13" i="81" s="1"/>
  <c r="N33" i="80"/>
  <c r="P31" i="80"/>
  <c r="N12" i="80"/>
  <c r="J34" i="80"/>
  <c r="J35" i="80"/>
  <c r="J38" i="80" s="1"/>
  <c r="L34" i="80"/>
  <c r="L35" i="80" s="1"/>
  <c r="L6" i="79"/>
  <c r="N6" i="79" s="1"/>
  <c r="L18" i="79"/>
  <c r="L20" i="79" s="1"/>
  <c r="L21" i="79" s="1"/>
  <c r="J20" i="79"/>
  <c r="J21" i="79" s="1"/>
  <c r="J22" i="79" s="1"/>
  <c r="J25" i="79" s="1"/>
  <c r="H20" i="79"/>
  <c r="H21" i="79" s="1"/>
  <c r="H22" i="79" s="1"/>
  <c r="H25" i="79" s="1"/>
  <c r="L11" i="79"/>
  <c r="J36" i="79"/>
  <c r="L12" i="79"/>
  <c r="J24" i="79"/>
  <c r="A70" i="78"/>
  <c r="A69" i="78"/>
  <c r="C65" i="78"/>
  <c r="C64" i="78"/>
  <c r="C63" i="78"/>
  <c r="B48" i="78"/>
  <c r="B49" i="78"/>
  <c r="B50" i="78" s="1"/>
  <c r="B51" i="78" s="1"/>
  <c r="H37" i="78"/>
  <c r="H36" i="78"/>
  <c r="R32" i="78"/>
  <c r="P32" i="78"/>
  <c r="N32" i="78"/>
  <c r="L32" i="78"/>
  <c r="J32" i="78"/>
  <c r="H32" i="78"/>
  <c r="H31" i="78"/>
  <c r="J31" i="78"/>
  <c r="J29" i="78"/>
  <c r="L29" i="78" s="1"/>
  <c r="N29" i="78" s="1"/>
  <c r="P29" i="78" s="1"/>
  <c r="R29" i="78" s="1"/>
  <c r="H24" i="78"/>
  <c r="H23" i="78"/>
  <c r="R19" i="78"/>
  <c r="P19" i="78"/>
  <c r="N19" i="78"/>
  <c r="L19" i="78"/>
  <c r="J19" i="78"/>
  <c r="H19" i="78"/>
  <c r="H18" i="78"/>
  <c r="J18" i="78"/>
  <c r="J16" i="78"/>
  <c r="L16" i="78" s="1"/>
  <c r="N16" i="78" s="1"/>
  <c r="P16" i="78" s="1"/>
  <c r="R16" i="78" s="1"/>
  <c r="J12" i="78"/>
  <c r="J37" i="78"/>
  <c r="J11" i="78"/>
  <c r="H8" i="78"/>
  <c r="J6" i="78"/>
  <c r="L6" i="78" s="1"/>
  <c r="J8" i="78"/>
  <c r="J9" i="78" s="1"/>
  <c r="J10" i="78" s="1"/>
  <c r="J13" i="78" s="1"/>
  <c r="J4" i="78"/>
  <c r="L4" i="78"/>
  <c r="N4" i="78"/>
  <c r="P4" i="78" s="1"/>
  <c r="R4" i="78" s="1"/>
  <c r="A70" i="77"/>
  <c r="A69" i="77"/>
  <c r="C65" i="77"/>
  <c r="C64" i="77"/>
  <c r="C63" i="77"/>
  <c r="B48" i="77"/>
  <c r="B49" i="77" s="1"/>
  <c r="B50" i="77" s="1"/>
  <c r="B51" i="77" s="1"/>
  <c r="H37" i="77"/>
  <c r="H36" i="77"/>
  <c r="R32" i="77"/>
  <c r="P32" i="77"/>
  <c r="N32" i="77"/>
  <c r="L32" i="77"/>
  <c r="J32" i="77"/>
  <c r="H32" i="77"/>
  <c r="H31" i="77"/>
  <c r="J31" i="77" s="1"/>
  <c r="J29" i="77"/>
  <c r="L29" i="77"/>
  <c r="N29" i="77" s="1"/>
  <c r="P29" i="77" s="1"/>
  <c r="R29" i="77" s="1"/>
  <c r="H24" i="77"/>
  <c r="H23" i="77"/>
  <c r="R19" i="77"/>
  <c r="P19" i="77"/>
  <c r="N19" i="77"/>
  <c r="L19" i="77"/>
  <c r="J19" i="77"/>
  <c r="H19" i="77"/>
  <c r="H18" i="77"/>
  <c r="J16" i="77"/>
  <c r="L16" i="77"/>
  <c r="N16" i="77"/>
  <c r="P16" i="77"/>
  <c r="R16" i="77" s="1"/>
  <c r="J12" i="77"/>
  <c r="J37" i="77"/>
  <c r="J11" i="77"/>
  <c r="J36" i="77" s="1"/>
  <c r="J6" i="77"/>
  <c r="L6" i="77" s="1"/>
  <c r="L8" i="77" s="1"/>
  <c r="J8" i="77"/>
  <c r="J9" i="77" s="1"/>
  <c r="H8" i="77"/>
  <c r="J4" i="77"/>
  <c r="L4" i="77"/>
  <c r="N4" i="77" s="1"/>
  <c r="P4" i="77" s="1"/>
  <c r="R4" i="77" s="1"/>
  <c r="H20" i="77"/>
  <c r="N8" i="80"/>
  <c r="N9" i="80" s="1"/>
  <c r="N10" i="80" s="1"/>
  <c r="P6" i="80"/>
  <c r="T10" i="87"/>
  <c r="P21" i="87"/>
  <c r="P22" i="87"/>
  <c r="R20" i="87"/>
  <c r="T18" i="87"/>
  <c r="T18" i="86"/>
  <c r="R20" i="86"/>
  <c r="P21" i="86"/>
  <c r="P22" i="86"/>
  <c r="P20" i="85"/>
  <c r="R18" i="85"/>
  <c r="R20" i="85" s="1"/>
  <c r="R37" i="85"/>
  <c r="R24" i="85"/>
  <c r="N21" i="85"/>
  <c r="N22" i="85"/>
  <c r="N25" i="85" s="1"/>
  <c r="N20" i="84"/>
  <c r="N21" i="84" s="1"/>
  <c r="N22" i="84" s="1"/>
  <c r="N25" i="84" s="1"/>
  <c r="P18" i="84"/>
  <c r="R6" i="84"/>
  <c r="P8" i="84"/>
  <c r="P23" i="84"/>
  <c r="P36" i="84"/>
  <c r="R11" i="84"/>
  <c r="P24" i="84"/>
  <c r="R12" i="84"/>
  <c r="R37" i="84" s="1"/>
  <c r="R38" i="84" s="1"/>
  <c r="P37" i="84"/>
  <c r="P33" i="84"/>
  <c r="R31" i="84"/>
  <c r="N34" i="84"/>
  <c r="N35" i="84" s="1"/>
  <c r="N38" i="84" s="1"/>
  <c r="P37" i="81"/>
  <c r="P24" i="81"/>
  <c r="R12" i="81"/>
  <c r="L21" i="81"/>
  <c r="L22" i="81" s="1"/>
  <c r="L25" i="81" s="1"/>
  <c r="N20" i="81"/>
  <c r="P18" i="81"/>
  <c r="P23" i="81"/>
  <c r="R11" i="81"/>
  <c r="P36" i="81"/>
  <c r="T8" i="81"/>
  <c r="R9" i="81"/>
  <c r="R10" i="81"/>
  <c r="P33" i="80"/>
  <c r="R31" i="80"/>
  <c r="N34" i="80"/>
  <c r="N35" i="80"/>
  <c r="N37" i="80"/>
  <c r="P12" i="80"/>
  <c r="N24" i="80"/>
  <c r="L18" i="78"/>
  <c r="L20" i="78"/>
  <c r="J20" i="78"/>
  <c r="J21" i="78" s="1"/>
  <c r="H33" i="78"/>
  <c r="H35" i="78" s="1"/>
  <c r="H38" i="78" s="1"/>
  <c r="H34" i="78"/>
  <c r="H20" i="78"/>
  <c r="N18" i="79"/>
  <c r="N20" i="79"/>
  <c r="L24" i="79"/>
  <c r="N12" i="79"/>
  <c r="L37" i="79"/>
  <c r="J22" i="78"/>
  <c r="J25" i="78" s="1"/>
  <c r="J36" i="78"/>
  <c r="L11" i="78"/>
  <c r="J23" i="78"/>
  <c r="L12" i="78"/>
  <c r="J24" i="78"/>
  <c r="N6" i="77"/>
  <c r="L12" i="77"/>
  <c r="J24" i="77"/>
  <c r="J18" i="77"/>
  <c r="J20" i="77" s="1"/>
  <c r="A70" i="76"/>
  <c r="A69" i="76"/>
  <c r="C65" i="76"/>
  <c r="C64" i="76"/>
  <c r="C63" i="76"/>
  <c r="B48" i="76"/>
  <c r="B49" i="76"/>
  <c r="B50" i="76"/>
  <c r="B51" i="76" s="1"/>
  <c r="H37" i="76"/>
  <c r="H36" i="76"/>
  <c r="R32" i="76"/>
  <c r="P32" i="76"/>
  <c r="N32" i="76"/>
  <c r="L32" i="76"/>
  <c r="J32" i="76"/>
  <c r="H32" i="76"/>
  <c r="H31" i="76"/>
  <c r="J29" i="76"/>
  <c r="L29" i="76"/>
  <c r="N29" i="76" s="1"/>
  <c r="P29" i="76" s="1"/>
  <c r="R29" i="76" s="1"/>
  <c r="H24" i="76"/>
  <c r="H23" i="76"/>
  <c r="R19" i="76"/>
  <c r="P19" i="76"/>
  <c r="N19" i="76"/>
  <c r="L19" i="76"/>
  <c r="J19" i="76"/>
  <c r="H19" i="76"/>
  <c r="H18" i="76"/>
  <c r="J18" i="76" s="1"/>
  <c r="J16" i="76"/>
  <c r="L16" i="76"/>
  <c r="N16" i="76" s="1"/>
  <c r="P16" i="76" s="1"/>
  <c r="R16" i="76" s="1"/>
  <c r="J12" i="76"/>
  <c r="J24" i="76" s="1"/>
  <c r="J11" i="76"/>
  <c r="J23" i="76" s="1"/>
  <c r="J6" i="76"/>
  <c r="H8" i="76"/>
  <c r="J4" i="76"/>
  <c r="L4" i="76" s="1"/>
  <c r="N4" i="76"/>
  <c r="P4" i="76" s="1"/>
  <c r="R4" i="76" s="1"/>
  <c r="N18" i="78"/>
  <c r="P18" i="79"/>
  <c r="R18" i="79" s="1"/>
  <c r="R20" i="79" s="1"/>
  <c r="P8" i="80"/>
  <c r="R6" i="80"/>
  <c r="H33" i="76"/>
  <c r="H34" i="76" s="1"/>
  <c r="R21" i="87"/>
  <c r="R22" i="87" s="1"/>
  <c r="T20" i="87"/>
  <c r="R21" i="86"/>
  <c r="R22" i="86"/>
  <c r="T22" i="86" s="1"/>
  <c r="T20" i="86"/>
  <c r="P21" i="85"/>
  <c r="P22" i="85"/>
  <c r="P25" i="85"/>
  <c r="T18" i="85"/>
  <c r="P9" i="84"/>
  <c r="P10" i="84" s="1"/>
  <c r="P13" i="84" s="1"/>
  <c r="R8" i="84"/>
  <c r="T6" i="84"/>
  <c r="R18" i="84"/>
  <c r="P20" i="84"/>
  <c r="P21" i="84"/>
  <c r="P22" i="84"/>
  <c r="P25" i="84" s="1"/>
  <c r="R33" i="84"/>
  <c r="T31" i="84"/>
  <c r="P34" i="84"/>
  <c r="P35" i="84" s="1"/>
  <c r="P38" i="84" s="1"/>
  <c r="R36" i="84"/>
  <c r="R23" i="84"/>
  <c r="N21" i="81"/>
  <c r="N22" i="81" s="1"/>
  <c r="N25" i="81"/>
  <c r="R23" i="81"/>
  <c r="R36" i="81"/>
  <c r="R37" i="81"/>
  <c r="R24" i="81"/>
  <c r="R13" i="81"/>
  <c r="T10" i="81"/>
  <c r="P24" i="80"/>
  <c r="R12" i="80"/>
  <c r="P37" i="80"/>
  <c r="R33" i="80"/>
  <c r="T31" i="80"/>
  <c r="P34" i="80"/>
  <c r="P35" i="80"/>
  <c r="H21" i="78"/>
  <c r="H22" i="78"/>
  <c r="H25" i="78" s="1"/>
  <c r="N24" i="79"/>
  <c r="P12" i="79"/>
  <c r="N37" i="79"/>
  <c r="N21" i="79"/>
  <c r="N22" i="79" s="1"/>
  <c r="L24" i="78"/>
  <c r="N12" i="78"/>
  <c r="L37" i="78"/>
  <c r="L21" i="78"/>
  <c r="L22" i="78" s="1"/>
  <c r="N20" i="78"/>
  <c r="P18" i="78"/>
  <c r="L9" i="77"/>
  <c r="L18" i="77"/>
  <c r="N18" i="77" s="1"/>
  <c r="N20" i="77" s="1"/>
  <c r="N21" i="77" s="1"/>
  <c r="L24" i="77"/>
  <c r="N12" i="77"/>
  <c r="L37" i="77"/>
  <c r="J36" i="76"/>
  <c r="L11" i="76"/>
  <c r="H9" i="76"/>
  <c r="H10" i="76"/>
  <c r="H13" i="76"/>
  <c r="J31" i="76"/>
  <c r="A70" i="75"/>
  <c r="A69" i="75"/>
  <c r="C65" i="75"/>
  <c r="C64" i="75"/>
  <c r="C63" i="75"/>
  <c r="B48" i="75"/>
  <c r="B49" i="75"/>
  <c r="B50" i="75" s="1"/>
  <c r="B51" i="75"/>
  <c r="H37" i="75"/>
  <c r="H36" i="75"/>
  <c r="R32" i="75"/>
  <c r="P32" i="75"/>
  <c r="N32" i="75"/>
  <c r="L32" i="75"/>
  <c r="J32" i="75"/>
  <c r="H32" i="75"/>
  <c r="H33" i="75" s="1"/>
  <c r="H31" i="75"/>
  <c r="J31" i="75" s="1"/>
  <c r="J29" i="75"/>
  <c r="L29" i="75"/>
  <c r="N29" i="75" s="1"/>
  <c r="P29" i="75" s="1"/>
  <c r="R29" i="75" s="1"/>
  <c r="H24" i="75"/>
  <c r="H23" i="75"/>
  <c r="R19" i="75"/>
  <c r="P19" i="75"/>
  <c r="N19" i="75"/>
  <c r="L19" i="75"/>
  <c r="J19" i="75"/>
  <c r="H19" i="75"/>
  <c r="H18" i="75"/>
  <c r="H20" i="75" s="1"/>
  <c r="J16" i="75"/>
  <c r="L16" i="75" s="1"/>
  <c r="N16" i="75" s="1"/>
  <c r="P16" i="75" s="1"/>
  <c r="R16" i="75" s="1"/>
  <c r="J12" i="75"/>
  <c r="J37" i="75" s="1"/>
  <c r="J11" i="75"/>
  <c r="L11" i="75" s="1"/>
  <c r="L23" i="75" s="1"/>
  <c r="H8" i="75"/>
  <c r="J6" i="75"/>
  <c r="L6" i="75"/>
  <c r="L8" i="75"/>
  <c r="L10" i="75" s="1"/>
  <c r="L13" i="75" s="1"/>
  <c r="J4" i="75"/>
  <c r="L4" i="75"/>
  <c r="N4" i="75" s="1"/>
  <c r="P4" i="75" s="1"/>
  <c r="R4" i="75" s="1"/>
  <c r="A70" i="74"/>
  <c r="A69" i="74"/>
  <c r="C65" i="74"/>
  <c r="C64" i="74"/>
  <c r="C63" i="74"/>
  <c r="B48" i="74"/>
  <c r="B49" i="74"/>
  <c r="B50" i="74" s="1"/>
  <c r="B51" i="74" s="1"/>
  <c r="H37" i="74"/>
  <c r="H36" i="74"/>
  <c r="R32" i="74"/>
  <c r="P32" i="74"/>
  <c r="N32" i="74"/>
  <c r="L32" i="74"/>
  <c r="J32" i="74"/>
  <c r="H32" i="74"/>
  <c r="H31" i="74"/>
  <c r="J31" i="74"/>
  <c r="J29" i="74"/>
  <c r="L29" i="74"/>
  <c r="N29" i="74" s="1"/>
  <c r="P29" i="74" s="1"/>
  <c r="R29" i="74" s="1"/>
  <c r="H24" i="74"/>
  <c r="H23" i="74"/>
  <c r="R19" i="74"/>
  <c r="P19" i="74"/>
  <c r="N19" i="74"/>
  <c r="L19" i="74"/>
  <c r="J19" i="74"/>
  <c r="H19" i="74"/>
  <c r="H18" i="74"/>
  <c r="J16" i="74"/>
  <c r="L16" i="74"/>
  <c r="N16" i="74" s="1"/>
  <c r="P16" i="74" s="1"/>
  <c r="R16" i="74" s="1"/>
  <c r="J12" i="74"/>
  <c r="J11" i="74"/>
  <c r="J23" i="74"/>
  <c r="H8" i="74"/>
  <c r="H9" i="74" s="1"/>
  <c r="H10" i="74" s="1"/>
  <c r="H13" i="74" s="1"/>
  <c r="J6" i="74"/>
  <c r="L6" i="74"/>
  <c r="L8" i="74" s="1"/>
  <c r="J4" i="74"/>
  <c r="L4" i="74" s="1"/>
  <c r="N4" i="74" s="1"/>
  <c r="P4" i="74" s="1"/>
  <c r="R4" i="74" s="1"/>
  <c r="T6" i="80"/>
  <c r="R8" i="80"/>
  <c r="P9" i="80"/>
  <c r="P10" i="80"/>
  <c r="H20" i="74"/>
  <c r="J8" i="74"/>
  <c r="J9" i="74"/>
  <c r="R9" i="84"/>
  <c r="R10" i="84"/>
  <c r="T8" i="84"/>
  <c r="T18" i="84"/>
  <c r="R20" i="84"/>
  <c r="R34" i="84"/>
  <c r="R35" i="84"/>
  <c r="T33" i="84"/>
  <c r="T13" i="81"/>
  <c r="T33" i="80"/>
  <c r="R34" i="80"/>
  <c r="R35" i="80" s="1"/>
  <c r="R37" i="80"/>
  <c r="R24" i="80"/>
  <c r="H33" i="74"/>
  <c r="J8" i="75"/>
  <c r="P37" i="79"/>
  <c r="P24" i="79"/>
  <c r="R12" i="79"/>
  <c r="R37" i="79" s="1"/>
  <c r="T18" i="79"/>
  <c r="N21" i="78"/>
  <c r="N22" i="78" s="1"/>
  <c r="P20" i="78"/>
  <c r="R18" i="78"/>
  <c r="R20" i="78" s="1"/>
  <c r="N37" i="78"/>
  <c r="N24" i="78"/>
  <c r="P12" i="78"/>
  <c r="P37" i="78" s="1"/>
  <c r="L20" i="77"/>
  <c r="N37" i="77"/>
  <c r="N24" i="77"/>
  <c r="P12" i="77"/>
  <c r="L36" i="76"/>
  <c r="N11" i="76"/>
  <c r="N36" i="76" s="1"/>
  <c r="L23" i="76"/>
  <c r="J33" i="76"/>
  <c r="J34" i="76" s="1"/>
  <c r="L31" i="76"/>
  <c r="J36" i="75"/>
  <c r="J23" i="75"/>
  <c r="N6" i="75"/>
  <c r="P6" i="75" s="1"/>
  <c r="P8" i="75" s="1"/>
  <c r="P9" i="75" s="1"/>
  <c r="L9" i="75"/>
  <c r="H9" i="75"/>
  <c r="H10" i="75" s="1"/>
  <c r="H13" i="75" s="1"/>
  <c r="J24" i="75"/>
  <c r="L12" i="75"/>
  <c r="N12" i="75" s="1"/>
  <c r="J18" i="75"/>
  <c r="L18" i="75" s="1"/>
  <c r="L20" i="75" s="1"/>
  <c r="J36" i="74"/>
  <c r="L11" i="74"/>
  <c r="J33" i="74"/>
  <c r="L31" i="74"/>
  <c r="H34" i="74"/>
  <c r="H35" i="74"/>
  <c r="H38" i="74" s="1"/>
  <c r="N6" i="74"/>
  <c r="N8" i="74" s="1"/>
  <c r="L12" i="74"/>
  <c r="J18" i="74"/>
  <c r="H23" i="73"/>
  <c r="J49" i="73"/>
  <c r="A69" i="73" s="1"/>
  <c r="A70" i="73"/>
  <c r="C65" i="73"/>
  <c r="C64" i="73"/>
  <c r="C63" i="73"/>
  <c r="B48" i="73"/>
  <c r="B49" i="73" s="1"/>
  <c r="B50" i="73" s="1"/>
  <c r="B51" i="73" s="1"/>
  <c r="H37" i="73"/>
  <c r="H36" i="73"/>
  <c r="R32" i="73"/>
  <c r="P32" i="73"/>
  <c r="N32" i="73"/>
  <c r="L32" i="73"/>
  <c r="J32" i="73"/>
  <c r="H32" i="73"/>
  <c r="H31" i="73"/>
  <c r="J29" i="73"/>
  <c r="L29" i="73"/>
  <c r="N29" i="73" s="1"/>
  <c r="P29" i="73" s="1"/>
  <c r="R29" i="73" s="1"/>
  <c r="H24" i="73"/>
  <c r="R19" i="73"/>
  <c r="P19" i="73"/>
  <c r="N19" i="73"/>
  <c r="L19" i="73"/>
  <c r="J19" i="73"/>
  <c r="H19" i="73"/>
  <c r="H20" i="73" s="1"/>
  <c r="H18" i="73"/>
  <c r="J16" i="73"/>
  <c r="L16" i="73" s="1"/>
  <c r="N16" i="73"/>
  <c r="P16" i="73" s="1"/>
  <c r="R16" i="73"/>
  <c r="J12" i="73"/>
  <c r="J11" i="73"/>
  <c r="H8" i="73"/>
  <c r="H9" i="73" s="1"/>
  <c r="H10" i="73" s="1"/>
  <c r="H13" i="73" s="1"/>
  <c r="J6" i="73"/>
  <c r="L6" i="73" s="1"/>
  <c r="L8" i="73" s="1"/>
  <c r="L9" i="73" s="1"/>
  <c r="J4" i="73"/>
  <c r="L4" i="73"/>
  <c r="N4" i="73" s="1"/>
  <c r="P4" i="73" s="1"/>
  <c r="R4" i="73" s="1"/>
  <c r="J10" i="74"/>
  <c r="J13" i="74" s="1"/>
  <c r="H33" i="73"/>
  <c r="H34" i="73" s="1"/>
  <c r="T8" i="80"/>
  <c r="R9" i="80"/>
  <c r="R10" i="80"/>
  <c r="T20" i="84"/>
  <c r="R21" i="84"/>
  <c r="R22" i="84" s="1"/>
  <c r="R13" i="84"/>
  <c r="T35" i="80"/>
  <c r="J9" i="75"/>
  <c r="J10" i="75" s="1"/>
  <c r="J13" i="75"/>
  <c r="R24" i="79"/>
  <c r="P24" i="78"/>
  <c r="R12" i="78"/>
  <c r="R24" i="78" s="1"/>
  <c r="T18" i="78"/>
  <c r="P21" i="78"/>
  <c r="P22" i="78" s="1"/>
  <c r="P18" i="77"/>
  <c r="L21" i="77"/>
  <c r="P37" i="77"/>
  <c r="J35" i="76"/>
  <c r="N23" i="76"/>
  <c r="P11" i="76"/>
  <c r="P36" i="76" s="1"/>
  <c r="L33" i="76"/>
  <c r="N31" i="76"/>
  <c r="P31" i="76" s="1"/>
  <c r="L24" i="75"/>
  <c r="L37" i="75"/>
  <c r="N11" i="75"/>
  <c r="N36" i="75" s="1"/>
  <c r="L36" i="75"/>
  <c r="N8" i="75"/>
  <c r="N9" i="75" s="1"/>
  <c r="J34" i="74"/>
  <c r="J35" i="74"/>
  <c r="L18" i="74"/>
  <c r="N12" i="74"/>
  <c r="N37" i="74" s="1"/>
  <c r="L23" i="74"/>
  <c r="L36" i="74"/>
  <c r="N11" i="74"/>
  <c r="N23" i="74" s="1"/>
  <c r="P6" i="74"/>
  <c r="P8" i="74" s="1"/>
  <c r="N31" i="74"/>
  <c r="N33" i="74" s="1"/>
  <c r="J37" i="73"/>
  <c r="L12" i="73"/>
  <c r="J24" i="73"/>
  <c r="H35" i="73"/>
  <c r="H38" i="73" s="1"/>
  <c r="J18" i="73"/>
  <c r="J31" i="73"/>
  <c r="T22" i="84"/>
  <c r="R37" i="78"/>
  <c r="R21" i="78"/>
  <c r="R22" i="78"/>
  <c r="T20" i="78"/>
  <c r="N22" i="77"/>
  <c r="R11" i="76"/>
  <c r="P23" i="76"/>
  <c r="R6" i="75"/>
  <c r="N37" i="75"/>
  <c r="N24" i="75"/>
  <c r="P12" i="75"/>
  <c r="P24" i="75" s="1"/>
  <c r="N10" i="75"/>
  <c r="N13" i="75" s="1"/>
  <c r="N23" i="75"/>
  <c r="N18" i="75"/>
  <c r="N20" i="75" s="1"/>
  <c r="P31" i="74"/>
  <c r="P33" i="74" s="1"/>
  <c r="N36" i="74"/>
  <c r="P11" i="74"/>
  <c r="P23" i="74" s="1"/>
  <c r="N24" i="74"/>
  <c r="P12" i="74"/>
  <c r="P37" i="74" s="1"/>
  <c r="R6" i="74"/>
  <c r="T6" i="74" s="1"/>
  <c r="L20" i="74"/>
  <c r="L22" i="74" s="1"/>
  <c r="N18" i="74"/>
  <c r="N20" i="74" s="1"/>
  <c r="N9" i="74"/>
  <c r="L37" i="73"/>
  <c r="N12" i="73"/>
  <c r="P12" i="73" s="1"/>
  <c r="L24" i="73"/>
  <c r="J20" i="73"/>
  <c r="L18" i="73"/>
  <c r="M73" i="48"/>
  <c r="T22" i="78"/>
  <c r="L21" i="75"/>
  <c r="L22" i="75"/>
  <c r="L25" i="75" s="1"/>
  <c r="T6" i="75"/>
  <c r="R8" i="75"/>
  <c r="T8" i="75" s="1"/>
  <c r="P37" i="75"/>
  <c r="R12" i="75"/>
  <c r="P18" i="75"/>
  <c r="P10" i="75"/>
  <c r="P9" i="74"/>
  <c r="P24" i="74"/>
  <c r="R12" i="74"/>
  <c r="R37" i="74" s="1"/>
  <c r="P36" i="74"/>
  <c r="R11" i="74"/>
  <c r="R23" i="74" s="1"/>
  <c r="R31" i="74"/>
  <c r="R33" i="74" s="1"/>
  <c r="L21" i="74"/>
  <c r="N34" i="74"/>
  <c r="N35" i="74" s="1"/>
  <c r="N24" i="73"/>
  <c r="N37" i="73"/>
  <c r="J21" i="73"/>
  <c r="J22" i="73" s="1"/>
  <c r="R37" i="75"/>
  <c r="R24" i="75"/>
  <c r="T31" i="74"/>
  <c r="P34" i="74"/>
  <c r="P35" i="74"/>
  <c r="P38" i="74" s="1"/>
  <c r="R36" i="74"/>
  <c r="R24" i="74"/>
  <c r="P24" i="73"/>
  <c r="H77" i="72"/>
  <c r="J77" i="72"/>
  <c r="J48" i="72"/>
  <c r="A70" i="72"/>
  <c r="A69" i="72"/>
  <c r="C65" i="72"/>
  <c r="C64" i="72"/>
  <c r="C63" i="72"/>
  <c r="B48" i="72"/>
  <c r="B49" i="72"/>
  <c r="B50" i="72"/>
  <c r="B51" i="72"/>
  <c r="H37" i="72"/>
  <c r="H36" i="72"/>
  <c r="R32" i="72"/>
  <c r="P32" i="72"/>
  <c r="N32" i="72"/>
  <c r="L32" i="72"/>
  <c r="J32" i="72"/>
  <c r="H32" i="72"/>
  <c r="H31" i="72"/>
  <c r="J31" i="72" s="1"/>
  <c r="J29" i="72"/>
  <c r="L29" i="72" s="1"/>
  <c r="N29" i="72" s="1"/>
  <c r="P29" i="72" s="1"/>
  <c r="R29" i="72" s="1"/>
  <c r="H24" i="72"/>
  <c r="H23" i="72"/>
  <c r="R19" i="72"/>
  <c r="P19" i="72"/>
  <c r="N19" i="72"/>
  <c r="L19" i="72"/>
  <c r="J19" i="72"/>
  <c r="H19" i="72"/>
  <c r="H18" i="72"/>
  <c r="J18" i="72" s="1"/>
  <c r="L18" i="72" s="1"/>
  <c r="L20" i="72" s="1"/>
  <c r="L22" i="72" s="1"/>
  <c r="J16" i="72"/>
  <c r="L16" i="72" s="1"/>
  <c r="N16" i="72"/>
  <c r="P16" i="72" s="1"/>
  <c r="R16" i="72" s="1"/>
  <c r="J12" i="72"/>
  <c r="J37" i="72"/>
  <c r="J11" i="72"/>
  <c r="H8" i="72"/>
  <c r="H9" i="72" s="1"/>
  <c r="J6" i="72"/>
  <c r="L6" i="72"/>
  <c r="J4" i="72"/>
  <c r="L4" i="72"/>
  <c r="N4" i="72"/>
  <c r="P4" i="72"/>
  <c r="R4" i="72" s="1"/>
  <c r="A70" i="70"/>
  <c r="A69" i="70"/>
  <c r="C65" i="70"/>
  <c r="C64" i="70"/>
  <c r="C63" i="70"/>
  <c r="B48" i="70"/>
  <c r="B49" i="70"/>
  <c r="B50" i="70" s="1"/>
  <c r="B51" i="70" s="1"/>
  <c r="H37" i="70"/>
  <c r="H36" i="70"/>
  <c r="R32" i="70"/>
  <c r="P32" i="70"/>
  <c r="N32" i="70"/>
  <c r="L32" i="70"/>
  <c r="J32" i="70"/>
  <c r="H32" i="70"/>
  <c r="H31" i="70"/>
  <c r="J29" i="70"/>
  <c r="L29" i="70" s="1"/>
  <c r="N29" i="70" s="1"/>
  <c r="P29" i="70"/>
  <c r="R29" i="70" s="1"/>
  <c r="H24" i="70"/>
  <c r="H23" i="70"/>
  <c r="R19" i="70"/>
  <c r="P19" i="70"/>
  <c r="N19" i="70"/>
  <c r="L19" i="70"/>
  <c r="J19" i="70"/>
  <c r="J20" i="70" s="1"/>
  <c r="H19" i="70"/>
  <c r="H18" i="70"/>
  <c r="J16" i="70"/>
  <c r="L16" i="70"/>
  <c r="N16" i="70"/>
  <c r="P16" i="70" s="1"/>
  <c r="R16" i="70" s="1"/>
  <c r="J12" i="70"/>
  <c r="J11" i="70"/>
  <c r="L11" i="70" s="1"/>
  <c r="H8" i="70"/>
  <c r="H9" i="70"/>
  <c r="H10" i="70"/>
  <c r="H13" i="70" s="1"/>
  <c r="J6" i="70"/>
  <c r="J8" i="70" s="1"/>
  <c r="L6" i="70"/>
  <c r="J4" i="70"/>
  <c r="L4" i="70"/>
  <c r="N4" i="70"/>
  <c r="P4" i="70"/>
  <c r="R4" i="70" s="1"/>
  <c r="H20" i="70"/>
  <c r="H20" i="72"/>
  <c r="H33" i="72"/>
  <c r="H34" i="72" s="1"/>
  <c r="J8" i="72"/>
  <c r="J9" i="72"/>
  <c r="J36" i="72"/>
  <c r="H10" i="72"/>
  <c r="H13" i="72" s="1"/>
  <c r="L12" i="72"/>
  <c r="J24" i="72"/>
  <c r="L36" i="70"/>
  <c r="J23" i="70"/>
  <c r="J36" i="70"/>
  <c r="J37" i="70"/>
  <c r="J18" i="70"/>
  <c r="J10" i="72"/>
  <c r="J13" i="72"/>
  <c r="H35" i="72"/>
  <c r="H38" i="72" s="1"/>
  <c r="J20" i="72"/>
  <c r="L37" i="72"/>
  <c r="L24" i="72"/>
  <c r="N12" i="72"/>
  <c r="L18" i="70"/>
  <c r="J21" i="72"/>
  <c r="L21" i="72"/>
  <c r="N18" i="72"/>
  <c r="N37" i="72"/>
  <c r="N24" i="72"/>
  <c r="P12" i="72"/>
  <c r="L20" i="70"/>
  <c r="L21" i="70" s="1"/>
  <c r="N18" i="70"/>
  <c r="J21" i="70"/>
  <c r="J22" i="70" s="1"/>
  <c r="P18" i="72"/>
  <c r="P20" i="72" s="1"/>
  <c r="N20" i="72"/>
  <c r="P37" i="72"/>
  <c r="N20" i="70"/>
  <c r="N21" i="70" s="1"/>
  <c r="P18" i="70"/>
  <c r="P21" i="72"/>
  <c r="P22" i="72" s="1"/>
  <c r="R18" i="72"/>
  <c r="T18" i="72" s="1"/>
  <c r="P20" i="70"/>
  <c r="R18" i="70"/>
  <c r="T18" i="70" s="1"/>
  <c r="P21" i="70"/>
  <c r="P22" i="70"/>
  <c r="J55" i="64"/>
  <c r="A70" i="64"/>
  <c r="A69" i="64"/>
  <c r="C65" i="64"/>
  <c r="C64" i="64"/>
  <c r="C63" i="64"/>
  <c r="B48" i="64"/>
  <c r="B49" i="64" s="1"/>
  <c r="B50" i="64" s="1"/>
  <c r="B51" i="64" s="1"/>
  <c r="H37" i="64"/>
  <c r="H36" i="64"/>
  <c r="R32" i="64"/>
  <c r="P32" i="64"/>
  <c r="N32" i="64"/>
  <c r="L32" i="64"/>
  <c r="J32" i="64"/>
  <c r="H32" i="64"/>
  <c r="H31" i="64"/>
  <c r="H33" i="64" s="1"/>
  <c r="J31" i="64"/>
  <c r="J33" i="64" s="1"/>
  <c r="J29" i="64"/>
  <c r="L29" i="64" s="1"/>
  <c r="N29" i="64" s="1"/>
  <c r="P29" i="64" s="1"/>
  <c r="R29" i="64" s="1"/>
  <c r="H24" i="64"/>
  <c r="H23" i="64"/>
  <c r="R19" i="64"/>
  <c r="P19" i="64"/>
  <c r="N19" i="64"/>
  <c r="L19" i="64"/>
  <c r="J19" i="64"/>
  <c r="H19" i="64"/>
  <c r="H18" i="64"/>
  <c r="H20" i="64" s="1"/>
  <c r="J16" i="64"/>
  <c r="L16" i="64" s="1"/>
  <c r="N16" i="64" s="1"/>
  <c r="P16" i="64" s="1"/>
  <c r="R16" i="64" s="1"/>
  <c r="J12" i="64"/>
  <c r="J24" i="64" s="1"/>
  <c r="J11" i="64"/>
  <c r="L11" i="64" s="1"/>
  <c r="J36" i="64"/>
  <c r="H8" i="64"/>
  <c r="H9" i="64" s="1"/>
  <c r="J6" i="64"/>
  <c r="L6" i="64" s="1"/>
  <c r="J4" i="64"/>
  <c r="L4" i="64" s="1"/>
  <c r="N4" i="64" s="1"/>
  <c r="P4" i="64" s="1"/>
  <c r="R4" i="64" s="1"/>
  <c r="J8" i="64"/>
  <c r="J9" i="64" s="1"/>
  <c r="J10" i="64" s="1"/>
  <c r="J13" i="64" s="1"/>
  <c r="J37" i="64"/>
  <c r="H10" i="64"/>
  <c r="H13" i="64" s="1"/>
  <c r="J18" i="64"/>
  <c r="J20" i="64" s="1"/>
  <c r="L18" i="64"/>
  <c r="A69" i="48"/>
  <c r="M64" i="48"/>
  <c r="M65" i="48" s="1"/>
  <c r="A70" i="50"/>
  <c r="A69" i="50"/>
  <c r="C65" i="50"/>
  <c r="C64" i="50"/>
  <c r="C63" i="50"/>
  <c r="B48" i="50"/>
  <c r="B49" i="50"/>
  <c r="B50" i="50" s="1"/>
  <c r="B51" i="50" s="1"/>
  <c r="H37" i="50"/>
  <c r="H36" i="50"/>
  <c r="R32" i="50"/>
  <c r="P32" i="50"/>
  <c r="N32" i="50"/>
  <c r="L32" i="50"/>
  <c r="J32" i="50"/>
  <c r="H32" i="50"/>
  <c r="H31" i="50"/>
  <c r="H33" i="50" s="1"/>
  <c r="J29" i="50"/>
  <c r="L29" i="50"/>
  <c r="N29" i="50" s="1"/>
  <c r="P29" i="50" s="1"/>
  <c r="R29" i="50"/>
  <c r="H24" i="50"/>
  <c r="H23" i="50"/>
  <c r="R19" i="50"/>
  <c r="P19" i="50"/>
  <c r="N19" i="50"/>
  <c r="L19" i="50"/>
  <c r="J19" i="50"/>
  <c r="H19" i="50"/>
  <c r="H20" i="50" s="1"/>
  <c r="H18" i="50"/>
  <c r="J16" i="50"/>
  <c r="L16" i="50"/>
  <c r="N16" i="50" s="1"/>
  <c r="P16" i="50" s="1"/>
  <c r="R16" i="50" s="1"/>
  <c r="J12" i="50"/>
  <c r="J37" i="50" s="1"/>
  <c r="J11" i="50"/>
  <c r="J36" i="50" s="1"/>
  <c r="H8" i="50"/>
  <c r="H10" i="50" s="1"/>
  <c r="H13" i="50" s="1"/>
  <c r="H9" i="50"/>
  <c r="J6" i="50"/>
  <c r="L6" i="50"/>
  <c r="L8" i="50" s="1"/>
  <c r="J4" i="50"/>
  <c r="L4" i="50"/>
  <c r="N4" i="50" s="1"/>
  <c r="P4" i="50" s="1"/>
  <c r="R4" i="50" s="1"/>
  <c r="N6" i="50"/>
  <c r="N8" i="50" s="1"/>
  <c r="J8" i="50"/>
  <c r="J9" i="50"/>
  <c r="J24" i="50"/>
  <c r="L12" i="50"/>
  <c r="N12" i="50" s="1"/>
  <c r="J18" i="50"/>
  <c r="J20" i="50" s="1"/>
  <c r="J10" i="50"/>
  <c r="P6" i="50"/>
  <c r="R6" i="50" s="1"/>
  <c r="L24" i="50"/>
  <c r="L37" i="50"/>
  <c r="A70" i="48"/>
  <c r="C65" i="48"/>
  <c r="C64" i="48"/>
  <c r="C63" i="48"/>
  <c r="B48" i="48"/>
  <c r="B49" i="48" s="1"/>
  <c r="B50" i="48" s="1"/>
  <c r="B51" i="48" s="1"/>
  <c r="H37" i="48"/>
  <c r="R36" i="48"/>
  <c r="P36" i="48"/>
  <c r="N36" i="48"/>
  <c r="L36" i="48"/>
  <c r="J36" i="48"/>
  <c r="H36" i="48"/>
  <c r="R32" i="48"/>
  <c r="P32" i="48"/>
  <c r="N32" i="48"/>
  <c r="L32" i="48"/>
  <c r="J32" i="48"/>
  <c r="H32" i="48"/>
  <c r="H33" i="48" s="1"/>
  <c r="H31" i="48"/>
  <c r="J31" i="48"/>
  <c r="L31" i="48" s="1"/>
  <c r="N31" i="48" s="1"/>
  <c r="J29" i="48"/>
  <c r="L29" i="48"/>
  <c r="N29" i="48" s="1"/>
  <c r="P29" i="48" s="1"/>
  <c r="R29" i="48" s="1"/>
  <c r="H24" i="48"/>
  <c r="R23" i="48"/>
  <c r="P23" i="48"/>
  <c r="N23" i="48"/>
  <c r="L23" i="48"/>
  <c r="J23" i="48"/>
  <c r="H23" i="48"/>
  <c r="R19" i="48"/>
  <c r="P19" i="48"/>
  <c r="N19" i="48"/>
  <c r="L19" i="48"/>
  <c r="J19" i="48"/>
  <c r="J20" i="48" s="1"/>
  <c r="H19" i="48"/>
  <c r="H20" i="48" s="1"/>
  <c r="H18" i="48"/>
  <c r="J16" i="48"/>
  <c r="L16" i="48" s="1"/>
  <c r="N16" i="48" s="1"/>
  <c r="P16" i="48" s="1"/>
  <c r="R16" i="48" s="1"/>
  <c r="J12" i="48"/>
  <c r="J24" i="48"/>
  <c r="H8" i="48"/>
  <c r="H9" i="48"/>
  <c r="H10" i="48" s="1"/>
  <c r="H13" i="48" s="1"/>
  <c r="J6" i="48"/>
  <c r="J8" i="48"/>
  <c r="J9" i="48" s="1"/>
  <c r="J10" i="48" s="1"/>
  <c r="J13" i="48" s="1"/>
  <c r="J4" i="48"/>
  <c r="L4" i="48" s="1"/>
  <c r="N4" i="48" s="1"/>
  <c r="P4" i="48" s="1"/>
  <c r="R4" i="48" s="1"/>
  <c r="L6" i="48"/>
  <c r="N6" i="48" s="1"/>
  <c r="L8" i="48"/>
  <c r="J18" i="48"/>
  <c r="J37" i="48"/>
  <c r="L12" i="48"/>
  <c r="L37" i="48" s="1"/>
  <c r="L18" i="48"/>
  <c r="N18" i="48" s="1"/>
  <c r="L33" i="48"/>
  <c r="L24" i="48"/>
  <c r="L20" i="48"/>
  <c r="M93" i="32"/>
  <c r="A70" i="38"/>
  <c r="A69" i="38"/>
  <c r="C65" i="38"/>
  <c r="C64" i="38"/>
  <c r="C63" i="38"/>
  <c r="B48" i="38"/>
  <c r="B49" i="38" s="1"/>
  <c r="B50" i="38" s="1"/>
  <c r="B51" i="38" s="1"/>
  <c r="H37" i="38"/>
  <c r="H36" i="38"/>
  <c r="R32" i="38"/>
  <c r="P32" i="38"/>
  <c r="N32" i="38"/>
  <c r="L32" i="38"/>
  <c r="J32" i="38"/>
  <c r="H32" i="38"/>
  <c r="H31" i="38"/>
  <c r="H33" i="38" s="1"/>
  <c r="J29" i="38"/>
  <c r="L29" i="38"/>
  <c r="N29" i="38" s="1"/>
  <c r="P29" i="38" s="1"/>
  <c r="R29" i="38" s="1"/>
  <c r="H24" i="38"/>
  <c r="H23" i="38"/>
  <c r="R19" i="38"/>
  <c r="P19" i="38"/>
  <c r="N19" i="38"/>
  <c r="L19" i="38"/>
  <c r="J19" i="38"/>
  <c r="H19" i="38"/>
  <c r="H18" i="38"/>
  <c r="H20" i="38" s="1"/>
  <c r="J18" i="38"/>
  <c r="J20" i="38" s="1"/>
  <c r="J16" i="38"/>
  <c r="L16" i="38" s="1"/>
  <c r="N16" i="38" s="1"/>
  <c r="P16" i="38" s="1"/>
  <c r="R16" i="38" s="1"/>
  <c r="J11" i="38"/>
  <c r="J23" i="38" s="1"/>
  <c r="H8" i="38"/>
  <c r="H10" i="38" s="1"/>
  <c r="H13" i="38" s="1"/>
  <c r="J6" i="38"/>
  <c r="J8" i="38" s="1"/>
  <c r="J4" i="38"/>
  <c r="L4" i="38" s="1"/>
  <c r="N4" i="38" s="1"/>
  <c r="P4" i="38" s="1"/>
  <c r="R4" i="38" s="1"/>
  <c r="L6" i="38"/>
  <c r="N6" i="38" s="1"/>
  <c r="L18" i="38"/>
  <c r="L20" i="38" s="1"/>
  <c r="J21" i="38"/>
  <c r="H9" i="38"/>
  <c r="L11" i="38"/>
  <c r="J24" i="38"/>
  <c r="N18" i="38"/>
  <c r="P18" i="38" s="1"/>
  <c r="L24" i="38"/>
  <c r="X54" i="32"/>
  <c r="M88" i="32"/>
  <c r="M90" i="32" s="1"/>
  <c r="F71" i="32" s="1"/>
  <c r="G71" i="32" s="1"/>
  <c r="N37" i="38"/>
  <c r="N24" i="38"/>
  <c r="P24" i="38"/>
  <c r="P37" i="38"/>
  <c r="R37" i="38"/>
  <c r="R24" i="38"/>
  <c r="J6" i="32"/>
  <c r="A68" i="32"/>
  <c r="A67" i="32"/>
  <c r="B63" i="32"/>
  <c r="B62" i="32"/>
  <c r="B61" i="32"/>
  <c r="M54" i="32"/>
  <c r="M55" i="32"/>
  <c r="M56" i="32" s="1"/>
  <c r="M57" i="32" s="1"/>
  <c r="R43" i="32"/>
  <c r="P43" i="32"/>
  <c r="N43" i="32"/>
  <c r="L43" i="32"/>
  <c r="J43" i="32"/>
  <c r="H43" i="32"/>
  <c r="H42" i="32"/>
  <c r="R41" i="32"/>
  <c r="P41" i="32"/>
  <c r="N41" i="32"/>
  <c r="L41" i="32"/>
  <c r="J41" i="32"/>
  <c r="H41" i="32"/>
  <c r="R36" i="32"/>
  <c r="P36" i="32"/>
  <c r="N36" i="32"/>
  <c r="L36" i="32"/>
  <c r="J36" i="32"/>
  <c r="H36" i="32"/>
  <c r="H37" i="32" s="1"/>
  <c r="H38" i="32" s="1"/>
  <c r="H35" i="32"/>
  <c r="J35" i="32" s="1"/>
  <c r="J37" i="32" s="1"/>
  <c r="J33" i="32"/>
  <c r="L33" i="32" s="1"/>
  <c r="N33" i="32" s="1"/>
  <c r="P33" i="32" s="1"/>
  <c r="R33" i="32" s="1"/>
  <c r="R28" i="32"/>
  <c r="P28" i="32"/>
  <c r="N28" i="32"/>
  <c r="L28" i="32"/>
  <c r="J28" i="32"/>
  <c r="H28" i="32"/>
  <c r="H27" i="32"/>
  <c r="R26" i="32"/>
  <c r="P26" i="32"/>
  <c r="N26" i="32"/>
  <c r="L26" i="32"/>
  <c r="J26" i="32"/>
  <c r="H26" i="32"/>
  <c r="R21" i="32"/>
  <c r="P21" i="32"/>
  <c r="N21" i="32"/>
  <c r="L21" i="32"/>
  <c r="J21" i="32"/>
  <c r="H21" i="32"/>
  <c r="H20" i="32"/>
  <c r="J18" i="32"/>
  <c r="L18" i="32"/>
  <c r="N18" i="32"/>
  <c r="P18" i="32" s="1"/>
  <c r="R18" i="32" s="1"/>
  <c r="J13" i="32"/>
  <c r="J42" i="32" s="1"/>
  <c r="H8" i="32"/>
  <c r="H9" i="32" s="1"/>
  <c r="J4" i="32"/>
  <c r="L4" i="32"/>
  <c r="N4" i="32" s="1"/>
  <c r="P4" i="32" s="1"/>
  <c r="R4" i="32" s="1"/>
  <c r="L13" i="32"/>
  <c r="L27" i="32" s="1"/>
  <c r="J27" i="32"/>
  <c r="H10" i="32"/>
  <c r="H15" i="32" s="1"/>
  <c r="H39" i="32"/>
  <c r="H44" i="32" s="1"/>
  <c r="L42" i="32"/>
  <c r="P38" i="1"/>
  <c r="P39" i="1" s="1"/>
  <c r="R39" i="1" s="1"/>
  <c r="J6" i="1"/>
  <c r="L6" i="1" s="1"/>
  <c r="L8" i="1" s="1"/>
  <c r="N25" i="1"/>
  <c r="N24" i="1"/>
  <c r="N23" i="1"/>
  <c r="D32" i="1"/>
  <c r="N32" i="1" s="1"/>
  <c r="D31" i="1"/>
  <c r="N31" i="1" s="1"/>
  <c r="D30" i="1"/>
  <c r="N30" i="1"/>
  <c r="A52" i="2"/>
  <c r="A51" i="2"/>
  <c r="N47" i="2"/>
  <c r="D47" i="2"/>
  <c r="J46" i="2"/>
  <c r="H46" i="2"/>
  <c r="F46" i="2"/>
  <c r="F45" i="2"/>
  <c r="P45" i="2" s="1"/>
  <c r="N40" i="2"/>
  <c r="D40" i="2"/>
  <c r="T39" i="2"/>
  <c r="T46" i="2"/>
  <c r="R39" i="2"/>
  <c r="R46" i="2" s="1"/>
  <c r="P39" i="2"/>
  <c r="P46" i="2" s="1"/>
  <c r="P38" i="2"/>
  <c r="N30" i="2"/>
  <c r="D30" i="2"/>
  <c r="J29" i="2"/>
  <c r="H29" i="2"/>
  <c r="F29" i="2"/>
  <c r="F28" i="2"/>
  <c r="P28" i="2" s="1"/>
  <c r="D24" i="2"/>
  <c r="D48" i="2" s="1"/>
  <c r="N48" i="2"/>
  <c r="N23" i="2"/>
  <c r="T22" i="2"/>
  <c r="T29" i="2" s="1"/>
  <c r="R22" i="2"/>
  <c r="R29" i="2"/>
  <c r="P22" i="2"/>
  <c r="P29" i="2" s="1"/>
  <c r="P21" i="2"/>
  <c r="R8" i="2"/>
  <c r="R9" i="2"/>
  <c r="P8" i="2"/>
  <c r="P9" i="2" s="1"/>
  <c r="P10" i="2" s="1"/>
  <c r="P15" i="2" s="1"/>
  <c r="N8" i="2"/>
  <c r="N10" i="2" s="1"/>
  <c r="N15" i="2" s="1"/>
  <c r="N9" i="2"/>
  <c r="L8" i="2"/>
  <c r="J8" i="2"/>
  <c r="J9" i="2"/>
  <c r="J10" i="2" s="1"/>
  <c r="J15" i="2" s="1"/>
  <c r="H8" i="2"/>
  <c r="H9" i="2" s="1"/>
  <c r="H10" i="2" s="1"/>
  <c r="H15" i="2" s="1"/>
  <c r="T6" i="2"/>
  <c r="J4" i="2"/>
  <c r="L4" i="2" s="1"/>
  <c r="N4" i="2"/>
  <c r="P4" i="2" s="1"/>
  <c r="R4" i="2" s="1"/>
  <c r="H8" i="1"/>
  <c r="H9" i="1" s="1"/>
  <c r="H10" i="1" s="1"/>
  <c r="H15" i="1" s="1"/>
  <c r="X22" i="1" s="1"/>
  <c r="A35" i="1"/>
  <c r="A34" i="1"/>
  <c r="J29" i="1"/>
  <c r="H29" i="1"/>
  <c r="F29" i="1"/>
  <c r="T22" i="1"/>
  <c r="T29" i="1"/>
  <c r="R22" i="1"/>
  <c r="R29" i="1"/>
  <c r="P22" i="1"/>
  <c r="P29" i="1" s="1"/>
  <c r="F28" i="1"/>
  <c r="P28" i="1" s="1"/>
  <c r="P21" i="1"/>
  <c r="J4" i="1"/>
  <c r="L4" i="1" s="1"/>
  <c r="N4" i="1" s="1"/>
  <c r="P4" i="1" s="1"/>
  <c r="R4" i="1" s="1"/>
  <c r="D25" i="2"/>
  <c r="N41" i="2"/>
  <c r="N31" i="2"/>
  <c r="D31" i="2"/>
  <c r="D41" i="2"/>
  <c r="J8" i="1"/>
  <c r="T8" i="2"/>
  <c r="N6" i="1"/>
  <c r="R10" i="2"/>
  <c r="L9" i="2"/>
  <c r="L10" i="2" s="1"/>
  <c r="L15" i="2" s="1"/>
  <c r="H10" i="98" l="1"/>
  <c r="H13" i="98" s="1"/>
  <c r="L6" i="98"/>
  <c r="L8" i="98" s="1"/>
  <c r="L9" i="98" s="1"/>
  <c r="L10" i="98" s="1"/>
  <c r="L13" i="98" s="1"/>
  <c r="H34" i="98"/>
  <c r="H35" i="98" s="1"/>
  <c r="H38" i="98" s="1"/>
  <c r="J10" i="98"/>
  <c r="J13" i="98" s="1"/>
  <c r="J31" i="98"/>
  <c r="P8" i="106"/>
  <c r="R6" i="106"/>
  <c r="J10" i="106"/>
  <c r="J13" i="106" s="1"/>
  <c r="N8" i="106"/>
  <c r="N9" i="106" s="1"/>
  <c r="N10" i="106" s="1"/>
  <c r="J9" i="1"/>
  <c r="J10" i="1"/>
  <c r="J15" i="1" s="1"/>
  <c r="L35" i="32"/>
  <c r="L23" i="38"/>
  <c r="L36" i="38"/>
  <c r="N11" i="38"/>
  <c r="J9" i="38"/>
  <c r="J10" i="38" s="1"/>
  <c r="J13" i="38" s="1"/>
  <c r="J21" i="50"/>
  <c r="J22" i="50" s="1"/>
  <c r="J25" i="50" s="1"/>
  <c r="L8" i="64"/>
  <c r="N6" i="64"/>
  <c r="H34" i="48"/>
  <c r="H35" i="48"/>
  <c r="H38" i="48" s="1"/>
  <c r="H34" i="50"/>
  <c r="H35" i="50"/>
  <c r="H38" i="50" s="1"/>
  <c r="J21" i="64"/>
  <c r="J22" i="64" s="1"/>
  <c r="J25" i="64" s="1"/>
  <c r="H34" i="38"/>
  <c r="H35" i="38" s="1"/>
  <c r="H38" i="38" s="1"/>
  <c r="P18" i="48"/>
  <c r="N20" i="48"/>
  <c r="N37" i="50"/>
  <c r="N24" i="50"/>
  <c r="P12" i="50"/>
  <c r="J34" i="64"/>
  <c r="J35" i="64" s="1"/>
  <c r="J38" i="64" s="1"/>
  <c r="L6" i="32"/>
  <c r="J8" i="32"/>
  <c r="L9" i="48"/>
  <c r="L10" i="48" s="1"/>
  <c r="L13" i="48" s="1"/>
  <c r="H34" i="64"/>
  <c r="H35" i="64"/>
  <c r="H38" i="64" s="1"/>
  <c r="J38" i="32"/>
  <c r="J39" i="32"/>
  <c r="J44" i="32" s="1"/>
  <c r="N9" i="50"/>
  <c r="N10" i="50" s="1"/>
  <c r="H22" i="32"/>
  <c r="J20" i="32"/>
  <c r="N8" i="48"/>
  <c r="P6" i="48"/>
  <c r="L9" i="50"/>
  <c r="L10" i="50" s="1"/>
  <c r="L13" i="50" s="1"/>
  <c r="L23" i="64"/>
  <c r="L36" i="64"/>
  <c r="L21" i="48"/>
  <c r="L22" i="48" s="1"/>
  <c r="L25" i="48" s="1"/>
  <c r="H21" i="50"/>
  <c r="H22" i="50"/>
  <c r="H25" i="50" s="1"/>
  <c r="J21" i="48"/>
  <c r="J22" i="48" s="1"/>
  <c r="J25" i="48" s="1"/>
  <c r="J23" i="50"/>
  <c r="L11" i="50"/>
  <c r="L22" i="38"/>
  <c r="R15" i="2"/>
  <c r="H41" i="2" s="1"/>
  <c r="R41" i="2" s="1"/>
  <c r="R48" i="2" s="1"/>
  <c r="T10" i="2"/>
  <c r="D42" i="2"/>
  <c r="N25" i="2"/>
  <c r="N32" i="2"/>
  <c r="N42" i="2"/>
  <c r="N49" i="2"/>
  <c r="J25" i="2"/>
  <c r="T25" i="2" s="1"/>
  <c r="T32" i="2" s="1"/>
  <c r="D32" i="2"/>
  <c r="D49" i="2"/>
  <c r="F25" i="2"/>
  <c r="P25" i="2" s="1"/>
  <c r="P32" i="2" s="1"/>
  <c r="L9" i="1"/>
  <c r="L10" i="1"/>
  <c r="L15" i="1" s="1"/>
  <c r="L21" i="38"/>
  <c r="J22" i="38"/>
  <c r="J25" i="38" s="1"/>
  <c r="N33" i="48"/>
  <c r="P31" i="48"/>
  <c r="T6" i="50"/>
  <c r="R8" i="50"/>
  <c r="N11" i="64"/>
  <c r="J25" i="70"/>
  <c r="N8" i="1"/>
  <c r="P6" i="1"/>
  <c r="R18" i="38"/>
  <c r="P20" i="38"/>
  <c r="N8" i="38"/>
  <c r="P6" i="38"/>
  <c r="H21" i="38"/>
  <c r="H22" i="38" s="1"/>
  <c r="H25" i="38" s="1"/>
  <c r="L34" i="48"/>
  <c r="L35" i="48"/>
  <c r="L38" i="48" s="1"/>
  <c r="H21" i="48"/>
  <c r="H22" i="48" s="1"/>
  <c r="H25" i="48" s="1"/>
  <c r="J13" i="50"/>
  <c r="L20" i="64"/>
  <c r="N18" i="64"/>
  <c r="H21" i="64"/>
  <c r="H22" i="64" s="1"/>
  <c r="H25" i="64" s="1"/>
  <c r="T22" i="87"/>
  <c r="R36" i="85"/>
  <c r="R23" i="85"/>
  <c r="N24" i="2"/>
  <c r="J36" i="38"/>
  <c r="R20" i="70"/>
  <c r="J33" i="72"/>
  <c r="L31" i="72"/>
  <c r="N20" i="38"/>
  <c r="L8" i="38"/>
  <c r="J31" i="38"/>
  <c r="P8" i="50"/>
  <c r="J33" i="48"/>
  <c r="J31" i="50"/>
  <c r="R20" i="72"/>
  <c r="L11" i="72"/>
  <c r="J23" i="72"/>
  <c r="P37" i="73"/>
  <c r="R12" i="73"/>
  <c r="L9" i="74"/>
  <c r="L10" i="74" s="1"/>
  <c r="L13" i="74" s="1"/>
  <c r="L31" i="64"/>
  <c r="N11" i="70"/>
  <c r="L23" i="70"/>
  <c r="H33" i="70"/>
  <c r="J31" i="70"/>
  <c r="N12" i="48"/>
  <c r="N21" i="72"/>
  <c r="N22" i="72"/>
  <c r="J24" i="70"/>
  <c r="L12" i="70"/>
  <c r="N38" i="74"/>
  <c r="H9" i="77"/>
  <c r="H10" i="77" s="1"/>
  <c r="H13" i="77" s="1"/>
  <c r="L8" i="78"/>
  <c r="N6" i="78"/>
  <c r="J23" i="64"/>
  <c r="L22" i="70"/>
  <c r="J22" i="72"/>
  <c r="J25" i="72" s="1"/>
  <c r="L10" i="73"/>
  <c r="P33" i="76"/>
  <c r="R31" i="76"/>
  <c r="P20" i="77"/>
  <c r="R18" i="77"/>
  <c r="N13" i="32"/>
  <c r="L18" i="50"/>
  <c r="L12" i="64"/>
  <c r="N22" i="70"/>
  <c r="L8" i="70"/>
  <c r="N6" i="70"/>
  <c r="P20" i="75"/>
  <c r="R18" i="75"/>
  <c r="N21" i="74"/>
  <c r="N22" i="74"/>
  <c r="N25" i="74" s="1"/>
  <c r="L34" i="76"/>
  <c r="L35" i="76"/>
  <c r="L18" i="76"/>
  <c r="J20" i="76"/>
  <c r="H21" i="70"/>
  <c r="H22" i="70" s="1"/>
  <c r="H25" i="70" s="1"/>
  <c r="P24" i="72"/>
  <c r="R12" i="72"/>
  <c r="H21" i="72"/>
  <c r="H22" i="72" s="1"/>
  <c r="H25" i="72" s="1"/>
  <c r="J9" i="70"/>
  <c r="J10" i="70" s="1"/>
  <c r="J13" i="70" s="1"/>
  <c r="L8" i="72"/>
  <c r="N6" i="72"/>
  <c r="T33" i="74"/>
  <c r="R34" i="74"/>
  <c r="R35" i="74" s="1"/>
  <c r="L20" i="73"/>
  <c r="N18" i="73"/>
  <c r="N21" i="75"/>
  <c r="N22" i="75"/>
  <c r="N25" i="75" s="1"/>
  <c r="R23" i="76"/>
  <c r="R36" i="76"/>
  <c r="J33" i="73"/>
  <c r="L31" i="73"/>
  <c r="L11" i="73"/>
  <c r="J36" i="73"/>
  <c r="J23" i="73"/>
  <c r="J25" i="73" s="1"/>
  <c r="J20" i="74"/>
  <c r="L22" i="77"/>
  <c r="H35" i="76"/>
  <c r="H38" i="76" s="1"/>
  <c r="H9" i="78"/>
  <c r="H10" i="78" s="1"/>
  <c r="H13" i="78" s="1"/>
  <c r="J33" i="78"/>
  <c r="L31" i="78"/>
  <c r="L22" i="79"/>
  <c r="L24" i="74"/>
  <c r="L25" i="74" s="1"/>
  <c r="L37" i="74"/>
  <c r="J33" i="75"/>
  <c r="L31" i="75"/>
  <c r="L10" i="77"/>
  <c r="N10" i="74"/>
  <c r="N13" i="74" s="1"/>
  <c r="R12" i="77"/>
  <c r="P24" i="77"/>
  <c r="L6" i="76"/>
  <c r="J8" i="76"/>
  <c r="L23" i="78"/>
  <c r="L25" i="78" s="1"/>
  <c r="L36" i="78"/>
  <c r="N11" i="78"/>
  <c r="P20" i="81"/>
  <c r="R18" i="81"/>
  <c r="N8" i="79"/>
  <c r="P6" i="79"/>
  <c r="P18" i="74"/>
  <c r="P11" i="75"/>
  <c r="N6" i="73"/>
  <c r="J38" i="76"/>
  <c r="H34" i="75"/>
  <c r="H35" i="75" s="1"/>
  <c r="H38" i="75" s="1"/>
  <c r="J21" i="77"/>
  <c r="J22" i="77" s="1"/>
  <c r="J25" i="77" s="1"/>
  <c r="R21" i="85"/>
  <c r="R22" i="85"/>
  <c r="T20" i="85"/>
  <c r="N13" i="80"/>
  <c r="H9" i="79"/>
  <c r="H10" i="79" s="1"/>
  <c r="H13" i="79" s="1"/>
  <c r="H34" i="79"/>
  <c r="H35" i="79"/>
  <c r="H38" i="79" s="1"/>
  <c r="R9" i="75"/>
  <c r="R10" i="75" s="1"/>
  <c r="N33" i="76"/>
  <c r="J20" i="75"/>
  <c r="J8" i="73"/>
  <c r="J24" i="74"/>
  <c r="J37" i="74"/>
  <c r="J38" i="74" s="1"/>
  <c r="H21" i="77"/>
  <c r="H22" i="77" s="1"/>
  <c r="H25" i="77" s="1"/>
  <c r="L31" i="77"/>
  <c r="J33" i="77"/>
  <c r="L36" i="79"/>
  <c r="N11" i="79"/>
  <c r="L23" i="79"/>
  <c r="R8" i="74"/>
  <c r="P10" i="74"/>
  <c r="P13" i="74" s="1"/>
  <c r="L33" i="74"/>
  <c r="R21" i="79"/>
  <c r="R22" i="79" s="1"/>
  <c r="T20" i="79"/>
  <c r="L38" i="80"/>
  <c r="H21" i="73"/>
  <c r="H22" i="73"/>
  <c r="H25" i="73" s="1"/>
  <c r="H21" i="75"/>
  <c r="H22" i="75" s="1"/>
  <c r="H25" i="75" s="1"/>
  <c r="N8" i="77"/>
  <c r="P6" i="77"/>
  <c r="P20" i="79"/>
  <c r="J10" i="77"/>
  <c r="J13" i="77" s="1"/>
  <c r="L8" i="79"/>
  <c r="L23" i="80"/>
  <c r="N11" i="80"/>
  <c r="H34" i="81"/>
  <c r="H35" i="81" s="1"/>
  <c r="H38" i="81" s="1"/>
  <c r="P11" i="86"/>
  <c r="N23" i="86"/>
  <c r="N25" i="86" s="1"/>
  <c r="N36" i="86"/>
  <c r="L31" i="87"/>
  <c r="J33" i="87"/>
  <c r="J23" i="77"/>
  <c r="H33" i="77"/>
  <c r="N31" i="86"/>
  <c r="L33" i="86"/>
  <c r="L9" i="81"/>
  <c r="L10" i="81" s="1"/>
  <c r="L13" i="81" s="1"/>
  <c r="H34" i="84"/>
  <c r="H35" i="84" s="1"/>
  <c r="H38" i="84" s="1"/>
  <c r="T18" i="88"/>
  <c r="R20" i="88"/>
  <c r="R20" i="89"/>
  <c r="T18" i="89"/>
  <c r="L12" i="76"/>
  <c r="J37" i="76"/>
  <c r="J9" i="84"/>
  <c r="J10" i="84" s="1"/>
  <c r="P37" i="87"/>
  <c r="P24" i="87"/>
  <c r="P25" i="87" s="1"/>
  <c r="R12" i="87"/>
  <c r="H21" i="85"/>
  <c r="H22" i="85" s="1"/>
  <c r="H25" i="85" s="1"/>
  <c r="J10" i="86"/>
  <c r="J13" i="86" s="1"/>
  <c r="R24" i="84"/>
  <c r="R25" i="84" s="1"/>
  <c r="L37" i="80"/>
  <c r="R35" i="88"/>
  <c r="N9" i="81"/>
  <c r="N10" i="81" s="1"/>
  <c r="N13" i="81" s="1"/>
  <c r="J35" i="84"/>
  <c r="J21" i="85"/>
  <c r="J22" i="85"/>
  <c r="J25" i="85" s="1"/>
  <c r="H21" i="74"/>
  <c r="H22" i="74" s="1"/>
  <c r="H25" i="74" s="1"/>
  <c r="H20" i="76"/>
  <c r="L11" i="77"/>
  <c r="J31" i="79"/>
  <c r="J9" i="80"/>
  <c r="J10" i="80" s="1"/>
  <c r="J33" i="85"/>
  <c r="L31" i="85"/>
  <c r="L8" i="86"/>
  <c r="N6" i="86"/>
  <c r="H34" i="86"/>
  <c r="H35" i="86" s="1"/>
  <c r="H38" i="86" s="1"/>
  <c r="J21" i="80"/>
  <c r="J22" i="80" s="1"/>
  <c r="J25" i="80" s="1"/>
  <c r="H34" i="85"/>
  <c r="H35" i="85"/>
  <c r="H38" i="85" s="1"/>
  <c r="H22" i="80"/>
  <c r="H25" i="80" s="1"/>
  <c r="L8" i="85"/>
  <c r="N6" i="85"/>
  <c r="L23" i="85"/>
  <c r="L25" i="85" s="1"/>
  <c r="N24" i="87"/>
  <c r="N25" i="87" s="1"/>
  <c r="P20" i="88"/>
  <c r="J33" i="86"/>
  <c r="T22" i="97"/>
  <c r="H34" i="89"/>
  <c r="H35" i="89"/>
  <c r="H38" i="89" s="1"/>
  <c r="J33" i="89"/>
  <c r="L31" i="89"/>
  <c r="J36" i="90"/>
  <c r="L11" i="90"/>
  <c r="J23" i="90"/>
  <c r="L18" i="80"/>
  <c r="J36" i="85"/>
  <c r="H9" i="87"/>
  <c r="H10" i="87"/>
  <c r="H13" i="87" s="1"/>
  <c r="H34" i="88"/>
  <c r="H35" i="88" s="1"/>
  <c r="H38" i="88" s="1"/>
  <c r="J22" i="89"/>
  <c r="J25" i="89" s="1"/>
  <c r="L22" i="88"/>
  <c r="L25" i="88" s="1"/>
  <c r="H33" i="87"/>
  <c r="L8" i="88"/>
  <c r="J18" i="90"/>
  <c r="H20" i="90"/>
  <c r="R36" i="96"/>
  <c r="R23" i="96"/>
  <c r="L13" i="93"/>
  <c r="J9" i="86"/>
  <c r="P6" i="88"/>
  <c r="N8" i="88"/>
  <c r="L22" i="89"/>
  <c r="R8" i="94"/>
  <c r="T6" i="94"/>
  <c r="J31" i="81"/>
  <c r="H10" i="86"/>
  <c r="H13" i="86" s="1"/>
  <c r="R12" i="89"/>
  <c r="J21" i="89"/>
  <c r="J9" i="88"/>
  <c r="J10" i="88" s="1"/>
  <c r="J13" i="88" s="1"/>
  <c r="H10" i="88"/>
  <c r="H13" i="88" s="1"/>
  <c r="H22" i="88"/>
  <c r="H25" i="88" s="1"/>
  <c r="H21" i="88"/>
  <c r="L8" i="89"/>
  <c r="N6" i="89"/>
  <c r="N10" i="90"/>
  <c r="R22" i="95"/>
  <c r="R6" i="90"/>
  <c r="P8" i="90"/>
  <c r="P33" i="94"/>
  <c r="R31" i="94"/>
  <c r="J21" i="99"/>
  <c r="J22" i="99" s="1"/>
  <c r="H34" i="99"/>
  <c r="H35" i="99" s="1"/>
  <c r="H38" i="99" s="1"/>
  <c r="N24" i="89"/>
  <c r="L11" i="89"/>
  <c r="P10" i="94"/>
  <c r="P24" i="94"/>
  <c r="R12" i="94"/>
  <c r="P37" i="94"/>
  <c r="N36" i="95"/>
  <c r="P11" i="95"/>
  <c r="H20" i="89"/>
  <c r="H21" i="93"/>
  <c r="H22" i="93" s="1"/>
  <c r="H25" i="93" s="1"/>
  <c r="N9" i="93"/>
  <c r="N10" i="93"/>
  <c r="P24" i="95"/>
  <c r="P37" i="95"/>
  <c r="R12" i="95"/>
  <c r="H20" i="94"/>
  <c r="J18" i="94"/>
  <c r="R9" i="96"/>
  <c r="R10" i="96" s="1"/>
  <c r="T8" i="96"/>
  <c r="J10" i="90"/>
  <c r="J13" i="90" s="1"/>
  <c r="L10" i="90"/>
  <c r="L31" i="90"/>
  <c r="J33" i="90"/>
  <c r="J33" i="93"/>
  <c r="L31" i="93"/>
  <c r="P34" i="96"/>
  <c r="P35" i="96"/>
  <c r="R21" i="99"/>
  <c r="R22" i="99"/>
  <c r="T20" i="99"/>
  <c r="P8" i="93"/>
  <c r="N10" i="94"/>
  <c r="J18" i="93"/>
  <c r="L12" i="90"/>
  <c r="N35" i="94"/>
  <c r="R33" i="96"/>
  <c r="T31" i="96"/>
  <c r="J23" i="93"/>
  <c r="L11" i="93"/>
  <c r="P37" i="96"/>
  <c r="P24" i="96"/>
  <c r="R12" i="96"/>
  <c r="L12" i="93"/>
  <c r="L11" i="94"/>
  <c r="J9" i="94"/>
  <c r="J10" i="94" s="1"/>
  <c r="J13" i="94" s="1"/>
  <c r="H34" i="96"/>
  <c r="H35" i="96" s="1"/>
  <c r="H38" i="96" s="1"/>
  <c r="P36" i="100"/>
  <c r="R11" i="100"/>
  <c r="P23" i="100"/>
  <c r="P13" i="100"/>
  <c r="R12" i="100"/>
  <c r="P37" i="100"/>
  <c r="P24" i="100"/>
  <c r="H33" i="93"/>
  <c r="H22" i="95"/>
  <c r="H25" i="95" s="1"/>
  <c r="J34" i="96"/>
  <c r="J35" i="96"/>
  <c r="J38" i="96" s="1"/>
  <c r="H22" i="97"/>
  <c r="H25" i="97" s="1"/>
  <c r="N9" i="97"/>
  <c r="N10" i="97" s="1"/>
  <c r="N20" i="100"/>
  <c r="P18" i="100"/>
  <c r="L18" i="96"/>
  <c r="J20" i="96"/>
  <c r="P33" i="100"/>
  <c r="R31" i="100"/>
  <c r="L9" i="99"/>
  <c r="L10" i="99" s="1"/>
  <c r="R12" i="97"/>
  <c r="J10" i="96"/>
  <c r="J13" i="96" s="1"/>
  <c r="J20" i="98"/>
  <c r="L18" i="98"/>
  <c r="N38" i="100"/>
  <c r="J33" i="95"/>
  <c r="L31" i="95"/>
  <c r="L31" i="97"/>
  <c r="J33" i="97"/>
  <c r="J9" i="101"/>
  <c r="J10" i="101"/>
  <c r="J13" i="101" s="1"/>
  <c r="H21" i="101"/>
  <c r="H22" i="101" s="1"/>
  <c r="H25" i="101" s="1"/>
  <c r="J21" i="102"/>
  <c r="J22" i="102" s="1"/>
  <c r="J25" i="102" s="1"/>
  <c r="J34" i="103"/>
  <c r="J35" i="103" s="1"/>
  <c r="J38" i="103" s="1"/>
  <c r="V65" i="103"/>
  <c r="V64" i="103"/>
  <c r="V66" i="103"/>
  <c r="L13" i="106"/>
  <c r="H35" i="95"/>
  <c r="H38" i="95" s="1"/>
  <c r="N37" i="97"/>
  <c r="R11" i="98"/>
  <c r="P12" i="98"/>
  <c r="L22" i="101"/>
  <c r="L25" i="101" s="1"/>
  <c r="L18" i="102"/>
  <c r="L21" i="103"/>
  <c r="L22" i="103" s="1"/>
  <c r="L25" i="103" s="1"/>
  <c r="L8" i="101"/>
  <c r="N6" i="101"/>
  <c r="N37" i="103"/>
  <c r="P12" i="103"/>
  <c r="N24" i="103"/>
  <c r="P36" i="98"/>
  <c r="H20" i="96"/>
  <c r="L11" i="97"/>
  <c r="N24" i="98"/>
  <c r="N6" i="99"/>
  <c r="T8" i="100"/>
  <c r="R9" i="100"/>
  <c r="R10" i="100" s="1"/>
  <c r="L35" i="103"/>
  <c r="L38" i="103" s="1"/>
  <c r="J21" i="103"/>
  <c r="J22" i="103" s="1"/>
  <c r="J25" i="103" s="1"/>
  <c r="P9" i="106"/>
  <c r="P10" i="106" s="1"/>
  <c r="J31" i="104"/>
  <c r="H33" i="104"/>
  <c r="H38" i="105"/>
  <c r="J10" i="97"/>
  <c r="J13" i="97" s="1"/>
  <c r="H21" i="97"/>
  <c r="N10" i="100"/>
  <c r="N13" i="100" s="1"/>
  <c r="H9" i="100"/>
  <c r="H10" i="100" s="1"/>
  <c r="H13" i="100" s="1"/>
  <c r="H21" i="100"/>
  <c r="H22" i="100"/>
  <c r="H25" i="100" s="1"/>
  <c r="H35" i="100"/>
  <c r="H38" i="100" s="1"/>
  <c r="L24" i="100"/>
  <c r="R9" i="102"/>
  <c r="R10" i="102"/>
  <c r="T8" i="102"/>
  <c r="N6" i="95"/>
  <c r="H22" i="99"/>
  <c r="H25" i="99" s="1"/>
  <c r="J10" i="99"/>
  <c r="J13" i="99" s="1"/>
  <c r="L37" i="100"/>
  <c r="L38" i="100" s="1"/>
  <c r="J12" i="99"/>
  <c r="H37" i="99"/>
  <c r="L37" i="102"/>
  <c r="N12" i="102"/>
  <c r="L24" i="102"/>
  <c r="P6" i="97"/>
  <c r="N24" i="100"/>
  <c r="N36" i="100"/>
  <c r="L22" i="100"/>
  <c r="H20" i="98"/>
  <c r="P6" i="103"/>
  <c r="N8" i="103"/>
  <c r="H21" i="103"/>
  <c r="H22" i="103" s="1"/>
  <c r="H25" i="103" s="1"/>
  <c r="Y64" i="103"/>
  <c r="Y66" i="103"/>
  <c r="J8" i="104"/>
  <c r="L6" i="104"/>
  <c r="P11" i="106"/>
  <c r="N36" i="106"/>
  <c r="P31" i="103"/>
  <c r="N11" i="102"/>
  <c r="P8" i="102"/>
  <c r="J9" i="102"/>
  <c r="J10" i="102" s="1"/>
  <c r="J13" i="102" s="1"/>
  <c r="J9" i="103"/>
  <c r="J10" i="103"/>
  <c r="J13" i="103" s="1"/>
  <c r="R10" i="105"/>
  <c r="N11" i="104"/>
  <c r="L36" i="104"/>
  <c r="L23" i="104"/>
  <c r="L37" i="104"/>
  <c r="N12" i="104"/>
  <c r="H36" i="105"/>
  <c r="H23" i="105"/>
  <c r="J11" i="105"/>
  <c r="J13" i="105" s="1"/>
  <c r="H20" i="106"/>
  <c r="J18" i="106"/>
  <c r="J33" i="102"/>
  <c r="L31" i="102"/>
  <c r="L24" i="103"/>
  <c r="L37" i="103"/>
  <c r="J18" i="104"/>
  <c r="H20" i="105"/>
  <c r="J18" i="105"/>
  <c r="N11" i="101"/>
  <c r="L23" i="102"/>
  <c r="J23" i="101"/>
  <c r="J25" i="101" s="1"/>
  <c r="P9" i="105"/>
  <c r="P10" i="105" s="1"/>
  <c r="J24" i="102"/>
  <c r="H10" i="103"/>
  <c r="H13" i="103" s="1"/>
  <c r="H9" i="103"/>
  <c r="L10" i="102"/>
  <c r="L13" i="102" s="1"/>
  <c r="N8" i="102"/>
  <c r="J33" i="101"/>
  <c r="L31" i="101"/>
  <c r="H20" i="102"/>
  <c r="N11" i="103"/>
  <c r="L23" i="103"/>
  <c r="J23" i="103"/>
  <c r="J36" i="103"/>
  <c r="H35" i="106"/>
  <c r="H38" i="106" s="1"/>
  <c r="N18" i="101"/>
  <c r="R18" i="103"/>
  <c r="L24" i="105"/>
  <c r="N12" i="105"/>
  <c r="L37" i="105"/>
  <c r="L31" i="105"/>
  <c r="J33" i="105"/>
  <c r="T6" i="105"/>
  <c r="J36" i="102"/>
  <c r="J23" i="102"/>
  <c r="J24" i="105"/>
  <c r="J37" i="105"/>
  <c r="J31" i="106"/>
  <c r="L12" i="106"/>
  <c r="N6" i="98" l="1"/>
  <c r="P6" i="98" s="1"/>
  <c r="J33" i="98"/>
  <c r="L31" i="98"/>
  <c r="R8" i="106"/>
  <c r="T6" i="106"/>
  <c r="R13" i="96"/>
  <c r="T10" i="96"/>
  <c r="J13" i="80"/>
  <c r="T10" i="80"/>
  <c r="T10" i="75"/>
  <c r="J13" i="84"/>
  <c r="T10" i="84"/>
  <c r="D56" i="81"/>
  <c r="D57" i="81"/>
  <c r="D58" i="81"/>
  <c r="D63" i="81"/>
  <c r="D65" i="81"/>
  <c r="D64" i="81"/>
  <c r="T35" i="74"/>
  <c r="R38" i="74"/>
  <c r="L9" i="101"/>
  <c r="L10" i="101" s="1"/>
  <c r="L13" i="101" s="1"/>
  <c r="L33" i="93"/>
  <c r="N31" i="93"/>
  <c r="P34" i="94"/>
  <c r="P35" i="94"/>
  <c r="R21" i="88"/>
  <c r="R22" i="88"/>
  <c r="T20" i="88"/>
  <c r="N9" i="77"/>
  <c r="N10" i="77"/>
  <c r="L8" i="76"/>
  <c r="N6" i="76"/>
  <c r="R20" i="77"/>
  <c r="T18" i="77"/>
  <c r="L33" i="64"/>
  <c r="N31" i="64"/>
  <c r="N8" i="64"/>
  <c r="P6" i="64"/>
  <c r="N37" i="105"/>
  <c r="N24" i="105"/>
  <c r="P12" i="105"/>
  <c r="N36" i="103"/>
  <c r="N38" i="103" s="1"/>
  <c r="N23" i="103"/>
  <c r="N25" i="103" s="1"/>
  <c r="P11" i="103"/>
  <c r="L8" i="104"/>
  <c r="N6" i="104"/>
  <c r="H34" i="104"/>
  <c r="H35" i="104" s="1"/>
  <c r="H38" i="104" s="1"/>
  <c r="H21" i="96"/>
  <c r="H22" i="96" s="1"/>
  <c r="H25" i="96" s="1"/>
  <c r="J34" i="95"/>
  <c r="J35" i="95"/>
  <c r="J38" i="95" s="1"/>
  <c r="T31" i="100"/>
  <c r="R33" i="100"/>
  <c r="L23" i="93"/>
  <c r="L36" i="93"/>
  <c r="N11" i="93"/>
  <c r="J34" i="93"/>
  <c r="J35" i="93"/>
  <c r="J38" i="93" s="1"/>
  <c r="P9" i="90"/>
  <c r="P10" i="90"/>
  <c r="R9" i="94"/>
  <c r="R10" i="94" s="1"/>
  <c r="T8" i="94"/>
  <c r="N8" i="86"/>
  <c r="P6" i="86"/>
  <c r="H21" i="76"/>
  <c r="H22" i="76" s="1"/>
  <c r="H25" i="76" s="1"/>
  <c r="N36" i="80"/>
  <c r="N38" i="80" s="1"/>
  <c r="P11" i="80"/>
  <c r="N23" i="80"/>
  <c r="N10" i="79"/>
  <c r="N13" i="79" s="1"/>
  <c r="N9" i="79"/>
  <c r="J34" i="75"/>
  <c r="J35" i="75"/>
  <c r="J38" i="75" s="1"/>
  <c r="L23" i="73"/>
  <c r="N11" i="73"/>
  <c r="L36" i="73"/>
  <c r="L21" i="73"/>
  <c r="L22" i="73"/>
  <c r="L25" i="73" s="1"/>
  <c r="P21" i="75"/>
  <c r="P22" i="75"/>
  <c r="P22" i="77"/>
  <c r="P21" i="77"/>
  <c r="P6" i="78"/>
  <c r="N8" i="78"/>
  <c r="J34" i="48"/>
  <c r="J35" i="48"/>
  <c r="J38" i="48" s="1"/>
  <c r="J34" i="72"/>
  <c r="J35" i="72"/>
  <c r="J38" i="72" s="1"/>
  <c r="P21" i="38"/>
  <c r="P22" i="38" s="1"/>
  <c r="F42" i="2"/>
  <c r="P42" i="2" s="1"/>
  <c r="P49" i="2" s="1"/>
  <c r="J42" i="2"/>
  <c r="T42" i="2" s="1"/>
  <c r="T49" i="2" s="1"/>
  <c r="H42" i="2"/>
  <c r="R42" i="2" s="1"/>
  <c r="R49" i="2" s="1"/>
  <c r="J22" i="32"/>
  <c r="L20" i="32"/>
  <c r="L9" i="64"/>
  <c r="L10" i="64"/>
  <c r="L13" i="64" s="1"/>
  <c r="L37" i="32"/>
  <c r="N35" i="32"/>
  <c r="R20" i="75"/>
  <c r="T18" i="75"/>
  <c r="H21" i="102"/>
  <c r="H22" i="102" s="1"/>
  <c r="H25" i="102" s="1"/>
  <c r="P12" i="104"/>
  <c r="N24" i="104"/>
  <c r="N37" i="104"/>
  <c r="J9" i="104"/>
  <c r="J10" i="104" s="1"/>
  <c r="J13" i="104" s="1"/>
  <c r="N9" i="103"/>
  <c r="N10" i="103"/>
  <c r="N13" i="103" s="1"/>
  <c r="N8" i="95"/>
  <c r="P6" i="95"/>
  <c r="L31" i="104"/>
  <c r="J33" i="104"/>
  <c r="P34" i="100"/>
  <c r="P35" i="100" s="1"/>
  <c r="P38" i="100" s="1"/>
  <c r="R24" i="100"/>
  <c r="R37" i="100"/>
  <c r="P9" i="93"/>
  <c r="P10" i="93"/>
  <c r="R37" i="94"/>
  <c r="R24" i="94"/>
  <c r="R8" i="90"/>
  <c r="T6" i="90"/>
  <c r="N31" i="89"/>
  <c r="L33" i="89"/>
  <c r="L9" i="86"/>
  <c r="L10" i="86"/>
  <c r="L13" i="86" s="1"/>
  <c r="F56" i="84"/>
  <c r="T25" i="84"/>
  <c r="F64" i="84"/>
  <c r="F63" i="84"/>
  <c r="F65" i="84"/>
  <c r="F57" i="84"/>
  <c r="F58" i="84"/>
  <c r="J35" i="87"/>
  <c r="J38" i="87" s="1"/>
  <c r="J34" i="87"/>
  <c r="R20" i="81"/>
  <c r="T18" i="81"/>
  <c r="L33" i="73"/>
  <c r="N31" i="73"/>
  <c r="J21" i="76"/>
  <c r="J22" i="76" s="1"/>
  <c r="J25" i="76" s="1"/>
  <c r="P6" i="70"/>
  <c r="N8" i="70"/>
  <c r="R33" i="76"/>
  <c r="T31" i="76"/>
  <c r="L9" i="78"/>
  <c r="L10" i="78"/>
  <c r="L13" i="78" s="1"/>
  <c r="N24" i="48"/>
  <c r="P12" i="48"/>
  <c r="N37" i="48"/>
  <c r="P9" i="50"/>
  <c r="P10" i="50"/>
  <c r="R21" i="70"/>
  <c r="R22" i="70" s="1"/>
  <c r="T20" i="70"/>
  <c r="R20" i="38"/>
  <c r="T18" i="38"/>
  <c r="P33" i="48"/>
  <c r="R31" i="48"/>
  <c r="F32" i="2"/>
  <c r="J32" i="2"/>
  <c r="H32" i="2"/>
  <c r="H23" i="32"/>
  <c r="H24" i="32" s="1"/>
  <c r="H29" i="32" s="1"/>
  <c r="R12" i="50"/>
  <c r="P37" i="50"/>
  <c r="P24" i="50"/>
  <c r="R6" i="97"/>
  <c r="P8" i="97"/>
  <c r="L33" i="72"/>
  <c r="N31" i="72"/>
  <c r="T22" i="95"/>
  <c r="J34" i="86"/>
  <c r="J35" i="86" s="1"/>
  <c r="J38" i="86" s="1"/>
  <c r="N23" i="79"/>
  <c r="N25" i="79" s="1"/>
  <c r="N36" i="79"/>
  <c r="P11" i="79"/>
  <c r="J9" i="73"/>
  <c r="J10" i="73" s="1"/>
  <c r="J13" i="73" s="1"/>
  <c r="P21" i="81"/>
  <c r="P22" i="81"/>
  <c r="P25" i="81" s="1"/>
  <c r="J34" i="73"/>
  <c r="J35" i="73"/>
  <c r="J38" i="73" s="1"/>
  <c r="R24" i="72"/>
  <c r="R37" i="72"/>
  <c r="N18" i="76"/>
  <c r="L20" i="76"/>
  <c r="L9" i="70"/>
  <c r="L10" i="70"/>
  <c r="L13" i="70" s="1"/>
  <c r="P34" i="76"/>
  <c r="P35" i="76"/>
  <c r="J33" i="70"/>
  <c r="L31" i="70"/>
  <c r="R24" i="73"/>
  <c r="R37" i="73"/>
  <c r="L31" i="38"/>
  <c r="J33" i="38"/>
  <c r="N34" i="48"/>
  <c r="N35" i="48" s="1"/>
  <c r="N38" i="48" s="1"/>
  <c r="T15" i="2"/>
  <c r="H30" i="2"/>
  <c r="F47" i="2"/>
  <c r="F41" i="2"/>
  <c r="P41" i="2" s="1"/>
  <c r="P48" i="2" s="1"/>
  <c r="J40" i="2"/>
  <c r="T40" i="2" s="1"/>
  <c r="T47" i="2" s="1"/>
  <c r="H23" i="2"/>
  <c r="R23" i="2" s="1"/>
  <c r="R30" i="2" s="1"/>
  <c r="F30" i="2"/>
  <c r="H24" i="2"/>
  <c r="R24" i="2" s="1"/>
  <c r="R31" i="2" s="1"/>
  <c r="J48" i="2"/>
  <c r="H48" i="2"/>
  <c r="J24" i="2"/>
  <c r="T24" i="2" s="1"/>
  <c r="T31" i="2" s="1"/>
  <c r="F23" i="2"/>
  <c r="P23" i="2" s="1"/>
  <c r="P30" i="2" s="1"/>
  <c r="H49" i="2"/>
  <c r="F40" i="2"/>
  <c r="P40" i="2" s="1"/>
  <c r="P47" i="2" s="1"/>
  <c r="H31" i="2"/>
  <c r="F49" i="2"/>
  <c r="J41" i="2"/>
  <c r="T41" i="2" s="1"/>
  <c r="T48" i="2" s="1"/>
  <c r="J49" i="2"/>
  <c r="J47" i="2"/>
  <c r="F24" i="2"/>
  <c r="P24" i="2" s="1"/>
  <c r="P31" i="2" s="1"/>
  <c r="J23" i="2"/>
  <c r="T23" i="2" s="1"/>
  <c r="T30" i="2" s="1"/>
  <c r="F48" i="2"/>
  <c r="H47" i="2"/>
  <c r="F31" i="2"/>
  <c r="J33" i="106"/>
  <c r="L31" i="106"/>
  <c r="P23" i="106"/>
  <c r="R11" i="106"/>
  <c r="P36" i="106"/>
  <c r="N13" i="93"/>
  <c r="H34" i="77"/>
  <c r="H35" i="77" s="1"/>
  <c r="H38" i="77" s="1"/>
  <c r="R6" i="79"/>
  <c r="P8" i="79"/>
  <c r="L31" i="50"/>
  <c r="J33" i="50"/>
  <c r="R20" i="103"/>
  <c r="T18" i="103"/>
  <c r="L20" i="98"/>
  <c r="N18" i="98"/>
  <c r="N36" i="102"/>
  <c r="N23" i="102"/>
  <c r="P11" i="102"/>
  <c r="R13" i="100"/>
  <c r="T10" i="100"/>
  <c r="J21" i="98"/>
  <c r="J22" i="98" s="1"/>
  <c r="J25" i="98" s="1"/>
  <c r="L37" i="93"/>
  <c r="L24" i="93"/>
  <c r="N12" i="93"/>
  <c r="T22" i="99"/>
  <c r="J34" i="90"/>
  <c r="J35" i="90"/>
  <c r="J38" i="90" s="1"/>
  <c r="H21" i="94"/>
  <c r="H22" i="94"/>
  <c r="H25" i="94" s="1"/>
  <c r="L18" i="90"/>
  <c r="J20" i="90"/>
  <c r="P21" i="88"/>
  <c r="P22" i="88" s="1"/>
  <c r="P25" i="88" s="1"/>
  <c r="J34" i="85"/>
  <c r="J35" i="85"/>
  <c r="J38" i="85" s="1"/>
  <c r="J21" i="75"/>
  <c r="J22" i="75"/>
  <c r="J25" i="75" s="1"/>
  <c r="N8" i="73"/>
  <c r="P6" i="73"/>
  <c r="N36" i="78"/>
  <c r="P11" i="78"/>
  <c r="N23" i="78"/>
  <c r="N25" i="78" s="1"/>
  <c r="R37" i="77"/>
  <c r="R24" i="77"/>
  <c r="L13" i="73"/>
  <c r="H34" i="70"/>
  <c r="H35" i="70" s="1"/>
  <c r="H38" i="70" s="1"/>
  <c r="L9" i="38"/>
  <c r="L10" i="38"/>
  <c r="L13" i="38" s="1"/>
  <c r="P8" i="1"/>
  <c r="R6" i="1"/>
  <c r="L25" i="38"/>
  <c r="R6" i="48"/>
  <c r="P8" i="48"/>
  <c r="J9" i="32"/>
  <c r="J10" i="32"/>
  <c r="J15" i="32" s="1"/>
  <c r="L18" i="104"/>
  <c r="J20" i="104"/>
  <c r="L23" i="97"/>
  <c r="L25" i="97" s="1"/>
  <c r="N11" i="97"/>
  <c r="L36" i="97"/>
  <c r="L36" i="90"/>
  <c r="N11" i="90"/>
  <c r="L23" i="90"/>
  <c r="T35" i="88"/>
  <c r="R38" i="88"/>
  <c r="T8" i="74"/>
  <c r="R9" i="74"/>
  <c r="R10" i="74" s="1"/>
  <c r="J34" i="78"/>
  <c r="J35" i="78" s="1"/>
  <c r="J38" i="78" s="1"/>
  <c r="T8" i="50"/>
  <c r="R9" i="50"/>
  <c r="R10" i="50" s="1"/>
  <c r="N31" i="101"/>
  <c r="L33" i="101"/>
  <c r="P9" i="102"/>
  <c r="P10" i="102"/>
  <c r="N24" i="102"/>
  <c r="P12" i="102"/>
  <c r="N37" i="102"/>
  <c r="J21" i="96"/>
  <c r="J22" i="96"/>
  <c r="J25" i="96" s="1"/>
  <c r="L23" i="94"/>
  <c r="N11" i="94"/>
  <c r="N13" i="94" s="1"/>
  <c r="L36" i="94"/>
  <c r="L38" i="94" s="1"/>
  <c r="J20" i="94"/>
  <c r="L18" i="94"/>
  <c r="L9" i="79"/>
  <c r="L10" i="79" s="1"/>
  <c r="L13" i="79" s="1"/>
  <c r="J34" i="101"/>
  <c r="J35" i="101" s="1"/>
  <c r="J38" i="101" s="1"/>
  <c r="N18" i="96"/>
  <c r="L20" i="96"/>
  <c r="R34" i="96"/>
  <c r="R35" i="96" s="1"/>
  <c r="T33" i="96"/>
  <c r="N9" i="102"/>
  <c r="N10" i="102"/>
  <c r="N13" i="102" s="1"/>
  <c r="N36" i="101"/>
  <c r="N23" i="101"/>
  <c r="P11" i="101"/>
  <c r="L18" i="106"/>
  <c r="J20" i="106"/>
  <c r="P33" i="103"/>
  <c r="R31" i="103"/>
  <c r="L25" i="100"/>
  <c r="P37" i="103"/>
  <c r="R12" i="103"/>
  <c r="P24" i="103"/>
  <c r="P24" i="98"/>
  <c r="R12" i="98"/>
  <c r="P37" i="98"/>
  <c r="L13" i="97"/>
  <c r="P20" i="100"/>
  <c r="R18" i="100"/>
  <c r="R36" i="100"/>
  <c r="R23" i="100"/>
  <c r="L33" i="90"/>
  <c r="N31" i="90"/>
  <c r="R24" i="95"/>
  <c r="R37" i="95"/>
  <c r="P6" i="89"/>
  <c r="N8" i="89"/>
  <c r="R37" i="89"/>
  <c r="R24" i="89"/>
  <c r="N10" i="88"/>
  <c r="N13" i="88" s="1"/>
  <c r="N9" i="88"/>
  <c r="L10" i="88"/>
  <c r="L13" i="88" s="1"/>
  <c r="L9" i="88"/>
  <c r="J38" i="84"/>
  <c r="T35" i="84"/>
  <c r="L37" i="76"/>
  <c r="L38" i="76" s="1"/>
  <c r="N12" i="76"/>
  <c r="L24" i="76"/>
  <c r="P21" i="79"/>
  <c r="P22" i="79" s="1"/>
  <c r="T22" i="79"/>
  <c r="J34" i="77"/>
  <c r="J35" i="77" s="1"/>
  <c r="J38" i="77" s="1"/>
  <c r="P23" i="75"/>
  <c r="P36" i="75"/>
  <c r="R11" i="75"/>
  <c r="R13" i="75" s="1"/>
  <c r="N8" i="72"/>
  <c r="P6" i="72"/>
  <c r="L37" i="64"/>
  <c r="L24" i="64"/>
  <c r="N12" i="64"/>
  <c r="P13" i="75"/>
  <c r="N21" i="38"/>
  <c r="N22" i="38"/>
  <c r="N25" i="38" s="1"/>
  <c r="N10" i="1"/>
  <c r="N15" i="1" s="1"/>
  <c r="N9" i="1"/>
  <c r="H40" i="2"/>
  <c r="R40" i="2" s="1"/>
  <c r="R47" i="2" s="1"/>
  <c r="N9" i="48"/>
  <c r="N10" i="48"/>
  <c r="N13" i="48" s="1"/>
  <c r="L8" i="32"/>
  <c r="N6" i="32"/>
  <c r="N21" i="48"/>
  <c r="N22" i="48" s="1"/>
  <c r="N25" i="48" s="1"/>
  <c r="L9" i="85"/>
  <c r="L10" i="85"/>
  <c r="L13" i="85" s="1"/>
  <c r="N31" i="75"/>
  <c r="L33" i="75"/>
  <c r="R6" i="103"/>
  <c r="P8" i="103"/>
  <c r="R37" i="97"/>
  <c r="R24" i="97"/>
  <c r="L13" i="94"/>
  <c r="H22" i="90"/>
  <c r="H25" i="90" s="1"/>
  <c r="H21" i="90"/>
  <c r="L33" i="85"/>
  <c r="N31" i="85"/>
  <c r="L33" i="87"/>
  <c r="N31" i="87"/>
  <c r="N20" i="101"/>
  <c r="P18" i="101"/>
  <c r="J34" i="102"/>
  <c r="J35" i="102" s="1"/>
  <c r="J38" i="102" s="1"/>
  <c r="H21" i="98"/>
  <c r="H22" i="98"/>
  <c r="H25" i="98" s="1"/>
  <c r="T10" i="102"/>
  <c r="H21" i="106"/>
  <c r="H22" i="106" s="1"/>
  <c r="H25" i="106" s="1"/>
  <c r="J34" i="97"/>
  <c r="J35" i="97"/>
  <c r="J38" i="97" s="1"/>
  <c r="N21" i="100"/>
  <c r="N22" i="100"/>
  <c r="N25" i="100" s="1"/>
  <c r="R37" i="96"/>
  <c r="R24" i="96"/>
  <c r="N12" i="90"/>
  <c r="L37" i="90"/>
  <c r="L24" i="90"/>
  <c r="P38" i="96"/>
  <c r="L13" i="90"/>
  <c r="H21" i="89"/>
  <c r="H22" i="89"/>
  <c r="H25" i="89" s="1"/>
  <c r="N11" i="89"/>
  <c r="L36" i="89"/>
  <c r="L23" i="89"/>
  <c r="L25" i="89" s="1"/>
  <c r="L9" i="89"/>
  <c r="L10" i="89" s="1"/>
  <c r="L13" i="89" s="1"/>
  <c r="P8" i="88"/>
  <c r="R6" i="88"/>
  <c r="H34" i="87"/>
  <c r="H35" i="87" s="1"/>
  <c r="H38" i="87" s="1"/>
  <c r="N18" i="80"/>
  <c r="L20" i="80"/>
  <c r="L34" i="86"/>
  <c r="L35" i="86"/>
  <c r="L38" i="86" s="1"/>
  <c r="R11" i="86"/>
  <c r="P36" i="86"/>
  <c r="P23" i="86"/>
  <c r="P25" i="86" s="1"/>
  <c r="L34" i="74"/>
  <c r="L35" i="74"/>
  <c r="L38" i="74" s="1"/>
  <c r="L33" i="77"/>
  <c r="N31" i="77"/>
  <c r="N34" i="76"/>
  <c r="N35" i="76" s="1"/>
  <c r="R25" i="85"/>
  <c r="T22" i="85"/>
  <c r="P20" i="74"/>
  <c r="R18" i="74"/>
  <c r="L25" i="79"/>
  <c r="J21" i="74"/>
  <c r="J22" i="74"/>
  <c r="J25" i="74" s="1"/>
  <c r="L9" i="72"/>
  <c r="L10" i="72"/>
  <c r="L13" i="72" s="1"/>
  <c r="L20" i="50"/>
  <c r="N18" i="50"/>
  <c r="L24" i="70"/>
  <c r="N12" i="70"/>
  <c r="L37" i="70"/>
  <c r="N36" i="70"/>
  <c r="P11" i="70"/>
  <c r="N23" i="70"/>
  <c r="N11" i="72"/>
  <c r="L23" i="72"/>
  <c r="L25" i="72" s="1"/>
  <c r="L36" i="72"/>
  <c r="N20" i="64"/>
  <c r="P18" i="64"/>
  <c r="H25" i="2"/>
  <c r="R25" i="2" s="1"/>
  <c r="R32" i="2" s="1"/>
  <c r="P20" i="48"/>
  <c r="R18" i="48"/>
  <c r="N36" i="38"/>
  <c r="P11" i="38"/>
  <c r="N23" i="38"/>
  <c r="L33" i="95"/>
  <c r="N31" i="95"/>
  <c r="L36" i="77"/>
  <c r="N11" i="77"/>
  <c r="L23" i="77"/>
  <c r="L25" i="77" s="1"/>
  <c r="N20" i="73"/>
  <c r="P18" i="73"/>
  <c r="N9" i="38"/>
  <c r="N10" i="38" s="1"/>
  <c r="N13" i="38" s="1"/>
  <c r="L33" i="102"/>
  <c r="N31" i="102"/>
  <c r="L20" i="102"/>
  <c r="N18" i="102"/>
  <c r="J34" i="89"/>
  <c r="J35" i="89" s="1"/>
  <c r="J38" i="89" s="1"/>
  <c r="L48" i="89" s="1"/>
  <c r="J34" i="105"/>
  <c r="J35" i="105"/>
  <c r="J38" i="105" s="1"/>
  <c r="J20" i="105"/>
  <c r="L18" i="105"/>
  <c r="N23" i="104"/>
  <c r="N36" i="104"/>
  <c r="P11" i="104"/>
  <c r="J37" i="99"/>
  <c r="J38" i="99" s="1"/>
  <c r="J24" i="99"/>
  <c r="J25" i="99" s="1"/>
  <c r="L12" i="99"/>
  <c r="N8" i="99"/>
  <c r="P6" i="99"/>
  <c r="R36" i="98"/>
  <c r="R23" i="98"/>
  <c r="N12" i="106"/>
  <c r="L37" i="106"/>
  <c r="L24" i="106"/>
  <c r="L33" i="105"/>
  <c r="N31" i="105"/>
  <c r="H21" i="105"/>
  <c r="H22" i="105"/>
  <c r="H25" i="105" s="1"/>
  <c r="J36" i="105"/>
  <c r="L11" i="105"/>
  <c r="J23" i="105"/>
  <c r="T10" i="105"/>
  <c r="P6" i="101"/>
  <c r="N8" i="101"/>
  <c r="N31" i="97"/>
  <c r="L33" i="97"/>
  <c r="H34" i="93"/>
  <c r="H35" i="93" s="1"/>
  <c r="H38" i="93" s="1"/>
  <c r="J20" i="93"/>
  <c r="L18" i="93"/>
  <c r="P23" i="95"/>
  <c r="P25" i="95" s="1"/>
  <c r="R11" i="95"/>
  <c r="P36" i="95"/>
  <c r="R33" i="94"/>
  <c r="T31" i="94"/>
  <c r="J33" i="81"/>
  <c r="L31" i="81"/>
  <c r="P6" i="85"/>
  <c r="N8" i="85"/>
  <c r="J33" i="79"/>
  <c r="L31" i="79"/>
  <c r="R24" i="87"/>
  <c r="R25" i="87" s="1"/>
  <c r="R13" i="87"/>
  <c r="R37" i="87"/>
  <c r="R21" i="89"/>
  <c r="R22" i="89"/>
  <c r="T20" i="89"/>
  <c r="P31" i="86"/>
  <c r="N33" i="86"/>
  <c r="P8" i="77"/>
  <c r="R6" i="77"/>
  <c r="J10" i="76"/>
  <c r="J13" i="76" s="1"/>
  <c r="J9" i="76"/>
  <c r="L13" i="77"/>
  <c r="L33" i="78"/>
  <c r="N31" i="78"/>
  <c r="N27" i="32"/>
  <c r="P13" i="32"/>
  <c r="N42" i="32"/>
  <c r="L25" i="70"/>
  <c r="T20" i="72"/>
  <c r="R21" i="72"/>
  <c r="R22" i="72"/>
  <c r="J30" i="2"/>
  <c r="L21" i="64"/>
  <c r="L22" i="64"/>
  <c r="L25" i="64" s="1"/>
  <c r="R6" i="38"/>
  <c r="P8" i="38"/>
  <c r="N23" i="64"/>
  <c r="N36" i="64"/>
  <c r="P11" i="64"/>
  <c r="L36" i="50"/>
  <c r="N11" i="50"/>
  <c r="N13" i="50" s="1"/>
  <c r="L23" i="50"/>
  <c r="J31" i="2"/>
  <c r="N8" i="98" l="1"/>
  <c r="N9" i="98" s="1"/>
  <c r="N10" i="98" s="1"/>
  <c r="N13" i="98" s="1"/>
  <c r="P8" i="98"/>
  <c r="P9" i="98" s="1"/>
  <c r="P10" i="98" s="1"/>
  <c r="P13" i="98" s="1"/>
  <c r="R6" i="98"/>
  <c r="L33" i="98"/>
  <c r="L34" i="98" s="1"/>
  <c r="L35" i="98" s="1"/>
  <c r="L38" i="98" s="1"/>
  <c r="N31" i="98"/>
  <c r="J34" i="98"/>
  <c r="J35" i="98" s="1"/>
  <c r="J38" i="98" s="1"/>
  <c r="T8" i="106"/>
  <c r="R9" i="106"/>
  <c r="R10" i="106" s="1"/>
  <c r="T10" i="106" s="1"/>
  <c r="R13" i="74"/>
  <c r="T10" i="74"/>
  <c r="T22" i="70"/>
  <c r="T10" i="94"/>
  <c r="R38" i="96"/>
  <c r="T35" i="96"/>
  <c r="D56" i="75"/>
  <c r="D57" i="75"/>
  <c r="D58" i="75"/>
  <c r="D65" i="75"/>
  <c r="D63" i="75"/>
  <c r="T13" i="75"/>
  <c r="D64" i="75"/>
  <c r="N25" i="70"/>
  <c r="T10" i="50"/>
  <c r="L34" i="105"/>
  <c r="L35" i="105"/>
  <c r="P31" i="85"/>
  <c r="N33" i="85"/>
  <c r="P34" i="103"/>
  <c r="P35" i="103"/>
  <c r="R36" i="106"/>
  <c r="R23" i="106"/>
  <c r="J34" i="38"/>
  <c r="J35" i="38"/>
  <c r="J38" i="38" s="1"/>
  <c r="P34" i="48"/>
  <c r="P35" i="48" s="1"/>
  <c r="P38" i="48" s="1"/>
  <c r="T6" i="77"/>
  <c r="R8" i="77"/>
  <c r="J21" i="105"/>
  <c r="J22" i="105"/>
  <c r="J25" i="105" s="1"/>
  <c r="L34" i="75"/>
  <c r="L35" i="75"/>
  <c r="L38" i="75" s="1"/>
  <c r="P24" i="102"/>
  <c r="R12" i="102"/>
  <c r="P37" i="102"/>
  <c r="L33" i="38"/>
  <c r="N31" i="38"/>
  <c r="R6" i="95"/>
  <c r="P8" i="95"/>
  <c r="R6" i="86"/>
  <c r="P8" i="86"/>
  <c r="F57" i="87"/>
  <c r="T25" i="87"/>
  <c r="F64" i="87"/>
  <c r="F65" i="87"/>
  <c r="F58" i="87"/>
  <c r="F63" i="87"/>
  <c r="F56" i="87"/>
  <c r="L37" i="99"/>
  <c r="L38" i="99" s="1"/>
  <c r="L24" i="99"/>
  <c r="L25" i="99" s="1"/>
  <c r="N12" i="99"/>
  <c r="L34" i="95"/>
  <c r="L35" i="95" s="1"/>
  <c r="L38" i="95" s="1"/>
  <c r="N21" i="64"/>
  <c r="N22" i="64" s="1"/>
  <c r="N25" i="64" s="1"/>
  <c r="P12" i="70"/>
  <c r="N37" i="70"/>
  <c r="N24" i="70"/>
  <c r="L34" i="77"/>
  <c r="L35" i="77"/>
  <c r="L38" i="77" s="1"/>
  <c r="L21" i="80"/>
  <c r="L22" i="80"/>
  <c r="L25" i="80" s="1"/>
  <c r="P31" i="75"/>
  <c r="N33" i="75"/>
  <c r="L20" i="106"/>
  <c r="N18" i="106"/>
  <c r="J21" i="94"/>
  <c r="J22" i="94" s="1"/>
  <c r="J25" i="94" s="1"/>
  <c r="P11" i="90"/>
  <c r="N23" i="90"/>
  <c r="N36" i="90"/>
  <c r="P36" i="78"/>
  <c r="R11" i="78"/>
  <c r="P23" i="78"/>
  <c r="P25" i="78" s="1"/>
  <c r="L21" i="98"/>
  <c r="L22" i="98" s="1"/>
  <c r="L25" i="98" s="1"/>
  <c r="N31" i="106"/>
  <c r="L33" i="106"/>
  <c r="L21" i="76"/>
  <c r="L22" i="76"/>
  <c r="L25" i="76" s="1"/>
  <c r="T20" i="38"/>
  <c r="R21" i="38"/>
  <c r="R22" i="38" s="1"/>
  <c r="L34" i="89"/>
  <c r="L35" i="89" s="1"/>
  <c r="L38" i="89" s="1"/>
  <c r="N9" i="95"/>
  <c r="N10" i="95"/>
  <c r="N13" i="95" s="1"/>
  <c r="L22" i="32"/>
  <c r="N20" i="32"/>
  <c r="N9" i="86"/>
  <c r="N10" i="86"/>
  <c r="N13" i="86" s="1"/>
  <c r="D57" i="84"/>
  <c r="D64" i="84"/>
  <c r="D58" i="84"/>
  <c r="T13" i="84"/>
  <c r="D56" i="84"/>
  <c r="D65" i="84"/>
  <c r="D63" i="84"/>
  <c r="D63" i="96"/>
  <c r="D56" i="96"/>
  <c r="D57" i="96"/>
  <c r="D58" i="96"/>
  <c r="T13" i="96"/>
  <c r="D64" i="96"/>
  <c r="D65" i="96"/>
  <c r="P9" i="38"/>
  <c r="P10" i="38"/>
  <c r="P13" i="38" s="1"/>
  <c r="R8" i="103"/>
  <c r="T6" i="103"/>
  <c r="N31" i="104"/>
  <c r="L33" i="104"/>
  <c r="P20" i="64"/>
  <c r="R18" i="64"/>
  <c r="R37" i="98"/>
  <c r="R24" i="98"/>
  <c r="P9" i="77"/>
  <c r="P10" i="77" s="1"/>
  <c r="P13" i="77" s="1"/>
  <c r="T18" i="74"/>
  <c r="R20" i="74"/>
  <c r="N20" i="80"/>
  <c r="P18" i="80"/>
  <c r="N37" i="90"/>
  <c r="N24" i="90"/>
  <c r="P12" i="90"/>
  <c r="N9" i="89"/>
  <c r="N10" i="89"/>
  <c r="N13" i="89" s="1"/>
  <c r="P36" i="101"/>
  <c r="P23" i="101"/>
  <c r="R11" i="101"/>
  <c r="L21" i="96"/>
  <c r="L22" i="96" s="1"/>
  <c r="L25" i="96" s="1"/>
  <c r="P13" i="102"/>
  <c r="P9" i="48"/>
  <c r="P10" i="48"/>
  <c r="P13" i="48" s="1"/>
  <c r="J34" i="106"/>
  <c r="J35" i="106" s="1"/>
  <c r="J38" i="106" s="1"/>
  <c r="N20" i="76"/>
  <c r="P18" i="76"/>
  <c r="N33" i="72"/>
  <c r="P31" i="72"/>
  <c r="P31" i="73"/>
  <c r="N33" i="73"/>
  <c r="N33" i="89"/>
  <c r="P31" i="89"/>
  <c r="J23" i="32"/>
  <c r="J24" i="32"/>
  <c r="J29" i="32" s="1"/>
  <c r="N23" i="93"/>
  <c r="N36" i="93"/>
  <c r="P11" i="93"/>
  <c r="P37" i="105"/>
  <c r="R12" i="105"/>
  <c r="P24" i="105"/>
  <c r="R21" i="77"/>
  <c r="R22" i="77"/>
  <c r="T20" i="77"/>
  <c r="L20" i="105"/>
  <c r="N18" i="105"/>
  <c r="L10" i="32"/>
  <c r="L15" i="32" s="1"/>
  <c r="L9" i="32"/>
  <c r="L20" i="104"/>
  <c r="N18" i="104"/>
  <c r="P8" i="70"/>
  <c r="R6" i="70"/>
  <c r="D65" i="87"/>
  <c r="D64" i="87"/>
  <c r="D63" i="87"/>
  <c r="D58" i="87"/>
  <c r="D56" i="87"/>
  <c r="D57" i="87"/>
  <c r="T13" i="87"/>
  <c r="N33" i="95"/>
  <c r="P31" i="95"/>
  <c r="P12" i="76"/>
  <c r="N37" i="76"/>
  <c r="N38" i="76" s="1"/>
  <c r="N24" i="76"/>
  <c r="J21" i="106"/>
  <c r="J22" i="106" s="1"/>
  <c r="J25" i="106" s="1"/>
  <c r="N20" i="98"/>
  <c r="P18" i="98"/>
  <c r="R37" i="50"/>
  <c r="R24" i="50"/>
  <c r="P37" i="48"/>
  <c r="P24" i="48"/>
  <c r="R12" i="48"/>
  <c r="R12" i="104"/>
  <c r="P37" i="104"/>
  <c r="P24" i="104"/>
  <c r="P25" i="75"/>
  <c r="H65" i="74"/>
  <c r="H64" i="74"/>
  <c r="H57" i="74"/>
  <c r="H63" i="74"/>
  <c r="H58" i="74"/>
  <c r="H56" i="74"/>
  <c r="T38" i="74"/>
  <c r="P42" i="32"/>
  <c r="P27" i="32"/>
  <c r="R13" i="32"/>
  <c r="T33" i="94"/>
  <c r="R34" i="94"/>
  <c r="R35" i="94" s="1"/>
  <c r="P11" i="50"/>
  <c r="N23" i="50"/>
  <c r="N36" i="50"/>
  <c r="N34" i="86"/>
  <c r="N35" i="86"/>
  <c r="N38" i="86" s="1"/>
  <c r="N31" i="79"/>
  <c r="L33" i="79"/>
  <c r="N11" i="105"/>
  <c r="L36" i="105"/>
  <c r="L23" i="105"/>
  <c r="L13" i="105"/>
  <c r="N24" i="106"/>
  <c r="N37" i="106"/>
  <c r="P12" i="106"/>
  <c r="N13" i="106"/>
  <c r="N33" i="78"/>
  <c r="P31" i="78"/>
  <c r="R31" i="86"/>
  <c r="P33" i="86"/>
  <c r="J34" i="79"/>
  <c r="J35" i="79" s="1"/>
  <c r="J38" i="79" s="1"/>
  <c r="R36" i="95"/>
  <c r="R23" i="95"/>
  <c r="R25" i="95" s="1"/>
  <c r="L34" i="97"/>
  <c r="L35" i="97"/>
  <c r="L38" i="97" s="1"/>
  <c r="P20" i="73"/>
  <c r="R18" i="73"/>
  <c r="P23" i="38"/>
  <c r="P25" i="38" s="1"/>
  <c r="P36" i="38"/>
  <c r="R11" i="38"/>
  <c r="N20" i="50"/>
  <c r="P18" i="50"/>
  <c r="P21" i="74"/>
  <c r="P22" i="74" s="1"/>
  <c r="P25" i="74" s="1"/>
  <c r="P11" i="89"/>
  <c r="N23" i="89"/>
  <c r="N25" i="89" s="1"/>
  <c r="N36" i="89"/>
  <c r="R18" i="101"/>
  <c r="P20" i="101"/>
  <c r="R6" i="72"/>
  <c r="P8" i="72"/>
  <c r="T38" i="84"/>
  <c r="H64" i="84"/>
  <c r="H63" i="84"/>
  <c r="H58" i="84"/>
  <c r="H56" i="84"/>
  <c r="H57" i="84"/>
  <c r="H65" i="84"/>
  <c r="P8" i="89"/>
  <c r="R6" i="89"/>
  <c r="R24" i="103"/>
  <c r="R37" i="103"/>
  <c r="P18" i="96"/>
  <c r="N20" i="96"/>
  <c r="N36" i="94"/>
  <c r="N38" i="94" s="1"/>
  <c r="P11" i="94"/>
  <c r="N23" i="94"/>
  <c r="T6" i="48"/>
  <c r="R8" i="48"/>
  <c r="R6" i="73"/>
  <c r="P8" i="73"/>
  <c r="J21" i="90"/>
  <c r="J22" i="90" s="1"/>
  <c r="J25" i="90" s="1"/>
  <c r="R21" i="103"/>
  <c r="R22" i="103"/>
  <c r="T20" i="103"/>
  <c r="N31" i="70"/>
  <c r="L33" i="70"/>
  <c r="P23" i="79"/>
  <c r="P25" i="79" s="1"/>
  <c r="R11" i="79"/>
  <c r="P36" i="79"/>
  <c r="L34" i="72"/>
  <c r="L35" i="72"/>
  <c r="L38" i="72" s="1"/>
  <c r="L34" i="73"/>
  <c r="L35" i="73" s="1"/>
  <c r="L38" i="73" s="1"/>
  <c r="P6" i="76"/>
  <c r="N8" i="76"/>
  <c r="J34" i="81"/>
  <c r="J35" i="81"/>
  <c r="J38" i="81" s="1"/>
  <c r="N33" i="90"/>
  <c r="P31" i="90"/>
  <c r="N33" i="64"/>
  <c r="P31" i="64"/>
  <c r="N33" i="77"/>
  <c r="P31" i="77"/>
  <c r="N37" i="64"/>
  <c r="N24" i="64"/>
  <c r="P12" i="64"/>
  <c r="T6" i="79"/>
  <c r="R8" i="79"/>
  <c r="N21" i="73"/>
  <c r="N22" i="73" s="1"/>
  <c r="N25" i="73" s="1"/>
  <c r="P11" i="72"/>
  <c r="N36" i="72"/>
  <c r="N23" i="72"/>
  <c r="N25" i="72" s="1"/>
  <c r="L21" i="50"/>
  <c r="L22" i="50" s="1"/>
  <c r="L25" i="50" s="1"/>
  <c r="N21" i="101"/>
  <c r="N22" i="101" s="1"/>
  <c r="N25" i="101" s="1"/>
  <c r="N9" i="72"/>
  <c r="N10" i="72" s="1"/>
  <c r="N13" i="72" s="1"/>
  <c r="T18" i="100"/>
  <c r="R20" i="100"/>
  <c r="L35" i="101"/>
  <c r="L38" i="101" s="1"/>
  <c r="L34" i="101"/>
  <c r="N23" i="97"/>
  <c r="N25" i="97" s="1"/>
  <c r="N36" i="97"/>
  <c r="P11" i="97"/>
  <c r="N9" i="73"/>
  <c r="N10" i="73"/>
  <c r="N13" i="73" s="1"/>
  <c r="L20" i="90"/>
  <c r="N18" i="90"/>
  <c r="D57" i="100"/>
  <c r="D56" i="100"/>
  <c r="T13" i="100"/>
  <c r="D64" i="100"/>
  <c r="D63" i="100"/>
  <c r="D58" i="100"/>
  <c r="D65" i="100"/>
  <c r="J35" i="50"/>
  <c r="J38" i="50" s="1"/>
  <c r="J34" i="50"/>
  <c r="J34" i="70"/>
  <c r="J35" i="70"/>
  <c r="J38" i="70" s="1"/>
  <c r="P9" i="97"/>
  <c r="P10" i="97"/>
  <c r="P13" i="97" s="1"/>
  <c r="R21" i="75"/>
  <c r="R22" i="75"/>
  <c r="T20" i="75"/>
  <c r="N9" i="78"/>
  <c r="N10" i="78" s="1"/>
  <c r="N13" i="78" s="1"/>
  <c r="P23" i="80"/>
  <c r="R11" i="80"/>
  <c r="P36" i="80"/>
  <c r="P38" i="80" s="1"/>
  <c r="P13" i="80"/>
  <c r="L9" i="76"/>
  <c r="L10" i="76"/>
  <c r="L13" i="76" s="1"/>
  <c r="N33" i="93"/>
  <c r="P31" i="93"/>
  <c r="P9" i="79"/>
  <c r="P10" i="79" s="1"/>
  <c r="P13" i="79" s="1"/>
  <c r="R11" i="103"/>
  <c r="P36" i="103"/>
  <c r="P23" i="103"/>
  <c r="P25" i="103" s="1"/>
  <c r="L34" i="85"/>
  <c r="L35" i="85" s="1"/>
  <c r="L38" i="85" s="1"/>
  <c r="L34" i="64"/>
  <c r="L35" i="64"/>
  <c r="L38" i="64" s="1"/>
  <c r="P36" i="64"/>
  <c r="P23" i="64"/>
  <c r="R11" i="64"/>
  <c r="L34" i="78"/>
  <c r="L35" i="78"/>
  <c r="L38" i="78" s="1"/>
  <c r="N9" i="85"/>
  <c r="N10" i="85"/>
  <c r="N13" i="85" s="1"/>
  <c r="N33" i="97"/>
  <c r="P31" i="97"/>
  <c r="P8" i="85"/>
  <c r="R6" i="85"/>
  <c r="R20" i="48"/>
  <c r="T18" i="48"/>
  <c r="F57" i="85"/>
  <c r="F64" i="85"/>
  <c r="F65" i="85"/>
  <c r="T25" i="85"/>
  <c r="F56" i="85"/>
  <c r="F58" i="85"/>
  <c r="F63" i="85"/>
  <c r="P22" i="100"/>
  <c r="P25" i="100" s="1"/>
  <c r="P21" i="100"/>
  <c r="P31" i="101"/>
  <c r="N33" i="101"/>
  <c r="R8" i="1"/>
  <c r="X6" i="1"/>
  <c r="T6" i="1"/>
  <c r="N13" i="90"/>
  <c r="P23" i="102"/>
  <c r="R11" i="102"/>
  <c r="P36" i="102"/>
  <c r="L33" i="50"/>
  <c r="N31" i="50"/>
  <c r="T6" i="97"/>
  <c r="R8" i="97"/>
  <c r="P13" i="50"/>
  <c r="T33" i="76"/>
  <c r="R34" i="76"/>
  <c r="R35" i="76"/>
  <c r="R21" i="81"/>
  <c r="T20" i="81"/>
  <c r="R22" i="81"/>
  <c r="T8" i="90"/>
  <c r="R9" i="90"/>
  <c r="R10" i="90" s="1"/>
  <c r="N37" i="32"/>
  <c r="P35" i="32"/>
  <c r="R6" i="78"/>
  <c r="P8" i="78"/>
  <c r="P11" i="73"/>
  <c r="N36" i="73"/>
  <c r="N23" i="73"/>
  <c r="P13" i="90"/>
  <c r="T33" i="100"/>
  <c r="R34" i="100"/>
  <c r="R35" i="100" s="1"/>
  <c r="P6" i="104"/>
  <c r="N8" i="104"/>
  <c r="R6" i="64"/>
  <c r="P8" i="64"/>
  <c r="N13" i="77"/>
  <c r="L34" i="93"/>
  <c r="L35" i="93" s="1"/>
  <c r="L38" i="93" s="1"/>
  <c r="N13" i="97"/>
  <c r="P31" i="102"/>
  <c r="N33" i="102"/>
  <c r="R8" i="38"/>
  <c r="T6" i="38"/>
  <c r="L34" i="102"/>
  <c r="L35" i="102"/>
  <c r="L38" i="102" s="1"/>
  <c r="L34" i="90"/>
  <c r="L35" i="90" s="1"/>
  <c r="L38" i="90" s="1"/>
  <c r="L20" i="94"/>
  <c r="N18" i="94"/>
  <c r="T22" i="88"/>
  <c r="R25" i="88"/>
  <c r="T22" i="72"/>
  <c r="P23" i="104"/>
  <c r="R11" i="104"/>
  <c r="P36" i="104"/>
  <c r="T22" i="89"/>
  <c r="L20" i="93"/>
  <c r="N18" i="93"/>
  <c r="N9" i="101"/>
  <c r="N10" i="101" s="1"/>
  <c r="N13" i="101" s="1"/>
  <c r="R6" i="99"/>
  <c r="P8" i="99"/>
  <c r="N20" i="102"/>
  <c r="P18" i="102"/>
  <c r="T6" i="88"/>
  <c r="R8" i="88"/>
  <c r="P31" i="87"/>
  <c r="N33" i="87"/>
  <c r="N31" i="81"/>
  <c r="L33" i="81"/>
  <c r="J21" i="93"/>
  <c r="J22" i="93" s="1"/>
  <c r="J25" i="93" s="1"/>
  <c r="R6" i="101"/>
  <c r="P8" i="101"/>
  <c r="N33" i="105"/>
  <c r="P31" i="105"/>
  <c r="N9" i="99"/>
  <c r="N10" i="99"/>
  <c r="N13" i="99" s="1"/>
  <c r="L21" i="102"/>
  <c r="L22" i="102" s="1"/>
  <c r="L25" i="102" s="1"/>
  <c r="N23" i="77"/>
  <c r="N25" i="77" s="1"/>
  <c r="N36" i="77"/>
  <c r="P11" i="77"/>
  <c r="P21" i="48"/>
  <c r="P22" i="48" s="1"/>
  <c r="P25" i="48" s="1"/>
  <c r="P23" i="70"/>
  <c r="R11" i="70"/>
  <c r="P36" i="70"/>
  <c r="R23" i="86"/>
  <c r="R25" i="86" s="1"/>
  <c r="R36" i="86"/>
  <c r="P9" i="88"/>
  <c r="P10" i="88"/>
  <c r="P13" i="88" s="1"/>
  <c r="L34" i="87"/>
  <c r="L35" i="87"/>
  <c r="L38" i="87" s="1"/>
  <c r="P9" i="103"/>
  <c r="P10" i="103"/>
  <c r="P13" i="103" s="1"/>
  <c r="N8" i="32"/>
  <c r="P6" i="32"/>
  <c r="R23" i="75"/>
  <c r="R36" i="75"/>
  <c r="R33" i="103"/>
  <c r="T31" i="103"/>
  <c r="H56" i="88"/>
  <c r="H57" i="88"/>
  <c r="H64" i="88"/>
  <c r="H65" i="88"/>
  <c r="H63" i="88"/>
  <c r="H58" i="88"/>
  <c r="T38" i="88"/>
  <c r="J21" i="104"/>
  <c r="J22" i="104"/>
  <c r="J25" i="104" s="1"/>
  <c r="P9" i="1"/>
  <c r="P10" i="1"/>
  <c r="P15" i="1" s="1"/>
  <c r="P12" i="93"/>
  <c r="N24" i="93"/>
  <c r="N37" i="93"/>
  <c r="R33" i="48"/>
  <c r="T31" i="48"/>
  <c r="N9" i="70"/>
  <c r="N10" i="70"/>
  <c r="N13" i="70" s="1"/>
  <c r="J34" i="104"/>
  <c r="J35" i="104" s="1"/>
  <c r="J38" i="104" s="1"/>
  <c r="L38" i="32"/>
  <c r="L39" i="32"/>
  <c r="L44" i="32" s="1"/>
  <c r="L9" i="104"/>
  <c r="L10" i="104" s="1"/>
  <c r="L13" i="104" s="1"/>
  <c r="N9" i="64"/>
  <c r="N10" i="64"/>
  <c r="N13" i="64" s="1"/>
  <c r="L13" i="99"/>
  <c r="T6" i="98" l="1"/>
  <c r="R8" i="98"/>
  <c r="N33" i="98"/>
  <c r="P31" i="98"/>
  <c r="R38" i="100"/>
  <c r="T35" i="100"/>
  <c r="T35" i="94"/>
  <c r="T22" i="38"/>
  <c r="R25" i="38"/>
  <c r="T10" i="90"/>
  <c r="R8" i="101"/>
  <c r="T6" i="101"/>
  <c r="N20" i="90"/>
  <c r="P18" i="90"/>
  <c r="N34" i="75"/>
  <c r="N35" i="75" s="1"/>
  <c r="N38" i="75" s="1"/>
  <c r="P20" i="102"/>
  <c r="R18" i="102"/>
  <c r="T22" i="75"/>
  <c r="R25" i="75"/>
  <c r="P9" i="89"/>
  <c r="P10" i="89" s="1"/>
  <c r="P13" i="89" s="1"/>
  <c r="P9" i="72"/>
  <c r="P10" i="72"/>
  <c r="P13" i="72" s="1"/>
  <c r="R12" i="76"/>
  <c r="P37" i="76"/>
  <c r="P38" i="76" s="1"/>
  <c r="P24" i="76"/>
  <c r="N20" i="105"/>
  <c r="P18" i="105"/>
  <c r="N34" i="73"/>
  <c r="N35" i="73" s="1"/>
  <c r="N38" i="73" s="1"/>
  <c r="L35" i="104"/>
  <c r="L38" i="104" s="1"/>
  <c r="L34" i="104"/>
  <c r="P33" i="75"/>
  <c r="R31" i="75"/>
  <c r="P37" i="70"/>
  <c r="P24" i="70"/>
  <c r="R12" i="70"/>
  <c r="T6" i="86"/>
  <c r="R8" i="86"/>
  <c r="L38" i="105"/>
  <c r="P9" i="64"/>
  <c r="P10" i="64"/>
  <c r="P13" i="64" s="1"/>
  <c r="P21" i="73"/>
  <c r="P22" i="73" s="1"/>
  <c r="P25" i="73" s="1"/>
  <c r="H64" i="96"/>
  <c r="H56" i="96"/>
  <c r="H58" i="96"/>
  <c r="T38" i="96"/>
  <c r="H57" i="96"/>
  <c r="H63" i="96"/>
  <c r="H65" i="96"/>
  <c r="T8" i="38"/>
  <c r="R9" i="38"/>
  <c r="R10" i="38"/>
  <c r="T8" i="97"/>
  <c r="R9" i="97"/>
  <c r="R10" i="97"/>
  <c r="P33" i="90"/>
  <c r="R31" i="90"/>
  <c r="N21" i="102"/>
  <c r="N22" i="102" s="1"/>
  <c r="N25" i="102" s="1"/>
  <c r="P18" i="94"/>
  <c r="N20" i="94"/>
  <c r="N34" i="102"/>
  <c r="N35" i="102"/>
  <c r="N38" i="102" s="1"/>
  <c r="N10" i="104"/>
  <c r="N13" i="104" s="1"/>
  <c r="N9" i="104"/>
  <c r="R11" i="73"/>
  <c r="P36" i="73"/>
  <c r="P23" i="73"/>
  <c r="T22" i="81"/>
  <c r="R25" i="81"/>
  <c r="T6" i="85"/>
  <c r="R8" i="85"/>
  <c r="R36" i="64"/>
  <c r="R23" i="64"/>
  <c r="N34" i="90"/>
  <c r="N35" i="90"/>
  <c r="N38" i="90" s="1"/>
  <c r="P23" i="94"/>
  <c r="P36" i="94"/>
  <c r="P38" i="94" s="1"/>
  <c r="R11" i="94"/>
  <c r="P13" i="94"/>
  <c r="T6" i="72"/>
  <c r="R8" i="72"/>
  <c r="P20" i="50"/>
  <c r="R18" i="50"/>
  <c r="N34" i="78"/>
  <c r="N35" i="78" s="1"/>
  <c r="N38" i="78" s="1"/>
  <c r="P11" i="105"/>
  <c r="N36" i="105"/>
  <c r="N23" i="105"/>
  <c r="N13" i="105"/>
  <c r="R31" i="95"/>
  <c r="P33" i="95"/>
  <c r="L21" i="105"/>
  <c r="L22" i="105" s="1"/>
  <c r="L25" i="105" s="1"/>
  <c r="R11" i="93"/>
  <c r="P23" i="93"/>
  <c r="P36" i="93"/>
  <c r="P33" i="73"/>
  <c r="R31" i="73"/>
  <c r="P31" i="104"/>
  <c r="N33" i="104"/>
  <c r="L34" i="106"/>
  <c r="L35" i="106" s="1"/>
  <c r="L38" i="106" s="1"/>
  <c r="P9" i="95"/>
  <c r="P10" i="95" s="1"/>
  <c r="P13" i="95" s="1"/>
  <c r="F57" i="86"/>
  <c r="T25" i="86"/>
  <c r="F64" i="86"/>
  <c r="F65" i="86"/>
  <c r="F58" i="86"/>
  <c r="F56" i="86"/>
  <c r="F63" i="86"/>
  <c r="P21" i="64"/>
  <c r="P22" i="64"/>
  <c r="P37" i="64"/>
  <c r="R12" i="64"/>
  <c r="P24" i="64"/>
  <c r="L34" i="81"/>
  <c r="L35" i="81"/>
  <c r="L38" i="81" s="1"/>
  <c r="L22" i="94"/>
  <c r="L25" i="94" s="1"/>
  <c r="L21" i="94"/>
  <c r="P9" i="78"/>
  <c r="P10" i="78" s="1"/>
  <c r="P13" i="78" s="1"/>
  <c r="P9" i="85"/>
  <c r="P10" i="85"/>
  <c r="P13" i="85" s="1"/>
  <c r="P36" i="72"/>
  <c r="P23" i="72"/>
  <c r="P25" i="72" s="1"/>
  <c r="R11" i="72"/>
  <c r="P21" i="101"/>
  <c r="P22" i="101"/>
  <c r="P25" i="101" s="1"/>
  <c r="N21" i="50"/>
  <c r="N22" i="50"/>
  <c r="N25" i="50" s="1"/>
  <c r="T25" i="95"/>
  <c r="F58" i="95"/>
  <c r="F56" i="95"/>
  <c r="F63" i="95"/>
  <c r="F65" i="95"/>
  <c r="F64" i="95"/>
  <c r="F57" i="95"/>
  <c r="P20" i="98"/>
  <c r="R18" i="98"/>
  <c r="N34" i="95"/>
  <c r="N35" i="95"/>
  <c r="N38" i="95" s="1"/>
  <c r="T6" i="70"/>
  <c r="R8" i="70"/>
  <c r="R31" i="72"/>
  <c r="P33" i="72"/>
  <c r="P24" i="90"/>
  <c r="P37" i="90"/>
  <c r="R12" i="90"/>
  <c r="P31" i="106"/>
  <c r="N33" i="106"/>
  <c r="P23" i="90"/>
  <c r="P36" i="90"/>
  <c r="R11" i="90"/>
  <c r="R8" i="95"/>
  <c r="T6" i="95"/>
  <c r="T6" i="89"/>
  <c r="R8" i="89"/>
  <c r="T31" i="86"/>
  <c r="R33" i="86"/>
  <c r="R27" i="32"/>
  <c r="R42" i="32"/>
  <c r="R37" i="105"/>
  <c r="R24" i="105"/>
  <c r="T20" i="74"/>
  <c r="R21" i="74"/>
  <c r="R22" i="74"/>
  <c r="L23" i="32"/>
  <c r="L24" i="32"/>
  <c r="L29" i="32" s="1"/>
  <c r="R31" i="85"/>
  <c r="P33" i="85"/>
  <c r="R21" i="100"/>
  <c r="R22" i="100" s="1"/>
  <c r="T20" i="100"/>
  <c r="P33" i="78"/>
  <c r="R31" i="78"/>
  <c r="R23" i="70"/>
  <c r="R36" i="70"/>
  <c r="P25" i="70"/>
  <c r="P9" i="99"/>
  <c r="P10" i="99" s="1"/>
  <c r="P13" i="99" s="1"/>
  <c r="P33" i="102"/>
  <c r="R31" i="102"/>
  <c r="P8" i="104"/>
  <c r="R6" i="104"/>
  <c r="R23" i="103"/>
  <c r="R25" i="103" s="1"/>
  <c r="R36" i="103"/>
  <c r="R34" i="48"/>
  <c r="R35" i="48" s="1"/>
  <c r="T33" i="48"/>
  <c r="T33" i="103"/>
  <c r="R34" i="103"/>
  <c r="R35" i="103"/>
  <c r="N33" i="81"/>
  <c r="P31" i="81"/>
  <c r="T6" i="99"/>
  <c r="R8" i="99"/>
  <c r="R36" i="104"/>
  <c r="R23" i="104"/>
  <c r="R8" i="78"/>
  <c r="T6" i="78"/>
  <c r="N33" i="50"/>
  <c r="P31" i="50"/>
  <c r="T8" i="1"/>
  <c r="R9" i="1"/>
  <c r="R10" i="1"/>
  <c r="P33" i="97"/>
  <c r="R31" i="97"/>
  <c r="R36" i="80"/>
  <c r="R38" i="80" s="1"/>
  <c r="R13" i="80"/>
  <c r="R23" i="80"/>
  <c r="P36" i="97"/>
  <c r="P23" i="97"/>
  <c r="P25" i="97" s="1"/>
  <c r="R11" i="97"/>
  <c r="R31" i="77"/>
  <c r="P33" i="77"/>
  <c r="R23" i="79"/>
  <c r="R25" i="79" s="1"/>
  <c r="R36" i="79"/>
  <c r="N21" i="96"/>
  <c r="N22" i="96"/>
  <c r="N25" i="96" s="1"/>
  <c r="R20" i="101"/>
  <c r="T18" i="101"/>
  <c r="R36" i="38"/>
  <c r="R23" i="38"/>
  <c r="P24" i="106"/>
  <c r="P37" i="106"/>
  <c r="R12" i="106"/>
  <c r="P13" i="106"/>
  <c r="P23" i="50"/>
  <c r="R11" i="50"/>
  <c r="P36" i="50"/>
  <c r="N21" i="98"/>
  <c r="N22" i="98" s="1"/>
  <c r="N25" i="98" s="1"/>
  <c r="P9" i="70"/>
  <c r="P10" i="70" s="1"/>
  <c r="P13" i="70" s="1"/>
  <c r="N35" i="72"/>
  <c r="N38" i="72" s="1"/>
  <c r="N34" i="72"/>
  <c r="P13" i="93"/>
  <c r="T8" i="103"/>
  <c r="R9" i="103"/>
  <c r="R10" i="103"/>
  <c r="N33" i="38"/>
  <c r="P31" i="38"/>
  <c r="L21" i="93"/>
  <c r="L22" i="93" s="1"/>
  <c r="L25" i="93" s="1"/>
  <c r="P9" i="86"/>
  <c r="P10" i="86"/>
  <c r="P13" i="86" s="1"/>
  <c r="R31" i="105"/>
  <c r="P33" i="105"/>
  <c r="P37" i="32"/>
  <c r="R35" i="32"/>
  <c r="T35" i="76"/>
  <c r="L34" i="50"/>
  <c r="L35" i="50"/>
  <c r="L38" i="50" s="1"/>
  <c r="N34" i="101"/>
  <c r="N35" i="101"/>
  <c r="N38" i="101" s="1"/>
  <c r="N34" i="97"/>
  <c r="N35" i="97" s="1"/>
  <c r="N38" i="97" s="1"/>
  <c r="N34" i="77"/>
  <c r="N35" i="77" s="1"/>
  <c r="N38" i="77" s="1"/>
  <c r="N9" i="76"/>
  <c r="N10" i="76"/>
  <c r="N13" i="76" s="1"/>
  <c r="P9" i="73"/>
  <c r="P10" i="73" s="1"/>
  <c r="P13" i="73" s="1"/>
  <c r="P20" i="96"/>
  <c r="R18" i="96"/>
  <c r="R37" i="104"/>
  <c r="R24" i="104"/>
  <c r="N20" i="104"/>
  <c r="P18" i="104"/>
  <c r="T22" i="77"/>
  <c r="R18" i="76"/>
  <c r="P20" i="76"/>
  <c r="L34" i="38"/>
  <c r="L35" i="38" s="1"/>
  <c r="L38" i="38" s="1"/>
  <c r="R9" i="77"/>
  <c r="R10" i="77" s="1"/>
  <c r="T8" i="77"/>
  <c r="P38" i="103"/>
  <c r="N9" i="32"/>
  <c r="N10" i="32"/>
  <c r="N15" i="32" s="1"/>
  <c r="F63" i="88"/>
  <c r="F64" i="88"/>
  <c r="F65" i="88"/>
  <c r="F57" i="88"/>
  <c r="T25" i="88"/>
  <c r="F56" i="88"/>
  <c r="F58" i="88"/>
  <c r="T6" i="64"/>
  <c r="R8" i="64"/>
  <c r="T20" i="48"/>
  <c r="R21" i="48"/>
  <c r="R22" i="48"/>
  <c r="T22" i="103"/>
  <c r="N34" i="87"/>
  <c r="N35" i="87"/>
  <c r="N38" i="87" s="1"/>
  <c r="P33" i="87"/>
  <c r="R31" i="87"/>
  <c r="P33" i="64"/>
  <c r="R31" i="64"/>
  <c r="P8" i="76"/>
  <c r="R6" i="76"/>
  <c r="L34" i="70"/>
  <c r="L35" i="70"/>
  <c r="L38" i="70" s="1"/>
  <c r="T6" i="73"/>
  <c r="R8" i="73"/>
  <c r="L34" i="79"/>
  <c r="L35" i="79"/>
  <c r="L38" i="79" s="1"/>
  <c r="R37" i="48"/>
  <c r="R24" i="48"/>
  <c r="L21" i="104"/>
  <c r="L22" i="104"/>
  <c r="L25" i="104" s="1"/>
  <c r="N21" i="76"/>
  <c r="N22" i="76" s="1"/>
  <c r="N25" i="76" s="1"/>
  <c r="R23" i="101"/>
  <c r="R36" i="101"/>
  <c r="P20" i="80"/>
  <c r="R18" i="80"/>
  <c r="P18" i="106"/>
  <c r="N20" i="106"/>
  <c r="N37" i="99"/>
  <c r="N38" i="99" s="1"/>
  <c r="N24" i="99"/>
  <c r="N25" i="99" s="1"/>
  <c r="P12" i="99"/>
  <c r="N34" i="89"/>
  <c r="N35" i="89"/>
  <c r="N38" i="89" s="1"/>
  <c r="L21" i="90"/>
  <c r="L22" i="90" s="1"/>
  <c r="L25" i="90" s="1"/>
  <c r="P36" i="77"/>
  <c r="P23" i="77"/>
  <c r="P25" i="77" s="1"/>
  <c r="R11" i="77"/>
  <c r="N34" i="105"/>
  <c r="N35" i="105"/>
  <c r="N38" i="105" s="1"/>
  <c r="N39" i="32"/>
  <c r="N44" i="32" s="1"/>
  <c r="N38" i="32"/>
  <c r="P33" i="101"/>
  <c r="R31" i="101"/>
  <c r="P33" i="93"/>
  <c r="R31" i="93"/>
  <c r="P37" i="93"/>
  <c r="P24" i="93"/>
  <c r="R12" i="93"/>
  <c r="R6" i="32"/>
  <c r="P8" i="32"/>
  <c r="P9" i="101"/>
  <c r="P10" i="101"/>
  <c r="P13" i="101" s="1"/>
  <c r="T8" i="88"/>
  <c r="R9" i="88"/>
  <c r="R10" i="88"/>
  <c r="N20" i="93"/>
  <c r="P18" i="93"/>
  <c r="R23" i="102"/>
  <c r="R36" i="102"/>
  <c r="R13" i="102"/>
  <c r="N34" i="93"/>
  <c r="N35" i="93" s="1"/>
  <c r="N38" i="93" s="1"/>
  <c r="R10" i="79"/>
  <c r="T8" i="79"/>
  <c r="R9" i="79"/>
  <c r="N34" i="64"/>
  <c r="N35" i="64"/>
  <c r="N38" i="64" s="1"/>
  <c r="N33" i="70"/>
  <c r="P31" i="70"/>
  <c r="T8" i="48"/>
  <c r="R9" i="48"/>
  <c r="R10" i="48"/>
  <c r="P23" i="89"/>
  <c r="P25" i="89" s="1"/>
  <c r="P36" i="89"/>
  <c r="R11" i="89"/>
  <c r="T18" i="73"/>
  <c r="R20" i="73"/>
  <c r="P34" i="86"/>
  <c r="P35" i="86"/>
  <c r="P38" i="86" s="1"/>
  <c r="N33" i="79"/>
  <c r="P31" i="79"/>
  <c r="P33" i="89"/>
  <c r="R31" i="89"/>
  <c r="N21" i="80"/>
  <c r="N22" i="80"/>
  <c r="N25" i="80" s="1"/>
  <c r="T18" i="64"/>
  <c r="R20" i="64"/>
  <c r="N22" i="32"/>
  <c r="P20" i="32"/>
  <c r="R36" i="78"/>
  <c r="R23" i="78"/>
  <c r="R25" i="78" s="1"/>
  <c r="L21" i="106"/>
  <c r="L22" i="106" s="1"/>
  <c r="L25" i="106" s="1"/>
  <c r="R37" i="102"/>
  <c r="R24" i="102"/>
  <c r="N34" i="85"/>
  <c r="N35" i="85" s="1"/>
  <c r="N38" i="85" s="1"/>
  <c r="T13" i="74"/>
  <c r="D65" i="74"/>
  <c r="D63" i="74"/>
  <c r="D64" i="74"/>
  <c r="D58" i="74"/>
  <c r="D56" i="74"/>
  <c r="D57" i="74"/>
  <c r="T8" i="98" l="1"/>
  <c r="R9" i="98"/>
  <c r="R10" i="98" s="1"/>
  <c r="R31" i="98"/>
  <c r="P33" i="98"/>
  <c r="P34" i="98" s="1"/>
  <c r="P35" i="98" s="1"/>
  <c r="P38" i="98" s="1"/>
  <c r="N34" i="98"/>
  <c r="N35" i="98" s="1"/>
  <c r="N38" i="98" s="1"/>
  <c r="F57" i="103"/>
  <c r="F58" i="103"/>
  <c r="F56" i="103"/>
  <c r="T25" i="103"/>
  <c r="F64" i="103"/>
  <c r="F65" i="103"/>
  <c r="F63" i="103"/>
  <c r="T22" i="100"/>
  <c r="R25" i="100"/>
  <c r="R13" i="77"/>
  <c r="T10" i="77"/>
  <c r="T35" i="48"/>
  <c r="R38" i="48"/>
  <c r="R36" i="77"/>
  <c r="R23" i="77"/>
  <c r="R25" i="77" s="1"/>
  <c r="F57" i="38"/>
  <c r="T25" i="38"/>
  <c r="F56" i="38"/>
  <c r="F58" i="38"/>
  <c r="F64" i="38"/>
  <c r="F65" i="38"/>
  <c r="F63" i="38"/>
  <c r="D56" i="102"/>
  <c r="D57" i="102"/>
  <c r="T13" i="102"/>
  <c r="D58" i="102"/>
  <c r="D65" i="102"/>
  <c r="D63" i="102"/>
  <c r="D64" i="102"/>
  <c r="R20" i="96"/>
  <c r="T18" i="96"/>
  <c r="R24" i="106"/>
  <c r="R37" i="106"/>
  <c r="R13" i="106"/>
  <c r="P33" i="81"/>
  <c r="R31" i="81"/>
  <c r="T25" i="78"/>
  <c r="F56" i="78"/>
  <c r="F58" i="78"/>
  <c r="F64" i="78"/>
  <c r="F63" i="78"/>
  <c r="F65" i="78"/>
  <c r="F57" i="78"/>
  <c r="R33" i="101"/>
  <c r="T31" i="101"/>
  <c r="N21" i="106"/>
  <c r="N22" i="106" s="1"/>
  <c r="N25" i="106" s="1"/>
  <c r="R20" i="76"/>
  <c r="T18" i="76"/>
  <c r="P21" i="96"/>
  <c r="P22" i="96" s="1"/>
  <c r="P25" i="96" s="1"/>
  <c r="P39" i="32"/>
  <c r="P44" i="32" s="1"/>
  <c r="P38" i="32"/>
  <c r="N34" i="38"/>
  <c r="N35" i="38"/>
  <c r="N38" i="38" s="1"/>
  <c r="T13" i="80"/>
  <c r="D63" i="80"/>
  <c r="D56" i="80"/>
  <c r="D58" i="80"/>
  <c r="D65" i="80"/>
  <c r="D64" i="80"/>
  <c r="D57" i="80"/>
  <c r="N34" i="50"/>
  <c r="N35" i="50"/>
  <c r="N38" i="50" s="1"/>
  <c r="N34" i="81"/>
  <c r="N35" i="81" s="1"/>
  <c r="N38" i="81" s="1"/>
  <c r="T31" i="85"/>
  <c r="R33" i="85"/>
  <c r="R36" i="90"/>
  <c r="R23" i="90"/>
  <c r="P34" i="72"/>
  <c r="P35" i="72"/>
  <c r="P38" i="72" s="1"/>
  <c r="R33" i="73"/>
  <c r="T31" i="73"/>
  <c r="R33" i="95"/>
  <c r="T31" i="95"/>
  <c r="P21" i="50"/>
  <c r="P22" i="50"/>
  <c r="P25" i="50" s="1"/>
  <c r="R37" i="70"/>
  <c r="R24" i="70"/>
  <c r="R25" i="70" s="1"/>
  <c r="P20" i="90"/>
  <c r="R18" i="90"/>
  <c r="T8" i="64"/>
  <c r="R9" i="64"/>
  <c r="R10" i="64" s="1"/>
  <c r="R20" i="98"/>
  <c r="T18" i="98"/>
  <c r="N34" i="104"/>
  <c r="N35" i="104" s="1"/>
  <c r="N38" i="104" s="1"/>
  <c r="N34" i="70"/>
  <c r="N35" i="70" s="1"/>
  <c r="N38" i="70" s="1"/>
  <c r="P21" i="76"/>
  <c r="P22" i="76" s="1"/>
  <c r="P25" i="76" s="1"/>
  <c r="P33" i="50"/>
  <c r="R31" i="50"/>
  <c r="P35" i="85"/>
  <c r="P38" i="85" s="1"/>
  <c r="P34" i="85"/>
  <c r="R9" i="95"/>
  <c r="T8" i="95"/>
  <c r="R10" i="95"/>
  <c r="P21" i="98"/>
  <c r="P22" i="98" s="1"/>
  <c r="P25" i="98" s="1"/>
  <c r="R37" i="64"/>
  <c r="R24" i="64"/>
  <c r="P34" i="95"/>
  <c r="P35" i="95" s="1"/>
  <c r="P38" i="95" s="1"/>
  <c r="P20" i="94"/>
  <c r="R18" i="94"/>
  <c r="R13" i="38"/>
  <c r="T10" i="38"/>
  <c r="P34" i="101"/>
  <c r="P35" i="101"/>
  <c r="P38" i="101" s="1"/>
  <c r="P20" i="106"/>
  <c r="R18" i="106"/>
  <c r="P34" i="105"/>
  <c r="P35" i="105"/>
  <c r="P38" i="105" s="1"/>
  <c r="R13" i="103"/>
  <c r="T10" i="103"/>
  <c r="F65" i="79"/>
  <c r="F58" i="79"/>
  <c r="F57" i="79"/>
  <c r="F56" i="79"/>
  <c r="T25" i="79"/>
  <c r="F63" i="79"/>
  <c r="F64" i="79"/>
  <c r="H64" i="80"/>
  <c r="H57" i="80"/>
  <c r="H56" i="80"/>
  <c r="T38" i="80"/>
  <c r="H63" i="80"/>
  <c r="H65" i="80"/>
  <c r="H58" i="80"/>
  <c r="R38" i="103"/>
  <c r="T35" i="103"/>
  <c r="R8" i="104"/>
  <c r="T6" i="104"/>
  <c r="R33" i="72"/>
  <c r="T31" i="72"/>
  <c r="P25" i="64"/>
  <c r="P34" i="73"/>
  <c r="P35" i="73"/>
  <c r="P38" i="73" s="1"/>
  <c r="R9" i="72"/>
  <c r="R10" i="72" s="1"/>
  <c r="T8" i="72"/>
  <c r="R23" i="73"/>
  <c r="R36" i="73"/>
  <c r="P20" i="105"/>
  <c r="R18" i="105"/>
  <c r="N21" i="90"/>
  <c r="N22" i="90"/>
  <c r="N25" i="90" s="1"/>
  <c r="P33" i="70"/>
  <c r="R31" i="70"/>
  <c r="N21" i="94"/>
  <c r="N22" i="94" s="1"/>
  <c r="N25" i="94" s="1"/>
  <c r="R31" i="104"/>
  <c r="P33" i="104"/>
  <c r="T31" i="89"/>
  <c r="R33" i="89"/>
  <c r="R36" i="89"/>
  <c r="R23" i="89"/>
  <c r="R25" i="89" s="1"/>
  <c r="P34" i="89"/>
  <c r="P35" i="89" s="1"/>
  <c r="P38" i="89" s="1"/>
  <c r="P9" i="32"/>
  <c r="P10" i="32" s="1"/>
  <c r="P15" i="32" s="1"/>
  <c r="R20" i="32"/>
  <c r="P22" i="32"/>
  <c r="P33" i="79"/>
  <c r="R31" i="79"/>
  <c r="R18" i="93"/>
  <c r="P20" i="93"/>
  <c r="T6" i="32"/>
  <c r="R8" i="32"/>
  <c r="R20" i="80"/>
  <c r="T18" i="80"/>
  <c r="T6" i="76"/>
  <c r="R8" i="76"/>
  <c r="R33" i="105"/>
  <c r="T31" i="105"/>
  <c r="P34" i="77"/>
  <c r="P35" i="77" s="1"/>
  <c r="P38" i="77" s="1"/>
  <c r="R33" i="97"/>
  <c r="T31" i="97"/>
  <c r="R9" i="78"/>
  <c r="R10" i="78" s="1"/>
  <c r="T8" i="78"/>
  <c r="P9" i="104"/>
  <c r="P10" i="104" s="1"/>
  <c r="P13" i="104" s="1"/>
  <c r="R33" i="78"/>
  <c r="T31" i="78"/>
  <c r="R34" i="86"/>
  <c r="R35" i="86"/>
  <c r="T33" i="86"/>
  <c r="T8" i="70"/>
  <c r="R9" i="70"/>
  <c r="R10" i="70"/>
  <c r="R33" i="90"/>
  <c r="T31" i="90"/>
  <c r="N21" i="105"/>
  <c r="N22" i="105"/>
  <c r="N25" i="105" s="1"/>
  <c r="F64" i="75"/>
  <c r="F63" i="75"/>
  <c r="F65" i="75"/>
  <c r="F58" i="75"/>
  <c r="T25" i="75"/>
  <c r="F56" i="75"/>
  <c r="F57" i="75"/>
  <c r="T31" i="93"/>
  <c r="R33" i="93"/>
  <c r="P34" i="87"/>
  <c r="P35" i="87" s="1"/>
  <c r="P38" i="87" s="1"/>
  <c r="T8" i="86"/>
  <c r="R10" i="86"/>
  <c r="R9" i="86"/>
  <c r="P33" i="38"/>
  <c r="R31" i="38"/>
  <c r="T18" i="50"/>
  <c r="R20" i="50"/>
  <c r="N23" i="32"/>
  <c r="N24" i="32" s="1"/>
  <c r="N29" i="32" s="1"/>
  <c r="T10" i="48"/>
  <c r="R13" i="48"/>
  <c r="N21" i="93"/>
  <c r="N22" i="93"/>
  <c r="N25" i="93" s="1"/>
  <c r="R37" i="93"/>
  <c r="R24" i="93"/>
  <c r="P21" i="80"/>
  <c r="P22" i="80" s="1"/>
  <c r="P25" i="80" s="1"/>
  <c r="P9" i="76"/>
  <c r="P10" i="76" s="1"/>
  <c r="P13" i="76" s="1"/>
  <c r="T22" i="48"/>
  <c r="R25" i="48"/>
  <c r="P20" i="104"/>
  <c r="R18" i="104"/>
  <c r="R33" i="77"/>
  <c r="T31" i="77"/>
  <c r="P34" i="97"/>
  <c r="P35" i="97" s="1"/>
  <c r="P38" i="97" s="1"/>
  <c r="T31" i="102"/>
  <c r="R33" i="102"/>
  <c r="P34" i="78"/>
  <c r="P35" i="78" s="1"/>
  <c r="P38" i="78" s="1"/>
  <c r="T22" i="74"/>
  <c r="R25" i="74"/>
  <c r="N34" i="106"/>
  <c r="N35" i="106" s="1"/>
  <c r="N38" i="106" s="1"/>
  <c r="R23" i="72"/>
  <c r="R25" i="72" s="1"/>
  <c r="R36" i="72"/>
  <c r="R9" i="85"/>
  <c r="R10" i="85" s="1"/>
  <c r="T8" i="85"/>
  <c r="P34" i="90"/>
  <c r="P35" i="90"/>
  <c r="P38" i="90" s="1"/>
  <c r="T31" i="75"/>
  <c r="R33" i="75"/>
  <c r="R9" i="101"/>
  <c r="R10" i="101"/>
  <c r="T8" i="101"/>
  <c r="R21" i="73"/>
  <c r="R22" i="73" s="1"/>
  <c r="T20" i="73"/>
  <c r="T8" i="73"/>
  <c r="R9" i="73"/>
  <c r="R10" i="73"/>
  <c r="P34" i="93"/>
  <c r="P35" i="93" s="1"/>
  <c r="P38" i="93" s="1"/>
  <c r="R13" i="79"/>
  <c r="T10" i="79"/>
  <c r="R13" i="88"/>
  <c r="T10" i="88"/>
  <c r="R33" i="64"/>
  <c r="T31" i="64"/>
  <c r="N21" i="104"/>
  <c r="N22" i="104" s="1"/>
  <c r="N25" i="104" s="1"/>
  <c r="R23" i="50"/>
  <c r="R36" i="50"/>
  <c r="R13" i="50"/>
  <c r="R23" i="97"/>
  <c r="R25" i="97" s="1"/>
  <c r="R36" i="97"/>
  <c r="R15" i="1"/>
  <c r="T10" i="1"/>
  <c r="P34" i="102"/>
  <c r="P35" i="102" s="1"/>
  <c r="P38" i="102" s="1"/>
  <c r="T8" i="89"/>
  <c r="R9" i="89"/>
  <c r="R10" i="89" s="1"/>
  <c r="R31" i="106"/>
  <c r="P33" i="106"/>
  <c r="R36" i="93"/>
  <c r="R23" i="93"/>
  <c r="R13" i="93"/>
  <c r="P23" i="105"/>
  <c r="R11" i="105"/>
  <c r="P36" i="105"/>
  <c r="P13" i="105"/>
  <c r="R23" i="94"/>
  <c r="R36" i="94"/>
  <c r="R38" i="94" s="1"/>
  <c r="R13" i="94"/>
  <c r="R13" i="97"/>
  <c r="T10" i="97"/>
  <c r="P34" i="75"/>
  <c r="P35" i="75" s="1"/>
  <c r="P38" i="75" s="1"/>
  <c r="R20" i="102"/>
  <c r="T18" i="102"/>
  <c r="R13" i="90"/>
  <c r="R37" i="32"/>
  <c r="T35" i="32"/>
  <c r="N34" i="79"/>
  <c r="N35" i="79"/>
  <c r="N38" i="79" s="1"/>
  <c r="R21" i="64"/>
  <c r="R22" i="64"/>
  <c r="T20" i="64"/>
  <c r="R12" i="99"/>
  <c r="P37" i="99"/>
  <c r="P38" i="99" s="1"/>
  <c r="P24" i="99"/>
  <c r="P25" i="99" s="1"/>
  <c r="P34" i="64"/>
  <c r="P35" i="64" s="1"/>
  <c r="P38" i="64" s="1"/>
  <c r="R33" i="87"/>
  <c r="T31" i="87"/>
  <c r="T20" i="101"/>
  <c r="R21" i="101"/>
  <c r="R22" i="101" s="1"/>
  <c r="T8" i="99"/>
  <c r="R9" i="99"/>
  <c r="R10" i="99"/>
  <c r="R37" i="90"/>
  <c r="R24" i="90"/>
  <c r="F63" i="81"/>
  <c r="F58" i="81"/>
  <c r="F65" i="81"/>
  <c r="F57" i="81"/>
  <c r="T25" i="81"/>
  <c r="F56" i="81"/>
  <c r="F64" i="81"/>
  <c r="R24" i="76"/>
  <c r="R37" i="76"/>
  <c r="R38" i="76" s="1"/>
  <c r="P21" i="102"/>
  <c r="P22" i="102" s="1"/>
  <c r="P25" i="102" s="1"/>
  <c r="H64" i="100"/>
  <c r="H63" i="100"/>
  <c r="H57" i="100"/>
  <c r="H58" i="100"/>
  <c r="H65" i="100"/>
  <c r="T38" i="100"/>
  <c r="H56" i="100"/>
  <c r="T10" i="98" l="1"/>
  <c r="R13" i="98"/>
  <c r="T31" i="98"/>
  <c r="R33" i="98"/>
  <c r="R13" i="89"/>
  <c r="T10" i="89"/>
  <c r="R13" i="72"/>
  <c r="T10" i="72"/>
  <c r="F64" i="70"/>
  <c r="F57" i="70"/>
  <c r="F58" i="70"/>
  <c r="T25" i="70"/>
  <c r="F56" i="70"/>
  <c r="F63" i="70"/>
  <c r="F65" i="70"/>
  <c r="R13" i="85"/>
  <c r="T10" i="85"/>
  <c r="T22" i="101"/>
  <c r="R25" i="101"/>
  <c r="R25" i="73"/>
  <c r="T22" i="73"/>
  <c r="R13" i="78"/>
  <c r="T10" i="78"/>
  <c r="R13" i="64"/>
  <c r="T10" i="64"/>
  <c r="T33" i="102"/>
  <c r="R34" i="102"/>
  <c r="R35" i="102" s="1"/>
  <c r="R33" i="38"/>
  <c r="T31" i="38"/>
  <c r="F58" i="77"/>
  <c r="F56" i="77"/>
  <c r="F63" i="77"/>
  <c r="F65" i="77"/>
  <c r="F57" i="77"/>
  <c r="T25" i="77"/>
  <c r="F64" i="77"/>
  <c r="T22" i="64"/>
  <c r="R25" i="64"/>
  <c r="R21" i="102"/>
  <c r="R22" i="102"/>
  <c r="T20" i="102"/>
  <c r="R33" i="106"/>
  <c r="T31" i="106"/>
  <c r="R34" i="64"/>
  <c r="R35" i="64"/>
  <c r="T33" i="64"/>
  <c r="T33" i="75"/>
  <c r="R34" i="75"/>
  <c r="R35" i="75"/>
  <c r="F57" i="72"/>
  <c r="F65" i="72"/>
  <c r="F58" i="72"/>
  <c r="F63" i="72"/>
  <c r="F56" i="72"/>
  <c r="F64" i="72"/>
  <c r="T25" i="72"/>
  <c r="P34" i="38"/>
  <c r="P35" i="38"/>
  <c r="P38" i="38" s="1"/>
  <c r="T33" i="97"/>
  <c r="R34" i="97"/>
  <c r="R35" i="97"/>
  <c r="R21" i="80"/>
  <c r="T20" i="80"/>
  <c r="R22" i="80"/>
  <c r="R22" i="32"/>
  <c r="T20" i="32"/>
  <c r="P34" i="50"/>
  <c r="P35" i="50" s="1"/>
  <c r="P38" i="50" s="1"/>
  <c r="T20" i="98"/>
  <c r="R21" i="98"/>
  <c r="R22" i="98" s="1"/>
  <c r="T20" i="96"/>
  <c r="R21" i="96"/>
  <c r="R22" i="96" s="1"/>
  <c r="R24" i="99"/>
  <c r="R25" i="99" s="1"/>
  <c r="R37" i="99"/>
  <c r="R38" i="99" s="1"/>
  <c r="T35" i="86"/>
  <c r="R38" i="86"/>
  <c r="H65" i="76"/>
  <c r="H56" i="76"/>
  <c r="H58" i="76"/>
  <c r="H63" i="76"/>
  <c r="T38" i="76"/>
  <c r="H57" i="76"/>
  <c r="H64" i="76"/>
  <c r="H32" i="1"/>
  <c r="F30" i="1"/>
  <c r="T15" i="1"/>
  <c r="J24" i="1"/>
  <c r="T24" i="1" s="1"/>
  <c r="T31" i="1" s="1"/>
  <c r="F32" i="1"/>
  <c r="J31" i="1"/>
  <c r="F23" i="1"/>
  <c r="P23" i="1" s="1"/>
  <c r="P30" i="1" s="1"/>
  <c r="F24" i="1"/>
  <c r="P24" i="1" s="1"/>
  <c r="P31" i="1" s="1"/>
  <c r="H24" i="1"/>
  <c r="R24" i="1" s="1"/>
  <c r="R31" i="1" s="1"/>
  <c r="F25" i="1"/>
  <c r="P25" i="1" s="1"/>
  <c r="P32" i="1" s="1"/>
  <c r="J32" i="1"/>
  <c r="H30" i="1"/>
  <c r="H31" i="1"/>
  <c r="X23" i="1"/>
  <c r="Z23" i="1" s="1"/>
  <c r="H25" i="1"/>
  <c r="R25" i="1" s="1"/>
  <c r="R32" i="1" s="1"/>
  <c r="J23" i="1"/>
  <c r="T23" i="1" s="1"/>
  <c r="T30" i="1" s="1"/>
  <c r="F31" i="1"/>
  <c r="H23" i="1"/>
  <c r="R23" i="1" s="1"/>
  <c r="R30" i="1" s="1"/>
  <c r="J30" i="1"/>
  <c r="J25" i="1"/>
  <c r="T25" i="1" s="1"/>
  <c r="T32" i="1" s="1"/>
  <c r="T25" i="48"/>
  <c r="F56" i="48"/>
  <c r="F63" i="48"/>
  <c r="F57" i="48"/>
  <c r="F64" i="48"/>
  <c r="F58" i="48"/>
  <c r="F65" i="48"/>
  <c r="T33" i="87"/>
  <c r="R34" i="87"/>
  <c r="R35" i="87"/>
  <c r="F65" i="97"/>
  <c r="F58" i="97"/>
  <c r="F63" i="97"/>
  <c r="F64" i="97"/>
  <c r="F57" i="97"/>
  <c r="T25" i="97"/>
  <c r="F56" i="97"/>
  <c r="D56" i="48"/>
  <c r="T13" i="48"/>
  <c r="D57" i="48"/>
  <c r="D58" i="48"/>
  <c r="D63" i="48"/>
  <c r="D64" i="48"/>
  <c r="D65" i="48"/>
  <c r="T33" i="90"/>
  <c r="R34" i="90"/>
  <c r="R35" i="90" s="1"/>
  <c r="R34" i="78"/>
  <c r="R35" i="78" s="1"/>
  <c r="T33" i="78"/>
  <c r="T8" i="32"/>
  <c r="R9" i="32"/>
  <c r="R10" i="32"/>
  <c r="P35" i="104"/>
  <c r="P38" i="104" s="1"/>
  <c r="P34" i="104"/>
  <c r="R20" i="105"/>
  <c r="T18" i="105"/>
  <c r="H65" i="103"/>
  <c r="H56" i="103"/>
  <c r="H63" i="103"/>
  <c r="H58" i="103"/>
  <c r="H64" i="103"/>
  <c r="T38" i="103"/>
  <c r="H57" i="103"/>
  <c r="D65" i="103"/>
  <c r="D63" i="103"/>
  <c r="D56" i="103"/>
  <c r="D57" i="103"/>
  <c r="T13" i="103"/>
  <c r="D58" i="103"/>
  <c r="D64" i="103"/>
  <c r="D56" i="38"/>
  <c r="D58" i="38"/>
  <c r="D57" i="38"/>
  <c r="D65" i="38"/>
  <c r="T13" i="38"/>
  <c r="D64" i="38"/>
  <c r="D63" i="38"/>
  <c r="H57" i="48"/>
  <c r="H58" i="48"/>
  <c r="T38" i="48"/>
  <c r="H56" i="48"/>
  <c r="H64" i="48"/>
  <c r="H63" i="48"/>
  <c r="H65" i="48"/>
  <c r="H64" i="94"/>
  <c r="H63" i="94"/>
  <c r="H58" i="94"/>
  <c r="H65" i="94"/>
  <c r="H56" i="94"/>
  <c r="H57" i="94"/>
  <c r="T38" i="94"/>
  <c r="R22" i="76"/>
  <c r="T20" i="76"/>
  <c r="R21" i="76"/>
  <c r="D57" i="88"/>
  <c r="T13" i="88"/>
  <c r="D64" i="88"/>
  <c r="D65" i="88"/>
  <c r="D63" i="88"/>
  <c r="D56" i="88"/>
  <c r="D58" i="88"/>
  <c r="R13" i="86"/>
  <c r="T10" i="86"/>
  <c r="R33" i="104"/>
  <c r="T31" i="104"/>
  <c r="R34" i="101"/>
  <c r="R35" i="101"/>
  <c r="T33" i="101"/>
  <c r="F65" i="74"/>
  <c r="F63" i="74"/>
  <c r="T25" i="74"/>
  <c r="F56" i="74"/>
  <c r="F57" i="74"/>
  <c r="F58" i="74"/>
  <c r="F64" i="74"/>
  <c r="P21" i="93"/>
  <c r="P22" i="93"/>
  <c r="P25" i="93" s="1"/>
  <c r="P21" i="94"/>
  <c r="P22" i="94" s="1"/>
  <c r="P25" i="94" s="1"/>
  <c r="T33" i="95"/>
  <c r="R34" i="95"/>
  <c r="R35" i="95" s="1"/>
  <c r="P34" i="81"/>
  <c r="P35" i="81"/>
  <c r="P38" i="81" s="1"/>
  <c r="D56" i="90"/>
  <c r="D58" i="90"/>
  <c r="T13" i="90"/>
  <c r="D64" i="90"/>
  <c r="D65" i="90"/>
  <c r="D57" i="90"/>
  <c r="D63" i="90"/>
  <c r="R13" i="101"/>
  <c r="T10" i="101"/>
  <c r="P21" i="104"/>
  <c r="P22" i="104" s="1"/>
  <c r="P25" i="104" s="1"/>
  <c r="T33" i="93"/>
  <c r="R34" i="93"/>
  <c r="R35" i="93"/>
  <c r="P34" i="79"/>
  <c r="P35" i="79" s="1"/>
  <c r="P38" i="79" s="1"/>
  <c r="P34" i="70"/>
  <c r="P35" i="70" s="1"/>
  <c r="P38" i="70" s="1"/>
  <c r="T10" i="73"/>
  <c r="R13" i="73"/>
  <c r="P23" i="32"/>
  <c r="P24" i="32"/>
  <c r="P29" i="32" s="1"/>
  <c r="R9" i="104"/>
  <c r="R10" i="104" s="1"/>
  <c r="T8" i="104"/>
  <c r="R33" i="50"/>
  <c r="T31" i="50"/>
  <c r="R13" i="99"/>
  <c r="T10" i="99"/>
  <c r="R23" i="105"/>
  <c r="R36" i="105"/>
  <c r="R13" i="105"/>
  <c r="D58" i="50"/>
  <c r="T13" i="50"/>
  <c r="D64" i="50"/>
  <c r="D63" i="50"/>
  <c r="D65" i="50"/>
  <c r="D56" i="50"/>
  <c r="D57" i="50"/>
  <c r="R13" i="70"/>
  <c r="T10" i="70"/>
  <c r="P21" i="105"/>
  <c r="P22" i="105"/>
  <c r="P25" i="105" s="1"/>
  <c r="R20" i="94"/>
  <c r="T18" i="94"/>
  <c r="R13" i="95"/>
  <c r="T10" i="95"/>
  <c r="T33" i="85"/>
  <c r="R34" i="85"/>
  <c r="R35" i="85" s="1"/>
  <c r="T31" i="81"/>
  <c r="R33" i="81"/>
  <c r="D57" i="97"/>
  <c r="D58" i="97"/>
  <c r="D64" i="97"/>
  <c r="D65" i="97"/>
  <c r="D56" i="97"/>
  <c r="T13" i="97"/>
  <c r="D63" i="97"/>
  <c r="D58" i="93"/>
  <c r="D57" i="93"/>
  <c r="T13" i="93"/>
  <c r="D63" i="93"/>
  <c r="D64" i="93"/>
  <c r="D65" i="93"/>
  <c r="D56" i="93"/>
  <c r="D64" i="79"/>
  <c r="T13" i="79"/>
  <c r="D65" i="79"/>
  <c r="D56" i="79"/>
  <c r="D57" i="79"/>
  <c r="D58" i="79"/>
  <c r="D63" i="79"/>
  <c r="R34" i="77"/>
  <c r="R35" i="77" s="1"/>
  <c r="T33" i="77"/>
  <c r="R34" i="105"/>
  <c r="R35" i="105"/>
  <c r="T33" i="105"/>
  <c r="R20" i="93"/>
  <c r="T18" i="93"/>
  <c r="R34" i="72"/>
  <c r="R35" i="72"/>
  <c r="T33" i="72"/>
  <c r="R20" i="106"/>
  <c r="T18" i="106"/>
  <c r="R20" i="90"/>
  <c r="T18" i="90"/>
  <c r="D57" i="106"/>
  <c r="D56" i="106"/>
  <c r="T13" i="106"/>
  <c r="D58" i="106"/>
  <c r="D63" i="106"/>
  <c r="D65" i="106"/>
  <c r="D64" i="106"/>
  <c r="D58" i="77"/>
  <c r="T13" i="77"/>
  <c r="D63" i="77"/>
  <c r="D64" i="77"/>
  <c r="D65" i="77"/>
  <c r="D56" i="77"/>
  <c r="D57" i="77"/>
  <c r="P34" i="106"/>
  <c r="P35" i="106"/>
  <c r="P38" i="106" s="1"/>
  <c r="T33" i="89"/>
  <c r="R34" i="89"/>
  <c r="R35" i="89"/>
  <c r="T37" i="32"/>
  <c r="R38" i="32"/>
  <c r="R39" i="32"/>
  <c r="D64" i="94"/>
  <c r="D58" i="94"/>
  <c r="T13" i="94"/>
  <c r="D56" i="94"/>
  <c r="D57" i="94"/>
  <c r="D65" i="94"/>
  <c r="D63" i="94"/>
  <c r="R20" i="104"/>
  <c r="T18" i="104"/>
  <c r="T20" i="50"/>
  <c r="R21" i="50"/>
  <c r="R22" i="50" s="1"/>
  <c r="R9" i="76"/>
  <c r="R10" i="76" s="1"/>
  <c r="T8" i="76"/>
  <c r="T31" i="79"/>
  <c r="R33" i="79"/>
  <c r="F58" i="89"/>
  <c r="F65" i="89"/>
  <c r="F57" i="89"/>
  <c r="T25" i="89"/>
  <c r="F56" i="89"/>
  <c r="F64" i="89"/>
  <c r="F63" i="89"/>
  <c r="R33" i="70"/>
  <c r="T31" i="70"/>
  <c r="P21" i="106"/>
  <c r="P22" i="106" s="1"/>
  <c r="P25" i="106" s="1"/>
  <c r="P21" i="90"/>
  <c r="P22" i="90" s="1"/>
  <c r="P25" i="90" s="1"/>
  <c r="R34" i="73"/>
  <c r="R35" i="73"/>
  <c r="T33" i="73"/>
  <c r="F57" i="100"/>
  <c r="F56" i="100"/>
  <c r="F63" i="100"/>
  <c r="F65" i="100"/>
  <c r="F58" i="100"/>
  <c r="F64" i="100"/>
  <c r="T25" i="100"/>
  <c r="D58" i="98" l="1"/>
  <c r="D57" i="98"/>
  <c r="D56" i="98"/>
  <c r="T13" i="98"/>
  <c r="D64" i="98"/>
  <c r="D65" i="98"/>
  <c r="D63" i="98"/>
  <c r="R34" i="98"/>
  <c r="R35" i="98" s="1"/>
  <c r="T33" i="98"/>
  <c r="T35" i="102"/>
  <c r="R38" i="102"/>
  <c r="R38" i="77"/>
  <c r="T35" i="77"/>
  <c r="T35" i="85"/>
  <c r="R38" i="85"/>
  <c r="T35" i="90"/>
  <c r="R38" i="90"/>
  <c r="T35" i="95"/>
  <c r="R38" i="95"/>
  <c r="T10" i="76"/>
  <c r="R13" i="76"/>
  <c r="T10" i="104"/>
  <c r="R13" i="104"/>
  <c r="R25" i="96"/>
  <c r="T22" i="96"/>
  <c r="T35" i="78"/>
  <c r="R38" i="78"/>
  <c r="T22" i="50"/>
  <c r="R25" i="50"/>
  <c r="R25" i="98"/>
  <c r="T22" i="98"/>
  <c r="D64" i="70"/>
  <c r="D57" i="70"/>
  <c r="D58" i="70"/>
  <c r="D56" i="70"/>
  <c r="T13" i="70"/>
  <c r="D65" i="70"/>
  <c r="D63" i="70"/>
  <c r="D64" i="105"/>
  <c r="D56" i="105"/>
  <c r="T13" i="105"/>
  <c r="D58" i="105"/>
  <c r="D65" i="105"/>
  <c r="D63" i="105"/>
  <c r="D57" i="105"/>
  <c r="D56" i="101"/>
  <c r="T13" i="101"/>
  <c r="D58" i="101"/>
  <c r="D65" i="101"/>
  <c r="D63" i="101"/>
  <c r="D57" i="101"/>
  <c r="D64" i="101"/>
  <c r="R25" i="76"/>
  <c r="T22" i="76"/>
  <c r="T10" i="32"/>
  <c r="R15" i="32"/>
  <c r="R34" i="106"/>
  <c r="R35" i="106" s="1"/>
  <c r="T33" i="106"/>
  <c r="F64" i="101"/>
  <c r="F56" i="101"/>
  <c r="T25" i="101"/>
  <c r="F57" i="101"/>
  <c r="F58" i="101"/>
  <c r="F63" i="101"/>
  <c r="F65" i="101"/>
  <c r="F58" i="73"/>
  <c r="T25" i="73"/>
  <c r="F56" i="73"/>
  <c r="F57" i="73"/>
  <c r="F65" i="73"/>
  <c r="F63" i="73"/>
  <c r="F64" i="73"/>
  <c r="R38" i="101"/>
  <c r="T35" i="101"/>
  <c r="T22" i="32"/>
  <c r="R23" i="32"/>
  <c r="R24" i="32"/>
  <c r="R38" i="75"/>
  <c r="T35" i="75"/>
  <c r="R21" i="90"/>
  <c r="R22" i="90" s="1"/>
  <c r="T20" i="90"/>
  <c r="R38" i="73"/>
  <c r="T35" i="73"/>
  <c r="R21" i="104"/>
  <c r="R22" i="104" s="1"/>
  <c r="T20" i="104"/>
  <c r="R44" i="32"/>
  <c r="T39" i="32"/>
  <c r="T35" i="105"/>
  <c r="R38" i="105"/>
  <c r="D65" i="95"/>
  <c r="D57" i="95"/>
  <c r="D58" i="95"/>
  <c r="T13" i="95"/>
  <c r="D63" i="95"/>
  <c r="D64" i="95"/>
  <c r="D56" i="95"/>
  <c r="T35" i="93"/>
  <c r="R38" i="93"/>
  <c r="R25" i="80"/>
  <c r="T22" i="80"/>
  <c r="R25" i="102"/>
  <c r="T22" i="102"/>
  <c r="F64" i="99"/>
  <c r="T25" i="99"/>
  <c r="F58" i="99"/>
  <c r="F56" i="99"/>
  <c r="F63" i="99"/>
  <c r="F65" i="99"/>
  <c r="F57" i="99"/>
  <c r="R21" i="93"/>
  <c r="R22" i="93" s="1"/>
  <c r="T20" i="93"/>
  <c r="T33" i="70"/>
  <c r="R34" i="70"/>
  <c r="R35" i="70" s="1"/>
  <c r="T33" i="79"/>
  <c r="R34" i="79"/>
  <c r="R35" i="79"/>
  <c r="R21" i="106"/>
  <c r="R22" i="106" s="1"/>
  <c r="T20" i="106"/>
  <c r="D63" i="64"/>
  <c r="D58" i="64"/>
  <c r="D56" i="64"/>
  <c r="D57" i="64"/>
  <c r="T13" i="64"/>
  <c r="D64" i="64"/>
  <c r="D65" i="64"/>
  <c r="D56" i="85"/>
  <c r="D57" i="85"/>
  <c r="D65" i="85"/>
  <c r="D64" i="85"/>
  <c r="D63" i="85"/>
  <c r="D58" i="85"/>
  <c r="T13" i="85"/>
  <c r="T35" i="87"/>
  <c r="R38" i="87"/>
  <c r="R34" i="81"/>
  <c r="R35" i="81" s="1"/>
  <c r="T33" i="81"/>
  <c r="T20" i="94"/>
  <c r="R21" i="94"/>
  <c r="R22" i="94" s="1"/>
  <c r="D65" i="99"/>
  <c r="D63" i="99"/>
  <c r="D56" i="99"/>
  <c r="D58" i="99"/>
  <c r="D57" i="99"/>
  <c r="T13" i="99"/>
  <c r="D64" i="99"/>
  <c r="D56" i="73"/>
  <c r="D57" i="73"/>
  <c r="T13" i="73"/>
  <c r="D65" i="73"/>
  <c r="D64" i="73"/>
  <c r="D58" i="73"/>
  <c r="D63" i="73"/>
  <c r="T33" i="104"/>
  <c r="R34" i="104"/>
  <c r="R35" i="104"/>
  <c r="H58" i="86"/>
  <c r="T38" i="86"/>
  <c r="H56" i="86"/>
  <c r="H57" i="86"/>
  <c r="H64" i="86"/>
  <c r="H65" i="86"/>
  <c r="H63" i="86"/>
  <c r="F56" i="64"/>
  <c r="F57" i="64"/>
  <c r="F58" i="64"/>
  <c r="T25" i="64"/>
  <c r="F63" i="64"/>
  <c r="F64" i="64"/>
  <c r="F65" i="64"/>
  <c r="T13" i="72"/>
  <c r="D63" i="72"/>
  <c r="D64" i="72"/>
  <c r="D65" i="72"/>
  <c r="D57" i="72"/>
  <c r="D56" i="72"/>
  <c r="D58" i="72"/>
  <c r="T35" i="89"/>
  <c r="R38" i="89"/>
  <c r="T35" i="72"/>
  <c r="R38" i="72"/>
  <c r="R21" i="105"/>
  <c r="R22" i="105"/>
  <c r="T20" i="105"/>
  <c r="T35" i="97"/>
  <c r="R38" i="97"/>
  <c r="R38" i="64"/>
  <c r="T35" i="64"/>
  <c r="D56" i="78"/>
  <c r="D64" i="78"/>
  <c r="D58" i="78"/>
  <c r="D57" i="78"/>
  <c r="T13" i="78"/>
  <c r="D63" i="78"/>
  <c r="D65" i="78"/>
  <c r="R34" i="50"/>
  <c r="R35" i="50" s="1"/>
  <c r="T33" i="50"/>
  <c r="D64" i="86"/>
  <c r="D63" i="86"/>
  <c r="D56" i="86"/>
  <c r="D57" i="86"/>
  <c r="T13" i="86"/>
  <c r="D65" i="86"/>
  <c r="D58" i="86"/>
  <c r="H64" i="99"/>
  <c r="H63" i="99"/>
  <c r="H56" i="99"/>
  <c r="H58" i="99"/>
  <c r="T38" i="99"/>
  <c r="H57" i="99"/>
  <c r="H65" i="99"/>
  <c r="R34" i="38"/>
  <c r="R35" i="38"/>
  <c r="T33" i="38"/>
  <c r="D57" i="89"/>
  <c r="D58" i="89"/>
  <c r="T13" i="89"/>
  <c r="D65" i="89"/>
  <c r="D64" i="89"/>
  <c r="D63" i="89"/>
  <c r="D56" i="89"/>
  <c r="T35" i="98" l="1"/>
  <c r="R38" i="98"/>
  <c r="T22" i="90"/>
  <c r="R25" i="90"/>
  <c r="T35" i="81"/>
  <c r="R38" i="81"/>
  <c r="R25" i="93"/>
  <c r="T22" i="93"/>
  <c r="T35" i="106"/>
  <c r="R38" i="106"/>
  <c r="T35" i="70"/>
  <c r="R38" i="70"/>
  <c r="R25" i="106"/>
  <c r="T22" i="106"/>
  <c r="T22" i="104"/>
  <c r="R25" i="104"/>
  <c r="T35" i="50"/>
  <c r="R38" i="50"/>
  <c r="R25" i="94"/>
  <c r="T22" i="94"/>
  <c r="H63" i="75"/>
  <c r="H58" i="75"/>
  <c r="H57" i="75"/>
  <c r="T38" i="75"/>
  <c r="H56" i="75"/>
  <c r="H64" i="75"/>
  <c r="H65" i="75"/>
  <c r="D58" i="104"/>
  <c r="D56" i="104"/>
  <c r="D57" i="104"/>
  <c r="T13" i="104"/>
  <c r="D64" i="104"/>
  <c r="D65" i="104"/>
  <c r="D63" i="104"/>
  <c r="H57" i="85"/>
  <c r="T38" i="85"/>
  <c r="H63" i="85"/>
  <c r="H56" i="85"/>
  <c r="H58" i="85"/>
  <c r="H64" i="85"/>
  <c r="H65" i="85"/>
  <c r="T35" i="79"/>
  <c r="R38" i="79"/>
  <c r="R25" i="105"/>
  <c r="T22" i="105"/>
  <c r="T25" i="80"/>
  <c r="F58" i="80"/>
  <c r="F64" i="80"/>
  <c r="F57" i="80"/>
  <c r="F56" i="80"/>
  <c r="F63" i="80"/>
  <c r="F65" i="80"/>
  <c r="R29" i="32"/>
  <c r="T24" i="32"/>
  <c r="F64" i="98"/>
  <c r="F58" i="98"/>
  <c r="F63" i="98"/>
  <c r="T25" i="98"/>
  <c r="F57" i="98"/>
  <c r="F65" i="98"/>
  <c r="F56" i="98"/>
  <c r="H58" i="97"/>
  <c r="H56" i="97"/>
  <c r="H63" i="97"/>
  <c r="T38" i="97"/>
  <c r="H57" i="97"/>
  <c r="H65" i="97"/>
  <c r="H64" i="97"/>
  <c r="H56" i="32"/>
  <c r="H54" i="32"/>
  <c r="T44" i="32"/>
  <c r="H55" i="32"/>
  <c r="H61" i="32"/>
  <c r="H63" i="32"/>
  <c r="H62" i="32"/>
  <c r="F64" i="102"/>
  <c r="F57" i="102"/>
  <c r="T25" i="102"/>
  <c r="F56" i="102"/>
  <c r="F65" i="102"/>
  <c r="F58" i="102"/>
  <c r="F63" i="102"/>
  <c r="T25" i="96"/>
  <c r="F63" i="96"/>
  <c r="F64" i="96"/>
  <c r="F57" i="96"/>
  <c r="F56" i="96"/>
  <c r="F58" i="96"/>
  <c r="F65" i="96"/>
  <c r="T35" i="38"/>
  <c r="R38" i="38"/>
  <c r="H58" i="93"/>
  <c r="H56" i="93"/>
  <c r="H57" i="93"/>
  <c r="H63" i="93"/>
  <c r="H64" i="93"/>
  <c r="T38" i="93"/>
  <c r="H65" i="93"/>
  <c r="F63" i="76"/>
  <c r="F65" i="76"/>
  <c r="T25" i="76"/>
  <c r="F56" i="76"/>
  <c r="F58" i="76"/>
  <c r="F57" i="76"/>
  <c r="F64" i="76"/>
  <c r="F58" i="50"/>
  <c r="T25" i="50"/>
  <c r="F56" i="50"/>
  <c r="F64" i="50"/>
  <c r="F63" i="50"/>
  <c r="F65" i="50"/>
  <c r="F57" i="50"/>
  <c r="T13" i="76"/>
  <c r="D56" i="76"/>
  <c r="D63" i="76"/>
  <c r="D65" i="76"/>
  <c r="D57" i="76"/>
  <c r="D58" i="76"/>
  <c r="D64" i="76"/>
  <c r="H58" i="90"/>
  <c r="H56" i="90"/>
  <c r="H64" i="90"/>
  <c r="H65" i="90"/>
  <c r="T38" i="90"/>
  <c r="H57" i="90"/>
  <c r="H63" i="90"/>
  <c r="H65" i="72"/>
  <c r="H64" i="72"/>
  <c r="H63" i="72"/>
  <c r="H57" i="72"/>
  <c r="H58" i="72"/>
  <c r="H56" i="72"/>
  <c r="T38" i="72"/>
  <c r="T38" i="87"/>
  <c r="H56" i="87"/>
  <c r="H65" i="87"/>
  <c r="H64" i="87"/>
  <c r="H63" i="87"/>
  <c r="H57" i="87"/>
  <c r="H58" i="87"/>
  <c r="H58" i="105"/>
  <c r="T38" i="105"/>
  <c r="H56" i="105"/>
  <c r="H64" i="105"/>
  <c r="H65" i="105"/>
  <c r="H57" i="105"/>
  <c r="H63" i="105"/>
  <c r="T38" i="73"/>
  <c r="H63" i="73"/>
  <c r="H58" i="73"/>
  <c r="H64" i="73"/>
  <c r="H56" i="73"/>
  <c r="H57" i="73"/>
  <c r="H65" i="73"/>
  <c r="H57" i="77"/>
  <c r="H63" i="77"/>
  <c r="H64" i="77"/>
  <c r="H65" i="77"/>
  <c r="H58" i="77"/>
  <c r="T38" i="77"/>
  <c r="H56" i="77"/>
  <c r="D55" i="32"/>
  <c r="D63" i="32"/>
  <c r="D61" i="32"/>
  <c r="D54" i="32"/>
  <c r="D56" i="32"/>
  <c r="T15" i="32"/>
  <c r="D62" i="32"/>
  <c r="T35" i="104"/>
  <c r="R38" i="104"/>
  <c r="H58" i="78"/>
  <c r="H56" i="78"/>
  <c r="H57" i="78"/>
  <c r="T38" i="78"/>
  <c r="H64" i="78"/>
  <c r="H63" i="78"/>
  <c r="H65" i="78"/>
  <c r="H64" i="95"/>
  <c r="H58" i="95"/>
  <c r="H56" i="95"/>
  <c r="T38" i="95"/>
  <c r="H57" i="95"/>
  <c r="H63" i="95"/>
  <c r="H65" i="95"/>
  <c r="H57" i="102"/>
  <c r="H63" i="102"/>
  <c r="H64" i="102"/>
  <c r="H65" i="102"/>
  <c r="H58" i="102"/>
  <c r="T38" i="102"/>
  <c r="H56" i="102"/>
  <c r="H63" i="64"/>
  <c r="H56" i="64"/>
  <c r="H57" i="64"/>
  <c r="H58" i="64"/>
  <c r="T38" i="64"/>
  <c r="H64" i="64"/>
  <c r="H65" i="64"/>
  <c r="H57" i="89"/>
  <c r="H65" i="89"/>
  <c r="H63" i="89"/>
  <c r="H64" i="89"/>
  <c r="H58" i="89"/>
  <c r="T38" i="89"/>
  <c r="H56" i="89"/>
  <c r="H57" i="101"/>
  <c r="H58" i="101"/>
  <c r="H56" i="101"/>
  <c r="H64" i="101"/>
  <c r="H63" i="101"/>
  <c r="T38" i="101"/>
  <c r="H65" i="101"/>
  <c r="H63" i="98" l="1"/>
  <c r="H57" i="98"/>
  <c r="T38" i="98"/>
  <c r="H65" i="98"/>
  <c r="H58" i="98"/>
  <c r="H64" i="98"/>
  <c r="H56" i="98"/>
  <c r="H65" i="104"/>
  <c r="H58" i="104"/>
  <c r="T38" i="104"/>
  <c r="H57" i="104"/>
  <c r="H63" i="104"/>
  <c r="H56" i="104"/>
  <c r="H64" i="104"/>
  <c r="H64" i="106"/>
  <c r="T38" i="106"/>
  <c r="H63" i="106"/>
  <c r="H65" i="106"/>
  <c r="H58" i="106"/>
  <c r="H56" i="106"/>
  <c r="H57" i="106"/>
  <c r="T25" i="104"/>
  <c r="F64" i="104"/>
  <c r="F65" i="104"/>
  <c r="F63" i="104"/>
  <c r="F57" i="104"/>
  <c r="F58" i="104"/>
  <c r="F56" i="104"/>
  <c r="F57" i="93"/>
  <c r="T25" i="93"/>
  <c r="F56" i="93"/>
  <c r="F58" i="93"/>
  <c r="F63" i="93"/>
  <c r="F65" i="93"/>
  <c r="F64" i="93"/>
  <c r="T38" i="81"/>
  <c r="H57" i="81"/>
  <c r="H58" i="81"/>
  <c r="H64" i="81"/>
  <c r="H63" i="81"/>
  <c r="H56" i="81"/>
  <c r="H65" i="81"/>
  <c r="F61" i="32"/>
  <c r="F56" i="32"/>
  <c r="T29" i="32"/>
  <c r="F63" i="32"/>
  <c r="F55" i="32"/>
  <c r="F54" i="32"/>
  <c r="F62" i="32"/>
  <c r="F64" i="106"/>
  <c r="F63" i="106"/>
  <c r="F57" i="106"/>
  <c r="T25" i="106"/>
  <c r="F56" i="106"/>
  <c r="F58" i="106"/>
  <c r="F65" i="106"/>
  <c r="F57" i="105"/>
  <c r="F58" i="105"/>
  <c r="F56" i="105"/>
  <c r="T25" i="105"/>
  <c r="F65" i="105"/>
  <c r="F63" i="105"/>
  <c r="F64" i="105"/>
  <c r="H58" i="70"/>
  <c r="T38" i="70"/>
  <c r="H65" i="70"/>
  <c r="H57" i="70"/>
  <c r="H63" i="70"/>
  <c r="H56" i="70"/>
  <c r="H64" i="70"/>
  <c r="F65" i="90"/>
  <c r="F57" i="90"/>
  <c r="T25" i="90"/>
  <c r="F56" i="90"/>
  <c r="F63" i="90"/>
  <c r="F58" i="90"/>
  <c r="F64" i="90"/>
  <c r="T38" i="50"/>
  <c r="H56" i="50"/>
  <c r="H57" i="50"/>
  <c r="H64" i="50"/>
  <c r="H63" i="50"/>
  <c r="H65" i="50"/>
  <c r="H58" i="50"/>
  <c r="H56" i="38"/>
  <c r="H57" i="38"/>
  <c r="T38" i="38"/>
  <c r="H64" i="38"/>
  <c r="H65" i="38"/>
  <c r="H58" i="38"/>
  <c r="H63" i="38"/>
  <c r="T38" i="79"/>
  <c r="H56" i="79"/>
  <c r="H65" i="79"/>
  <c r="H63" i="79"/>
  <c r="H64" i="79"/>
  <c r="H58" i="79"/>
  <c r="H57" i="79"/>
  <c r="F64" i="94"/>
  <c r="F58" i="94"/>
  <c r="F65" i="94"/>
  <c r="F63" i="94"/>
  <c r="T25" i="94"/>
  <c r="F56" i="94"/>
  <c r="F57" i="94"/>
</calcChain>
</file>

<file path=xl/sharedStrings.xml><?xml version="1.0" encoding="utf-8"?>
<sst xmlns="http://schemas.openxmlformats.org/spreadsheetml/2006/main" count="4919" uniqueCount="469">
  <si>
    <t>CAGR</t>
  </si>
  <si>
    <t>2008-2012</t>
  </si>
  <si>
    <t>Tax Rate</t>
  </si>
  <si>
    <t>Unlevered Net Income</t>
  </si>
  <si>
    <t>DCF Analysis (2008-2012):  EBITDA Multiple Method</t>
  </si>
  <si>
    <t>Total Enterprise Value</t>
  </si>
  <si>
    <t>Total Equity Value</t>
  </si>
  <si>
    <t>Terminal EBITDA Multiple</t>
  </si>
  <si>
    <t>Discount</t>
  </si>
  <si>
    <t>Rate</t>
  </si>
  <si>
    <t>(WACC)</t>
  </si>
  <si>
    <t>Implied Perpetuity Growth Rate</t>
  </si>
  <si>
    <t>Total Price Per Share</t>
  </si>
  <si>
    <t>DCF Analysis (2008-2012):  Perpetuity Growth Method</t>
  </si>
  <si>
    <t>Net Debt</t>
  </si>
  <si>
    <t>Shares</t>
  </si>
  <si>
    <t>Terminal Perpetuity Growth Rate</t>
  </si>
  <si>
    <t>Implied Terminal EBITDA Multiple</t>
  </si>
  <si>
    <t>Calendar Year Ending December 31,</t>
  </si>
  <si>
    <t>Unlevered Free Cash Flow</t>
  </si>
  <si>
    <t>Unlevered Free Cash Flow Calculation</t>
  </si>
  <si>
    <t>Less: Provision for Taxes</t>
  </si>
  <si>
    <t>Plus: Non-deductible Goodwill Amort.</t>
  </si>
  <si>
    <t>Less: Capital Expenditures</t>
  </si>
  <si>
    <t>Less: Increase in Net Working Capital</t>
  </si>
  <si>
    <t>Plus: D&amp;A (excl. non-deductible GW amort.)</t>
  </si>
  <si>
    <t>Pre-Tax Earnings</t>
  </si>
  <si>
    <t>EBA</t>
  </si>
  <si>
    <t>Rates</t>
  </si>
  <si>
    <t>Down</t>
  </si>
  <si>
    <t>Up</t>
  </si>
  <si>
    <t>Neutral</t>
  </si>
  <si>
    <t>Year</t>
  </si>
  <si>
    <t>2018-2022</t>
  </si>
  <si>
    <t>How Long</t>
  </si>
  <si>
    <t>How Many</t>
  </si>
  <si>
    <t>How Sure Are you</t>
  </si>
  <si>
    <t>DCF Analysis (2018-2022):  Perpetuity Growth Method</t>
  </si>
  <si>
    <t>Ok</t>
  </si>
  <si>
    <t>Current Price</t>
  </si>
  <si>
    <t xml:space="preserve"> </t>
  </si>
  <si>
    <t>Are the odds in your favor?</t>
  </si>
  <si>
    <t>regulatory climate</t>
  </si>
  <si>
    <t>state of labor</t>
  </si>
  <si>
    <t>supplier</t>
  </si>
  <si>
    <t>customer relations</t>
  </si>
  <si>
    <t>potential impact of changes in technology</t>
  </si>
  <si>
    <t>competitve strengths</t>
  </si>
  <si>
    <t>vulnerabilities</t>
  </si>
  <si>
    <t>pricing power</t>
  </si>
  <si>
    <t>scalability</t>
  </si>
  <si>
    <t>how do they deploy cash?</t>
  </si>
  <si>
    <t>extreme patience</t>
  </si>
  <si>
    <t>extreme decisiveness</t>
  </si>
  <si>
    <t>is the price low enough?</t>
  </si>
  <si>
    <t>insist upon proper compensation for risk assumed</t>
  </si>
  <si>
    <t>always be aware of inflation and interest rate exposures</t>
  </si>
  <si>
    <t>avoid big mistakes; shun permanent capital loss</t>
  </si>
  <si>
    <t>always invert</t>
  </si>
  <si>
    <t>competitive rivalry</t>
  </si>
  <si>
    <t>supplier power</t>
  </si>
  <si>
    <t>buyer power</t>
  </si>
  <si>
    <t>threat of substituion</t>
  </si>
  <si>
    <t>threat of new entry</t>
  </si>
  <si>
    <t>cost of switching</t>
  </si>
  <si>
    <t>interest coverage ratio</t>
  </si>
  <si>
    <t>income from ooperations/ interest expense</t>
  </si>
  <si>
    <t>5x operating income to be safe</t>
  </si>
  <si>
    <t>Debt-to-equity</t>
  </si>
  <si>
    <t>&lt;.50</t>
  </si>
  <si>
    <t>long term debt  + notes payable / equity</t>
  </si>
  <si>
    <t>current ratio</t>
  </si>
  <si>
    <t>min 1.5</t>
  </si>
  <si>
    <t>current assets / current liabilities</t>
  </si>
  <si>
    <t>return on equity</t>
  </si>
  <si>
    <t>&gt;8%</t>
  </si>
  <si>
    <t>net income / equity</t>
  </si>
  <si>
    <t>price to book value</t>
  </si>
  <si>
    <t>&lt;1.5</t>
  </si>
  <si>
    <t>market price per share / book value per share</t>
  </si>
  <si>
    <t xml:space="preserve">Price to earnings </t>
  </si>
  <si>
    <t>&lt;15</t>
  </si>
  <si>
    <t xml:space="preserve">return on assets </t>
  </si>
  <si>
    <t>&gt;6%</t>
  </si>
  <si>
    <t>net income / total assets</t>
  </si>
  <si>
    <t>book value per share</t>
  </si>
  <si>
    <t>total equity / # of shares</t>
  </si>
  <si>
    <t>payout ratio</t>
  </si>
  <si>
    <t>durable competitive advantage</t>
  </si>
  <si>
    <t>management good</t>
  </si>
  <si>
    <t>price makes sense</t>
  </si>
  <si>
    <t>margin of safety</t>
  </si>
  <si>
    <t>is the bird in the hand worth more than two in the bush</t>
  </si>
  <si>
    <t>Depends:</t>
  </si>
  <si>
    <t>How many are in the bush?</t>
  </si>
  <si>
    <t>How long?</t>
  </si>
  <si>
    <t>remove goodwill - amortization</t>
  </si>
  <si>
    <t>adjust eps by subtracting cap exp.</t>
  </si>
  <si>
    <t>Checklist</t>
  </si>
  <si>
    <t>Cash</t>
  </si>
  <si>
    <t>Competition?</t>
  </si>
  <si>
    <t>Suppliers?</t>
  </si>
  <si>
    <t xml:space="preserve">in the top 3 - most profitable segments - able to compete </t>
  </si>
  <si>
    <t>corn prices and production are cost limitors</t>
  </si>
  <si>
    <t>great management balance sheet is strong and high ROE</t>
  </si>
  <si>
    <t>fair price - priced in downside it hit 52 week low - out of favor</t>
  </si>
  <si>
    <t>yes</t>
  </si>
  <si>
    <t>everyone just got raises so yes</t>
  </si>
  <si>
    <t>none - producer of chickens</t>
  </si>
  <si>
    <t>operational returns - shareholder thinking - no money wasted</t>
  </si>
  <si>
    <t>cost of food for chickens and demand of it</t>
  </si>
  <si>
    <t xml:space="preserve">none </t>
  </si>
  <si>
    <t>slow</t>
  </si>
  <si>
    <t>reinvestments in assets to produce more chicken</t>
  </si>
  <si>
    <t>Market Valuation</t>
  </si>
  <si>
    <t>over time, the market will price the company's equity bond/shares at a level that reflects the value of its earnings relative to the yield on long term corporate bonds.</t>
  </si>
  <si>
    <t>Market Cap / GDP</t>
  </si>
  <si>
    <t>higher cost feed grains</t>
  </si>
  <si>
    <t>decline overall in market prices of poultry products</t>
  </si>
  <si>
    <t xml:space="preserve">the market is scared of over supply of chicken and increase in feed grains and demand weakness that's why it's at a 52 week low. </t>
  </si>
  <si>
    <t>fact - the supply in chicken hasn't change since livebility has decreased which offset increase of supply.</t>
  </si>
  <si>
    <t xml:space="preserve">feed grains always flutuate but it'll most likely have more good years than bad years. </t>
  </si>
  <si>
    <t>higher volume runnig through so demand is not as bad as the market believes</t>
  </si>
  <si>
    <t>balance sheet is strong and dependable market share? Profitable segments only favorable product mix, uses antibiotics (cheaper) - higher average chicken weight - vertically integrated - low cost producer, strong balance sheet</t>
  </si>
  <si>
    <t>moat</t>
  </si>
  <si>
    <t>do you need a good lord?</t>
  </si>
  <si>
    <t>how does capital allocation work</t>
  </si>
  <si>
    <t>great management with capital allocation - good history</t>
  </si>
  <si>
    <t>most profitable chicken farmer</t>
  </si>
  <si>
    <t>no debt - clean growth able to withstand market movements</t>
  </si>
  <si>
    <t xml:space="preserve">Company worth at least 4 Billion </t>
  </si>
  <si>
    <t>next 3 years</t>
  </si>
  <si>
    <t>pretty confident</t>
  </si>
  <si>
    <t>in assets 1.7 vs 2.3 alone the company is 66% worth in assets</t>
  </si>
  <si>
    <t>good</t>
  </si>
  <si>
    <t>none</t>
  </si>
  <si>
    <t>Extreme Patience</t>
  </si>
  <si>
    <t>Extreme Decisiveness</t>
  </si>
  <si>
    <t>Investment Question</t>
  </si>
  <si>
    <t>1. How Long</t>
  </si>
  <si>
    <t>2. How Many</t>
  </si>
  <si>
    <t>3. How Sure Are You?</t>
  </si>
  <si>
    <t>Management/Barriers/Competition</t>
  </si>
  <si>
    <t>Durable competitive advantage?</t>
  </si>
  <si>
    <t>Management good?</t>
  </si>
  <si>
    <t>Price makes sense?</t>
  </si>
  <si>
    <t>Regulatory climate?</t>
  </si>
  <si>
    <t>Customer relations</t>
  </si>
  <si>
    <t>State of labor?</t>
  </si>
  <si>
    <t>1.</t>
  </si>
  <si>
    <t>Potential impact of changes in technology</t>
  </si>
  <si>
    <t>Vulnerabilities</t>
  </si>
  <si>
    <t>Pricing power</t>
  </si>
  <si>
    <t>Scalability</t>
  </si>
  <si>
    <t>Margin of safety?</t>
  </si>
  <si>
    <t>2.</t>
  </si>
  <si>
    <t>3.</t>
  </si>
  <si>
    <t>4.</t>
  </si>
  <si>
    <t>5.</t>
  </si>
  <si>
    <t>6.</t>
  </si>
  <si>
    <t>7.</t>
  </si>
  <si>
    <t>8.</t>
  </si>
  <si>
    <t>9.</t>
  </si>
  <si>
    <t>10.</t>
  </si>
  <si>
    <t>11.</t>
  </si>
  <si>
    <t>12.</t>
  </si>
  <si>
    <t>13.</t>
  </si>
  <si>
    <t>14.</t>
  </si>
  <si>
    <t>Moat</t>
  </si>
  <si>
    <t>Where does the capital go?</t>
  </si>
  <si>
    <t>Do you need a good lord?</t>
  </si>
  <si>
    <t>15.</t>
  </si>
  <si>
    <t>16.</t>
  </si>
  <si>
    <t>17.</t>
  </si>
  <si>
    <t>Market View</t>
  </si>
  <si>
    <t>What is the concensus currently and why?</t>
  </si>
  <si>
    <t>be aware of your own bias</t>
  </si>
  <si>
    <t>18.</t>
  </si>
  <si>
    <t>Consider potential second order and higher level impacts</t>
  </si>
  <si>
    <t>DOWN</t>
  </si>
  <si>
    <t>NEUTRAL</t>
  </si>
  <si>
    <t>Equity Inputs</t>
  </si>
  <si>
    <t>Principles</t>
  </si>
  <si>
    <t>CONSERVATIVE</t>
  </si>
  <si>
    <t>trading at 100</t>
  </si>
  <si>
    <t xml:space="preserve">Current Price </t>
  </si>
  <si>
    <t>growth stocks that have beaten down too much</t>
  </si>
  <si>
    <t>Notes:</t>
  </si>
  <si>
    <t>Conservative</t>
  </si>
  <si>
    <t>Is the dividend safe?</t>
  </si>
  <si>
    <t>Will this dividend grow?</t>
  </si>
  <si>
    <t>What does this dividend stream stand to return to me as a shareholder?</t>
  </si>
  <si>
    <t>Macro-View</t>
  </si>
  <si>
    <t>after-tax corporate profits as a percentage of national income (GDP similar) - historically it's 4.9%</t>
  </si>
  <si>
    <t>“Patience … followed by pretty aggressive conduct. It is given to human beings who work hard at it—who look and sift the world for a mispriced bet — that they can occasionally find one. And the wise ones bet heavily when the world offers them that opportunity. They bet big when they have the odds. And the rest of the time, they don’t. It’s just that simple.” – Charlie Munger</t>
  </si>
  <si>
    <t>“Over the past 50 years we lived through the best time of human history. It is likely to get worse. I recommend you to prepare for worse because pleasant surprises are easy to handle.”– Charlie Munger  </t>
  </si>
  <si>
    <t>Date:</t>
  </si>
  <si>
    <t xml:space="preserve">3B x 10x </t>
  </si>
  <si>
    <t xml:space="preserve">Very strong company with moats around the business, should do well in the next 5 years. Adding new lines for new houses to sign up for the internet services. Upgrading speeds to stay competitive for the future. Mergers and JV should help cap ex come down. Just sold some of their mobile for 12B which still has the other 70% of revenue with the sale. </t>
  </si>
  <si>
    <t>Worth 35 Billion</t>
  </si>
  <si>
    <t xml:space="preserve">3 Years 25% return </t>
  </si>
  <si>
    <t>—</t>
  </si>
  <si>
    <t>pure play broadcom company</t>
  </si>
  <si>
    <t>What is the most important drivers of customers to the industry and does this company competitively meet these drivers?</t>
  </si>
  <si>
    <t>Light-duty hybrids expected to grow</t>
  </si>
  <si>
    <t xml:space="preserve">Cost Structure Optimization - $100M+ average annual savings (2017-2020) ~$45M/Yr average savings (2017-2020) 
</t>
  </si>
  <si>
    <t>400m to 700m next 3 years</t>
  </si>
  <si>
    <t>Commercial vehicle itself is a good margin driver for us. But it's really sort of light-duty diesel that as that comes off, that is creating some headwinds as well. </t>
  </si>
  <si>
    <t>So, our advantage is what we bring is we're system integrators. So, if you recall what we talked about in our first teach-in on power electronics, our ability to mix and match our foundational portfolio, our technology packages in a way that makes it effective, cost effective, as well as meets the requirements of the OEM. Yet, it achieves the performance objectives that they're asking for and then being able to provide that software that provides yet another step function in performance over what the hardware can offer. In other words, giving them the best value solution to meet their challenges of the future.</t>
  </si>
  <si>
    <t>And the key area of differentiation – and I've been engaged personally with a number of OEMs on pursuits that we're working at the moment – is really around the software capabilities that we have and the ability to package and integrate our inverter into their overall system. And clearly one of the advantages that we have with our inverter is the Viper technology that we went through at the last teach-in, which enables us to package it small and in more compact space and provide them a much more efficient solution.</t>
  </si>
  <si>
    <t>more content per vehicle, electronics are increased which are better for electricfication of vehicles</t>
  </si>
  <si>
    <t>The three areas that are the strategic focus for the company are electronics and electrification, highly efficient gasoline systems and commercial vehicle systems.</t>
  </si>
  <si>
    <t>recheck back nov 7th</t>
  </si>
  <si>
    <t xml:space="preserve">it's a buy for margin expansion if it occurs. </t>
  </si>
  <si>
    <t>Business fortunes can change fast in the mobile industry… but InterDigital is already scheduled to collect $1B in cash through 2022 under existing fixed-fee agreements, with any perunit revenues and new agreements building on that base</t>
  </si>
  <si>
    <t>• On a go-forward basis, we currently expect a significant portion of our income to qualify as Foreign Derived Intangible Income (FDII) which, under the Tax Act, would be subject to an even lower tax rate of 13.1%.</t>
  </si>
  <si>
    <t>. Focus on growing the value of our core terminal unit licensing business. To do that, we need to continue to develop critical wireless technologies which we are doing very well, but also develop and acquire deep new competencies in other pervasive technologies that are also critical to our handset customers.</t>
  </si>
  <si>
    <t> The incredible value of InterDigital's core business is in its operating leverage. We create the greatest value when any added revenue comes with only nominal cost. In that instance, a 10% increase on the revenue line can yield 2 or 3x that increase in our profit. </t>
  </si>
  <si>
    <t>For the Year Ended December 31,</t>
  </si>
  <si>
    <t>Apple (a)</t>
  </si>
  <si>
    <t>Huawei (b)</t>
  </si>
  <si>
    <t>BlackBerry (c)</t>
  </si>
  <si>
    <t>&lt; 10%</t>
  </si>
  <si>
    <t>Samsung</t>
  </si>
  <si>
    <t>Pegatron</t>
  </si>
  <si>
    <t>6 billion</t>
  </si>
  <si>
    <t>Next 2 years</t>
  </si>
  <si>
    <t>gurantee license of 1B to 2022, confident</t>
  </si>
  <si>
    <t xml:space="preserve">patent troll, inconsistent revnues </t>
  </si>
  <si>
    <t>patents matter here, wireless technology.</t>
  </si>
  <si>
    <t>many competitiors, but they specialize in wireless and have patents to develop on</t>
  </si>
  <si>
    <t xml:space="preserve">great research team, that is their supply management. Good patents and leadership to monitize. Avg span is 10 years </t>
  </si>
  <si>
    <t>good management return to shareholders through buybacks and dividends. Smart about buying back with ROI</t>
  </si>
  <si>
    <t>yes?</t>
  </si>
  <si>
    <t>30% margin</t>
  </si>
  <si>
    <t xml:space="preserve">a lot of potential change, but within the mobile space it doesn't move much. </t>
  </si>
  <si>
    <t>new wireless technology</t>
  </si>
  <si>
    <t>friendly</t>
  </si>
  <si>
    <t>very scaleable</t>
  </si>
  <si>
    <t xml:space="preserve">great moat as long as they keep developing </t>
  </si>
  <si>
    <t>very great lord</t>
  </si>
  <si>
    <t>sharebuy backs, m&amp;a, dividends</t>
  </si>
  <si>
    <t>ready for 5g. Gets paid. Only thing worried about is new technology</t>
  </si>
  <si>
    <t>$15 shares in cash - after vodaphone deal</t>
  </si>
  <si>
    <t>capital expeditures - 31-32% currently - mid 20% next year 25% - increase in 700M</t>
  </si>
  <si>
    <t>5.4B freecash flow</t>
  </si>
  <si>
    <t>Trading at 4-5x - 23-25 bucks</t>
  </si>
  <si>
    <t>At least 100% return the next 2 years</t>
  </si>
  <si>
    <t>this is the return currently with no debt</t>
  </si>
  <si>
    <t>Total</t>
  </si>
  <si>
    <t>As I noted in my letter to shareholders earlier this year, if power prices remain at current levels or decline further, the price we receive for power post PPA would be materially below current contract levels. Some of our projects would not be re-contracted and we would consider mothballing or decommissioning them.</t>
  </si>
  <si>
    <t>First, the timing of PPA exploration is lumpy; six of our PPA’s expired in a three-month period earlier this year with a reduction to our 2018 results of about $83 million. Results were reduced another $29 million for the 2017 OEFC settlement. But between now and April 2022, we have only four PPAs scheduled to expire, with combined annual EBITDA of approximately $15 million</t>
  </si>
  <si>
    <t> Over the next four years, we expect to reduce total debt by more than half, to slightly less than $400 million. This will result in significantly lower cash interest payments, which means that our operating cash flow will be reduced less than our EBITDA.</t>
  </si>
  <si>
    <t>Certainly there is additional risk from PPA’s expiring in 2022 and beyond, but even then we expect to generate significant cash flow to continue reducing debt. By about 2025, we would expect to be approximately net debt free.</t>
  </si>
  <si>
    <t xml:space="preserve">7 years to be debt free </t>
  </si>
  <si>
    <t>depends on what kind of contracts they get in the next 3-4 years</t>
  </si>
  <si>
    <t>not sure where earnings will stand after 5+ years</t>
  </si>
  <si>
    <t>Current free cash rate is 100m a year for the next 5 years</t>
  </si>
  <si>
    <t>242m</t>
  </si>
  <si>
    <t>cost efficiency - commodity and open competitive market</t>
  </si>
  <si>
    <t>still recovering from debt with no real growth stories yet</t>
  </si>
  <si>
    <t>Differentiated P&amp;C reinsurance business model with focus on low-volatility, predictable lines of business and strong long-lasting client relationships</t>
  </si>
  <si>
    <t>• Extremely limited exposure to natural catastrophes</t>
  </si>
  <si>
    <t>money being made is used to invest in other companies</t>
  </si>
  <si>
    <t xml:space="preserve">they have a large investment in the celluer business </t>
  </si>
  <si>
    <t>investment in the banking busienss</t>
  </si>
  <si>
    <t>not sure what they're doing to target shareholder value</t>
  </si>
  <si>
    <t>377m</t>
  </si>
  <si>
    <t>could be 80m in cash flow, trading current 5x fcf</t>
  </si>
  <si>
    <t xml:space="preserve">its cheap but don't see any current catalyst to bring the company up, I see cheaper downside with buyside at 200m </t>
  </si>
  <si>
    <t>South African transaction processing and financial inclusion businesses have demonstrated that they are sustainable, differentiated and competitive, fueling our strategy to further expand our fintech offerings in South Africa and internationally.</t>
  </si>
  <si>
    <t>Earnings of 60m next year</t>
  </si>
  <si>
    <t>And lastly, given fiscal 2019 is likely to be our biggest transition year in the company's history, we expect this fiscal year to be the bottom and all our various initiatives, investments and actions to drive long-term growth of this space.</t>
  </si>
  <si>
    <t>Declining discoveries setting the stage for tightening of Oil and Gas markets</t>
  </si>
  <si>
    <t>Global demand growth has balanced supply, ending the oil glut</t>
  </si>
  <si>
    <t>64m</t>
  </si>
  <si>
    <t>Operate in countries favorable commodity prices, royalty, and tax rates -  U.S. TECHNOLOGY IN HIGH-RETURN INTERNATIONAL LOCALES</t>
  </si>
  <si>
    <t>Şelmo wells deliver 49-128% returns</t>
  </si>
  <si>
    <t>Bahar wells deliver returns &gt; 300%</t>
  </si>
  <si>
    <t>On-going drilling campaign underway expected to grow production in 2018 and the potential to more than double overall production by end of 2019, contingent on funding</t>
  </si>
  <si>
    <t>derivates contract up 2H 2019</t>
  </si>
  <si>
    <t>Natural Gas pricing increasing for 4Q 2018</t>
  </si>
  <si>
    <t xml:space="preserve">418m of bank revolver </t>
  </si>
  <si>
    <t>100m cash flow being used to operate in cap exp to increase ebitda</t>
  </si>
  <si>
    <t>1 year</t>
  </si>
  <si>
    <t>600m - 1m</t>
  </si>
  <si>
    <t>315m</t>
  </si>
  <si>
    <t>2-3x</t>
  </si>
  <si>
    <t>trading at half proved reserves of 700 million</t>
  </si>
  <si>
    <t>1.1b</t>
  </si>
  <si>
    <t>Over 600 active and pending patents across biomass-based diesel, renewable hydrocarbon diesel and renewable chemical domains</t>
  </si>
  <si>
    <t>Advanced technology, IP and proven track record of building and upgrading world-class biomass-based facilities</t>
  </si>
  <si>
    <t>Sophisticated procurement and technology capabilities enable a diverse feedstock mix</t>
  </si>
  <si>
    <t>Diverse product mix with the potential to target dozens of growing markets</t>
  </si>
  <si>
    <t>We are a lower-cost biomass-based diesel producer. We primarily produce our biomass-based diesel from a wide variety of lower cost feedstocks, including inedible corn oil, used cooking oil and inedible animal fat. We also produce biomass-based diesel from virgin vegetable oils, such as soybean oil or canola oil,which are more widely available, but tend to be higher in price. We believe our ability to process a wide variety of feedstocks provides us with a cost advantage over many biomass-based diesel producers, particularly those that rely primarily on higher cost virgin vegetable oils.</t>
  </si>
  <si>
    <t>Q4 ’17 to Q4’18 expected production growth in excess of 250%</t>
  </si>
  <si>
    <t>Strong current liquidity of ~$418 MM (pro forma for water infrastructure sale and revised borrowing base) • No near‐term debt maturities</t>
  </si>
  <si>
    <t>2025 650m due</t>
  </si>
  <si>
    <t>50-100% returns</t>
  </si>
  <si>
    <t>too hard - not sure what oil prices will do and I'm not sure how efficient they are. Cannot find good information on profitablbility</t>
  </si>
  <si>
    <t>the most important drivers are oil price and efficiency. Its not about how much you produce, its about how much you produce profitability</t>
  </si>
  <si>
    <t xml:space="preserve">Attractive Break‐Even Economics(1) - $31 - 1. Breakevens represent IRRs of 10% and assume gas prices of: $3.03/Mcf in 2018, $2.88/Mcf in 2019, $3.04/Mcf in 2020, $3.28/Mcf in 2021 and $3.34/Mcf in 2022+, inflated at 2% per annum thereafter
</t>
  </si>
  <si>
    <t>• If fully converted, will result in approximately 89.2mm shares outstanding. There is no assurance that the</t>
  </si>
  <si>
    <t>Market Cap is 90m</t>
  </si>
  <si>
    <t>brent pricing</t>
  </si>
  <si>
    <t>In 2017, approximately 73% of our total feedstock usage was lower cost inedible corn oil, used cooking oil or rendered animal fat feedstock and the remaining 27% consisted of refined vegetable oils, such as soybean oil or canola oil.</t>
  </si>
  <si>
    <t>our principal competitive differentiators are biomass-based diesel quality and RIN quality, supply reliability and price. </t>
  </si>
  <si>
    <t>Our gross margins are dependent on the spread between biomass-based diesel prices and feedstock costs, each of which are volatile and can cause our results of operations to fluctuate substantially.</t>
  </si>
  <si>
    <t>2017 decreased to $3.06 per gallon from $3.17 per gallon in 2016, mainly due to the impact of the lapsing of the BTC</t>
  </si>
  <si>
    <t> For the periods from 2015 to 2017, approximately 85%, 72% and 73%, respectively, of our annual total feedstock usage was inedible corn oil, used cooking oil or inedible animal fat, and approximately 15%, 28% and 27%, respectively, was virgin vegetable oils. </t>
  </si>
  <si>
    <t xml:space="preserve">two things I don't know - diseal prices vs biomass diseal the cost to create biomass diseal is almost the same as normal diseal prices. Investment makes sense if future diseal prices increases but that is an unknonwn. </t>
  </si>
  <si>
    <t xml:space="preserve">you have to compete againist other biofuel companies by having lower costs </t>
  </si>
  <si>
    <t xml:space="preserve">you have to compete againist normal diseal prices </t>
  </si>
  <si>
    <t>depends a lot of gov't subsidy</t>
  </si>
  <si>
    <t>2.12 billion for Versace</t>
  </si>
  <si>
    <t>1.44 billion for Jimmy Choo</t>
  </si>
  <si>
    <t>3.6B</t>
  </si>
  <si>
    <t>3 years</t>
  </si>
  <si>
    <t>Double EBITA growth and margins</t>
  </si>
  <si>
    <t>7B now --&gt;  20B</t>
  </si>
  <si>
    <t>1.86x</t>
  </si>
  <si>
    <t>annual return</t>
  </si>
  <si>
    <t>Confident 10K buy at 5B - no current catalyst for 2019, watch stock price should be no movement. - strong buy a 5B</t>
  </si>
  <si>
    <t xml:space="preserve">1B in Profit ~~ 20B </t>
  </si>
  <si>
    <t>Sure Sure</t>
  </si>
  <si>
    <t>If more growth 40B ~~</t>
  </si>
  <si>
    <t>13B</t>
  </si>
  <si>
    <t>2x</t>
  </si>
  <si>
    <t>Shareholder Name</t>
  </si>
  <si>
    <t>Shares Type</t>
  </si>
  <si>
    <t>Ownership</t>
  </si>
  <si>
    <t>Percentage</t>
  </si>
  <si>
    <t>Voting</t>
  </si>
  <si>
    <t>Power*</t>
  </si>
  <si>
    <t>SINA</t>
  </si>
  <si>
    <t>Class B Ordinary shares</t>
  </si>
  <si>
    <t>%</t>
  </si>
  <si>
    <t>Alibaba</t>
  </si>
  <si>
    <t>Class A Ordinary shares</t>
  </si>
  <si>
    <t>Others</t>
  </si>
  <si>
    <r>
      <t>We are a leading global producer in many of our key product lines, including TiO</t>
    </r>
    <r>
      <rPr>
        <vertAlign val="subscript"/>
        <sz val="10"/>
        <color rgb="FF000000"/>
        <rFont val="Times New Roman"/>
        <family val="1"/>
      </rPr>
      <t>2</t>
    </r>
    <r>
      <rPr>
        <sz val="10"/>
        <color rgb="FF000000"/>
        <rFont val="Times New Roman"/>
        <family val="1"/>
      </rPr>
      <t>, color pigments and functional additives, a leading North American producer of timber treatment products and a leading </t>
    </r>
  </si>
  <si>
    <t>While these competitors and others produce various types and quantities of polyurethane chemicals, we focus on MDI and MDI‑based formulated polyurethane systems.</t>
  </si>
  <si>
    <t xml:space="preserve">3 years </t>
  </si>
  <si>
    <t>4.8B right now</t>
  </si>
  <si>
    <t>12B</t>
  </si>
  <si>
    <t>1.5x</t>
  </si>
  <si>
    <t>50% a year</t>
  </si>
  <si>
    <t>Pretty sure</t>
  </si>
  <si>
    <t>•Sustainable differentiated business model • Stable earnings with mid-single digit core growth • Attractive mid-teens unlevered returns • Strong capital position under multiple lenses • Significant cash generation while investing for long-term growth</t>
  </si>
  <si>
    <t>21% gibraltar - life insurance</t>
  </si>
  <si>
    <t>25% - individual annuities</t>
  </si>
  <si>
    <t>15% - retirement pension risk transfer</t>
  </si>
  <si>
    <t xml:space="preserve">13% - PGIM - Asset management - prudential global investment management </t>
  </si>
  <si>
    <t>20% life planner - annuities- individual and group life insurance, retirement and related products, including certain health and personal accident products with fixed benefits</t>
  </si>
  <si>
    <t>catalyst will be higher rates</t>
  </si>
  <si>
    <t xml:space="preserve">39B </t>
  </si>
  <si>
    <t>70B</t>
  </si>
  <si>
    <t>1 Years</t>
  </si>
  <si>
    <t>Confident</t>
  </si>
  <si>
    <t>This is strong evidence of our unique downstream business and the strength and resilience of our customer base. </t>
  </si>
  <si>
    <t>And then on the equity market sensitivity, I think you are showing now that a 40% decline you would still be at CTE98, I think in the original or maybe if we think back to the 10-K you would have still been above the CTE95 threshold, but below CTE98 I guess can you help me think about what has changed and led to the improvement there? - I mean largely because we are very well protected book and with the large option book you threw a market stress on us</t>
  </si>
  <si>
    <t>2.5x</t>
  </si>
  <si>
    <t>they don't make money but they do. They're adjusting for spin offs and removing derivates off their books with more capital</t>
  </si>
  <si>
    <t>Have margins been consistent and high relative to its industry?</t>
  </si>
  <si>
    <t>Return on equity relative to industry?</t>
  </si>
  <si>
    <t>Is there a lot of entry and exits within the industry? If not its strong - if so very competitive market</t>
  </si>
  <si>
    <t>How dominate?</t>
  </si>
  <si>
    <t>Market Share?</t>
  </si>
  <si>
    <t>High switch costs / habits / search cost of replacement</t>
  </si>
  <si>
    <t xml:space="preserve">January 2019 - December 2019  1,825   $ 54.29  </t>
  </si>
  <si>
    <t>Half of next year production hedged at 54</t>
  </si>
  <si>
    <t>70% oil - 30% gas</t>
  </si>
  <si>
    <t>First, our business is highly diversified, it is not overly-dependent on any one package type, application or customer. We broadly support the majority of semiconductor applications in production, this includes major markets such as consumer, mobility, memory, LED, and Automotive.</t>
  </si>
  <si>
    <t>22.7 Billion - 2017 - 28% of OCF</t>
  </si>
  <si>
    <t>Cash proceeds 12.7</t>
  </si>
  <si>
    <t>Vodaphone Deal</t>
  </si>
  <si>
    <t>“Germany, for example, is dominated by one provider that controls over half the broadband market. Even together, Liberty Global and Vodafone, whose cable networks don’t compete or overlap, will be half the size of the incumbent operator</t>
  </si>
  <si>
    <t>4.1 bill in OCF after deal</t>
  </si>
  <si>
    <t>24 billion left in debt</t>
  </si>
  <si>
    <t>investing in new growth, currently growth is stalling. Margins falling = competitive advantage not good enough</t>
  </si>
  <si>
    <t>you can watch, good entry would probably be 12-15</t>
  </si>
  <si>
    <t>too mush risk in current valuation</t>
  </si>
  <si>
    <t>most competitive portfolio of low-cost graphite electrode manufacturing facilities in the industry, including three of the five highest capacity facilities in the world (excluding China)</t>
  </si>
  <si>
    <r>
      <t>We are the only</t>
    </r>
    <r>
      <rPr>
        <b/>
        <sz val="12"/>
        <color rgb="FF000000"/>
        <rFont val="Times"/>
      </rPr>
      <t xml:space="preserve"> large scale graphite electrode producer</t>
    </r>
    <r>
      <rPr>
        <sz val="12"/>
        <color rgb="FF000000"/>
        <rFont val="Times"/>
      </rPr>
      <t xml:space="preserve"> that is substantially vertically integrated into </t>
    </r>
    <r>
      <rPr>
        <b/>
        <sz val="12"/>
        <color rgb="FF000000"/>
        <rFont val="Times"/>
      </rPr>
      <t>petroleum needle coke,</t>
    </r>
    <r>
      <rPr>
        <sz val="12"/>
        <color rgb="FF000000"/>
        <rFont val="Times"/>
      </rPr>
      <t xml:space="preserve"> the primary raw material for graphite electrode manufacturing, which is currently in limited supply.</t>
    </r>
  </si>
  <si>
    <r>
      <t xml:space="preserve">The petroleum needle coke industry is highly concentrated. We believe Seadrift is the </t>
    </r>
    <r>
      <rPr>
        <b/>
        <sz val="12"/>
        <color rgb="FF000000"/>
        <rFont val="Times"/>
      </rPr>
      <t>second largest p</t>
    </r>
    <r>
      <rPr>
        <sz val="12"/>
        <color rgb="FF000000"/>
        <rFont val="Times"/>
      </rPr>
      <t xml:space="preserve">etroleum needle coke producer in the world. We also believe that the quality of Seadrift's petroleum needle coke is </t>
    </r>
    <r>
      <rPr>
        <b/>
        <sz val="12"/>
        <color rgb="FF000000"/>
        <rFont val="Times"/>
      </rPr>
      <t>superior</t>
    </r>
    <r>
      <rPr>
        <sz val="12"/>
        <color rgb="FF000000"/>
        <rFont val="Times"/>
      </rPr>
      <t xml:space="preserve"> for graphite electrode production compared to most of the petroleum needle coke available to our peers on the open market, allowing us to produce higher quality electrodes in a cost-efficient manner. </t>
    </r>
  </si>
  <si>
    <r>
      <t xml:space="preserve">We believe this cost advantage will grow as demand for petroleum needle coke increases for use in </t>
    </r>
    <r>
      <rPr>
        <b/>
        <sz val="12"/>
        <color rgb="FF000000"/>
        <rFont val="Times"/>
      </rPr>
      <t>lithium-ion batteries</t>
    </r>
    <r>
      <rPr>
        <sz val="12"/>
        <color rgb="FF000000"/>
        <rFont val="Times"/>
      </rPr>
      <t xml:space="preserve"> in electric vehicles. The demand for petroleum needle coke in lithium-ion batteries is </t>
    </r>
    <r>
      <rPr>
        <b/>
        <sz val="12"/>
        <color rgb="FF000000"/>
        <rFont val="Times"/>
      </rPr>
      <t>growing</t>
    </r>
    <r>
      <rPr>
        <sz val="12"/>
        <color rgb="FF000000"/>
        <rFont val="Times"/>
      </rPr>
      <t xml:space="preserve"> rapidly, with usage going from approximately 1,000 MT in 2014 to 60,000 MT in 2017. </t>
    </r>
  </si>
  <si>
    <r>
      <t xml:space="preserve">this rapidly growing alternative source of demand is a significant development for the petroleum needle coke industry and is contributing to the global </t>
    </r>
    <r>
      <rPr>
        <b/>
        <sz val="12"/>
        <color rgb="FF000000"/>
        <rFont val="Times"/>
      </rPr>
      <t>shortage</t>
    </r>
    <r>
      <rPr>
        <sz val="12"/>
        <color rgb="FF000000"/>
        <rFont val="Times"/>
      </rPr>
      <t xml:space="preserve"> in petroleum needle coke.</t>
    </r>
  </si>
  <si>
    <r>
      <t xml:space="preserve"> We believe the lead time from initial permitting to full production of a greenfield graphite electrode manufacturing facility would be approximately </t>
    </r>
    <r>
      <rPr>
        <b/>
        <sz val="10"/>
        <rFont val="Arial"/>
        <family val="2"/>
      </rPr>
      <t>three to five years</t>
    </r>
    <r>
      <rPr>
        <sz val="10"/>
        <rFont val="Arial"/>
        <family val="2"/>
      </rPr>
      <t xml:space="preserve"> and cost approximately $10,000 per MT. Similarly, brownfield development is complicated by significant capital costs and space and process constraints. Only one new greenfield graphite electrode facility outside of China has been built since the 1980s and only one significant brownfield expansion has occurred, reflecting the historical difficulty of adding further graphite electrode production capacity. </t>
    </r>
  </si>
  <si>
    <t>We believe that no petroleum needle coke production capacity has been added outside of China for at least 10 years, given high capital costs and technological barriers. </t>
  </si>
  <si>
    <t>super premium petroleum needle coke needed for high‑margin UHP graphite electrodes</t>
  </si>
  <si>
    <t>We have seen customer satisfaction rise to ten‑year highs at a time when the industry has been focused on production capacity rationalization rather than quality. We believe the durability and infrequent breakage of our graphite electrodes create operating efficiencies and value opportunities for our customers.</t>
  </si>
  <si>
    <t>this is what happened in the last couple of years - The recent transformation in the industry was driven in part by substantial production capacity rationalization and consolidation. We estimate that, at the beginning of 2014, the graphite electrode industry globally (excluding China) had capacity to produce approximately 1.0 million MT of graphite electrodes across 30 graphite electrode manufacturing facilities. We estimate that the industry outside of China has closed or repurposed approximately 20% of production capacity from 2014-2016, reducing production capacity to approximately 800,000 MT of electrodes. Moreover, the third‑largest producer has acquired the second‑largest producer. As part of this overall industry rationalization</t>
  </si>
  <si>
    <t>We have executed three‑ to five‑year take‑or‑pay contracts, representing approximately 674,000 MT, or approximately 60% to 65% of our cumulative expected production capacity from 2018 through 2022.</t>
  </si>
  <si>
    <t>Approximately 91% of our graphite electrodes were purchased by EAF steel producers in 2018</t>
  </si>
  <si>
    <t>why china isn't a problem - Electrode production globally (excluding China) is focused on the manufacture of UHP electrodes for EAFs, while the majority of Chinese production is of ladle electrodes for BOFs. UHP electrodes must be able to endure more harsh operating environments than ladle electrodes, as EAFs melt solid scrap steel to a liquid state whereas BOF ladle electrodes are used to maintain the temperature of steel already in a liquid state. UHP electrodes are more difficult to make and are sold at a premium relative to ladle electrodes because their production requires an extensive proprietary manufacturing process and material science knowledge, including the use of superior needle coke blends. As a result, graphite electrode producers outside of China and electrode producers in China are generally not in direct competition for major product lines.</t>
  </si>
  <si>
    <t>The industry is fairly consolidated with the top five players holding approximately 82% of the total capacity according to management estimates. The five largest producers in the industry are Showa Denko K.K., GrafTech, Graphite India Limited, Tokai Carbon Co., Ltd. and HEG Ltd.</t>
  </si>
  <si>
    <t> Following the significant rationalization of graphite electrode production globally, the resumption of growth in EAF steel production, falling scrap prices, reductions in Chinese steel, and constrained supply of needle coke, graphite electrode spot prices increased in late 2017 and 2018. As of February 2019, current spot prices were approximately $12,000 per MT.</t>
  </si>
  <si>
    <r>
      <t>This recovery has taken place since China began in 2015 to restructure its steel industry by encouraging consolidation and shutting down excess capacity. China has also begun to implement increased environmental regulations to improve air quality, which has been impacted by CO</t>
    </r>
    <r>
      <rPr>
        <sz val="7"/>
        <color rgb="FF000000"/>
        <rFont val="Inherit"/>
      </rPr>
      <t>2</t>
    </r>
    <r>
      <rPr>
        <sz val="10"/>
        <color rgb="FF000000"/>
        <rFont val="Inherit"/>
      </rPr>
      <t> emissions associated with the burning of coal in BOF steelmaking. Additionally, developed economies such as North America and Western Europe have implemented trade decisions against BOF steel‑producing countries to protect their domestic steel industries against imports.</t>
    </r>
  </si>
  <si>
    <r>
      <t xml:space="preserve">The EAF method produces approximately </t>
    </r>
    <r>
      <rPr>
        <b/>
        <sz val="10"/>
        <color rgb="FF000000"/>
        <rFont val="Times New Roman"/>
        <family val="1"/>
      </rPr>
      <t xml:space="preserve">25% of the carbon dioxide (or CO2) emissions </t>
    </r>
    <r>
      <rPr>
        <sz val="10"/>
        <color rgb="FF000000"/>
        <rFont val="Times New Roman"/>
        <family val="1"/>
      </rPr>
      <t>of a BOF facility and does not require the smelting of virgin iron ore or the burning of coal.</t>
    </r>
  </si>
  <si>
    <t>sit in here for the dividend, fair price to pay for it currently. If it drops under 40, buy more</t>
  </si>
  <si>
    <t>sell at 20%</t>
  </si>
  <si>
    <t>99,680,000 warrants to purchase series A shares outstanding, which exercise period commenced on August 15, 2018, three of which may be exercised to purchase one series A share at a price of US$11.50 per share.</t>
  </si>
  <si>
    <t>share added if warrents are converted</t>
  </si>
  <si>
    <t>increase</t>
  </si>
  <si>
    <t> The warrants expire on April 4, 2023</t>
  </si>
  <si>
    <t>Diluted</t>
  </si>
  <si>
    <t>Non Diluted</t>
  </si>
  <si>
    <t>ROI</t>
  </si>
  <si>
    <t>Tax is baed on 4 peso's for every dollar = 60(oil price) * 4(peso) = 240 pescos converted to usd is 4 dollars</t>
  </si>
  <si>
    <t>&lt; -- Tax on oil  - export tax</t>
  </si>
  <si>
    <t>Shares Outstanding</t>
  </si>
  <si>
    <t>A</t>
  </si>
  <si>
    <t>B</t>
  </si>
  <si>
    <t>Integrated Gas</t>
  </si>
  <si>
    <t>Upstream</t>
  </si>
  <si>
    <t>)</t>
  </si>
  <si>
    <t>Downstream</t>
  </si>
  <si>
    <t>Cost Basis with Margin</t>
  </si>
  <si>
    <t>Cost Basis</t>
  </si>
  <si>
    <t>On Margin</t>
  </si>
  <si>
    <t>Decrease/Increase Market Value</t>
  </si>
  <si>
    <t>Decrease/Increase in Market Value</t>
  </si>
  <si>
    <t>Product Revenues</t>
  </si>
  <si>
    <t>Product revenues are summarized as follows:</t>
  </si>
  <si>
    <t>x</t>
  </si>
  <si>
    <t>For the Years Ended</t>
  </si>
  <si>
    <t>% Change</t>
  </si>
  <si>
    <t>December 31,</t>
  </si>
  <si>
    <t>2019 compared to 2018</t>
  </si>
  <si>
    <t>2018 compared to 2017</t>
  </si>
  <si>
    <t>(In millions, except percentages)</t>
  </si>
  <si>
    <t>Multiple Sclerosis (MS):</t>
  </si>
  <si>
    <t>TECFIDERA</t>
  </si>
  <si>
    <t>Interferon*</t>
  </si>
  <si>
    <t>TYSABRI</t>
  </si>
  <si>
    <t>VUMERITY</t>
  </si>
  <si>
    <t>**</t>
  </si>
  <si>
    <t>FAMPYRA</t>
  </si>
  <si>
    <t>ZINBRYTA</t>
  </si>
  <si>
    <t>Subtotal: MS product revenues</t>
  </si>
  <si>
    <t>(4.3</t>
  </si>
  <si>
    <t>Spinal Muscular Atrophy:</t>
  </si>
  <si>
    <t>SPINRAZA</t>
  </si>
  <si>
    <t>Biosimilars:</t>
  </si>
  <si>
    <t>BENEPALI</t>
  </si>
  <si>
    <t>IMRALDI</t>
  </si>
  <si>
    <t>FLIXABI</t>
  </si>
  <si>
    <t>Subtotal: Biosimilar product revenues</t>
  </si>
  <si>
    <t>Other:</t>
  </si>
  <si>
    <t>FUMADERM</t>
  </si>
  <si>
    <t>Hemophilia:</t>
  </si>
  <si>
    <t>ELOCTATE</t>
  </si>
  <si>
    <t>ALPROLIX</t>
  </si>
  <si>
    <t>Subtotal: Hemophilia product revenues</t>
  </si>
  <si>
    <t>Total product revenues, net</t>
  </si>
  <si>
    <t>* Interferon includes AVONEX and PLEGRIDY.</t>
  </si>
  <si>
    <t>** Percentage not meaningful.</t>
  </si>
  <si>
    <t>86% Margins</t>
  </si>
  <si>
    <t>If Approved</t>
  </si>
  <si>
    <t>Return On Equity</t>
  </si>
  <si>
    <t>simple concept, gov't gives everyone money. Everyone Stays solvent Banks are good so whats the issue?</t>
  </si>
  <si>
    <t>interest rates @ 0 is a question but its about spread of net interest income margin</t>
  </si>
  <si>
    <t>They'll make money on spread always negative interest rates are the only bad thing for banks</t>
  </si>
  <si>
    <t>Margin Requreiment</t>
  </si>
  <si>
    <t xml:space="preserve">Equity </t>
  </si>
  <si>
    <t>Before Margin Call</t>
  </si>
  <si>
    <t>10% drop worst case - 50%+ upside best case</t>
  </si>
  <si>
    <t>They are done building reserves - earnings call 2Q2020 - 01:30</t>
  </si>
  <si>
    <t>Trying to cut 10B in expenses - probably half by next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</si>
</sst>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0_);\(&quot;$&quot;#,##0.0\);&quot;$&quot;#,##0.0_);@_)"/>
    <numFmt numFmtId="165" formatCode="0.0%_);\(0.0%\);0.0%_);@_)"/>
    <numFmt numFmtId="166" formatCode="#,##0.0_);\(#,##0.0\);#,##0.0_);@_)"/>
    <numFmt numFmtId="167" formatCode="0.0\x_);\(0.0\x\);0.0\x_);@_)"/>
    <numFmt numFmtId="168" formatCode="&quot;$&quot;#,##0.00_);\(&quot;$&quot;#,##0.00\);&quot;$&quot;#,##0.00_);@_)"/>
    <numFmt numFmtId="169" formatCode="#,##0.000_);\(#,##0.000\);#,##0.000_);@_)"/>
    <numFmt numFmtId="170" formatCode="0\A"/>
    <numFmt numFmtId="171" formatCode="0\P"/>
    <numFmt numFmtId="172" formatCode="0&quot;E&quot;"/>
    <numFmt numFmtId="173" formatCode="&quot;$&quot;#,##0.0_);\(&quot;$&quot;#,##0.0\)"/>
    <numFmt numFmtId="174" formatCode="#,##0.0_);\(#,##0.0\)"/>
    <numFmt numFmtId="175" formatCode="0\E"/>
    <numFmt numFmtId="176" formatCode="&quot;$&quot;#,##0_);\(&quot;$&quot;#,##0\);&quot;$&quot;#,##0_);@_)"/>
    <numFmt numFmtId="177" formatCode="#,##0_);\(#,##0\);#,##0_);@_)"/>
    <numFmt numFmtId="178" formatCode="_(* #,##0_);_(* \(#,##0\);_(* &quot;-&quot;??_);_(@_)"/>
    <numFmt numFmtId="179" formatCode="_(&quot;$&quot;* #,##0_);_(&quot;$&quot;* \(#,##0\);_(&quot;$&quot;* &quot;-&quot;??_);_(@_)"/>
    <numFmt numFmtId="180" formatCode="_(* #,##0.0_);_(* \(#,##0.0\);_(* &quot;-&quot;?_);_(@_)"/>
    <numFmt numFmtId="181" formatCode="&quot;$&quot;#,##0.0000_);[Red]\(&quot;$&quot;#,##0.0000\)"/>
    <numFmt numFmtId="182" formatCode="_(* #,##0_);_(* \(#,##0\);_(* &quot;-&quot;???_);_(@_)"/>
  </numFmts>
  <fonts count="45">
    <font>
      <sz val="10"/>
      <name val="Arial"/>
    </font>
    <font>
      <sz val="11"/>
      <color theme="1"/>
      <name val="Calibri"/>
      <family val="2"/>
      <scheme val="minor"/>
    </font>
    <font>
      <sz val="10"/>
      <name val="Arial"/>
      <family val="2"/>
    </font>
    <font>
      <b/>
      <sz val="10"/>
      <name val="Arial"/>
      <family val="2"/>
    </font>
    <font>
      <i/>
      <sz val="10"/>
      <name val="Arial"/>
      <family val="2"/>
    </font>
    <font>
      <i/>
      <sz val="10"/>
      <color indexed="8"/>
      <name val="Arial"/>
      <family val="2"/>
    </font>
    <font>
      <sz val="10"/>
      <color indexed="8"/>
      <name val="Arial"/>
      <family val="2"/>
    </font>
    <font>
      <b/>
      <sz val="10"/>
      <color indexed="8"/>
      <name val="Arial"/>
      <family val="2"/>
    </font>
    <font>
      <sz val="10"/>
      <color indexed="12"/>
      <name val="Arial"/>
      <family val="2"/>
    </font>
    <font>
      <b/>
      <u/>
      <sz val="10"/>
      <name val="Arial"/>
      <family val="2"/>
    </font>
    <font>
      <sz val="10"/>
      <name val="Arial"/>
      <family val="2"/>
    </font>
    <font>
      <b/>
      <sz val="10"/>
      <color indexed="12"/>
      <name val="Arial"/>
      <family val="2"/>
    </font>
    <font>
      <sz val="8"/>
      <name val="Arial"/>
      <family val="2"/>
    </font>
    <font>
      <sz val="10"/>
      <color indexed="8"/>
      <name val="Arial"/>
      <family val="2"/>
    </font>
    <font>
      <i/>
      <sz val="10"/>
      <color indexed="12"/>
      <name val="Arial"/>
      <family val="2"/>
    </font>
    <font>
      <sz val="11"/>
      <name val="Calibri"/>
      <family val="2"/>
    </font>
    <font>
      <b/>
      <sz val="12"/>
      <color rgb="FF222222"/>
      <name val="Roboto"/>
    </font>
    <font>
      <b/>
      <sz val="12"/>
      <name val="Arial"/>
      <family val="2"/>
    </font>
    <font>
      <sz val="10"/>
      <name val="Inherit"/>
    </font>
    <font>
      <u/>
      <sz val="10"/>
      <name val="Arial"/>
      <family val="2"/>
    </font>
    <font>
      <sz val="11"/>
      <color rgb="FF26282A"/>
      <name val="Helvetica Neue"/>
      <charset val="1"/>
    </font>
    <font>
      <b/>
      <sz val="10"/>
      <name val="Inherit"/>
    </font>
    <font>
      <sz val="12"/>
      <color rgb="FF000000"/>
      <name val="Verdana"/>
      <family val="2"/>
    </font>
    <font>
      <sz val="10"/>
      <color rgb="FF000000"/>
      <name val="Inherit"/>
    </font>
    <font>
      <sz val="10"/>
      <color rgb="FF000000"/>
      <name val="Times New Roman"/>
      <family val="1"/>
    </font>
    <font>
      <sz val="12"/>
      <color theme="1"/>
      <name val="Calibri"/>
      <family val="2"/>
      <scheme val="minor"/>
    </font>
    <font>
      <vertAlign val="subscript"/>
      <sz val="10"/>
      <color rgb="FF000000"/>
      <name val="Times New Roman"/>
      <family val="1"/>
    </font>
    <font>
      <sz val="8"/>
      <color rgb="FF000000"/>
      <name val="Verdana"/>
      <family val="2"/>
    </font>
    <font>
      <sz val="11"/>
      <color rgb="FF444443"/>
      <name val="Georgia"/>
      <family val="1"/>
    </font>
    <font>
      <sz val="12"/>
      <color rgb="FF000000"/>
      <name val="Times"/>
    </font>
    <font>
      <b/>
      <sz val="12"/>
      <color rgb="FF000000"/>
      <name val="Times"/>
    </font>
    <font>
      <sz val="7"/>
      <color rgb="FF000000"/>
      <name val="Inherit"/>
    </font>
    <font>
      <b/>
      <sz val="10"/>
      <color rgb="FF000000"/>
      <name val="Times New Roman"/>
      <family val="1"/>
    </font>
    <font>
      <sz val="10"/>
      <name val="Arial"/>
      <family val="2"/>
    </font>
    <font>
      <sz val="12"/>
      <color rgb="FF000000"/>
      <name val="Calibri Light"/>
      <family val="2"/>
      <scheme val="major"/>
    </font>
    <font>
      <sz val="8"/>
      <color rgb="FF000000"/>
      <name val="ShellLight"/>
    </font>
    <font>
      <sz val="7.5"/>
      <color rgb="FF000000"/>
      <name val="ShellLight"/>
    </font>
    <font>
      <sz val="10"/>
      <color rgb="FF212529"/>
      <name val="Times New Roman"/>
      <family val="1"/>
    </font>
    <font>
      <sz val="7.5"/>
      <color rgb="FF212529"/>
      <name val="Inherit"/>
    </font>
    <font>
      <sz val="10"/>
      <color rgb="FF212529"/>
      <name val="Inherit"/>
    </font>
    <font>
      <b/>
      <sz val="11"/>
      <color rgb="FF000000"/>
      <name val="Calibri"/>
      <family val="2"/>
    </font>
    <font>
      <sz val="9"/>
      <color rgb="FF000000"/>
      <name val="Arial"/>
      <family val="2"/>
    </font>
    <font>
      <sz val="9"/>
      <color rgb="FF444444"/>
      <name val="Arial"/>
      <family val="2"/>
    </font>
    <font>
      <sz val="9"/>
      <color rgb="FF444444"/>
      <name val="Helvetica Neue"/>
      <charset val="1"/>
    </font>
    <font>
      <b/>
      <sz val="11"/>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CCEEFF"/>
        <bgColor indexed="64"/>
      </patternFill>
    </fill>
    <fill>
      <patternFill patternType="solid">
        <fgColor rgb="FFFFFFFF"/>
        <bgColor indexed="64"/>
      </patternFill>
    </fill>
    <fill>
      <patternFill patternType="solid">
        <fgColor rgb="FFF7F7F7"/>
        <bgColor indexed="64"/>
      </patternFill>
    </fill>
    <fill>
      <patternFill patternType="solid">
        <fgColor rgb="FFF8F8F8"/>
        <bgColor indexed="64"/>
      </patternFill>
    </fill>
    <fill>
      <patternFill patternType="solid">
        <fgColor rgb="FFFEFEF3"/>
        <bgColor indexed="64"/>
      </patternFill>
    </fill>
  </fills>
  <borders count="27">
    <border>
      <left/>
      <right/>
      <top/>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000000"/>
      </bottom>
      <diagonal/>
    </border>
    <border>
      <left/>
      <right/>
      <top style="medium">
        <color rgb="FF000000"/>
      </top>
      <bottom/>
      <diagonal/>
    </border>
    <border>
      <left/>
      <right style="medium">
        <color rgb="FFDDDDDD"/>
      </right>
      <top style="medium">
        <color rgb="FFDDDDDD"/>
      </top>
      <bottom style="medium">
        <color rgb="FFDDDDDD"/>
      </bottom>
      <diagonal/>
    </border>
    <border>
      <left style="medium">
        <color rgb="FFDDDDDD"/>
      </left>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right/>
      <top style="dotted">
        <color rgb="FFCCCCCC"/>
      </top>
      <bottom style="dotted">
        <color rgb="FFCCCCCC"/>
      </bottom>
      <diagonal/>
    </border>
    <border>
      <left/>
      <right style="dotted">
        <color rgb="FFCCCCCC"/>
      </right>
      <top style="dotted">
        <color rgb="FFCCCCCC"/>
      </top>
      <bottom style="dotted">
        <color rgb="FFCCCCCC"/>
      </bottom>
      <diagonal/>
    </border>
    <border>
      <left style="dotted">
        <color rgb="FFCCCCCC"/>
      </left>
      <right/>
      <top style="dotted">
        <color rgb="FFCCCCCC"/>
      </top>
      <bottom style="dotted">
        <color rgb="FFCCCCCC"/>
      </bottom>
      <diagonal/>
    </border>
    <border>
      <left style="dotted">
        <color rgb="FFCCCCCC"/>
      </left>
      <right style="dotted">
        <color rgb="FFCCCCCC"/>
      </right>
      <top style="dotted">
        <color rgb="FFCCCCCC"/>
      </top>
      <bottom style="dotted">
        <color rgb="FFCCCCCC"/>
      </bottom>
      <diagonal/>
    </border>
    <border>
      <left/>
      <right style="dotted">
        <color rgb="FFCCCCCC"/>
      </right>
      <top style="dotted">
        <color rgb="FFCCCCCC"/>
      </top>
      <bottom style="medium">
        <color rgb="FFDDDDDD"/>
      </bottom>
      <diagonal/>
    </border>
    <border>
      <left style="dotted">
        <color rgb="FFCCCCCC"/>
      </left>
      <right/>
      <top style="dotted">
        <color rgb="FFCCCCCC"/>
      </top>
      <bottom style="medium">
        <color rgb="FFDDDDDD"/>
      </bottom>
      <diagonal/>
    </border>
    <border>
      <left style="dotted">
        <color rgb="FFCCCCCC"/>
      </left>
      <right style="dotted">
        <color rgb="FFCCCCCC"/>
      </right>
      <top style="dotted">
        <color rgb="FFCCCCCC"/>
      </top>
      <bottom style="medium">
        <color rgb="FFDDDDDD"/>
      </bottom>
      <diagonal/>
    </border>
    <border>
      <left/>
      <right/>
      <top/>
      <bottom style="medium">
        <color rgb="FFDDDDDD"/>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1" fillId="0" borderId="0"/>
    <xf numFmtId="0" fontId="25" fillId="0" borderId="0"/>
    <xf numFmtId="42" fontId="33" fillId="0" borderId="0" applyFont="0" applyFill="0" applyBorder="0" applyAlignment="0" applyProtection="0"/>
    <xf numFmtId="41" fontId="33" fillId="0" borderId="0" applyFont="0" applyFill="0" applyBorder="0" applyAlignment="0" applyProtection="0"/>
  </cellStyleXfs>
  <cellXfs count="323">
    <xf numFmtId="0" fontId="0" fillId="0" borderId="0" xfId="0"/>
    <xf numFmtId="0" fontId="4" fillId="0" borderId="0" xfId="0" applyFont="1"/>
    <xf numFmtId="0" fontId="3" fillId="0" borderId="0" xfId="0" applyFont="1"/>
    <xf numFmtId="0" fontId="3" fillId="0" borderId="0" xfId="0" applyFont="1" applyAlignment="1">
      <alignment horizontal="center"/>
    </xf>
    <xf numFmtId="165" fontId="5" fillId="0" borderId="0" xfId="0" applyNumberFormat="1" applyFont="1"/>
    <xf numFmtId="166" fontId="8" fillId="0" borderId="0" xfId="0" applyNumberFormat="1" applyFont="1"/>
    <xf numFmtId="0" fontId="9" fillId="0" borderId="0" xfId="0" applyFont="1"/>
    <xf numFmtId="8" fontId="6" fillId="0" borderId="0" xfId="0" applyNumberFormat="1" applyFont="1"/>
    <xf numFmtId="0" fontId="0" fillId="0" borderId="0" xfId="0" applyAlignment="1">
      <alignment horizontal="right"/>
    </xf>
    <xf numFmtId="165" fontId="6" fillId="0" borderId="0" xfId="0" applyNumberFormat="1" applyFont="1"/>
    <xf numFmtId="164" fontId="0" fillId="0" borderId="0" xfId="0" applyNumberFormat="1" applyBorder="1"/>
    <xf numFmtId="164" fontId="6" fillId="0" borderId="0" xfId="0" applyNumberFormat="1" applyFont="1" applyBorder="1"/>
    <xf numFmtId="165" fontId="0" fillId="0" borderId="0" xfId="0" applyNumberFormat="1" applyBorder="1"/>
    <xf numFmtId="165" fontId="6" fillId="0" borderId="0" xfId="0" applyNumberFormat="1" applyFont="1" applyBorder="1"/>
    <xf numFmtId="168" fontId="0" fillId="0" borderId="0" xfId="0" applyNumberFormat="1" applyBorder="1"/>
    <xf numFmtId="168" fontId="6" fillId="0" borderId="0" xfId="0" applyNumberFormat="1" applyFont="1" applyBorder="1"/>
    <xf numFmtId="8" fontId="6" fillId="0" borderId="0" xfId="0" applyNumberFormat="1" applyFont="1" applyFill="1" applyBorder="1" applyAlignment="1"/>
    <xf numFmtId="167" fontId="0" fillId="0" borderId="0" xfId="0" applyNumberFormat="1" applyBorder="1"/>
    <xf numFmtId="167" fontId="6" fillId="0" borderId="0" xfId="0" applyNumberFormat="1" applyFont="1" applyBorder="1"/>
    <xf numFmtId="164" fontId="7" fillId="0" borderId="0" xfId="0" applyNumberFormat="1" applyFont="1" applyBorder="1"/>
    <xf numFmtId="171" fontId="0" fillId="0" borderId="0" xfId="0" applyNumberFormat="1"/>
    <xf numFmtId="172" fontId="0" fillId="0" borderId="0" xfId="0" applyNumberFormat="1"/>
    <xf numFmtId="169" fontId="8" fillId="0" borderId="0" xfId="0" applyNumberFormat="1" applyFont="1"/>
    <xf numFmtId="0" fontId="0" fillId="0" borderId="0" xfId="0" applyBorder="1"/>
    <xf numFmtId="0" fontId="3" fillId="0" borderId="1" xfId="0" applyFont="1" applyBorder="1" applyAlignment="1">
      <alignment horizontal="centerContinuous"/>
    </xf>
    <xf numFmtId="0" fontId="0" fillId="0" borderId="1" xfId="0" applyBorder="1" applyAlignment="1">
      <alignment horizontal="centerContinuous"/>
    </xf>
    <xf numFmtId="170" fontId="11" fillId="0" borderId="1" xfId="0" applyNumberFormat="1" applyFont="1" applyBorder="1" applyAlignment="1">
      <alignment horizontal="center"/>
    </xf>
    <xf numFmtId="171" fontId="3" fillId="0" borderId="1" xfId="0" applyNumberFormat="1" applyFont="1" applyBorder="1" applyAlignment="1">
      <alignment horizontal="center"/>
    </xf>
    <xf numFmtId="1" fontId="3" fillId="0" borderId="1" xfId="0" applyNumberFormat="1" applyFont="1" applyBorder="1" applyAlignment="1">
      <alignment horizontal="center"/>
    </xf>
    <xf numFmtId="0" fontId="0" fillId="0" borderId="1" xfId="0" applyBorder="1"/>
    <xf numFmtId="0" fontId="10" fillId="0" borderId="1" xfId="0" applyFont="1" applyBorder="1" applyAlignment="1">
      <alignment horizontal="centerContinuous"/>
    </xf>
    <xf numFmtId="8" fontId="13" fillId="0" borderId="1" xfId="0" applyNumberFormat="1" applyFont="1" applyBorder="1" applyAlignment="1">
      <alignment horizontal="centerContinuous"/>
    </xf>
    <xf numFmtId="167" fontId="6" fillId="0" borderId="1" xfId="0" applyNumberFormat="1" applyFont="1" applyBorder="1"/>
    <xf numFmtId="167" fontId="8" fillId="0" borderId="1" xfId="0" applyNumberFormat="1" applyFont="1" applyBorder="1"/>
    <xf numFmtId="167" fontId="0" fillId="0" borderId="1" xfId="0" applyNumberFormat="1" applyBorder="1"/>
    <xf numFmtId="164" fontId="8" fillId="0" borderId="0" xfId="0" applyNumberFormat="1" applyFont="1" applyBorder="1"/>
    <xf numFmtId="166" fontId="8" fillId="0" borderId="1" xfId="0" applyNumberFormat="1" applyFont="1" applyBorder="1"/>
    <xf numFmtId="166" fontId="6" fillId="0" borderId="1" xfId="0" applyNumberFormat="1" applyFont="1" applyBorder="1"/>
    <xf numFmtId="165" fontId="14" fillId="0" borderId="0" xfId="0" applyNumberFormat="1" applyFont="1"/>
    <xf numFmtId="165" fontId="10" fillId="0" borderId="0" xfId="0" applyNumberFormat="1" applyFont="1"/>
    <xf numFmtId="173" fontId="8" fillId="0" borderId="0" xfId="0" applyNumberFormat="1" applyFont="1"/>
    <xf numFmtId="0" fontId="8" fillId="0" borderId="0" xfId="0" applyFont="1"/>
    <xf numFmtId="0" fontId="0" fillId="0" borderId="2" xfId="0" applyBorder="1"/>
    <xf numFmtId="174" fontId="6" fillId="0" borderId="0" xfId="0" applyNumberFormat="1" applyFont="1" applyBorder="1"/>
    <xf numFmtId="174" fontId="0" fillId="0" borderId="0" xfId="0" applyNumberFormat="1" applyBorder="1"/>
    <xf numFmtId="174" fontId="6" fillId="0" borderId="1" xfId="0" applyNumberFormat="1" applyFont="1" applyBorder="1"/>
    <xf numFmtId="174" fontId="0" fillId="0" borderId="1" xfId="0" applyNumberFormat="1" applyBorder="1"/>
    <xf numFmtId="39" fontId="6" fillId="0" borderId="0" xfId="0" applyNumberFormat="1" applyFont="1" applyBorder="1"/>
    <xf numFmtId="39" fontId="0" fillId="0" borderId="0" xfId="0" applyNumberFormat="1" applyBorder="1"/>
    <xf numFmtId="164" fontId="6" fillId="0" borderId="3" xfId="0" applyNumberFormat="1" applyFont="1" applyBorder="1"/>
    <xf numFmtId="174" fontId="6" fillId="0" borderId="2" xfId="0" applyNumberFormat="1" applyFont="1" applyBorder="1"/>
    <xf numFmtId="168" fontId="6" fillId="0" borderId="3" xfId="0" applyNumberFormat="1" applyFont="1" applyBorder="1"/>
    <xf numFmtId="39" fontId="6" fillId="0" borderId="2" xfId="0" applyNumberFormat="1" applyFont="1" applyBorder="1"/>
    <xf numFmtId="167" fontId="6" fillId="0" borderId="3" xfId="0" applyNumberFormat="1" applyFont="1" applyBorder="1"/>
    <xf numFmtId="167" fontId="6" fillId="0" borderId="2" xfId="0" applyNumberFormat="1" applyFont="1" applyBorder="1"/>
    <xf numFmtId="174" fontId="6" fillId="0" borderId="4" xfId="0" applyNumberFormat="1" applyFont="1" applyBorder="1"/>
    <xf numFmtId="39" fontId="0" fillId="0" borderId="1" xfId="0" applyNumberFormat="1" applyBorder="1"/>
    <xf numFmtId="39" fontId="6" fillId="0" borderId="1" xfId="0" applyNumberFormat="1" applyFont="1" applyBorder="1"/>
    <xf numFmtId="39" fontId="6" fillId="0" borderId="4" xfId="0" applyNumberFormat="1" applyFont="1" applyBorder="1"/>
    <xf numFmtId="167" fontId="6" fillId="0" borderId="4" xfId="0" applyNumberFormat="1" applyFont="1" applyBorder="1"/>
    <xf numFmtId="175" fontId="3" fillId="0" borderId="1" xfId="0" applyNumberFormat="1" applyFont="1" applyBorder="1" applyAlignment="1">
      <alignment horizontal="center"/>
    </xf>
    <xf numFmtId="165" fontId="5" fillId="0" borderId="0" xfId="0" applyNumberFormat="1" applyFont="1" applyBorder="1"/>
    <xf numFmtId="165" fontId="4" fillId="0" borderId="0" xfId="0" applyNumberFormat="1" applyFont="1" applyBorder="1"/>
    <xf numFmtId="165" fontId="5" fillId="0" borderId="3" xfId="0" applyNumberFormat="1" applyFont="1" applyBorder="1"/>
    <xf numFmtId="165" fontId="5" fillId="0" borderId="2" xfId="0" applyNumberFormat="1" applyFont="1" applyBorder="1"/>
    <xf numFmtId="165" fontId="4" fillId="0" borderId="1" xfId="0" applyNumberFormat="1" applyFont="1" applyBorder="1"/>
    <xf numFmtId="165" fontId="5" fillId="0" borderId="1" xfId="0" applyNumberFormat="1" applyFont="1" applyBorder="1"/>
    <xf numFmtId="165" fontId="5" fillId="0" borderId="4" xfId="0" applyNumberFormat="1" applyFont="1" applyBorder="1"/>
    <xf numFmtId="165" fontId="14" fillId="0" borderId="5" xfId="0" applyNumberFormat="1" applyFont="1" applyBorder="1"/>
    <xf numFmtId="167" fontId="4" fillId="0" borderId="5" xfId="0" applyNumberFormat="1" applyFont="1" applyBorder="1"/>
    <xf numFmtId="165" fontId="14" fillId="0" borderId="5" xfId="0" applyNumberFormat="1" applyFont="1" applyFill="1" applyBorder="1" applyAlignment="1"/>
    <xf numFmtId="43" fontId="8" fillId="0" borderId="0" xfId="1" applyFont="1" applyBorder="1"/>
    <xf numFmtId="164" fontId="6" fillId="0" borderId="6" xfId="1" applyNumberFormat="1" applyFont="1" applyBorder="1"/>
    <xf numFmtId="0" fontId="0" fillId="0" borderId="6" xfId="0" applyBorder="1"/>
    <xf numFmtId="173" fontId="0" fillId="0" borderId="0" xfId="0" applyNumberFormat="1"/>
    <xf numFmtId="5" fontId="8" fillId="0" borderId="0" xfId="0" applyNumberFormat="1" applyFont="1"/>
    <xf numFmtId="37" fontId="15" fillId="0" borderId="0" xfId="0" applyNumberFormat="1" applyFont="1" applyAlignment="1">
      <alignment horizontal="right" vertical="top"/>
    </xf>
    <xf numFmtId="164" fontId="7" fillId="0" borderId="6" xfId="0" applyNumberFormat="1" applyFont="1" applyBorder="1"/>
    <xf numFmtId="7" fontId="0" fillId="0" borderId="0" xfId="0" applyNumberFormat="1"/>
    <xf numFmtId="9" fontId="0" fillId="0" borderId="0" xfId="3" applyFont="1"/>
    <xf numFmtId="10" fontId="0" fillId="0" borderId="0" xfId="3" applyNumberFormat="1" applyFont="1"/>
    <xf numFmtId="2" fontId="0" fillId="0" borderId="0" xfId="0" applyNumberFormat="1"/>
    <xf numFmtId="1" fontId="0" fillId="0" borderId="0" xfId="0" applyNumberFormat="1"/>
    <xf numFmtId="0" fontId="10" fillId="0" borderId="0" xfId="0" applyFont="1"/>
    <xf numFmtId="0" fontId="10" fillId="0" borderId="0" xfId="0" applyFont="1" applyAlignment="1">
      <alignment horizontal="right"/>
    </xf>
    <xf numFmtId="0" fontId="0" fillId="0" borderId="0" xfId="0" applyAlignment="1">
      <alignment horizontal="center"/>
    </xf>
    <xf numFmtId="0" fontId="10" fillId="0" borderId="0" xfId="0" applyFont="1" applyAlignment="1">
      <alignment horizontal="center"/>
    </xf>
    <xf numFmtId="0" fontId="0" fillId="0" borderId="0" xfId="0" applyBorder="1" applyAlignment="1">
      <alignment horizontal="center"/>
    </xf>
    <xf numFmtId="0" fontId="0" fillId="0" borderId="7" xfId="0" applyBorder="1" applyAlignment="1">
      <alignment horizontal="center"/>
    </xf>
    <xf numFmtId="0" fontId="10" fillId="0" borderId="7" xfId="0" applyFont="1" applyBorder="1" applyAlignment="1">
      <alignment horizontal="center"/>
    </xf>
    <xf numFmtId="1" fontId="10" fillId="0" borderId="7" xfId="0" applyNumberFormat="1" applyFont="1" applyBorder="1" applyAlignment="1">
      <alignment horizontal="center"/>
    </xf>
    <xf numFmtId="164" fontId="6" fillId="0" borderId="0" xfId="0" applyNumberFormat="1" applyFont="1" applyBorder="1" applyAlignment="1">
      <alignment horizontal="center"/>
    </xf>
    <xf numFmtId="176" fontId="6" fillId="0" borderId="8" xfId="0" applyNumberFormat="1" applyFont="1" applyBorder="1" applyAlignment="1">
      <alignment horizontal="center"/>
    </xf>
    <xf numFmtId="176" fontId="0" fillId="0" borderId="6" xfId="0" applyNumberFormat="1" applyBorder="1" applyAlignment="1">
      <alignment horizontal="center"/>
    </xf>
    <xf numFmtId="176" fontId="6" fillId="0" borderId="6" xfId="0" applyNumberFormat="1" applyFont="1" applyBorder="1" applyAlignment="1">
      <alignment horizontal="center"/>
    </xf>
    <xf numFmtId="176" fontId="6" fillId="0" borderId="3" xfId="0" applyNumberFormat="1" applyFont="1" applyBorder="1" applyAlignment="1">
      <alignment horizontal="center"/>
    </xf>
    <xf numFmtId="176" fontId="6" fillId="0" borderId="9" xfId="0" applyNumberFormat="1" applyFont="1" applyBorder="1" applyAlignment="1">
      <alignment horizontal="center"/>
    </xf>
    <xf numFmtId="176" fontId="0" fillId="0" borderId="0" xfId="0" applyNumberFormat="1" applyBorder="1" applyAlignment="1">
      <alignment horizontal="center"/>
    </xf>
    <xf numFmtId="176" fontId="6" fillId="0" borderId="0" xfId="0" applyNumberFormat="1" applyFont="1" applyBorder="1" applyAlignment="1">
      <alignment horizontal="center"/>
    </xf>
    <xf numFmtId="176" fontId="6" fillId="0" borderId="2" xfId="0" applyNumberFormat="1" applyFont="1" applyBorder="1" applyAlignment="1">
      <alignment horizontal="center"/>
    </xf>
    <xf numFmtId="176" fontId="6" fillId="0" borderId="10" xfId="0" applyNumberFormat="1" applyFont="1" applyBorder="1" applyAlignment="1">
      <alignment horizontal="center"/>
    </xf>
    <xf numFmtId="176" fontId="0" fillId="0" borderId="1" xfId="0" applyNumberFormat="1" applyBorder="1" applyAlignment="1">
      <alignment horizontal="center"/>
    </xf>
    <xf numFmtId="176" fontId="6" fillId="0" borderId="1" xfId="0" applyNumberFormat="1" applyFont="1" applyBorder="1" applyAlignment="1">
      <alignment horizontal="center"/>
    </xf>
    <xf numFmtId="176" fontId="6" fillId="0" borderId="4" xfId="0" applyNumberFormat="1" applyFont="1" applyBorder="1" applyAlignment="1">
      <alignment horizontal="center"/>
    </xf>
    <xf numFmtId="0" fontId="10" fillId="0" borderId="0" xfId="0" applyFont="1" applyBorder="1" applyAlignment="1">
      <alignment horizontal="centerContinuous"/>
    </xf>
    <xf numFmtId="0" fontId="10" fillId="0" borderId="0" xfId="0" applyFont="1" applyBorder="1" applyAlignment="1">
      <alignment horizontal="left" vertical="center"/>
    </xf>
    <xf numFmtId="165" fontId="14" fillId="0" borderId="0" xfId="0" applyNumberFormat="1" applyFont="1" applyBorder="1"/>
    <xf numFmtId="0" fontId="3" fillId="0" borderId="0" xfId="0" applyFont="1" applyBorder="1"/>
    <xf numFmtId="167" fontId="4" fillId="0" borderId="0" xfId="0" applyNumberFormat="1" applyFont="1" applyBorder="1"/>
    <xf numFmtId="0" fontId="3" fillId="0" borderId="1" xfId="0" applyFont="1" applyBorder="1"/>
    <xf numFmtId="44" fontId="0" fillId="0" borderId="0" xfId="2" applyFont="1"/>
    <xf numFmtId="173" fontId="0" fillId="0" borderId="0" xfId="0" applyNumberFormat="1" applyBorder="1"/>
    <xf numFmtId="177" fontId="8" fillId="0" borderId="0" xfId="0" applyNumberFormat="1" applyFont="1"/>
    <xf numFmtId="177" fontId="8" fillId="0" borderId="1" xfId="0" applyNumberFormat="1" applyFont="1" applyBorder="1"/>
    <xf numFmtId="176" fontId="0" fillId="0" borderId="0" xfId="0" applyNumberFormat="1"/>
    <xf numFmtId="176" fontId="6" fillId="0" borderId="6" xfId="1" applyNumberFormat="1" applyFont="1" applyBorder="1"/>
    <xf numFmtId="176" fontId="0" fillId="0" borderId="6" xfId="0" applyNumberFormat="1" applyBorder="1"/>
    <xf numFmtId="176" fontId="6" fillId="0" borderId="1" xfId="0" applyNumberFormat="1" applyFont="1" applyBorder="1"/>
    <xf numFmtId="176" fontId="7" fillId="0" borderId="0" xfId="0" applyNumberFormat="1" applyFont="1" applyBorder="1"/>
    <xf numFmtId="176" fontId="3" fillId="0" borderId="0" xfId="0" applyNumberFormat="1" applyFont="1"/>
    <xf numFmtId="176" fontId="7" fillId="0" borderId="6" xfId="0" applyNumberFormat="1" applyFont="1" applyBorder="1"/>
    <xf numFmtId="5" fontId="0" fillId="0" borderId="0" xfId="0" applyNumberFormat="1"/>
    <xf numFmtId="176" fontId="6" fillId="2" borderId="2" xfId="0" applyNumberFormat="1" applyFont="1" applyFill="1" applyBorder="1" applyAlignment="1">
      <alignment horizontal="center"/>
    </xf>
    <xf numFmtId="176" fontId="6" fillId="0" borderId="3" xfId="0" applyNumberFormat="1" applyFont="1" applyFill="1" applyBorder="1" applyAlignment="1">
      <alignment horizontal="center"/>
    </xf>
    <xf numFmtId="0" fontId="10" fillId="0" borderId="0" xfId="0" applyFont="1" applyBorder="1"/>
    <xf numFmtId="7" fontId="0" fillId="0" borderId="0" xfId="0" applyNumberFormat="1" applyBorder="1"/>
    <xf numFmtId="178" fontId="0" fillId="0" borderId="0" xfId="1" applyNumberFormat="1" applyFont="1"/>
    <xf numFmtId="179" fontId="0" fillId="0" borderId="0" xfId="2" applyNumberFormat="1" applyFont="1"/>
    <xf numFmtId="0" fontId="10" fillId="0" borderId="0" xfId="0" applyFont="1" applyBorder="1" applyAlignment="1">
      <alignment horizontal="center"/>
    </xf>
    <xf numFmtId="9" fontId="10" fillId="0" borderId="0" xfId="3" applyFont="1" applyBorder="1" applyAlignment="1">
      <alignment horizontal="center"/>
    </xf>
    <xf numFmtId="0" fontId="10" fillId="0" borderId="0" xfId="0" applyFont="1" applyBorder="1" applyAlignment="1">
      <alignment horizontal="right"/>
    </xf>
    <xf numFmtId="0" fontId="0" fillId="0" borderId="0" xfId="0" applyBorder="1" applyAlignment="1">
      <alignment horizontal="right"/>
    </xf>
    <xf numFmtId="3" fontId="16" fillId="0" borderId="0" xfId="0" applyNumberFormat="1" applyFont="1" applyBorder="1"/>
    <xf numFmtId="8" fontId="0" fillId="0" borderId="0" xfId="0" applyNumberFormat="1"/>
    <xf numFmtId="6" fontId="0" fillId="0" borderId="0" xfId="0" applyNumberFormat="1"/>
    <xf numFmtId="0" fontId="2" fillId="0" borderId="0" xfId="0" applyFont="1"/>
    <xf numFmtId="6" fontId="0" fillId="0" borderId="0" xfId="0" applyNumberFormat="1" applyBorder="1"/>
    <xf numFmtId="6" fontId="10" fillId="0" borderId="0" xfId="0" applyNumberFormat="1" applyFont="1" applyBorder="1" applyAlignment="1">
      <alignment horizontal="centerContinuous"/>
    </xf>
    <xf numFmtId="0" fontId="2" fillId="0" borderId="11" xfId="0" applyFont="1" applyBorder="1" applyAlignment="1">
      <alignment wrapText="1"/>
    </xf>
    <xf numFmtId="0" fontId="2" fillId="0" borderId="11" xfId="0" applyFont="1" applyBorder="1" applyAlignment="1">
      <alignment vertical="center"/>
    </xf>
    <xf numFmtId="178" fontId="0" fillId="0" borderId="0" xfId="0" applyNumberFormat="1"/>
    <xf numFmtId="176" fontId="6" fillId="0" borderId="0" xfId="0" applyNumberFormat="1" applyFont="1" applyBorder="1" applyAlignment="1">
      <alignment horizontal="left"/>
    </xf>
    <xf numFmtId="176" fontId="6" fillId="0" borderId="0" xfId="0" applyNumberFormat="1" applyFont="1" applyFill="1" applyBorder="1" applyAlignment="1">
      <alignment horizontal="left"/>
    </xf>
    <xf numFmtId="10" fontId="0" fillId="0" borderId="0" xfId="0" applyNumberFormat="1"/>
    <xf numFmtId="10" fontId="0" fillId="0" borderId="0" xfId="3" applyNumberFormat="1" applyFont="1" applyBorder="1"/>
    <xf numFmtId="176" fontId="6" fillId="0" borderId="0" xfId="0" applyNumberFormat="1" applyFont="1" applyFill="1" applyBorder="1" applyAlignment="1">
      <alignment horizontal="center"/>
    </xf>
    <xf numFmtId="0" fontId="0" fillId="0" borderId="0" xfId="0" applyAlignment="1">
      <alignment horizontal="left"/>
    </xf>
    <xf numFmtId="0" fontId="17" fillId="0" borderId="0" xfId="0" applyFont="1"/>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horizontal="left"/>
    </xf>
    <xf numFmtId="49" fontId="2" fillId="0" borderId="0" xfId="0" applyNumberFormat="1" applyFont="1" applyAlignment="1">
      <alignment horizontal="right"/>
    </xf>
    <xf numFmtId="0" fontId="2" fillId="0" borderId="7" xfId="0" applyFont="1" applyBorder="1" applyAlignment="1">
      <alignment horizontal="center"/>
    </xf>
    <xf numFmtId="176" fontId="0" fillId="0" borderId="0" xfId="0" applyNumberFormat="1" applyBorder="1"/>
    <xf numFmtId="0" fontId="3" fillId="0" borderId="7" xfId="0" applyFont="1" applyBorder="1" applyAlignment="1">
      <alignment horizontal="center"/>
    </xf>
    <xf numFmtId="0" fontId="2" fillId="0" borderId="7" xfId="0" applyFont="1" applyBorder="1" applyAlignment="1">
      <alignment horizontal="left" vertical="center"/>
    </xf>
    <xf numFmtId="0" fontId="0" fillId="0" borderId="7" xfId="0" applyBorder="1"/>
    <xf numFmtId="179" fontId="0" fillId="0" borderId="7" xfId="2" applyNumberFormat="1" applyFont="1" applyBorder="1" applyAlignment="1">
      <alignment horizontal="center"/>
    </xf>
    <xf numFmtId="165" fontId="14" fillId="0" borderId="7" xfId="0" applyNumberFormat="1" applyFont="1" applyBorder="1" applyAlignment="1">
      <alignment horizontal="center"/>
    </xf>
    <xf numFmtId="0" fontId="2" fillId="0" borderId="0" xfId="0" applyFont="1" applyBorder="1" applyAlignment="1">
      <alignment horizontal="left"/>
    </xf>
    <xf numFmtId="0" fontId="0" fillId="0" borderId="0" xfId="0" applyBorder="1" applyAlignment="1">
      <alignment horizontal="left"/>
    </xf>
    <xf numFmtId="178" fontId="0" fillId="0" borderId="7" xfId="1" applyNumberFormat="1" applyFont="1" applyBorder="1" applyAlignment="1">
      <alignment horizontal="center"/>
    </xf>
    <xf numFmtId="0" fontId="18" fillId="0" borderId="0" xfId="0" applyFont="1" applyAlignment="1">
      <alignment vertical="center" wrapText="1"/>
    </xf>
    <xf numFmtId="43" fontId="0" fillId="0" borderId="0" xfId="0" applyNumberFormat="1"/>
    <xf numFmtId="0" fontId="2" fillId="0" borderId="0" xfId="0" applyFont="1" applyBorder="1" applyAlignment="1">
      <alignment horizontal="center"/>
    </xf>
    <xf numFmtId="1" fontId="0" fillId="0" borderId="0" xfId="0" applyNumberFormat="1" applyAlignment="1">
      <alignment horizontal="left"/>
    </xf>
    <xf numFmtId="0" fontId="2" fillId="0" borderId="0" xfId="0" applyFont="1" applyAlignment="1">
      <alignment horizontal="center"/>
    </xf>
    <xf numFmtId="0" fontId="10" fillId="0" borderId="0" xfId="0" applyFont="1" applyBorder="1" applyAlignment="1">
      <alignment horizontal="left"/>
    </xf>
    <xf numFmtId="0" fontId="19" fillId="0" borderId="0" xfId="0" applyFont="1"/>
    <xf numFmtId="0" fontId="2" fillId="0" borderId="1" xfId="0" applyFont="1" applyBorder="1" applyAlignment="1">
      <alignment horizontal="centerContinuous"/>
    </xf>
    <xf numFmtId="8" fontId="6" fillId="0" borderId="1" xfId="0" applyNumberFormat="1" applyFont="1" applyBorder="1" applyAlignment="1">
      <alignment horizontal="centerContinuous"/>
    </xf>
    <xf numFmtId="165" fontId="2" fillId="0" borderId="0" xfId="0" applyNumberFormat="1" applyFont="1"/>
    <xf numFmtId="1" fontId="2" fillId="0" borderId="7" xfId="0" applyNumberFormat="1" applyFont="1" applyBorder="1" applyAlignment="1">
      <alignment horizontal="center"/>
    </xf>
    <xf numFmtId="0" fontId="2" fillId="0" borderId="0" xfId="0" applyFont="1" applyBorder="1" applyAlignment="1">
      <alignment horizontal="centerContinuous"/>
    </xf>
    <xf numFmtId="0" fontId="2" fillId="0" borderId="0" xfId="0" applyFont="1" applyAlignment="1">
      <alignment horizontal="right"/>
    </xf>
    <xf numFmtId="6" fontId="2" fillId="0" borderId="0" xfId="0" applyNumberFormat="1" applyFont="1" applyBorder="1" applyAlignment="1">
      <alignment horizontal="centerContinuous"/>
    </xf>
    <xf numFmtId="9" fontId="2" fillId="0" borderId="0" xfId="3" applyFont="1" applyBorder="1" applyAlignment="1">
      <alignment horizontal="center"/>
    </xf>
    <xf numFmtId="0" fontId="2" fillId="0" borderId="0" xfId="0" applyFont="1" applyBorder="1"/>
    <xf numFmtId="14" fontId="0" fillId="0" borderId="0" xfId="0" applyNumberFormat="1"/>
    <xf numFmtId="0" fontId="2" fillId="0" borderId="0" xfId="0" applyFont="1" applyAlignment="1">
      <alignment horizontal="left"/>
    </xf>
    <xf numFmtId="178" fontId="0" fillId="0" borderId="0" xfId="1" applyNumberFormat="1" applyFont="1" applyBorder="1"/>
    <xf numFmtId="44" fontId="14" fillId="0" borderId="0" xfId="2" applyFont="1" applyBorder="1"/>
    <xf numFmtId="0" fontId="0" fillId="0" borderId="0" xfId="0" applyAlignment="1"/>
    <xf numFmtId="0" fontId="20" fillId="0" borderId="0" xfId="0" applyFont="1"/>
    <xf numFmtId="0" fontId="18" fillId="3" borderId="0" xfId="0" applyFont="1" applyFill="1" applyAlignment="1">
      <alignment horizontal="left" vertical="center" wrapText="1" indent="1"/>
    </xf>
    <xf numFmtId="0" fontId="18" fillId="0" borderId="0" xfId="0" applyFont="1" applyAlignment="1">
      <alignment horizontal="left" vertical="center" wrapText="1" indent="1"/>
    </xf>
    <xf numFmtId="9" fontId="18" fillId="0" borderId="0" xfId="0" applyNumberFormat="1" applyFont="1" applyAlignment="1">
      <alignment horizontal="center" vertical="center" wrapText="1"/>
    </xf>
    <xf numFmtId="9" fontId="18" fillId="3" borderId="0" xfId="0" applyNumberFormat="1" applyFont="1" applyFill="1" applyAlignment="1">
      <alignment horizontal="center" vertical="center" wrapText="1"/>
    </xf>
    <xf numFmtId="0" fontId="18" fillId="3" borderId="0" xfId="0" applyFont="1" applyFill="1" applyAlignment="1">
      <alignment vertical="center" wrapText="1"/>
    </xf>
    <xf numFmtId="0" fontId="18" fillId="0" borderId="0" xfId="0" applyFont="1" applyAlignment="1">
      <alignment horizontal="center" vertical="center" wrapText="1"/>
    </xf>
    <xf numFmtId="9" fontId="0" fillId="0" borderId="0" xfId="3" applyFont="1" applyBorder="1"/>
    <xf numFmtId="164" fontId="6" fillId="0" borderId="0" xfId="0" applyNumberFormat="1" applyFont="1" applyBorder="1" applyAlignment="1">
      <alignment horizontal="left"/>
    </xf>
    <xf numFmtId="9" fontId="0" fillId="0" borderId="0" xfId="0" applyNumberFormat="1" applyAlignment="1">
      <alignment horizontal="left"/>
    </xf>
    <xf numFmtId="6" fontId="0" fillId="0" borderId="0" xfId="0" applyNumberFormat="1" applyAlignment="1">
      <alignment horizontal="left"/>
    </xf>
    <xf numFmtId="178" fontId="0" fillId="0" borderId="0" xfId="1" applyNumberFormat="1" applyFont="1" applyAlignment="1">
      <alignment horizontal="left"/>
    </xf>
    <xf numFmtId="43" fontId="0" fillId="0" borderId="0" xfId="0" applyNumberFormat="1" applyAlignment="1">
      <alignment horizontal="left"/>
    </xf>
    <xf numFmtId="0" fontId="22" fillId="0" borderId="0" xfId="0" applyFont="1"/>
    <xf numFmtId="3" fontId="0" fillId="0" borderId="0" xfId="0" applyNumberFormat="1"/>
    <xf numFmtId="9" fontId="0" fillId="0" borderId="0" xfId="0" applyNumberFormat="1" applyBorder="1" applyAlignment="1">
      <alignment horizontal="left"/>
    </xf>
    <xf numFmtId="0" fontId="23" fillId="0" borderId="0" xfId="0" applyFont="1" applyAlignment="1">
      <alignment vertical="center"/>
    </xf>
    <xf numFmtId="0" fontId="24" fillId="0" borderId="0" xfId="0" applyFont="1"/>
    <xf numFmtId="0" fontId="23" fillId="0" borderId="0" xfId="0" applyFont="1"/>
    <xf numFmtId="178" fontId="10" fillId="0" borderId="0" xfId="0" applyNumberFormat="1" applyFont="1" applyBorder="1" applyAlignment="1">
      <alignment horizontal="left"/>
    </xf>
    <xf numFmtId="43" fontId="0" fillId="0" borderId="0" xfId="0" applyNumberFormat="1" applyBorder="1" applyAlignment="1">
      <alignment horizontal="left"/>
    </xf>
    <xf numFmtId="10" fontId="0" fillId="0" borderId="0" xfId="0" applyNumberFormat="1" applyAlignment="1">
      <alignment horizontal="left"/>
    </xf>
    <xf numFmtId="9" fontId="0" fillId="0" borderId="0" xfId="0" applyNumberFormat="1"/>
    <xf numFmtId="178" fontId="0" fillId="0" borderId="0" xfId="0" applyNumberFormat="1" applyBorder="1"/>
    <xf numFmtId="43" fontId="10" fillId="0" borderId="0" xfId="0" applyNumberFormat="1" applyFont="1" applyBorder="1" applyAlignment="1">
      <alignment horizontal="centerContinuous"/>
    </xf>
    <xf numFmtId="3" fontId="24" fillId="0" borderId="7" xfId="0" applyNumberFormat="1" applyFont="1" applyBorder="1"/>
    <xf numFmtId="6" fontId="10" fillId="0" borderId="0" xfId="2" applyNumberFormat="1" applyFont="1" applyBorder="1" applyAlignment="1">
      <alignment horizontal="centerContinuous"/>
    </xf>
    <xf numFmtId="16" fontId="0" fillId="0" borderId="0" xfId="0" applyNumberFormat="1" applyBorder="1"/>
    <xf numFmtId="0" fontId="27" fillId="0" borderId="0" xfId="0" applyFont="1"/>
    <xf numFmtId="9" fontId="6" fillId="0" borderId="0" xfId="3" applyFont="1" applyBorder="1" applyAlignment="1">
      <alignment horizontal="center"/>
    </xf>
    <xf numFmtId="0" fontId="28" fillId="0" borderId="0" xfId="0" applyFont="1"/>
    <xf numFmtId="0" fontId="0" fillId="0" borderId="0" xfId="0" applyAlignment="1">
      <alignment wrapText="1"/>
    </xf>
    <xf numFmtId="4" fontId="0" fillId="0" borderId="0" xfId="0" applyNumberFormat="1"/>
    <xf numFmtId="0" fontId="29" fillId="0" borderId="0" xfId="0" applyFont="1"/>
    <xf numFmtId="43" fontId="0" fillId="0" borderId="0" xfId="1" applyFont="1" applyAlignment="1">
      <alignment horizontal="left"/>
    </xf>
    <xf numFmtId="180" fontId="0" fillId="0" borderId="0" xfId="0" applyNumberFormat="1"/>
    <xf numFmtId="178" fontId="0" fillId="0" borderId="7" xfId="1" applyNumberFormat="1" applyFont="1" applyBorder="1"/>
    <xf numFmtId="179" fontId="0" fillId="0" borderId="0" xfId="0" applyNumberFormat="1"/>
    <xf numFmtId="178" fontId="0" fillId="0" borderId="0" xfId="1" applyNumberFormat="1" applyFont="1" applyBorder="1" applyAlignment="1">
      <alignment horizontal="center"/>
    </xf>
    <xf numFmtId="10" fontId="0" fillId="0" borderId="0" xfId="3" applyNumberFormat="1" applyFont="1" applyBorder="1" applyAlignment="1">
      <alignment horizontal="left"/>
    </xf>
    <xf numFmtId="42" fontId="0" fillId="0" borderId="0" xfId="6" applyFont="1"/>
    <xf numFmtId="3" fontId="0" fillId="0" borderId="0" xfId="0" applyNumberFormat="1" applyAlignment="1">
      <alignment wrapText="1"/>
    </xf>
    <xf numFmtId="3" fontId="34" fillId="0" borderId="0" xfId="0" applyNumberFormat="1" applyFont="1"/>
    <xf numFmtId="0" fontId="35" fillId="4" borderId="0" xfId="0" applyFont="1" applyFill="1" applyAlignment="1">
      <alignment horizontal="left" vertical="center" wrapText="1" indent="1"/>
    </xf>
    <xf numFmtId="0" fontId="36" fillId="4" borderId="0" xfId="0" applyFont="1" applyFill="1" applyAlignment="1">
      <alignment vertical="center" wrapText="1"/>
    </xf>
    <xf numFmtId="0" fontId="36" fillId="4" borderId="0" xfId="0" applyFont="1" applyFill="1" applyAlignment="1">
      <alignment vertical="center"/>
    </xf>
    <xf numFmtId="3" fontId="36" fillId="4" borderId="0" xfId="0" applyNumberFormat="1" applyFont="1" applyFill="1" applyAlignment="1">
      <alignment horizontal="right" vertical="center"/>
    </xf>
    <xf numFmtId="178" fontId="0" fillId="0" borderId="7" xfId="1" applyNumberFormat="1" applyFont="1" applyBorder="1" applyAlignment="1">
      <alignment horizontal="center" wrapText="1"/>
    </xf>
    <xf numFmtId="0" fontId="39" fillId="4" borderId="0" xfId="0" applyFont="1" applyFill="1" applyAlignment="1">
      <alignment vertical="center" wrapText="1"/>
    </xf>
    <xf numFmtId="0" fontId="38" fillId="4" borderId="0" xfId="0" applyFont="1" applyFill="1" applyAlignment="1">
      <alignment horizontal="left" vertical="center" wrapText="1"/>
    </xf>
    <xf numFmtId="0" fontId="40" fillId="0" borderId="0" xfId="0" applyFont="1"/>
    <xf numFmtId="41" fontId="0" fillId="0" borderId="0" xfId="7" applyFont="1"/>
    <xf numFmtId="181" fontId="0" fillId="0" borderId="0" xfId="0" applyNumberFormat="1"/>
    <xf numFmtId="41" fontId="10" fillId="0" borderId="0" xfId="7" applyFont="1" applyBorder="1" applyAlignment="1">
      <alignment horizontal="center"/>
    </xf>
    <xf numFmtId="10" fontId="0" fillId="0" borderId="0" xfId="0" applyNumberFormat="1" applyBorder="1"/>
    <xf numFmtId="168" fontId="6" fillId="0" borderId="0" xfId="0" applyNumberFormat="1" applyFont="1" applyBorder="1" applyAlignment="1">
      <alignment horizontal="center"/>
    </xf>
    <xf numFmtId="0" fontId="41" fillId="5" borderId="14" xfId="0" applyFont="1" applyFill="1" applyBorder="1" applyAlignment="1">
      <alignment horizontal="left" vertical="center"/>
    </xf>
    <xf numFmtId="0" fontId="41" fillId="5" borderId="16" xfId="0" applyFont="1" applyFill="1" applyBorder="1" applyAlignment="1">
      <alignment horizontal="left" vertical="center"/>
    </xf>
    <xf numFmtId="0" fontId="41" fillId="5" borderId="16" xfId="0" applyFont="1" applyFill="1" applyBorder="1" applyAlignment="1">
      <alignment horizontal="right" vertical="center"/>
    </xf>
    <xf numFmtId="0" fontId="41" fillId="5" borderId="15" xfId="0" applyFont="1" applyFill="1" applyBorder="1" applyAlignment="1">
      <alignment horizontal="right" vertical="center"/>
    </xf>
    <xf numFmtId="0" fontId="42" fillId="7" borderId="18" xfId="0" applyFont="1" applyFill="1" applyBorder="1" applyAlignment="1">
      <alignment vertical="center"/>
    </xf>
    <xf numFmtId="0" fontId="42" fillId="7" borderId="20" xfId="0" applyFont="1" applyFill="1" applyBorder="1" applyAlignment="1">
      <alignment vertical="center"/>
    </xf>
    <xf numFmtId="14" fontId="42" fillId="7" borderId="20" xfId="0" applyNumberFormat="1" applyFont="1" applyFill="1" applyBorder="1" applyAlignment="1">
      <alignment vertical="center"/>
    </xf>
    <xf numFmtId="0" fontId="42" fillId="7" borderId="20" xfId="0" applyFont="1" applyFill="1" applyBorder="1" applyAlignment="1">
      <alignment horizontal="right" vertical="center"/>
    </xf>
    <xf numFmtId="4" fontId="42" fillId="7" borderId="20" xfId="0" applyNumberFormat="1" applyFont="1" applyFill="1" applyBorder="1" applyAlignment="1">
      <alignment horizontal="right" vertical="center"/>
    </xf>
    <xf numFmtId="0" fontId="42" fillId="7" borderId="19" xfId="0" applyFont="1" applyFill="1" applyBorder="1" applyAlignment="1">
      <alignment horizontal="right" vertical="center"/>
    </xf>
    <xf numFmtId="0" fontId="43" fillId="7" borderId="18" xfId="0" applyFont="1" applyFill="1" applyBorder="1" applyAlignment="1">
      <alignment vertical="center" wrapText="1"/>
    </xf>
    <xf numFmtId="0" fontId="43" fillId="7" borderId="19" xfId="0" applyFont="1" applyFill="1" applyBorder="1" applyAlignment="1">
      <alignment vertical="center" wrapText="1"/>
    </xf>
    <xf numFmtId="0" fontId="43" fillId="7" borderId="20" xfId="0" applyFont="1" applyFill="1" applyBorder="1" applyAlignment="1">
      <alignment vertical="center" wrapText="1"/>
    </xf>
    <xf numFmtId="14" fontId="43" fillId="7" borderId="20" xfId="0" applyNumberFormat="1" applyFont="1" applyFill="1" applyBorder="1" applyAlignment="1">
      <alignment vertical="center" wrapText="1"/>
    </xf>
    <xf numFmtId="0" fontId="43" fillId="7" borderId="20" xfId="0" applyFont="1" applyFill="1" applyBorder="1" applyAlignment="1">
      <alignment horizontal="right" vertical="center" wrapText="1"/>
    </xf>
    <xf numFmtId="4" fontId="43" fillId="7" borderId="20" xfId="0" applyNumberFormat="1" applyFont="1" applyFill="1" applyBorder="1" applyAlignment="1">
      <alignment horizontal="right" vertical="center" wrapText="1"/>
    </xf>
    <xf numFmtId="0" fontId="43" fillId="7" borderId="19" xfId="0" applyFont="1" applyFill="1" applyBorder="1" applyAlignment="1">
      <alignment horizontal="right" vertical="center" wrapText="1"/>
    </xf>
    <xf numFmtId="0" fontId="43" fillId="7" borderId="21" xfId="0" applyFont="1" applyFill="1" applyBorder="1" applyAlignment="1">
      <alignment vertical="center" wrapText="1"/>
    </xf>
    <xf numFmtId="0" fontId="43" fillId="7" borderId="22" xfId="0" applyFont="1" applyFill="1" applyBorder="1" applyAlignment="1">
      <alignment vertical="center" wrapText="1"/>
    </xf>
    <xf numFmtId="0" fontId="43" fillId="7" borderId="23" xfId="0" applyFont="1" applyFill="1" applyBorder="1" applyAlignment="1">
      <alignment vertical="center" wrapText="1"/>
    </xf>
    <xf numFmtId="14" fontId="43" fillId="7" borderId="23" xfId="0" applyNumberFormat="1" applyFont="1" applyFill="1" applyBorder="1" applyAlignment="1">
      <alignment vertical="center" wrapText="1"/>
    </xf>
    <xf numFmtId="0" fontId="43" fillId="7" borderId="23" xfId="0" applyFont="1" applyFill="1" applyBorder="1" applyAlignment="1">
      <alignment horizontal="right" vertical="center" wrapText="1"/>
    </xf>
    <xf numFmtId="4" fontId="43" fillId="7" borderId="23" xfId="0" applyNumberFormat="1" applyFont="1" applyFill="1" applyBorder="1" applyAlignment="1">
      <alignment horizontal="right" vertical="center" wrapText="1"/>
    </xf>
    <xf numFmtId="0" fontId="0" fillId="4" borderId="24" xfId="0" applyFill="1" applyBorder="1"/>
    <xf numFmtId="43" fontId="0" fillId="0" borderId="0" xfId="1" applyFont="1"/>
    <xf numFmtId="0" fontId="42" fillId="7" borderId="18" xfId="0" applyFont="1" applyFill="1" applyBorder="1" applyAlignment="1">
      <alignment vertical="center" wrapText="1"/>
    </xf>
    <xf numFmtId="0" fontId="42" fillId="7" borderId="20" xfId="0" applyFont="1" applyFill="1" applyBorder="1" applyAlignment="1">
      <alignment vertical="center" wrapText="1"/>
    </xf>
    <xf numFmtId="14" fontId="42" fillId="7" borderId="20" xfId="0" applyNumberFormat="1" applyFont="1" applyFill="1" applyBorder="1" applyAlignment="1">
      <alignment vertical="center" wrapText="1"/>
    </xf>
    <xf numFmtId="0" fontId="42" fillId="7" borderId="20" xfId="0" applyFont="1" applyFill="1" applyBorder="1" applyAlignment="1">
      <alignment horizontal="right" vertical="center" wrapText="1"/>
    </xf>
    <xf numFmtId="4" fontId="42" fillId="7" borderId="20" xfId="0" applyNumberFormat="1" applyFont="1" applyFill="1" applyBorder="1" applyAlignment="1">
      <alignment horizontal="right" vertical="center" wrapText="1"/>
    </xf>
    <xf numFmtId="0" fontId="42" fillId="7" borderId="21" xfId="0" applyFont="1" applyFill="1" applyBorder="1" applyAlignment="1">
      <alignment vertical="center" wrapText="1"/>
    </xf>
    <xf numFmtId="0" fontId="42" fillId="7" borderId="23" xfId="0" applyFont="1" applyFill="1" applyBorder="1" applyAlignment="1">
      <alignment vertical="center" wrapText="1"/>
    </xf>
    <xf numFmtId="14" fontId="42" fillId="7" borderId="23" xfId="0" applyNumberFormat="1" applyFont="1" applyFill="1" applyBorder="1" applyAlignment="1">
      <alignment vertical="center" wrapText="1"/>
    </xf>
    <xf numFmtId="0" fontId="42" fillId="7" borderId="23" xfId="0" applyFont="1" applyFill="1" applyBorder="1" applyAlignment="1">
      <alignment horizontal="right" vertical="center" wrapText="1"/>
    </xf>
    <xf numFmtId="4" fontId="42" fillId="7" borderId="23" xfId="0" applyNumberFormat="1" applyFont="1" applyFill="1" applyBorder="1" applyAlignment="1">
      <alignment horizontal="right" vertical="center" wrapText="1"/>
    </xf>
    <xf numFmtId="4" fontId="42" fillId="7" borderId="0" xfId="0" applyNumberFormat="1" applyFont="1" applyFill="1" applyBorder="1" applyAlignment="1">
      <alignment horizontal="right" vertical="center"/>
    </xf>
    <xf numFmtId="0" fontId="42" fillId="7" borderId="0" xfId="0" applyFont="1" applyFill="1" applyBorder="1" applyAlignment="1">
      <alignment horizontal="right" vertical="center"/>
    </xf>
    <xf numFmtId="0" fontId="44" fillId="0" borderId="1" xfId="0" applyFont="1" applyBorder="1" applyAlignment="1">
      <alignment horizontal="center"/>
    </xf>
    <xf numFmtId="179" fontId="0" fillId="0" borderId="0" xfId="2" applyNumberFormat="1" applyFont="1" applyAlignment="1">
      <alignment horizontal="center"/>
    </xf>
    <xf numFmtId="0" fontId="44" fillId="0" borderId="1" xfId="0" applyFont="1" applyBorder="1"/>
    <xf numFmtId="179" fontId="0" fillId="0" borderId="0" xfId="2" applyNumberFormat="1" applyFont="1" applyAlignment="1"/>
    <xf numFmtId="9" fontId="0" fillId="0" borderId="0" xfId="3" applyFont="1" applyAlignment="1">
      <alignment horizontal="center"/>
    </xf>
    <xf numFmtId="182" fontId="0" fillId="0" borderId="0" xfId="0" applyNumberFormat="1"/>
    <xf numFmtId="0" fontId="3" fillId="0" borderId="25" xfId="0" applyFont="1" applyBorder="1" applyAlignment="1">
      <alignment horizontal="center"/>
    </xf>
    <xf numFmtId="0" fontId="3" fillId="0" borderId="5" xfId="0" applyFont="1" applyBorder="1" applyAlignment="1">
      <alignment horizontal="center"/>
    </xf>
    <xf numFmtId="0" fontId="3" fillId="0" borderId="26" xfId="0" applyFont="1" applyBorder="1" applyAlignment="1">
      <alignment horizontal="center"/>
    </xf>
    <xf numFmtId="178" fontId="0" fillId="0" borderId="9" xfId="1" applyNumberFormat="1" applyFont="1" applyBorder="1" applyAlignment="1">
      <alignment horizontal="center"/>
    </xf>
    <xf numFmtId="178" fontId="0" fillId="0" borderId="2" xfId="1" applyNumberFormat="1" applyFont="1" applyBorder="1" applyAlignment="1">
      <alignment horizontal="center"/>
    </xf>
    <xf numFmtId="178" fontId="0" fillId="0" borderId="25" xfId="1" applyNumberFormat="1" applyFont="1" applyBorder="1" applyAlignment="1">
      <alignment horizontal="center"/>
    </xf>
    <xf numFmtId="178" fontId="0" fillId="0" borderId="1" xfId="1" applyNumberFormat="1" applyFont="1" applyBorder="1" applyAlignment="1">
      <alignment horizontal="center"/>
    </xf>
    <xf numFmtId="178" fontId="0" fillId="0" borderId="5" xfId="1" applyNumberFormat="1" applyFont="1" applyBorder="1" applyAlignment="1">
      <alignment horizontal="center"/>
    </xf>
    <xf numFmtId="178" fontId="0" fillId="0" borderId="26" xfId="1" applyNumberFormat="1" applyFont="1" applyBorder="1" applyAlignment="1">
      <alignment horizontal="center"/>
    </xf>
    <xf numFmtId="178" fontId="0" fillId="0" borderId="0" xfId="1" applyNumberFormat="1" applyFont="1" applyFill="1" applyBorder="1" applyAlignment="1">
      <alignment horizontal="center"/>
    </xf>
    <xf numFmtId="0" fontId="3" fillId="0" borderId="1" xfId="0" applyFont="1" applyBorder="1" applyAlignment="1">
      <alignment horizontal="center"/>
    </xf>
    <xf numFmtId="44" fontId="0" fillId="0" borderId="0" xfId="2" applyFont="1" applyAlignment="1">
      <alignment horizontal="center"/>
    </xf>
    <xf numFmtId="0" fontId="3" fillId="0" borderId="7" xfId="0" applyFont="1" applyFill="1" applyBorder="1" applyAlignment="1">
      <alignment horizontal="center"/>
    </xf>
    <xf numFmtId="0" fontId="42" fillId="7" borderId="19" xfId="0" applyFont="1" applyFill="1" applyBorder="1" applyAlignment="1">
      <alignment vertical="center"/>
    </xf>
    <xf numFmtId="0" fontId="42" fillId="7" borderId="18" xfId="0" applyFont="1" applyFill="1" applyBorder="1" applyAlignment="1">
      <alignment vertical="center"/>
    </xf>
    <xf numFmtId="0" fontId="42" fillId="7" borderId="19" xfId="0" applyFont="1" applyFill="1" applyBorder="1" applyAlignment="1">
      <alignment vertical="center" wrapText="1"/>
    </xf>
    <xf numFmtId="0" fontId="42" fillId="7" borderId="18" xfId="0" applyFont="1" applyFill="1" applyBorder="1" applyAlignment="1">
      <alignment vertical="center" wrapText="1"/>
    </xf>
    <xf numFmtId="0" fontId="42" fillId="7" borderId="22" xfId="0" applyFont="1" applyFill="1" applyBorder="1" applyAlignment="1">
      <alignment vertical="center" wrapText="1"/>
    </xf>
    <xf numFmtId="0" fontId="42" fillId="7" borderId="21" xfId="0" applyFont="1" applyFill="1" applyBorder="1" applyAlignment="1">
      <alignment vertical="center" wrapText="1"/>
    </xf>
    <xf numFmtId="0" fontId="41" fillId="5" borderId="15" xfId="0" applyFont="1" applyFill="1" applyBorder="1" applyAlignment="1">
      <alignment horizontal="left" vertical="center"/>
    </xf>
    <xf numFmtId="0" fontId="41" fillId="5" borderId="14" xfId="0" applyFont="1" applyFill="1" applyBorder="1" applyAlignment="1">
      <alignment horizontal="left" vertical="center"/>
    </xf>
    <xf numFmtId="0" fontId="41" fillId="6" borderId="17" xfId="0" applyFont="1" applyFill="1" applyBorder="1" applyAlignment="1">
      <alignment horizontal="left" vertical="center"/>
    </xf>
    <xf numFmtId="0" fontId="38" fillId="4" borderId="0" xfId="0" applyFont="1" applyFill="1" applyAlignment="1">
      <alignment horizontal="right" vertical="center" wrapText="1"/>
    </xf>
    <xf numFmtId="3" fontId="38" fillId="4" borderId="0" xfId="0" applyNumberFormat="1" applyFont="1" applyFill="1" applyAlignment="1">
      <alignment horizontal="right" vertical="center" wrapText="1"/>
    </xf>
    <xf numFmtId="0" fontId="39" fillId="4" borderId="0" xfId="0" applyFont="1" applyFill="1" applyAlignment="1">
      <alignment wrapText="1"/>
    </xf>
    <xf numFmtId="0" fontId="39" fillId="4" borderId="0" xfId="0" applyFont="1" applyFill="1" applyAlignment="1">
      <alignment vertical="center" wrapText="1"/>
    </xf>
    <xf numFmtId="0" fontId="37" fillId="4" borderId="0" xfId="0" applyFont="1" applyFill="1" applyAlignment="1">
      <alignment wrapText="1"/>
    </xf>
    <xf numFmtId="0" fontId="21" fillId="3" borderId="13" xfId="0" applyFont="1" applyFill="1" applyBorder="1" applyAlignment="1">
      <alignment horizontal="center" vertical="center" wrapText="1"/>
    </xf>
    <xf numFmtId="0" fontId="21" fillId="3" borderId="12" xfId="0" applyFont="1" applyFill="1" applyBorder="1" applyAlignment="1">
      <alignment horizontal="center" vertical="center" wrapText="1"/>
    </xf>
    <xf numFmtId="0" fontId="0" fillId="0" borderId="0" xfId="0" applyAlignment="1">
      <alignment horizontal="center" vertical="center" wrapText="1"/>
    </xf>
    <xf numFmtId="0" fontId="21" fillId="0" borderId="12" xfId="0" applyFont="1" applyBorder="1" applyAlignment="1">
      <alignment horizontal="center" vertical="center" wrapText="1"/>
    </xf>
    <xf numFmtId="0" fontId="18" fillId="3" borderId="13" xfId="0" applyFont="1" applyFill="1" applyBorder="1" applyAlignment="1">
      <alignment horizontal="left" vertical="center" wrapText="1" indent="1"/>
    </xf>
    <xf numFmtId="0" fontId="18" fillId="3" borderId="0" xfId="0" applyFont="1" applyFill="1" applyAlignment="1">
      <alignment horizontal="left" vertical="center" wrapText="1" indent="1"/>
    </xf>
    <xf numFmtId="0" fontId="18" fillId="3" borderId="13" xfId="0" applyFont="1" applyFill="1" applyBorder="1" applyAlignment="1">
      <alignment wrapText="1"/>
    </xf>
    <xf numFmtId="0" fontId="18" fillId="3" borderId="12" xfId="0" applyFont="1" applyFill="1" applyBorder="1" applyAlignment="1">
      <alignment wrapText="1"/>
    </xf>
    <xf numFmtId="0" fontId="18" fillId="0" borderId="0" xfId="0" applyFont="1" applyAlignment="1">
      <alignment horizontal="left" vertical="center" wrapText="1" indent="1"/>
    </xf>
    <xf numFmtId="9" fontId="18" fillId="0" borderId="0" xfId="0" applyNumberFormat="1" applyFont="1" applyAlignment="1">
      <alignment horizontal="center" vertical="center" wrapText="1"/>
    </xf>
    <xf numFmtId="0" fontId="18" fillId="0" borderId="0" xfId="0" applyFont="1" applyAlignment="1">
      <alignment wrapText="1"/>
    </xf>
    <xf numFmtId="0" fontId="18" fillId="0" borderId="0" xfId="0" applyFont="1" applyAlignment="1">
      <alignment horizontal="center" vertical="center" wrapText="1"/>
    </xf>
    <xf numFmtId="9" fontId="18" fillId="3" borderId="0" xfId="0" applyNumberFormat="1" applyFont="1" applyFill="1" applyAlignment="1">
      <alignment horizontal="center" vertical="center" wrapText="1"/>
    </xf>
    <xf numFmtId="0" fontId="18" fillId="3" borderId="0" xfId="0" applyFont="1" applyFill="1" applyAlignment="1">
      <alignment wrapText="1"/>
    </xf>
  </cellXfs>
  <cellStyles count="8">
    <cellStyle name="Comma" xfId="1" builtinId="3"/>
    <cellStyle name="Comma [0]" xfId="7" builtinId="6"/>
    <cellStyle name="Currency" xfId="2" builtinId="4"/>
    <cellStyle name="Currency [0]" xfId="6" builtinId="7"/>
    <cellStyle name="Normal" xfId="0" builtinId="0"/>
    <cellStyle name="Normal 2" xfId="4" xr:uid="{00000000-0005-0000-0000-000005000000}"/>
    <cellStyle name="Normal 3" xfId="5" xr:uid="{00000000-0005-0000-0000-000006000000}"/>
    <cellStyle name="Percent" xfId="3" builtinId="5"/>
  </cellStyles>
  <dxfs count="216">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85724</xdr:colOff>
      <xdr:row>70</xdr:row>
      <xdr:rowOff>152399</xdr:rowOff>
    </xdr:from>
    <xdr:to>
      <xdr:col>21</xdr:col>
      <xdr:colOff>161924</xdr:colOff>
      <xdr:row>125</xdr:row>
      <xdr:rowOff>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85724" y="11496674"/>
          <a:ext cx="16563975" cy="8791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sng" strike="noStrike">
              <a:solidFill>
                <a:schemeClr val="dk1"/>
              </a:solidFill>
              <a:effectLst/>
              <a:latin typeface="+mn-lt"/>
              <a:ea typeface="+mn-ea"/>
              <a:cs typeface="+mn-cs"/>
            </a:rPr>
            <a:t>Investment Question</a:t>
          </a:r>
          <a:r>
            <a:rPr lang="en-US" sz="1400" b="1" u="sng"/>
            <a:t> - Thesis</a:t>
          </a:r>
        </a:p>
        <a:p>
          <a:r>
            <a:rPr lang="en-US" sz="1100" b="1" i="0" u="none" strike="noStrike">
              <a:solidFill>
                <a:schemeClr val="dk1"/>
              </a:solidFill>
              <a:effectLst/>
              <a:latin typeface="+mn-lt"/>
              <a:ea typeface="+mn-ea"/>
              <a:cs typeface="+mn-cs"/>
            </a:rPr>
            <a:t>1. How Long</a:t>
          </a:r>
          <a:r>
            <a:rPr lang="en-US" b="1"/>
            <a:t> </a:t>
          </a:r>
        </a:p>
        <a:p>
          <a:r>
            <a:rPr lang="en-US" sz="1100" b="1" i="0" u="none" strike="noStrike">
              <a:solidFill>
                <a:schemeClr val="dk1"/>
              </a:solidFill>
              <a:effectLst/>
              <a:latin typeface="+mn-lt"/>
              <a:ea typeface="+mn-ea"/>
              <a:cs typeface="+mn-cs"/>
            </a:rPr>
            <a:t>2. How Many</a:t>
          </a:r>
          <a:r>
            <a:rPr lang="en-US" b="1"/>
            <a:t> </a:t>
          </a:r>
        </a:p>
        <a:p>
          <a:r>
            <a:rPr lang="en-US" sz="1100" b="1" i="0" u="none" strike="noStrike">
              <a:solidFill>
                <a:schemeClr val="dk1"/>
              </a:solidFill>
              <a:effectLst/>
              <a:latin typeface="+mn-lt"/>
              <a:ea typeface="+mn-ea"/>
              <a:cs typeface="+mn-cs"/>
            </a:rPr>
            <a:t>3. How Sure Are You?</a:t>
          </a:r>
          <a:r>
            <a:rPr lang="en-US" b="1"/>
            <a:t> </a:t>
          </a:r>
        </a:p>
        <a:p>
          <a:endParaRPr lang="en-US"/>
        </a:p>
        <a:p>
          <a:r>
            <a:rPr lang="en-US" sz="1400" b="1" i="0" u="sng" strike="noStrike">
              <a:solidFill>
                <a:schemeClr val="dk1"/>
              </a:solidFill>
              <a:effectLst/>
              <a:latin typeface="+mn-lt"/>
              <a:ea typeface="+mn-ea"/>
              <a:cs typeface="+mn-cs"/>
            </a:rPr>
            <a:t>Market View</a:t>
          </a:r>
          <a:r>
            <a:rPr lang="en-US" sz="1400" b="1" u="sng"/>
            <a:t> </a:t>
          </a:r>
        </a:p>
        <a:p>
          <a:r>
            <a:rPr lang="en-US" sz="1100" b="1" i="0" u="none" strike="noStrike">
              <a:solidFill>
                <a:schemeClr val="dk1"/>
              </a:solidFill>
              <a:effectLst/>
              <a:latin typeface="+mn-lt"/>
              <a:ea typeface="+mn-ea"/>
              <a:cs typeface="+mn-cs"/>
            </a:rPr>
            <a:t>What is the concensus currently and why?</a:t>
          </a:r>
          <a:r>
            <a:rPr lang="en-US" b="1"/>
            <a:t> </a:t>
          </a:r>
        </a:p>
        <a:p>
          <a:r>
            <a:rPr lang="en-US" sz="1100" b="1" i="0" u="none" strike="noStrike">
              <a:solidFill>
                <a:schemeClr val="dk1"/>
              </a:solidFill>
              <a:effectLst/>
              <a:latin typeface="+mn-lt"/>
              <a:ea typeface="+mn-ea"/>
              <a:cs typeface="+mn-cs"/>
            </a:rPr>
            <a:t>Current Price</a:t>
          </a:r>
          <a:r>
            <a:rPr lang="en-US" b="1"/>
            <a:t> </a:t>
          </a:r>
        </a:p>
        <a:p>
          <a:r>
            <a:rPr lang="en-US" sz="1100" b="1" i="0" u="none" strike="noStrike">
              <a:solidFill>
                <a:schemeClr val="dk1"/>
              </a:solidFill>
              <a:effectLst/>
              <a:latin typeface="+mn-lt"/>
              <a:ea typeface="+mn-ea"/>
              <a:cs typeface="+mn-cs"/>
            </a:rPr>
            <a:t>What is the most important drivers of customers to the industry and does this company competitively meet these drivers?</a:t>
          </a:r>
          <a:r>
            <a:rPr lang="en-US" b="1"/>
            <a:t> </a:t>
          </a:r>
        </a:p>
        <a:p>
          <a:endParaRPr lang="en-US"/>
        </a:p>
        <a:p>
          <a:r>
            <a:rPr lang="en-US" sz="1400" b="1" i="0" u="sng" strike="noStrike">
              <a:solidFill>
                <a:schemeClr val="dk1"/>
              </a:solidFill>
              <a:effectLst/>
              <a:latin typeface="+mn-lt"/>
              <a:ea typeface="+mn-ea"/>
              <a:cs typeface="+mn-cs"/>
            </a:rPr>
            <a:t>Management/Barriers/Competition</a:t>
          </a:r>
        </a:p>
        <a:p>
          <a:r>
            <a:rPr lang="en-US" sz="1100" b="1" i="0" u="none" strike="noStrike">
              <a:solidFill>
                <a:schemeClr val="dk1"/>
              </a:solidFill>
              <a:effectLst/>
              <a:latin typeface="+mn-lt"/>
              <a:ea typeface="+mn-ea"/>
              <a:cs typeface="+mn-cs"/>
            </a:rPr>
            <a:t>1.</a:t>
          </a:r>
          <a:r>
            <a:rPr lang="en-US" b="1"/>
            <a:t> </a:t>
          </a:r>
          <a:r>
            <a:rPr lang="en-US" sz="1100" b="1" i="0" u="none" strike="noStrike">
              <a:solidFill>
                <a:schemeClr val="dk1"/>
              </a:solidFill>
              <a:effectLst/>
              <a:latin typeface="+mn-lt"/>
              <a:ea typeface="+mn-ea"/>
              <a:cs typeface="+mn-cs"/>
            </a:rPr>
            <a:t>Competition?</a:t>
          </a:r>
          <a:r>
            <a:rPr lang="en-US" b="1"/>
            <a:t> </a:t>
          </a:r>
        </a:p>
        <a:p>
          <a:r>
            <a:rPr lang="en-US" sz="1100" b="1" i="0" u="none" strike="noStrike">
              <a:solidFill>
                <a:schemeClr val="dk1"/>
              </a:solidFill>
              <a:effectLst/>
              <a:latin typeface="+mn-lt"/>
              <a:ea typeface="+mn-ea"/>
              <a:cs typeface="+mn-cs"/>
            </a:rPr>
            <a:t>2.</a:t>
          </a:r>
          <a:r>
            <a:rPr lang="en-US" b="1"/>
            <a:t> </a:t>
          </a:r>
          <a:r>
            <a:rPr lang="en-US" sz="1100" b="1" i="0" u="none" strike="noStrike">
              <a:solidFill>
                <a:schemeClr val="dk1"/>
              </a:solidFill>
              <a:effectLst/>
              <a:latin typeface="+mn-lt"/>
              <a:ea typeface="+mn-ea"/>
              <a:cs typeface="+mn-cs"/>
            </a:rPr>
            <a:t>Suppliers?</a:t>
          </a:r>
          <a:r>
            <a:rPr lang="en-US" b="1"/>
            <a:t> </a:t>
          </a:r>
        </a:p>
        <a:p>
          <a:r>
            <a:rPr lang="en-US" sz="1100" b="1" i="0" u="none" strike="noStrike">
              <a:solidFill>
                <a:schemeClr val="dk1"/>
              </a:solidFill>
              <a:effectLst/>
              <a:latin typeface="+mn-lt"/>
              <a:ea typeface="+mn-ea"/>
              <a:cs typeface="+mn-cs"/>
            </a:rPr>
            <a:t>3.</a:t>
          </a:r>
          <a:r>
            <a:rPr lang="en-US" b="1"/>
            <a:t> </a:t>
          </a:r>
          <a:r>
            <a:rPr lang="en-US" sz="1100" b="1" i="0" u="none" strike="noStrike">
              <a:solidFill>
                <a:schemeClr val="dk1"/>
              </a:solidFill>
              <a:effectLst/>
              <a:latin typeface="+mn-lt"/>
              <a:ea typeface="+mn-ea"/>
              <a:cs typeface="+mn-cs"/>
            </a:rPr>
            <a:t>Durable competitive advantage?</a:t>
          </a:r>
          <a:r>
            <a:rPr lang="en-US" b="1"/>
            <a:t> </a:t>
          </a:r>
        </a:p>
        <a:p>
          <a:r>
            <a:rPr lang="en-US" sz="1100" b="1" i="0" u="none" strike="noStrike">
              <a:solidFill>
                <a:schemeClr val="dk1"/>
              </a:solidFill>
              <a:effectLst/>
              <a:latin typeface="+mn-lt"/>
              <a:ea typeface="+mn-ea"/>
              <a:cs typeface="+mn-cs"/>
            </a:rPr>
            <a:t>4.</a:t>
          </a:r>
          <a:r>
            <a:rPr lang="en-US" b="1"/>
            <a:t> </a:t>
          </a:r>
          <a:r>
            <a:rPr lang="en-US" sz="1100" b="1" i="0" u="none" strike="noStrike">
              <a:solidFill>
                <a:schemeClr val="dk1"/>
              </a:solidFill>
              <a:effectLst/>
              <a:latin typeface="+mn-lt"/>
              <a:ea typeface="+mn-ea"/>
              <a:cs typeface="+mn-cs"/>
            </a:rPr>
            <a:t>Management good?</a:t>
          </a:r>
          <a:r>
            <a:rPr lang="en-US" b="1"/>
            <a:t> </a:t>
          </a:r>
        </a:p>
        <a:p>
          <a:r>
            <a:rPr lang="en-US" sz="1100" b="1" i="0" u="none" strike="noStrike">
              <a:solidFill>
                <a:schemeClr val="dk1"/>
              </a:solidFill>
              <a:effectLst/>
              <a:latin typeface="+mn-lt"/>
              <a:ea typeface="+mn-ea"/>
              <a:cs typeface="+mn-cs"/>
            </a:rPr>
            <a:t>5.</a:t>
          </a:r>
          <a:r>
            <a:rPr lang="en-US" b="1"/>
            <a:t> </a:t>
          </a:r>
          <a:r>
            <a:rPr lang="en-US" sz="1100" b="1" i="0" u="none" strike="noStrike">
              <a:solidFill>
                <a:schemeClr val="dk1"/>
              </a:solidFill>
              <a:effectLst/>
              <a:latin typeface="+mn-lt"/>
              <a:ea typeface="+mn-ea"/>
              <a:cs typeface="+mn-cs"/>
            </a:rPr>
            <a:t>Price makes sense?</a:t>
          </a:r>
          <a:r>
            <a:rPr lang="en-US" b="1"/>
            <a:t> </a:t>
          </a:r>
        </a:p>
        <a:p>
          <a:r>
            <a:rPr lang="en-US" sz="1100" b="1" i="0" u="none" strike="noStrike">
              <a:solidFill>
                <a:schemeClr val="dk1"/>
              </a:solidFill>
              <a:effectLst/>
              <a:latin typeface="+mn-lt"/>
              <a:ea typeface="+mn-ea"/>
              <a:cs typeface="+mn-cs"/>
            </a:rPr>
            <a:t>6.</a:t>
          </a:r>
          <a:r>
            <a:rPr lang="en-US" b="1"/>
            <a:t> </a:t>
          </a:r>
          <a:r>
            <a:rPr lang="en-US" sz="1100" b="1" i="0" u="none" strike="noStrike">
              <a:solidFill>
                <a:schemeClr val="dk1"/>
              </a:solidFill>
              <a:effectLst/>
              <a:latin typeface="+mn-lt"/>
              <a:ea typeface="+mn-ea"/>
              <a:cs typeface="+mn-cs"/>
            </a:rPr>
            <a:t>Margin of safety?</a:t>
          </a:r>
          <a:r>
            <a:rPr lang="en-US" b="1"/>
            <a:t> </a:t>
          </a:r>
        </a:p>
        <a:p>
          <a:r>
            <a:rPr lang="en-US" sz="1100" b="1" i="0" u="none" strike="noStrike">
              <a:solidFill>
                <a:schemeClr val="dk1"/>
              </a:solidFill>
              <a:effectLst/>
              <a:latin typeface="+mn-lt"/>
              <a:ea typeface="+mn-ea"/>
              <a:cs typeface="+mn-cs"/>
            </a:rPr>
            <a:t>7.</a:t>
          </a:r>
          <a:r>
            <a:rPr lang="en-US" b="1"/>
            <a:t> </a:t>
          </a:r>
          <a:r>
            <a:rPr lang="en-US" sz="1100" b="1" i="0" u="none" strike="noStrike">
              <a:solidFill>
                <a:schemeClr val="dk1"/>
              </a:solidFill>
              <a:effectLst/>
              <a:latin typeface="+mn-lt"/>
              <a:ea typeface="+mn-ea"/>
              <a:cs typeface="+mn-cs"/>
            </a:rPr>
            <a:t>Are the odds in your favor?</a:t>
          </a:r>
          <a:r>
            <a:rPr lang="en-US" b="1"/>
            <a:t> </a:t>
          </a:r>
        </a:p>
        <a:p>
          <a:r>
            <a:rPr lang="en-US" sz="1100" b="1" i="0" u="none" strike="noStrike">
              <a:solidFill>
                <a:schemeClr val="dk1"/>
              </a:solidFill>
              <a:effectLst/>
              <a:latin typeface="+mn-lt"/>
              <a:ea typeface="+mn-ea"/>
              <a:cs typeface="+mn-cs"/>
            </a:rPr>
            <a:t>8.</a:t>
          </a:r>
          <a:r>
            <a:rPr lang="en-US" b="1"/>
            <a:t> </a:t>
          </a:r>
          <a:r>
            <a:rPr lang="en-US" sz="1100" b="1" i="0" u="none" strike="noStrike">
              <a:solidFill>
                <a:schemeClr val="dk1"/>
              </a:solidFill>
              <a:effectLst/>
              <a:latin typeface="+mn-lt"/>
              <a:ea typeface="+mn-ea"/>
              <a:cs typeface="+mn-cs"/>
            </a:rPr>
            <a:t>Regulatory climate?</a:t>
          </a:r>
          <a:r>
            <a:rPr lang="en-US" b="1"/>
            <a:t> </a:t>
          </a:r>
        </a:p>
        <a:p>
          <a:r>
            <a:rPr lang="en-US" sz="1100" b="1" i="0" u="none" strike="noStrike">
              <a:solidFill>
                <a:schemeClr val="dk1"/>
              </a:solidFill>
              <a:effectLst/>
              <a:latin typeface="+mn-lt"/>
              <a:ea typeface="+mn-ea"/>
              <a:cs typeface="+mn-cs"/>
            </a:rPr>
            <a:t>9.</a:t>
          </a:r>
          <a:r>
            <a:rPr lang="en-US" b="1"/>
            <a:t> </a:t>
          </a:r>
          <a:r>
            <a:rPr lang="en-US" sz="1100" b="1" i="0" u="none" strike="noStrike">
              <a:solidFill>
                <a:schemeClr val="dk1"/>
              </a:solidFill>
              <a:effectLst/>
              <a:latin typeface="+mn-lt"/>
              <a:ea typeface="+mn-ea"/>
              <a:cs typeface="+mn-cs"/>
            </a:rPr>
            <a:t>State of labor?</a:t>
          </a:r>
          <a:r>
            <a:rPr lang="en-US" b="1"/>
            <a:t> </a:t>
          </a:r>
        </a:p>
        <a:p>
          <a:r>
            <a:rPr lang="en-US" sz="1100" b="1" i="0" u="none" strike="noStrike">
              <a:solidFill>
                <a:schemeClr val="dk1"/>
              </a:solidFill>
              <a:effectLst/>
              <a:latin typeface="+mn-lt"/>
              <a:ea typeface="+mn-ea"/>
              <a:cs typeface="+mn-cs"/>
            </a:rPr>
            <a:t>10.</a:t>
          </a:r>
          <a:r>
            <a:rPr lang="en-US" b="1"/>
            <a:t> </a:t>
          </a:r>
          <a:r>
            <a:rPr lang="en-US" sz="1100" b="1" i="0" u="none" strike="noStrike">
              <a:solidFill>
                <a:schemeClr val="dk1"/>
              </a:solidFill>
              <a:effectLst/>
              <a:latin typeface="+mn-lt"/>
              <a:ea typeface="+mn-ea"/>
              <a:cs typeface="+mn-cs"/>
            </a:rPr>
            <a:t>Customer relations</a:t>
          </a:r>
          <a:r>
            <a:rPr lang="en-US" b="1"/>
            <a:t> </a:t>
          </a:r>
        </a:p>
        <a:p>
          <a:r>
            <a:rPr lang="en-US" sz="1100" b="1" i="0" u="none" strike="noStrike">
              <a:solidFill>
                <a:schemeClr val="dk1"/>
              </a:solidFill>
              <a:effectLst/>
              <a:latin typeface="+mn-lt"/>
              <a:ea typeface="+mn-ea"/>
              <a:cs typeface="+mn-cs"/>
            </a:rPr>
            <a:t>11.</a:t>
          </a:r>
          <a:r>
            <a:rPr lang="en-US" b="1"/>
            <a:t> </a:t>
          </a:r>
          <a:r>
            <a:rPr lang="en-US" sz="1100" b="1" i="0" u="none" strike="noStrike">
              <a:solidFill>
                <a:schemeClr val="dk1"/>
              </a:solidFill>
              <a:effectLst/>
              <a:latin typeface="+mn-lt"/>
              <a:ea typeface="+mn-ea"/>
              <a:cs typeface="+mn-cs"/>
            </a:rPr>
            <a:t>Potential impact of changes in technology</a:t>
          </a:r>
          <a:r>
            <a:rPr lang="en-US" b="1"/>
            <a:t> </a:t>
          </a:r>
        </a:p>
        <a:p>
          <a:r>
            <a:rPr lang="en-US" sz="1100" b="1" i="0" u="none" strike="noStrike">
              <a:solidFill>
                <a:schemeClr val="dk1"/>
              </a:solidFill>
              <a:effectLst/>
              <a:latin typeface="+mn-lt"/>
              <a:ea typeface="+mn-ea"/>
              <a:cs typeface="+mn-cs"/>
            </a:rPr>
            <a:t>12.</a:t>
          </a:r>
          <a:r>
            <a:rPr lang="en-US" b="1"/>
            <a:t> </a:t>
          </a:r>
          <a:r>
            <a:rPr lang="en-US" sz="1100" b="1" i="0" u="none" strike="noStrike">
              <a:solidFill>
                <a:schemeClr val="dk1"/>
              </a:solidFill>
              <a:effectLst/>
              <a:latin typeface="+mn-lt"/>
              <a:ea typeface="+mn-ea"/>
              <a:cs typeface="+mn-cs"/>
            </a:rPr>
            <a:t>Vulnerabilities</a:t>
          </a:r>
          <a:r>
            <a:rPr lang="en-US" b="1"/>
            <a:t> </a:t>
          </a:r>
        </a:p>
        <a:p>
          <a:r>
            <a:rPr lang="en-US" sz="1100" b="1" i="0" u="none" strike="noStrike">
              <a:solidFill>
                <a:schemeClr val="dk1"/>
              </a:solidFill>
              <a:effectLst/>
              <a:latin typeface="+mn-lt"/>
              <a:ea typeface="+mn-ea"/>
              <a:cs typeface="+mn-cs"/>
            </a:rPr>
            <a:t>13.</a:t>
          </a:r>
          <a:r>
            <a:rPr lang="en-US" b="1"/>
            <a:t> </a:t>
          </a:r>
          <a:r>
            <a:rPr lang="en-US" sz="1100" b="1" i="0" u="none" strike="noStrike">
              <a:solidFill>
                <a:schemeClr val="dk1"/>
              </a:solidFill>
              <a:effectLst/>
              <a:latin typeface="+mn-lt"/>
              <a:ea typeface="+mn-ea"/>
              <a:cs typeface="+mn-cs"/>
            </a:rPr>
            <a:t>Pricing power</a:t>
          </a:r>
          <a:r>
            <a:rPr lang="en-US" b="1"/>
            <a:t> </a:t>
          </a:r>
        </a:p>
        <a:p>
          <a:r>
            <a:rPr lang="en-US" sz="1100" b="1" i="0" u="none" strike="noStrike">
              <a:solidFill>
                <a:schemeClr val="dk1"/>
              </a:solidFill>
              <a:effectLst/>
              <a:latin typeface="+mn-lt"/>
              <a:ea typeface="+mn-ea"/>
              <a:cs typeface="+mn-cs"/>
            </a:rPr>
            <a:t>14.</a:t>
          </a:r>
          <a:r>
            <a:rPr lang="en-US" b="1"/>
            <a:t> </a:t>
          </a:r>
          <a:r>
            <a:rPr lang="en-US" sz="1100" b="1" i="0" u="none" strike="noStrike">
              <a:solidFill>
                <a:schemeClr val="dk1"/>
              </a:solidFill>
              <a:effectLst/>
              <a:latin typeface="+mn-lt"/>
              <a:ea typeface="+mn-ea"/>
              <a:cs typeface="+mn-cs"/>
            </a:rPr>
            <a:t>Scalability</a:t>
          </a:r>
          <a:r>
            <a:rPr lang="en-US" b="1"/>
            <a:t> </a:t>
          </a:r>
        </a:p>
        <a:p>
          <a:r>
            <a:rPr lang="en-US" sz="1100" b="1" i="0" u="none" strike="noStrike">
              <a:solidFill>
                <a:schemeClr val="dk1"/>
              </a:solidFill>
              <a:effectLst/>
              <a:latin typeface="+mn-lt"/>
              <a:ea typeface="+mn-ea"/>
              <a:cs typeface="+mn-cs"/>
            </a:rPr>
            <a:t>16.</a:t>
          </a:r>
          <a:r>
            <a:rPr lang="en-US" b="1"/>
            <a:t> </a:t>
          </a:r>
          <a:r>
            <a:rPr lang="en-US" sz="1100" b="1" i="0" u="none" strike="noStrike">
              <a:solidFill>
                <a:schemeClr val="dk1"/>
              </a:solidFill>
              <a:effectLst/>
              <a:latin typeface="+mn-lt"/>
              <a:ea typeface="+mn-ea"/>
              <a:cs typeface="+mn-cs"/>
            </a:rPr>
            <a:t>Do you need a good lord?</a:t>
          </a:r>
          <a:r>
            <a:rPr lang="en-US" b="1"/>
            <a:t> </a:t>
          </a:r>
        </a:p>
        <a:p>
          <a:r>
            <a:rPr lang="en-US" sz="1100" b="1" i="0" u="none" strike="noStrike">
              <a:solidFill>
                <a:schemeClr val="dk1"/>
              </a:solidFill>
              <a:effectLst/>
              <a:latin typeface="+mn-lt"/>
              <a:ea typeface="+mn-ea"/>
              <a:cs typeface="+mn-cs"/>
            </a:rPr>
            <a:t>17.</a:t>
          </a:r>
          <a:r>
            <a:rPr lang="en-US" b="1"/>
            <a:t> </a:t>
          </a:r>
          <a:r>
            <a:rPr lang="en-US" sz="1100" b="1" i="0" u="none" strike="noStrike">
              <a:solidFill>
                <a:schemeClr val="dk1"/>
              </a:solidFill>
              <a:effectLst/>
              <a:latin typeface="+mn-lt"/>
              <a:ea typeface="+mn-ea"/>
              <a:cs typeface="+mn-cs"/>
            </a:rPr>
            <a:t>Where does the capital go?</a:t>
          </a:r>
          <a:r>
            <a:rPr lang="en-US" b="1"/>
            <a:t> </a:t>
          </a:r>
        </a:p>
        <a:p>
          <a:r>
            <a:rPr lang="en-US" sz="1100" b="1" i="0" u="none" strike="noStrike">
              <a:solidFill>
                <a:schemeClr val="dk1"/>
              </a:solidFill>
              <a:effectLst/>
              <a:latin typeface="+mn-lt"/>
              <a:ea typeface="+mn-ea"/>
              <a:cs typeface="+mn-cs"/>
            </a:rPr>
            <a:t>18.</a:t>
          </a:r>
          <a:r>
            <a:rPr lang="en-US" b="1"/>
            <a:t> </a:t>
          </a:r>
          <a:r>
            <a:rPr lang="en-US" sz="1100" b="1" i="0" u="none" strike="noStrike">
              <a:solidFill>
                <a:schemeClr val="dk1"/>
              </a:solidFill>
              <a:effectLst/>
              <a:latin typeface="+mn-lt"/>
              <a:ea typeface="+mn-ea"/>
              <a:cs typeface="+mn-cs"/>
            </a:rPr>
            <a:t>Consider potential second order and higher level impacts</a:t>
          </a:r>
          <a:r>
            <a:rPr lang="en-US" b="1"/>
            <a:t> </a:t>
          </a:r>
        </a:p>
        <a:p>
          <a:r>
            <a:rPr lang="en-US" sz="1100" b="1" i="0" u="none" strike="noStrike">
              <a:solidFill>
                <a:schemeClr val="dk1"/>
              </a:solidFill>
              <a:effectLst/>
              <a:latin typeface="+mn-lt"/>
              <a:ea typeface="+mn-ea"/>
              <a:cs typeface="+mn-cs"/>
            </a:rPr>
            <a:t>19.</a:t>
          </a:r>
          <a:r>
            <a:rPr lang="en-US" b="1"/>
            <a:t> </a:t>
          </a:r>
          <a:r>
            <a:rPr lang="en-US" sz="1100" b="1" i="0" u="none" strike="noStrike">
              <a:solidFill>
                <a:schemeClr val="dk1"/>
              </a:solidFill>
              <a:effectLst/>
              <a:latin typeface="+mn-lt"/>
              <a:ea typeface="+mn-ea"/>
              <a:cs typeface="+mn-cs"/>
            </a:rPr>
            <a:t>Is the dividend safe?</a:t>
          </a:r>
          <a:r>
            <a:rPr lang="en-US" b="1"/>
            <a:t> </a:t>
          </a:r>
          <a:r>
            <a:rPr lang="en-US" sz="1100" b="1" i="0" u="none" strike="noStrike">
              <a:solidFill>
                <a:schemeClr val="dk1"/>
              </a:solidFill>
              <a:effectLst/>
              <a:latin typeface="+mn-lt"/>
              <a:ea typeface="+mn-ea"/>
              <a:cs typeface="+mn-cs"/>
            </a:rPr>
            <a:t>20</a:t>
          </a:r>
          <a:r>
            <a:rPr lang="en-US" b="1"/>
            <a:t> </a:t>
          </a:r>
          <a:r>
            <a:rPr lang="en-US" sz="1100" b="1" i="0" u="none" strike="noStrike">
              <a:solidFill>
                <a:schemeClr val="dk1"/>
              </a:solidFill>
              <a:effectLst/>
              <a:latin typeface="+mn-lt"/>
              <a:ea typeface="+mn-ea"/>
              <a:cs typeface="+mn-cs"/>
            </a:rPr>
            <a:t>Will this dividend grow?</a:t>
          </a:r>
          <a:r>
            <a:rPr lang="en-US" b="1"/>
            <a:t> </a:t>
          </a:r>
        </a:p>
        <a:p>
          <a:r>
            <a:rPr lang="en-US" sz="1100" b="1" i="0" u="none" strike="noStrike">
              <a:solidFill>
                <a:schemeClr val="dk1"/>
              </a:solidFill>
              <a:effectLst/>
              <a:latin typeface="+mn-lt"/>
              <a:ea typeface="+mn-ea"/>
              <a:cs typeface="+mn-cs"/>
            </a:rPr>
            <a:t>21.</a:t>
          </a:r>
          <a:r>
            <a:rPr lang="en-US" b="1"/>
            <a:t> </a:t>
          </a:r>
          <a:r>
            <a:rPr lang="en-US" sz="1100" b="1" i="0" u="none" strike="noStrike">
              <a:solidFill>
                <a:schemeClr val="dk1"/>
              </a:solidFill>
              <a:effectLst/>
              <a:latin typeface="+mn-lt"/>
              <a:ea typeface="+mn-ea"/>
              <a:cs typeface="+mn-cs"/>
            </a:rPr>
            <a:t>What does this dividend stream stand to return to me as a shareholder?</a:t>
          </a:r>
        </a:p>
        <a:p>
          <a:r>
            <a:rPr lang="en-US" sz="1100" b="1" i="0" u="none" strike="noStrike">
              <a:solidFill>
                <a:schemeClr val="dk1"/>
              </a:solidFill>
              <a:effectLst/>
              <a:latin typeface="+mn-lt"/>
              <a:ea typeface="+mn-ea"/>
              <a:cs typeface="+mn-cs"/>
            </a:rPr>
            <a:t>22.</a:t>
          </a:r>
          <a:r>
            <a:rPr lang="en-US" b="1"/>
            <a:t> </a:t>
          </a:r>
          <a:r>
            <a:rPr lang="en-US" sz="1100" b="1" i="0" u="none" strike="noStrike">
              <a:solidFill>
                <a:schemeClr val="dk1"/>
              </a:solidFill>
              <a:effectLst/>
              <a:latin typeface="+mn-lt"/>
              <a:ea typeface="+mn-ea"/>
              <a:cs typeface="+mn-cs"/>
            </a:rPr>
            <a:t>Have margins been consistent and high relative to its industry?</a:t>
          </a:r>
          <a:r>
            <a:rPr lang="en-US" b="1"/>
            <a:t> </a:t>
          </a:r>
        </a:p>
        <a:p>
          <a:r>
            <a:rPr lang="en-US" sz="1100" b="1" i="0" u="none" strike="noStrike">
              <a:solidFill>
                <a:schemeClr val="dk1"/>
              </a:solidFill>
              <a:effectLst/>
              <a:latin typeface="+mn-lt"/>
              <a:ea typeface="+mn-ea"/>
              <a:cs typeface="+mn-cs"/>
            </a:rPr>
            <a:t>23.</a:t>
          </a:r>
          <a:r>
            <a:rPr lang="en-US" b="1"/>
            <a:t> </a:t>
          </a:r>
          <a:r>
            <a:rPr lang="en-US" sz="1100" b="1" i="0" u="none" strike="noStrike">
              <a:solidFill>
                <a:schemeClr val="dk1"/>
              </a:solidFill>
              <a:effectLst/>
              <a:latin typeface="+mn-lt"/>
              <a:ea typeface="+mn-ea"/>
              <a:cs typeface="+mn-cs"/>
            </a:rPr>
            <a:t>Return on equity relative to industry?</a:t>
          </a:r>
          <a:r>
            <a:rPr lang="en-US" b="1"/>
            <a:t> </a:t>
          </a:r>
        </a:p>
        <a:p>
          <a:r>
            <a:rPr lang="en-US" sz="1100" b="1" i="0" u="none" strike="noStrike">
              <a:solidFill>
                <a:schemeClr val="dk1"/>
              </a:solidFill>
              <a:effectLst/>
              <a:latin typeface="+mn-lt"/>
              <a:ea typeface="+mn-ea"/>
              <a:cs typeface="+mn-cs"/>
            </a:rPr>
            <a:t>24.</a:t>
          </a:r>
          <a:r>
            <a:rPr lang="en-US" b="1"/>
            <a:t> </a:t>
          </a:r>
          <a:r>
            <a:rPr lang="en-US" sz="1100" b="1" i="0" u="none" strike="noStrike">
              <a:solidFill>
                <a:schemeClr val="dk1"/>
              </a:solidFill>
              <a:effectLst/>
              <a:latin typeface="+mn-lt"/>
              <a:ea typeface="+mn-ea"/>
              <a:cs typeface="+mn-cs"/>
            </a:rPr>
            <a:t>Is there a lot of entry and exits within the industry? If not its strong - if so very competitive market</a:t>
          </a:r>
          <a:r>
            <a:rPr lang="en-US" b="1"/>
            <a:t> </a:t>
          </a:r>
        </a:p>
        <a:p>
          <a:r>
            <a:rPr lang="en-US" sz="1100" b="1" i="0" u="none" strike="noStrike">
              <a:solidFill>
                <a:schemeClr val="dk1"/>
              </a:solidFill>
              <a:effectLst/>
              <a:latin typeface="+mn-lt"/>
              <a:ea typeface="+mn-ea"/>
              <a:cs typeface="+mn-cs"/>
            </a:rPr>
            <a:t>25.</a:t>
          </a:r>
          <a:r>
            <a:rPr lang="en-US" b="1"/>
            <a:t> </a:t>
          </a:r>
          <a:r>
            <a:rPr lang="en-US" sz="1100" b="1" i="0" u="none" strike="noStrike">
              <a:solidFill>
                <a:schemeClr val="dk1"/>
              </a:solidFill>
              <a:effectLst/>
              <a:latin typeface="+mn-lt"/>
              <a:ea typeface="+mn-ea"/>
              <a:cs typeface="+mn-cs"/>
            </a:rPr>
            <a:t>How dominate?</a:t>
          </a:r>
          <a:r>
            <a:rPr lang="en-US" b="1"/>
            <a:t> </a:t>
          </a:r>
        </a:p>
        <a:p>
          <a:r>
            <a:rPr lang="en-US" sz="1100" b="1" i="0" u="none" strike="noStrike">
              <a:solidFill>
                <a:schemeClr val="dk1"/>
              </a:solidFill>
              <a:effectLst/>
              <a:latin typeface="+mn-lt"/>
              <a:ea typeface="+mn-ea"/>
              <a:cs typeface="+mn-cs"/>
            </a:rPr>
            <a:t>26.</a:t>
          </a:r>
          <a:r>
            <a:rPr lang="en-US" b="1"/>
            <a:t> </a:t>
          </a:r>
          <a:r>
            <a:rPr lang="en-US" sz="1100" b="1" i="0" u="none" strike="noStrike">
              <a:solidFill>
                <a:schemeClr val="dk1"/>
              </a:solidFill>
              <a:effectLst/>
              <a:latin typeface="+mn-lt"/>
              <a:ea typeface="+mn-ea"/>
              <a:cs typeface="+mn-cs"/>
            </a:rPr>
            <a:t>Market Share?</a:t>
          </a:r>
          <a:r>
            <a:rPr lang="en-US" b="1"/>
            <a:t> </a:t>
          </a:r>
        </a:p>
        <a:p>
          <a:r>
            <a:rPr lang="en-US" sz="1100" b="1" i="0" u="none" strike="noStrike">
              <a:solidFill>
                <a:schemeClr val="dk1"/>
              </a:solidFill>
              <a:effectLst/>
              <a:latin typeface="+mn-lt"/>
              <a:ea typeface="+mn-ea"/>
              <a:cs typeface="+mn-cs"/>
            </a:rPr>
            <a:t>27.</a:t>
          </a:r>
          <a:r>
            <a:rPr lang="en-US" b="1"/>
            <a:t> </a:t>
          </a:r>
          <a:r>
            <a:rPr lang="en-US" sz="1100" b="1" i="0" u="none" strike="noStrike">
              <a:solidFill>
                <a:schemeClr val="dk1"/>
              </a:solidFill>
              <a:effectLst/>
              <a:latin typeface="+mn-lt"/>
              <a:ea typeface="+mn-ea"/>
              <a:cs typeface="+mn-cs"/>
            </a:rPr>
            <a:t>High switch costs / habits / search cost of replacement</a:t>
          </a:r>
          <a:r>
            <a:rPr lang="en-US" b="1"/>
            <a:t> </a:t>
          </a:r>
        </a:p>
        <a:p>
          <a:endParaRPr lang="en-US" sz="1100" b="0" i="0" u="sng" strike="noStrike">
            <a:solidFill>
              <a:schemeClr val="dk1"/>
            </a:solidFill>
            <a:effectLst/>
            <a:latin typeface="+mn-lt"/>
            <a:ea typeface="+mn-ea"/>
            <a:cs typeface="+mn-cs"/>
          </a:endParaRPr>
        </a:p>
        <a:p>
          <a:r>
            <a:rPr lang="en-US" sz="1100" b="0" i="0" u="sng" strike="noStrike">
              <a:solidFill>
                <a:schemeClr val="dk1"/>
              </a:solidFill>
              <a:effectLst/>
              <a:latin typeface="+mn-lt"/>
              <a:ea typeface="+mn-ea"/>
              <a:cs typeface="+mn-cs"/>
            </a:rPr>
            <a:t>Macro-View</a:t>
          </a:r>
          <a:r>
            <a:rPr lang="en-US"/>
            <a:t> </a:t>
          </a:r>
          <a:r>
            <a:rPr lang="en-US" sz="1100" b="0" i="0" u="none" strike="noStrike">
              <a:solidFill>
                <a:schemeClr val="dk1"/>
              </a:solidFill>
              <a:effectLst/>
              <a:latin typeface="+mn-lt"/>
              <a:ea typeface="+mn-ea"/>
              <a:cs typeface="+mn-cs"/>
            </a:rPr>
            <a:t>after-tax corporate profits as a percentage of national income (GDP similar) - historically it's 4.9%</a:t>
          </a:r>
        </a:p>
        <a:p>
          <a:endParaRPr lang="en-US" sz="1100" b="0" i="0" u="none" strike="noStrike">
            <a:solidFill>
              <a:schemeClr val="dk1"/>
            </a:solidFill>
            <a:effectLst/>
            <a:latin typeface="+mn-lt"/>
            <a:ea typeface="+mn-ea"/>
            <a:cs typeface="+mn-cs"/>
          </a:endParaRPr>
        </a:p>
        <a:p>
          <a:r>
            <a:rPr lang="en-US"/>
            <a:t> </a:t>
          </a:r>
          <a:r>
            <a:rPr lang="en-US" sz="1100" b="0" i="0" u="none" strike="noStrike">
              <a:solidFill>
                <a:schemeClr val="dk1"/>
              </a:solidFill>
              <a:effectLst/>
              <a:latin typeface="+mn-lt"/>
              <a:ea typeface="+mn-ea"/>
              <a:cs typeface="+mn-cs"/>
            </a:rPr>
            <a:t>“Patience … followed by pretty aggressive conduct. It is given to human beings who work hard at it—who look and sift the world for a mispriced bet — that they can occasionally find one. And the wise ones bet heavily when the world offers them that opportunity. They bet big when they have the odds. And the rest of the time, they don’t. It’s just that simple.” – Charlie Munger</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“Over the past 50 years we lived through the best time of human history. It is likely to get worse. I recommend you to prepare for worse because pleasant surprises are easy to handle.”– Charlie Munger  </a:t>
          </a:r>
          <a:r>
            <a:rPr lang="en-US"/>
            <a:t> </a:t>
          </a:r>
        </a:p>
        <a:p>
          <a:endParaRPr lang="en-US" sz="1100"/>
        </a:p>
      </xdr:txBody>
    </xdr:sp>
    <xdr:clientData/>
  </xdr:twoCellAnchor>
  <xdr:twoCellAnchor>
    <xdr:from>
      <xdr:col>10</xdr:col>
      <xdr:colOff>352425</xdr:colOff>
      <xdr:row>57</xdr:row>
      <xdr:rowOff>47625</xdr:rowOff>
    </xdr:from>
    <xdr:to>
      <xdr:col>15</xdr:col>
      <xdr:colOff>542925</xdr:colOff>
      <xdr:row>68</xdr:row>
      <xdr:rowOff>114300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7743825" y="9248775"/>
          <a:ext cx="4924425"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a:t>Date: </a:t>
          </a:r>
        </a:p>
        <a:p>
          <a:r>
            <a:rPr lang="en-US" sz="1100"/>
            <a:t>Notes: </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23</xdr:col>
      <xdr:colOff>285750</xdr:colOff>
      <xdr:row>65</xdr:row>
      <xdr:rowOff>19050</xdr:rowOff>
    </xdr:from>
    <xdr:to>
      <xdr:col>30</xdr:col>
      <xdr:colOff>161334</xdr:colOff>
      <xdr:row>95</xdr:row>
      <xdr:rowOff>2551</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a:stretch>
          <a:fillRect/>
        </a:stretch>
      </xdr:blipFill>
      <xdr:spPr>
        <a:xfrm>
          <a:off x="16430625" y="10439400"/>
          <a:ext cx="4723809" cy="49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85724</xdr:colOff>
      <xdr:row>70</xdr:row>
      <xdr:rowOff>152399</xdr:rowOff>
    </xdr:from>
    <xdr:to>
      <xdr:col>13</xdr:col>
      <xdr:colOff>876300</xdr:colOff>
      <xdr:row>125</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85724" y="11496674"/>
          <a:ext cx="11315701" cy="8791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sng" strike="noStrike">
              <a:solidFill>
                <a:schemeClr val="dk1"/>
              </a:solidFill>
              <a:effectLst/>
              <a:latin typeface="+mn-lt"/>
              <a:ea typeface="+mn-ea"/>
              <a:cs typeface="+mn-cs"/>
            </a:rPr>
            <a:t>Investment Question</a:t>
          </a:r>
          <a:r>
            <a:rPr lang="en-US" sz="1400" b="1" u="sng"/>
            <a:t> - Thesis</a:t>
          </a:r>
        </a:p>
        <a:p>
          <a:r>
            <a:rPr lang="en-US" sz="1100" b="1" i="0" u="none" strike="noStrike">
              <a:solidFill>
                <a:schemeClr val="dk1"/>
              </a:solidFill>
              <a:effectLst/>
              <a:latin typeface="+mn-lt"/>
              <a:ea typeface="+mn-ea"/>
              <a:cs typeface="+mn-cs"/>
            </a:rPr>
            <a:t>1. How Long</a:t>
          </a:r>
          <a:r>
            <a:rPr lang="en-US" b="1"/>
            <a:t> </a:t>
          </a:r>
        </a:p>
        <a:p>
          <a:r>
            <a:rPr lang="en-US" sz="1100" b="1" i="0" u="none" strike="noStrike">
              <a:solidFill>
                <a:schemeClr val="dk1"/>
              </a:solidFill>
              <a:effectLst/>
              <a:latin typeface="+mn-lt"/>
              <a:ea typeface="+mn-ea"/>
              <a:cs typeface="+mn-cs"/>
            </a:rPr>
            <a:t>2. How Many</a:t>
          </a:r>
          <a:r>
            <a:rPr lang="en-US" b="1"/>
            <a:t> </a:t>
          </a:r>
        </a:p>
        <a:p>
          <a:r>
            <a:rPr lang="en-US" sz="1100" b="1" i="0" u="none" strike="noStrike">
              <a:solidFill>
                <a:schemeClr val="dk1"/>
              </a:solidFill>
              <a:effectLst/>
              <a:latin typeface="+mn-lt"/>
              <a:ea typeface="+mn-ea"/>
              <a:cs typeface="+mn-cs"/>
            </a:rPr>
            <a:t>3. How Sure Are You?</a:t>
          </a:r>
          <a:r>
            <a:rPr lang="en-US" b="1"/>
            <a:t> </a:t>
          </a:r>
        </a:p>
        <a:p>
          <a:r>
            <a:rPr lang="en-US" b="0"/>
            <a:t>Looking at Biogen slideshow</a:t>
          </a:r>
          <a:r>
            <a:rPr lang="en-US" b="0" baseline="0"/>
            <a:t> data, everything seems conclusive that they will get approved from FDA. Also They already met with the FDA and said their good to apply. Very slim that they would be denied.  50m opportunity - 15m with people who already have some form of it. the </a:t>
          </a:r>
          <a:endParaRPr lang="en-US" b="0"/>
        </a:p>
        <a:p>
          <a:endParaRPr lang="en-US"/>
        </a:p>
        <a:p>
          <a:r>
            <a:rPr lang="en-US" sz="1400" b="1" i="0" u="sng" strike="noStrike">
              <a:solidFill>
                <a:schemeClr val="dk1"/>
              </a:solidFill>
              <a:effectLst/>
              <a:latin typeface="+mn-lt"/>
              <a:ea typeface="+mn-ea"/>
              <a:cs typeface="+mn-cs"/>
            </a:rPr>
            <a:t>Market View</a:t>
          </a:r>
          <a:r>
            <a:rPr lang="en-US" sz="1400" b="1" u="sng"/>
            <a:t> </a:t>
          </a:r>
        </a:p>
        <a:p>
          <a:r>
            <a:rPr lang="en-US" sz="1100" b="1" i="0" u="none" strike="noStrike">
              <a:solidFill>
                <a:schemeClr val="dk1"/>
              </a:solidFill>
              <a:effectLst/>
              <a:latin typeface="+mn-lt"/>
              <a:ea typeface="+mn-ea"/>
              <a:cs typeface="+mn-cs"/>
            </a:rPr>
            <a:t>What is the concensus currently and why?</a:t>
          </a:r>
          <a:r>
            <a:rPr lang="en-US" b="1"/>
            <a:t> </a:t>
          </a:r>
        </a:p>
        <a:p>
          <a:r>
            <a:rPr lang="en-US" sz="1100" b="1" i="0" u="none" strike="noStrike">
              <a:solidFill>
                <a:schemeClr val="dk1"/>
              </a:solidFill>
              <a:effectLst/>
              <a:latin typeface="+mn-lt"/>
              <a:ea typeface="+mn-ea"/>
              <a:cs typeface="+mn-cs"/>
            </a:rPr>
            <a:t>Current Price</a:t>
          </a:r>
          <a:r>
            <a:rPr lang="en-US" b="1"/>
            <a:t> </a:t>
          </a:r>
        </a:p>
        <a:p>
          <a:r>
            <a:rPr lang="en-US" sz="1100" b="1" i="0" u="none" strike="noStrike">
              <a:solidFill>
                <a:schemeClr val="dk1"/>
              </a:solidFill>
              <a:effectLst/>
              <a:latin typeface="+mn-lt"/>
              <a:ea typeface="+mn-ea"/>
              <a:cs typeface="+mn-cs"/>
            </a:rPr>
            <a:t>What is the most important drivers of customers to the industry and does this company competitively meet these drivers?</a:t>
          </a:r>
          <a:r>
            <a:rPr lang="en-US" b="1"/>
            <a:t> </a:t>
          </a:r>
        </a:p>
        <a:p>
          <a:endParaRPr lang="en-US"/>
        </a:p>
        <a:p>
          <a:r>
            <a:rPr lang="en-US" sz="1400" b="1" i="0" u="sng" strike="noStrike">
              <a:solidFill>
                <a:schemeClr val="dk1"/>
              </a:solidFill>
              <a:effectLst/>
              <a:latin typeface="+mn-lt"/>
              <a:ea typeface="+mn-ea"/>
              <a:cs typeface="+mn-cs"/>
            </a:rPr>
            <a:t>Management/Barriers/Competition</a:t>
          </a:r>
        </a:p>
        <a:p>
          <a:r>
            <a:rPr lang="en-US" sz="1100" b="1" i="0" u="none" strike="noStrike">
              <a:solidFill>
                <a:schemeClr val="dk1"/>
              </a:solidFill>
              <a:effectLst/>
              <a:latin typeface="+mn-lt"/>
              <a:ea typeface="+mn-ea"/>
              <a:cs typeface="+mn-cs"/>
            </a:rPr>
            <a:t>1.</a:t>
          </a:r>
          <a:r>
            <a:rPr lang="en-US" b="1"/>
            <a:t> </a:t>
          </a:r>
          <a:r>
            <a:rPr lang="en-US" sz="1100" b="1" i="0" u="none" strike="noStrike">
              <a:solidFill>
                <a:schemeClr val="dk1"/>
              </a:solidFill>
              <a:effectLst/>
              <a:latin typeface="+mn-lt"/>
              <a:ea typeface="+mn-ea"/>
              <a:cs typeface="+mn-cs"/>
            </a:rPr>
            <a:t>Competition?</a:t>
          </a:r>
          <a:r>
            <a:rPr lang="en-US" b="1"/>
            <a:t> </a:t>
          </a:r>
        </a:p>
        <a:p>
          <a:r>
            <a:rPr lang="en-US" sz="1100" b="1" i="0" u="none" strike="noStrike">
              <a:solidFill>
                <a:schemeClr val="dk1"/>
              </a:solidFill>
              <a:effectLst/>
              <a:latin typeface="+mn-lt"/>
              <a:ea typeface="+mn-ea"/>
              <a:cs typeface="+mn-cs"/>
            </a:rPr>
            <a:t>2.</a:t>
          </a:r>
          <a:r>
            <a:rPr lang="en-US" b="1"/>
            <a:t> </a:t>
          </a:r>
          <a:r>
            <a:rPr lang="en-US" sz="1100" b="1" i="0" u="none" strike="noStrike">
              <a:solidFill>
                <a:schemeClr val="dk1"/>
              </a:solidFill>
              <a:effectLst/>
              <a:latin typeface="+mn-lt"/>
              <a:ea typeface="+mn-ea"/>
              <a:cs typeface="+mn-cs"/>
            </a:rPr>
            <a:t>Suppliers?</a:t>
          </a:r>
          <a:r>
            <a:rPr lang="en-US" b="1"/>
            <a:t> </a:t>
          </a:r>
        </a:p>
        <a:p>
          <a:r>
            <a:rPr lang="en-US" sz="1100" b="1" i="0" u="none" strike="noStrike">
              <a:solidFill>
                <a:schemeClr val="dk1"/>
              </a:solidFill>
              <a:effectLst/>
              <a:latin typeface="+mn-lt"/>
              <a:ea typeface="+mn-ea"/>
              <a:cs typeface="+mn-cs"/>
            </a:rPr>
            <a:t>3.</a:t>
          </a:r>
          <a:r>
            <a:rPr lang="en-US" b="1"/>
            <a:t> </a:t>
          </a:r>
          <a:r>
            <a:rPr lang="en-US" sz="1100" b="1" i="0" u="none" strike="noStrike">
              <a:solidFill>
                <a:schemeClr val="dk1"/>
              </a:solidFill>
              <a:effectLst/>
              <a:latin typeface="+mn-lt"/>
              <a:ea typeface="+mn-ea"/>
              <a:cs typeface="+mn-cs"/>
            </a:rPr>
            <a:t>Durable competitive advantage?</a:t>
          </a:r>
          <a:r>
            <a:rPr lang="en-US" b="1"/>
            <a:t> </a:t>
          </a:r>
        </a:p>
        <a:p>
          <a:r>
            <a:rPr lang="en-US" sz="1100" b="1" i="0" u="none" strike="noStrike">
              <a:solidFill>
                <a:schemeClr val="dk1"/>
              </a:solidFill>
              <a:effectLst/>
              <a:latin typeface="+mn-lt"/>
              <a:ea typeface="+mn-ea"/>
              <a:cs typeface="+mn-cs"/>
            </a:rPr>
            <a:t>4.</a:t>
          </a:r>
          <a:r>
            <a:rPr lang="en-US" b="1"/>
            <a:t> </a:t>
          </a:r>
          <a:r>
            <a:rPr lang="en-US" sz="1100" b="1" i="0" u="none" strike="noStrike">
              <a:solidFill>
                <a:schemeClr val="dk1"/>
              </a:solidFill>
              <a:effectLst/>
              <a:latin typeface="+mn-lt"/>
              <a:ea typeface="+mn-ea"/>
              <a:cs typeface="+mn-cs"/>
            </a:rPr>
            <a:t>Management good?</a:t>
          </a:r>
          <a:r>
            <a:rPr lang="en-US" b="1"/>
            <a:t> </a:t>
          </a:r>
        </a:p>
        <a:p>
          <a:r>
            <a:rPr lang="en-US" sz="1100" b="1" i="0" u="none" strike="noStrike">
              <a:solidFill>
                <a:schemeClr val="dk1"/>
              </a:solidFill>
              <a:effectLst/>
              <a:latin typeface="+mn-lt"/>
              <a:ea typeface="+mn-ea"/>
              <a:cs typeface="+mn-cs"/>
            </a:rPr>
            <a:t>5.</a:t>
          </a:r>
          <a:r>
            <a:rPr lang="en-US" b="1"/>
            <a:t> </a:t>
          </a:r>
          <a:r>
            <a:rPr lang="en-US" sz="1100" b="1" i="0" u="none" strike="noStrike">
              <a:solidFill>
                <a:schemeClr val="dk1"/>
              </a:solidFill>
              <a:effectLst/>
              <a:latin typeface="+mn-lt"/>
              <a:ea typeface="+mn-ea"/>
              <a:cs typeface="+mn-cs"/>
            </a:rPr>
            <a:t>Price makes sense?</a:t>
          </a:r>
          <a:r>
            <a:rPr lang="en-US" b="1"/>
            <a:t> </a:t>
          </a:r>
        </a:p>
        <a:p>
          <a:r>
            <a:rPr lang="en-US" sz="1100" b="1" i="0" u="none" strike="noStrike">
              <a:solidFill>
                <a:schemeClr val="dk1"/>
              </a:solidFill>
              <a:effectLst/>
              <a:latin typeface="+mn-lt"/>
              <a:ea typeface="+mn-ea"/>
              <a:cs typeface="+mn-cs"/>
            </a:rPr>
            <a:t>6.</a:t>
          </a:r>
          <a:r>
            <a:rPr lang="en-US" b="1"/>
            <a:t> </a:t>
          </a:r>
          <a:r>
            <a:rPr lang="en-US" sz="1100" b="1" i="0" u="none" strike="noStrike">
              <a:solidFill>
                <a:schemeClr val="dk1"/>
              </a:solidFill>
              <a:effectLst/>
              <a:latin typeface="+mn-lt"/>
              <a:ea typeface="+mn-ea"/>
              <a:cs typeface="+mn-cs"/>
            </a:rPr>
            <a:t>Margin of safety?</a:t>
          </a:r>
          <a:r>
            <a:rPr lang="en-US" b="1"/>
            <a:t> </a:t>
          </a:r>
        </a:p>
        <a:p>
          <a:r>
            <a:rPr lang="en-US" sz="1100" b="1" i="0" u="none" strike="noStrike">
              <a:solidFill>
                <a:schemeClr val="dk1"/>
              </a:solidFill>
              <a:effectLst/>
              <a:latin typeface="+mn-lt"/>
              <a:ea typeface="+mn-ea"/>
              <a:cs typeface="+mn-cs"/>
            </a:rPr>
            <a:t>7.</a:t>
          </a:r>
          <a:r>
            <a:rPr lang="en-US" b="1"/>
            <a:t> </a:t>
          </a:r>
          <a:r>
            <a:rPr lang="en-US" sz="1100" b="1" i="0" u="none" strike="noStrike">
              <a:solidFill>
                <a:schemeClr val="dk1"/>
              </a:solidFill>
              <a:effectLst/>
              <a:latin typeface="+mn-lt"/>
              <a:ea typeface="+mn-ea"/>
              <a:cs typeface="+mn-cs"/>
            </a:rPr>
            <a:t>Are the odds in your favor?</a:t>
          </a:r>
          <a:r>
            <a:rPr lang="en-US" b="1"/>
            <a:t> </a:t>
          </a:r>
        </a:p>
        <a:p>
          <a:r>
            <a:rPr lang="en-US" sz="1100" b="1" i="0" u="none" strike="noStrike">
              <a:solidFill>
                <a:schemeClr val="dk1"/>
              </a:solidFill>
              <a:effectLst/>
              <a:latin typeface="+mn-lt"/>
              <a:ea typeface="+mn-ea"/>
              <a:cs typeface="+mn-cs"/>
            </a:rPr>
            <a:t>8.</a:t>
          </a:r>
          <a:r>
            <a:rPr lang="en-US" b="1"/>
            <a:t> </a:t>
          </a:r>
          <a:r>
            <a:rPr lang="en-US" sz="1100" b="1" i="0" u="none" strike="noStrike">
              <a:solidFill>
                <a:schemeClr val="dk1"/>
              </a:solidFill>
              <a:effectLst/>
              <a:latin typeface="+mn-lt"/>
              <a:ea typeface="+mn-ea"/>
              <a:cs typeface="+mn-cs"/>
            </a:rPr>
            <a:t>Regulatory climate?</a:t>
          </a:r>
          <a:r>
            <a:rPr lang="en-US" b="1"/>
            <a:t> </a:t>
          </a:r>
        </a:p>
        <a:p>
          <a:r>
            <a:rPr lang="en-US" sz="1100" b="1" i="0" u="none" strike="noStrike">
              <a:solidFill>
                <a:schemeClr val="dk1"/>
              </a:solidFill>
              <a:effectLst/>
              <a:latin typeface="+mn-lt"/>
              <a:ea typeface="+mn-ea"/>
              <a:cs typeface="+mn-cs"/>
            </a:rPr>
            <a:t>9.</a:t>
          </a:r>
          <a:r>
            <a:rPr lang="en-US" b="1"/>
            <a:t> </a:t>
          </a:r>
          <a:r>
            <a:rPr lang="en-US" sz="1100" b="1" i="0" u="none" strike="noStrike">
              <a:solidFill>
                <a:schemeClr val="dk1"/>
              </a:solidFill>
              <a:effectLst/>
              <a:latin typeface="+mn-lt"/>
              <a:ea typeface="+mn-ea"/>
              <a:cs typeface="+mn-cs"/>
            </a:rPr>
            <a:t>State of labor?</a:t>
          </a:r>
          <a:r>
            <a:rPr lang="en-US" b="1"/>
            <a:t> </a:t>
          </a:r>
        </a:p>
        <a:p>
          <a:r>
            <a:rPr lang="en-US" sz="1100" b="1" i="0" u="none" strike="noStrike">
              <a:solidFill>
                <a:schemeClr val="dk1"/>
              </a:solidFill>
              <a:effectLst/>
              <a:latin typeface="+mn-lt"/>
              <a:ea typeface="+mn-ea"/>
              <a:cs typeface="+mn-cs"/>
            </a:rPr>
            <a:t>10.</a:t>
          </a:r>
          <a:r>
            <a:rPr lang="en-US" b="1"/>
            <a:t> </a:t>
          </a:r>
          <a:r>
            <a:rPr lang="en-US" sz="1100" b="1" i="0" u="none" strike="noStrike">
              <a:solidFill>
                <a:schemeClr val="dk1"/>
              </a:solidFill>
              <a:effectLst/>
              <a:latin typeface="+mn-lt"/>
              <a:ea typeface="+mn-ea"/>
              <a:cs typeface="+mn-cs"/>
            </a:rPr>
            <a:t>Customer relations</a:t>
          </a:r>
          <a:r>
            <a:rPr lang="en-US" b="1"/>
            <a:t> </a:t>
          </a:r>
        </a:p>
        <a:p>
          <a:r>
            <a:rPr lang="en-US" sz="1100" b="1" i="0" u="none" strike="noStrike">
              <a:solidFill>
                <a:schemeClr val="dk1"/>
              </a:solidFill>
              <a:effectLst/>
              <a:latin typeface="+mn-lt"/>
              <a:ea typeface="+mn-ea"/>
              <a:cs typeface="+mn-cs"/>
            </a:rPr>
            <a:t>11.</a:t>
          </a:r>
          <a:r>
            <a:rPr lang="en-US" b="1"/>
            <a:t> </a:t>
          </a:r>
          <a:r>
            <a:rPr lang="en-US" sz="1100" b="1" i="0" u="none" strike="noStrike">
              <a:solidFill>
                <a:schemeClr val="dk1"/>
              </a:solidFill>
              <a:effectLst/>
              <a:latin typeface="+mn-lt"/>
              <a:ea typeface="+mn-ea"/>
              <a:cs typeface="+mn-cs"/>
            </a:rPr>
            <a:t>Potential impact of changes in technology</a:t>
          </a:r>
          <a:r>
            <a:rPr lang="en-US" b="1"/>
            <a:t> </a:t>
          </a:r>
        </a:p>
        <a:p>
          <a:r>
            <a:rPr lang="en-US" sz="1100" b="1" i="0" u="none" strike="noStrike">
              <a:solidFill>
                <a:schemeClr val="dk1"/>
              </a:solidFill>
              <a:effectLst/>
              <a:latin typeface="+mn-lt"/>
              <a:ea typeface="+mn-ea"/>
              <a:cs typeface="+mn-cs"/>
            </a:rPr>
            <a:t>12.</a:t>
          </a:r>
          <a:r>
            <a:rPr lang="en-US" b="1"/>
            <a:t> </a:t>
          </a:r>
          <a:r>
            <a:rPr lang="en-US" sz="1100" b="1" i="0" u="none" strike="noStrike">
              <a:solidFill>
                <a:schemeClr val="dk1"/>
              </a:solidFill>
              <a:effectLst/>
              <a:latin typeface="+mn-lt"/>
              <a:ea typeface="+mn-ea"/>
              <a:cs typeface="+mn-cs"/>
            </a:rPr>
            <a:t>Vulnerabilities</a:t>
          </a:r>
          <a:r>
            <a:rPr lang="en-US" b="1"/>
            <a:t> </a:t>
          </a:r>
        </a:p>
        <a:p>
          <a:r>
            <a:rPr lang="en-US" sz="1100" b="1" i="0" u="none" strike="noStrike">
              <a:solidFill>
                <a:schemeClr val="dk1"/>
              </a:solidFill>
              <a:effectLst/>
              <a:latin typeface="+mn-lt"/>
              <a:ea typeface="+mn-ea"/>
              <a:cs typeface="+mn-cs"/>
            </a:rPr>
            <a:t>13.</a:t>
          </a:r>
          <a:r>
            <a:rPr lang="en-US" b="1"/>
            <a:t> </a:t>
          </a:r>
          <a:r>
            <a:rPr lang="en-US" sz="1100" b="1" i="0" u="none" strike="noStrike">
              <a:solidFill>
                <a:schemeClr val="dk1"/>
              </a:solidFill>
              <a:effectLst/>
              <a:latin typeface="+mn-lt"/>
              <a:ea typeface="+mn-ea"/>
              <a:cs typeface="+mn-cs"/>
            </a:rPr>
            <a:t>Pricing power</a:t>
          </a:r>
          <a:r>
            <a:rPr lang="en-US" b="1"/>
            <a:t> </a:t>
          </a:r>
        </a:p>
        <a:p>
          <a:r>
            <a:rPr lang="en-US" sz="1100" b="1" i="0" u="none" strike="noStrike">
              <a:solidFill>
                <a:schemeClr val="dk1"/>
              </a:solidFill>
              <a:effectLst/>
              <a:latin typeface="+mn-lt"/>
              <a:ea typeface="+mn-ea"/>
              <a:cs typeface="+mn-cs"/>
            </a:rPr>
            <a:t>14.</a:t>
          </a:r>
          <a:r>
            <a:rPr lang="en-US" b="1"/>
            <a:t> </a:t>
          </a:r>
          <a:r>
            <a:rPr lang="en-US" sz="1100" b="1" i="0" u="none" strike="noStrike">
              <a:solidFill>
                <a:schemeClr val="dk1"/>
              </a:solidFill>
              <a:effectLst/>
              <a:latin typeface="+mn-lt"/>
              <a:ea typeface="+mn-ea"/>
              <a:cs typeface="+mn-cs"/>
            </a:rPr>
            <a:t>Scalability</a:t>
          </a:r>
          <a:r>
            <a:rPr lang="en-US" b="1"/>
            <a:t> </a:t>
          </a:r>
        </a:p>
        <a:p>
          <a:r>
            <a:rPr lang="en-US" sz="1100" b="1" i="0" u="none" strike="noStrike">
              <a:solidFill>
                <a:schemeClr val="dk1"/>
              </a:solidFill>
              <a:effectLst/>
              <a:latin typeface="+mn-lt"/>
              <a:ea typeface="+mn-ea"/>
              <a:cs typeface="+mn-cs"/>
            </a:rPr>
            <a:t>16.</a:t>
          </a:r>
          <a:r>
            <a:rPr lang="en-US" b="1"/>
            <a:t> </a:t>
          </a:r>
          <a:r>
            <a:rPr lang="en-US" sz="1100" b="1" i="0" u="none" strike="noStrike">
              <a:solidFill>
                <a:schemeClr val="dk1"/>
              </a:solidFill>
              <a:effectLst/>
              <a:latin typeface="+mn-lt"/>
              <a:ea typeface="+mn-ea"/>
              <a:cs typeface="+mn-cs"/>
            </a:rPr>
            <a:t>Do you need a good lord?</a:t>
          </a:r>
          <a:r>
            <a:rPr lang="en-US" b="1"/>
            <a:t> </a:t>
          </a:r>
        </a:p>
        <a:p>
          <a:r>
            <a:rPr lang="en-US" sz="1100" b="1" i="0" u="none" strike="noStrike">
              <a:solidFill>
                <a:schemeClr val="dk1"/>
              </a:solidFill>
              <a:effectLst/>
              <a:latin typeface="+mn-lt"/>
              <a:ea typeface="+mn-ea"/>
              <a:cs typeface="+mn-cs"/>
            </a:rPr>
            <a:t>17.</a:t>
          </a:r>
          <a:r>
            <a:rPr lang="en-US" b="1"/>
            <a:t> </a:t>
          </a:r>
          <a:r>
            <a:rPr lang="en-US" sz="1100" b="1" i="0" u="none" strike="noStrike">
              <a:solidFill>
                <a:schemeClr val="dk1"/>
              </a:solidFill>
              <a:effectLst/>
              <a:latin typeface="+mn-lt"/>
              <a:ea typeface="+mn-ea"/>
              <a:cs typeface="+mn-cs"/>
            </a:rPr>
            <a:t>Where does the capital go?</a:t>
          </a:r>
          <a:r>
            <a:rPr lang="en-US" b="1"/>
            <a:t> </a:t>
          </a:r>
        </a:p>
        <a:p>
          <a:r>
            <a:rPr lang="en-US" sz="1100" b="1" i="0" u="none" strike="noStrike">
              <a:solidFill>
                <a:schemeClr val="dk1"/>
              </a:solidFill>
              <a:effectLst/>
              <a:latin typeface="+mn-lt"/>
              <a:ea typeface="+mn-ea"/>
              <a:cs typeface="+mn-cs"/>
            </a:rPr>
            <a:t>18.</a:t>
          </a:r>
          <a:r>
            <a:rPr lang="en-US" b="1"/>
            <a:t> </a:t>
          </a:r>
          <a:r>
            <a:rPr lang="en-US" sz="1100" b="1" i="0" u="none" strike="noStrike">
              <a:solidFill>
                <a:schemeClr val="dk1"/>
              </a:solidFill>
              <a:effectLst/>
              <a:latin typeface="+mn-lt"/>
              <a:ea typeface="+mn-ea"/>
              <a:cs typeface="+mn-cs"/>
            </a:rPr>
            <a:t>Consider potential second order and higher level impacts</a:t>
          </a:r>
          <a:r>
            <a:rPr lang="en-US" b="1"/>
            <a:t> </a:t>
          </a:r>
        </a:p>
        <a:p>
          <a:r>
            <a:rPr lang="en-US" sz="1100" b="1" i="0" u="none" strike="noStrike">
              <a:solidFill>
                <a:schemeClr val="dk1"/>
              </a:solidFill>
              <a:effectLst/>
              <a:latin typeface="+mn-lt"/>
              <a:ea typeface="+mn-ea"/>
              <a:cs typeface="+mn-cs"/>
            </a:rPr>
            <a:t>19.</a:t>
          </a:r>
          <a:r>
            <a:rPr lang="en-US" b="1"/>
            <a:t> </a:t>
          </a:r>
          <a:r>
            <a:rPr lang="en-US" sz="1100" b="1" i="0" u="none" strike="noStrike">
              <a:solidFill>
                <a:schemeClr val="dk1"/>
              </a:solidFill>
              <a:effectLst/>
              <a:latin typeface="+mn-lt"/>
              <a:ea typeface="+mn-ea"/>
              <a:cs typeface="+mn-cs"/>
            </a:rPr>
            <a:t>Is the dividend safe?</a:t>
          </a:r>
          <a:r>
            <a:rPr lang="en-US" b="1"/>
            <a:t> </a:t>
          </a:r>
          <a:r>
            <a:rPr lang="en-US" sz="1100" b="1" i="0" u="none" strike="noStrike">
              <a:solidFill>
                <a:schemeClr val="dk1"/>
              </a:solidFill>
              <a:effectLst/>
              <a:latin typeface="+mn-lt"/>
              <a:ea typeface="+mn-ea"/>
              <a:cs typeface="+mn-cs"/>
            </a:rPr>
            <a:t>20</a:t>
          </a:r>
          <a:r>
            <a:rPr lang="en-US" b="1"/>
            <a:t> </a:t>
          </a:r>
          <a:r>
            <a:rPr lang="en-US" sz="1100" b="1" i="0" u="none" strike="noStrike">
              <a:solidFill>
                <a:schemeClr val="dk1"/>
              </a:solidFill>
              <a:effectLst/>
              <a:latin typeface="+mn-lt"/>
              <a:ea typeface="+mn-ea"/>
              <a:cs typeface="+mn-cs"/>
            </a:rPr>
            <a:t>Will this dividend grow?</a:t>
          </a:r>
          <a:r>
            <a:rPr lang="en-US" b="1"/>
            <a:t> </a:t>
          </a:r>
        </a:p>
        <a:p>
          <a:r>
            <a:rPr lang="en-US" sz="1100" b="1" i="0" u="none" strike="noStrike">
              <a:solidFill>
                <a:schemeClr val="dk1"/>
              </a:solidFill>
              <a:effectLst/>
              <a:latin typeface="+mn-lt"/>
              <a:ea typeface="+mn-ea"/>
              <a:cs typeface="+mn-cs"/>
            </a:rPr>
            <a:t>21.</a:t>
          </a:r>
          <a:r>
            <a:rPr lang="en-US" b="1"/>
            <a:t> </a:t>
          </a:r>
          <a:r>
            <a:rPr lang="en-US" sz="1100" b="1" i="0" u="none" strike="noStrike">
              <a:solidFill>
                <a:schemeClr val="dk1"/>
              </a:solidFill>
              <a:effectLst/>
              <a:latin typeface="+mn-lt"/>
              <a:ea typeface="+mn-ea"/>
              <a:cs typeface="+mn-cs"/>
            </a:rPr>
            <a:t>What does this dividend stream stand to return to me as a shareholder?</a:t>
          </a:r>
        </a:p>
        <a:p>
          <a:r>
            <a:rPr lang="en-US" sz="1100" b="1" i="0" u="none" strike="noStrike">
              <a:solidFill>
                <a:schemeClr val="dk1"/>
              </a:solidFill>
              <a:effectLst/>
              <a:latin typeface="+mn-lt"/>
              <a:ea typeface="+mn-ea"/>
              <a:cs typeface="+mn-cs"/>
            </a:rPr>
            <a:t>22.</a:t>
          </a:r>
          <a:r>
            <a:rPr lang="en-US" b="1"/>
            <a:t> </a:t>
          </a:r>
          <a:r>
            <a:rPr lang="en-US" sz="1100" b="1" i="0" u="none" strike="noStrike">
              <a:solidFill>
                <a:schemeClr val="dk1"/>
              </a:solidFill>
              <a:effectLst/>
              <a:latin typeface="+mn-lt"/>
              <a:ea typeface="+mn-ea"/>
              <a:cs typeface="+mn-cs"/>
            </a:rPr>
            <a:t>Have margins been consistent and high relative to its industry?</a:t>
          </a:r>
          <a:r>
            <a:rPr lang="en-US" b="1"/>
            <a:t> </a:t>
          </a:r>
        </a:p>
        <a:p>
          <a:r>
            <a:rPr lang="en-US" sz="1100" b="1" i="0" u="none" strike="noStrike">
              <a:solidFill>
                <a:schemeClr val="dk1"/>
              </a:solidFill>
              <a:effectLst/>
              <a:latin typeface="+mn-lt"/>
              <a:ea typeface="+mn-ea"/>
              <a:cs typeface="+mn-cs"/>
            </a:rPr>
            <a:t>23.</a:t>
          </a:r>
          <a:r>
            <a:rPr lang="en-US" b="1"/>
            <a:t> </a:t>
          </a:r>
          <a:r>
            <a:rPr lang="en-US" sz="1100" b="1" i="0" u="none" strike="noStrike">
              <a:solidFill>
                <a:schemeClr val="dk1"/>
              </a:solidFill>
              <a:effectLst/>
              <a:latin typeface="+mn-lt"/>
              <a:ea typeface="+mn-ea"/>
              <a:cs typeface="+mn-cs"/>
            </a:rPr>
            <a:t>Return on equity relative to industry?</a:t>
          </a:r>
          <a:r>
            <a:rPr lang="en-US" b="1"/>
            <a:t> </a:t>
          </a:r>
        </a:p>
        <a:p>
          <a:r>
            <a:rPr lang="en-US" sz="1100" b="1" i="0" u="none" strike="noStrike">
              <a:solidFill>
                <a:schemeClr val="dk1"/>
              </a:solidFill>
              <a:effectLst/>
              <a:latin typeface="+mn-lt"/>
              <a:ea typeface="+mn-ea"/>
              <a:cs typeface="+mn-cs"/>
            </a:rPr>
            <a:t>24.</a:t>
          </a:r>
          <a:r>
            <a:rPr lang="en-US" b="1"/>
            <a:t> </a:t>
          </a:r>
          <a:r>
            <a:rPr lang="en-US" sz="1100" b="1" i="0" u="none" strike="noStrike">
              <a:solidFill>
                <a:schemeClr val="dk1"/>
              </a:solidFill>
              <a:effectLst/>
              <a:latin typeface="+mn-lt"/>
              <a:ea typeface="+mn-ea"/>
              <a:cs typeface="+mn-cs"/>
            </a:rPr>
            <a:t>Is there a lot of entry and exits within the industry? If not its strong - if so very competitive market</a:t>
          </a:r>
          <a:r>
            <a:rPr lang="en-US" b="1"/>
            <a:t> </a:t>
          </a:r>
        </a:p>
        <a:p>
          <a:r>
            <a:rPr lang="en-US" sz="1100" b="1" i="0" u="none" strike="noStrike">
              <a:solidFill>
                <a:schemeClr val="dk1"/>
              </a:solidFill>
              <a:effectLst/>
              <a:latin typeface="+mn-lt"/>
              <a:ea typeface="+mn-ea"/>
              <a:cs typeface="+mn-cs"/>
            </a:rPr>
            <a:t>25.</a:t>
          </a:r>
          <a:r>
            <a:rPr lang="en-US" b="1"/>
            <a:t> </a:t>
          </a:r>
          <a:r>
            <a:rPr lang="en-US" sz="1100" b="1" i="0" u="none" strike="noStrike">
              <a:solidFill>
                <a:schemeClr val="dk1"/>
              </a:solidFill>
              <a:effectLst/>
              <a:latin typeface="+mn-lt"/>
              <a:ea typeface="+mn-ea"/>
              <a:cs typeface="+mn-cs"/>
            </a:rPr>
            <a:t>How dominate?</a:t>
          </a:r>
          <a:r>
            <a:rPr lang="en-US" b="1"/>
            <a:t> </a:t>
          </a:r>
        </a:p>
        <a:p>
          <a:r>
            <a:rPr lang="en-US" sz="1100" b="1" i="0" u="none" strike="noStrike">
              <a:solidFill>
                <a:schemeClr val="dk1"/>
              </a:solidFill>
              <a:effectLst/>
              <a:latin typeface="+mn-lt"/>
              <a:ea typeface="+mn-ea"/>
              <a:cs typeface="+mn-cs"/>
            </a:rPr>
            <a:t>26.</a:t>
          </a:r>
          <a:r>
            <a:rPr lang="en-US" b="1"/>
            <a:t> </a:t>
          </a:r>
          <a:r>
            <a:rPr lang="en-US" sz="1100" b="1" i="0" u="none" strike="noStrike">
              <a:solidFill>
                <a:schemeClr val="dk1"/>
              </a:solidFill>
              <a:effectLst/>
              <a:latin typeface="+mn-lt"/>
              <a:ea typeface="+mn-ea"/>
              <a:cs typeface="+mn-cs"/>
            </a:rPr>
            <a:t>Market Share?</a:t>
          </a:r>
          <a:r>
            <a:rPr lang="en-US" b="1"/>
            <a:t> </a:t>
          </a:r>
        </a:p>
        <a:p>
          <a:r>
            <a:rPr lang="en-US" sz="1100" b="1" i="0" u="none" strike="noStrike">
              <a:solidFill>
                <a:schemeClr val="dk1"/>
              </a:solidFill>
              <a:effectLst/>
              <a:latin typeface="+mn-lt"/>
              <a:ea typeface="+mn-ea"/>
              <a:cs typeface="+mn-cs"/>
            </a:rPr>
            <a:t>27.</a:t>
          </a:r>
          <a:r>
            <a:rPr lang="en-US" b="1"/>
            <a:t> </a:t>
          </a:r>
          <a:r>
            <a:rPr lang="en-US" sz="1100" b="1" i="0" u="none" strike="noStrike">
              <a:solidFill>
                <a:schemeClr val="dk1"/>
              </a:solidFill>
              <a:effectLst/>
              <a:latin typeface="+mn-lt"/>
              <a:ea typeface="+mn-ea"/>
              <a:cs typeface="+mn-cs"/>
            </a:rPr>
            <a:t>High switch costs / habits / search cost of replacement</a:t>
          </a:r>
          <a:r>
            <a:rPr lang="en-US" b="1"/>
            <a:t> </a:t>
          </a:r>
        </a:p>
        <a:p>
          <a:endParaRPr lang="en-US" sz="1100" b="0" i="0" u="sng" strike="noStrike">
            <a:solidFill>
              <a:schemeClr val="dk1"/>
            </a:solidFill>
            <a:effectLst/>
            <a:latin typeface="+mn-lt"/>
            <a:ea typeface="+mn-ea"/>
            <a:cs typeface="+mn-cs"/>
          </a:endParaRPr>
        </a:p>
        <a:p>
          <a:r>
            <a:rPr lang="en-US" sz="1100" b="0" i="0" u="sng" strike="noStrike">
              <a:solidFill>
                <a:schemeClr val="dk1"/>
              </a:solidFill>
              <a:effectLst/>
              <a:latin typeface="+mn-lt"/>
              <a:ea typeface="+mn-ea"/>
              <a:cs typeface="+mn-cs"/>
            </a:rPr>
            <a:t>Macro-View</a:t>
          </a:r>
          <a:r>
            <a:rPr lang="en-US"/>
            <a:t> </a:t>
          </a:r>
          <a:r>
            <a:rPr lang="en-US" sz="1100" b="0" i="0" u="none" strike="noStrike">
              <a:solidFill>
                <a:schemeClr val="dk1"/>
              </a:solidFill>
              <a:effectLst/>
              <a:latin typeface="+mn-lt"/>
              <a:ea typeface="+mn-ea"/>
              <a:cs typeface="+mn-cs"/>
            </a:rPr>
            <a:t>after-tax corporate profits as a percentage of national income (GDP similar) - historically it's 4.9%</a:t>
          </a:r>
        </a:p>
        <a:p>
          <a:endParaRPr lang="en-US" sz="1100" b="0" i="0" u="none" strike="noStrike">
            <a:solidFill>
              <a:schemeClr val="dk1"/>
            </a:solidFill>
            <a:effectLst/>
            <a:latin typeface="+mn-lt"/>
            <a:ea typeface="+mn-ea"/>
            <a:cs typeface="+mn-cs"/>
          </a:endParaRPr>
        </a:p>
        <a:p>
          <a:r>
            <a:rPr lang="en-US"/>
            <a:t> </a:t>
          </a:r>
          <a:r>
            <a:rPr lang="en-US" sz="1100" b="0" i="0" u="none" strike="noStrike">
              <a:solidFill>
                <a:schemeClr val="dk1"/>
              </a:solidFill>
              <a:effectLst/>
              <a:latin typeface="+mn-lt"/>
              <a:ea typeface="+mn-ea"/>
              <a:cs typeface="+mn-cs"/>
            </a:rPr>
            <a:t>“Patience … followed by pretty aggressive conduct. It is given to human beings who work hard at it—who look and sift the world for a mispriced bet — that they can occasionally find one. And the wise ones bet heavily when the world offers them that opportunity. They bet big when they have the odds. And the rest of the time, they don’t. It’s just that simple.” – Charlie Munger</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“Over the past 50 years we lived through the best time of human history. It is likely to get worse. I recommend you to prepare for worse because pleasant surprises are easy to handle.”– Charlie Munger  </a:t>
          </a:r>
          <a:r>
            <a:rPr lang="en-US"/>
            <a:t> </a:t>
          </a:r>
        </a:p>
        <a:p>
          <a:endParaRPr lang="en-US" sz="1100"/>
        </a:p>
      </xdr:txBody>
    </xdr:sp>
    <xdr:clientData/>
  </xdr:twoCellAnchor>
  <xdr:twoCellAnchor>
    <xdr:from>
      <xdr:col>13</xdr:col>
      <xdr:colOff>981075</xdr:colOff>
      <xdr:row>56</xdr:row>
      <xdr:rowOff>133349</xdr:rowOff>
    </xdr:from>
    <xdr:to>
      <xdr:col>28</xdr:col>
      <xdr:colOff>247650</xdr:colOff>
      <xdr:row>105</xdr:row>
      <xdr:rowOff>19049</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506200" y="9172574"/>
          <a:ext cx="9534525" cy="789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Biogen Inc.</a:t>
          </a:r>
        </a:p>
        <a:p>
          <a:r>
            <a:rPr lang="en-US" sz="1100"/>
            <a:t>Date: 02/20/2020</a:t>
          </a:r>
        </a:p>
        <a:p>
          <a:r>
            <a:rPr lang="en-US" sz="1100"/>
            <a:t>Notes: </a:t>
          </a:r>
        </a:p>
        <a:p>
          <a:r>
            <a:rPr lang="en-US" sz="1100" b="1" i="0">
              <a:solidFill>
                <a:schemeClr val="dk1"/>
              </a:solidFill>
              <a:effectLst/>
              <a:latin typeface="+mn-lt"/>
              <a:ea typeface="+mn-ea"/>
              <a:cs typeface="+mn-cs"/>
            </a:rPr>
            <a:t>Umer Raffat</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Hello. If I may, I only have a question on aducanumab but it’s got three parts, and given the significance of the news today, I would really appreciate if you could bear with us on it. So my three parts are as follows: first, I’m not attempting to correlate the two but Michael Ehlers departure ahead of this data announcement, just wanted to hear are those two things are related in anyway or not. Second, the implication in the data is that the high with insufficient exposure at the high dose, the second trial worked as well. But when we look at CDR Sum of the Boxes low dose actually looks more consistent than the high dose and also for patients that did not make it to the large opportunity to complete dataset, those patients actually especially in MMSE more consistent than the patients that did have a sufficient exposure. So I guess I’m just trying to understand how spot on is that finding on patients that had a sufficient exposure and those are the ones that drove efficacy. Thank you so much.</a:t>
          </a:r>
        </a:p>
        <a:p>
          <a:r>
            <a:rPr lang="en-US" sz="1100" b="1" i="0">
              <a:solidFill>
                <a:schemeClr val="dk1"/>
              </a:solidFill>
              <a:effectLst/>
              <a:latin typeface="+mn-lt"/>
              <a:ea typeface="+mn-ea"/>
              <a:cs typeface="+mn-cs"/>
            </a:rPr>
            <a:t>Al Sandrock</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Umar, this is Al Sandrock, and I will turn it over to Samantha later for follow-up. But look, your point is well taken, the low dose is consistent across ENGAGE and EMERGE, and that’s because the particularly the second protocol amendment, really affected the high dose arm of – in the carriers. So in the low dose arm or in the protocol amendments had less of an effect and I think that’s one of the main reasons for the consistency in the results across the two studies. I’ll turn it over to Samantha for a follow-up.</a:t>
          </a:r>
        </a:p>
        <a:p>
          <a:r>
            <a:rPr lang="en-US" sz="1100" b="1" i="0">
              <a:solidFill>
                <a:schemeClr val="dk1"/>
              </a:solidFill>
              <a:effectLst/>
              <a:latin typeface="+mn-lt"/>
              <a:ea typeface="+mn-ea"/>
              <a:cs typeface="+mn-cs"/>
            </a:rPr>
            <a:t>Samantha Budd Haeberlein</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Yes, that’s correct. Umar you’ll also see that in the high dose for ENGAGE that we do have a partial response on ADAS-Cog13, and the ADCS-ADL-MCI. And so the potential read that you have there on CDR-Sum of Boxes and MMSC is that these are potentially less sensitive as endpoints. So what Al said is that in the high-dose group we know that we have less doses than we – at the high dose than we had in EMERGE, and we also know that the studies were to some degree impacted by dose suspensions due to ARIA, so dosing is a complex combination of duration, magnitude and no interruptions.</a:t>
          </a:r>
        </a:p>
        <a:p>
          <a:endParaRPr lang="en-US" sz="1100"/>
        </a:p>
        <a:p>
          <a:endParaRPr lang="en-US" sz="1100"/>
        </a:p>
        <a:p>
          <a:r>
            <a:rPr lang="en-US" sz="1100" b="0" i="0">
              <a:solidFill>
                <a:schemeClr val="dk1"/>
              </a:solidFill>
              <a:effectLst/>
              <a:latin typeface="+mn-lt"/>
              <a:ea typeface="+mn-ea"/>
              <a:cs typeface="+mn-cs"/>
            </a:rPr>
            <a:t>Let me start with the last question first. So we have just started to contact the European regulators that we haven’t had any substantive discussions as of yet. In terms of the EMERGE and ENGAGE, I – we looked at – we look at ENGAGE in totality as a positive study that stands on its own. And remember, as Samantha said we use pre-specified primary and secondary outcomes, we didn’t look at a subset. We looked at all the patients and based on that, we believe the study met its primary endpoint and the secondary endpoints as well. I think that whether or not a single trial can be approved, there are circumstances where an FDA can approve a drug based on a single study, it’s up to them to determine what those circumstances are, and so I’ll just leave it at that and then I would say that ENGAGE, we believe, we showed the data for example in those who achieve sufficient exposure to 10 milligrams per kilogram. We do see evidence of efficacy. So I would say that EMERGE stands on its own, ENGAGE has supportive evidence, and I would also say that PRIME is supportive, it’s a well controlled Phase 1b, some may call it Phase 2 trial, and we’ll submit all the data.</a:t>
          </a:r>
        </a:p>
        <a:p>
          <a:endParaRPr lang="en-US" sz="1100" b="0" i="0">
            <a:solidFill>
              <a:schemeClr val="dk1"/>
            </a:solidFill>
            <a:effectLst/>
            <a:latin typeface="+mn-lt"/>
            <a:ea typeface="+mn-ea"/>
            <a:cs typeface="+mn-cs"/>
          </a:endParaRPr>
        </a:p>
        <a:p>
          <a:r>
            <a:rPr lang="en-US">
              <a:hlinkClick xmlns:r="http://schemas.openxmlformats.org/officeDocument/2006/relationships" r:id=""/>
            </a:rPr>
            <a:t>https://www.ncbi.nlm.nih.gov/pmc/articles/PMC6750119/</a:t>
          </a:r>
          <a:r>
            <a:rPr lang="en-US"/>
            <a:t> - this explains very well why their's</a:t>
          </a:r>
          <a:r>
            <a:rPr lang="en-US" baseline="0"/>
            <a:t> works vs other companies targeting the same  thing, bc their targeting the wrong species. </a:t>
          </a:r>
        </a:p>
        <a:p>
          <a:endParaRPr lang="en-US" sz="1100" baseline="0"/>
        </a:p>
        <a:p>
          <a:r>
            <a:rPr lang="en-US">
              <a:hlinkClick xmlns:r="http://schemas.openxmlformats.org/officeDocument/2006/relationships" r:id=""/>
            </a:rPr>
            <a:t>https://www.alzforum.org/news/conference-coverage/exposure-exposure-exposure-ctad-aducanumab-scientists-make-case#comment-34161</a:t>
          </a:r>
          <a:endParaRPr lang="en-US"/>
        </a:p>
        <a:p>
          <a:endParaRPr lang="en-US" sz="110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85724</xdr:colOff>
      <xdr:row>70</xdr:row>
      <xdr:rowOff>152399</xdr:rowOff>
    </xdr:from>
    <xdr:to>
      <xdr:col>21</xdr:col>
      <xdr:colOff>161924</xdr:colOff>
      <xdr:row>125</xdr:row>
      <xdr:rowOff>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85724" y="11496674"/>
          <a:ext cx="16563975" cy="8791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sng" strike="noStrike">
              <a:solidFill>
                <a:schemeClr val="dk1"/>
              </a:solidFill>
              <a:effectLst/>
              <a:latin typeface="+mn-lt"/>
              <a:ea typeface="+mn-ea"/>
              <a:cs typeface="+mn-cs"/>
            </a:rPr>
            <a:t>Investment Question</a:t>
          </a:r>
          <a:r>
            <a:rPr lang="en-US" sz="1400" b="1" u="sng"/>
            <a:t> - Thesis</a:t>
          </a:r>
        </a:p>
        <a:p>
          <a:r>
            <a:rPr lang="en-US" sz="1100" b="1" i="0" u="none" strike="noStrike">
              <a:solidFill>
                <a:schemeClr val="dk1"/>
              </a:solidFill>
              <a:effectLst/>
              <a:latin typeface="+mn-lt"/>
              <a:ea typeface="+mn-ea"/>
              <a:cs typeface="+mn-cs"/>
            </a:rPr>
            <a:t>1. How Long</a:t>
          </a:r>
          <a:r>
            <a:rPr lang="en-US" b="1"/>
            <a:t> </a:t>
          </a:r>
        </a:p>
        <a:p>
          <a:r>
            <a:rPr lang="en-US" sz="1100" b="1" i="0" u="none" strike="noStrike">
              <a:solidFill>
                <a:schemeClr val="dk1"/>
              </a:solidFill>
              <a:effectLst/>
              <a:latin typeface="+mn-lt"/>
              <a:ea typeface="+mn-ea"/>
              <a:cs typeface="+mn-cs"/>
            </a:rPr>
            <a:t>2. How Many</a:t>
          </a:r>
          <a:r>
            <a:rPr lang="en-US" b="1"/>
            <a:t> </a:t>
          </a:r>
        </a:p>
        <a:p>
          <a:r>
            <a:rPr lang="en-US" sz="1100" b="1" i="0" u="none" strike="noStrike">
              <a:solidFill>
                <a:schemeClr val="dk1"/>
              </a:solidFill>
              <a:effectLst/>
              <a:latin typeface="+mn-lt"/>
              <a:ea typeface="+mn-ea"/>
              <a:cs typeface="+mn-cs"/>
            </a:rPr>
            <a:t>3. How Sure Are You?</a:t>
          </a:r>
          <a:r>
            <a:rPr lang="en-US" b="1"/>
            <a:t> </a:t>
          </a:r>
        </a:p>
        <a:p>
          <a:endParaRPr lang="en-US"/>
        </a:p>
        <a:p>
          <a:r>
            <a:rPr lang="en-US" sz="1400" b="1" i="0" u="sng" strike="noStrike">
              <a:solidFill>
                <a:schemeClr val="dk1"/>
              </a:solidFill>
              <a:effectLst/>
              <a:latin typeface="+mn-lt"/>
              <a:ea typeface="+mn-ea"/>
              <a:cs typeface="+mn-cs"/>
            </a:rPr>
            <a:t>Market View</a:t>
          </a:r>
          <a:r>
            <a:rPr lang="en-US" sz="1400" b="1" u="sng"/>
            <a:t> </a:t>
          </a:r>
        </a:p>
        <a:p>
          <a:r>
            <a:rPr lang="en-US" sz="1100" b="1" i="0" u="none" strike="noStrike">
              <a:solidFill>
                <a:schemeClr val="dk1"/>
              </a:solidFill>
              <a:effectLst/>
              <a:latin typeface="+mn-lt"/>
              <a:ea typeface="+mn-ea"/>
              <a:cs typeface="+mn-cs"/>
            </a:rPr>
            <a:t>What is the concensus currently and why?</a:t>
          </a:r>
          <a:r>
            <a:rPr lang="en-US" b="1"/>
            <a:t> </a:t>
          </a:r>
        </a:p>
        <a:p>
          <a:r>
            <a:rPr lang="en-US" sz="1100" b="1" i="0" u="none" strike="noStrike">
              <a:solidFill>
                <a:schemeClr val="dk1"/>
              </a:solidFill>
              <a:effectLst/>
              <a:latin typeface="+mn-lt"/>
              <a:ea typeface="+mn-ea"/>
              <a:cs typeface="+mn-cs"/>
            </a:rPr>
            <a:t>Current Price</a:t>
          </a:r>
          <a:r>
            <a:rPr lang="en-US" b="1"/>
            <a:t> </a:t>
          </a:r>
        </a:p>
        <a:p>
          <a:r>
            <a:rPr lang="en-US" sz="1100" b="1" i="0" u="none" strike="noStrike">
              <a:solidFill>
                <a:schemeClr val="dk1"/>
              </a:solidFill>
              <a:effectLst/>
              <a:latin typeface="+mn-lt"/>
              <a:ea typeface="+mn-ea"/>
              <a:cs typeface="+mn-cs"/>
            </a:rPr>
            <a:t>What is the most important drivers of customers to the industry and does this company competitively meet these drivers?</a:t>
          </a:r>
          <a:r>
            <a:rPr lang="en-US" b="1"/>
            <a:t> </a:t>
          </a:r>
        </a:p>
        <a:p>
          <a:endParaRPr lang="en-US"/>
        </a:p>
        <a:p>
          <a:r>
            <a:rPr lang="en-US" sz="1400" b="1" i="0" u="sng" strike="noStrike">
              <a:solidFill>
                <a:schemeClr val="dk1"/>
              </a:solidFill>
              <a:effectLst/>
              <a:latin typeface="+mn-lt"/>
              <a:ea typeface="+mn-ea"/>
              <a:cs typeface="+mn-cs"/>
            </a:rPr>
            <a:t>Management/Barriers/Competition</a:t>
          </a:r>
        </a:p>
        <a:p>
          <a:r>
            <a:rPr lang="en-US" sz="1100" b="1" i="0" u="none" strike="noStrike">
              <a:solidFill>
                <a:schemeClr val="dk1"/>
              </a:solidFill>
              <a:effectLst/>
              <a:latin typeface="+mn-lt"/>
              <a:ea typeface="+mn-ea"/>
              <a:cs typeface="+mn-cs"/>
            </a:rPr>
            <a:t>1.</a:t>
          </a:r>
          <a:r>
            <a:rPr lang="en-US" b="1"/>
            <a:t> </a:t>
          </a:r>
          <a:r>
            <a:rPr lang="en-US" sz="1100" b="1" i="0" u="none" strike="noStrike">
              <a:solidFill>
                <a:schemeClr val="dk1"/>
              </a:solidFill>
              <a:effectLst/>
              <a:latin typeface="+mn-lt"/>
              <a:ea typeface="+mn-ea"/>
              <a:cs typeface="+mn-cs"/>
            </a:rPr>
            <a:t>Competition?</a:t>
          </a:r>
          <a:r>
            <a:rPr lang="en-US" b="1"/>
            <a:t> </a:t>
          </a:r>
        </a:p>
        <a:p>
          <a:r>
            <a:rPr lang="en-US" sz="1100" b="1" i="0" u="none" strike="noStrike">
              <a:solidFill>
                <a:schemeClr val="dk1"/>
              </a:solidFill>
              <a:effectLst/>
              <a:latin typeface="+mn-lt"/>
              <a:ea typeface="+mn-ea"/>
              <a:cs typeface="+mn-cs"/>
            </a:rPr>
            <a:t>2.</a:t>
          </a:r>
          <a:r>
            <a:rPr lang="en-US" b="1"/>
            <a:t> </a:t>
          </a:r>
          <a:r>
            <a:rPr lang="en-US" sz="1100" b="1" i="0" u="none" strike="noStrike">
              <a:solidFill>
                <a:schemeClr val="dk1"/>
              </a:solidFill>
              <a:effectLst/>
              <a:latin typeface="+mn-lt"/>
              <a:ea typeface="+mn-ea"/>
              <a:cs typeface="+mn-cs"/>
            </a:rPr>
            <a:t>Suppliers?</a:t>
          </a:r>
          <a:r>
            <a:rPr lang="en-US" b="1"/>
            <a:t> </a:t>
          </a:r>
        </a:p>
        <a:p>
          <a:r>
            <a:rPr lang="en-US" sz="1100" b="1" i="0" u="none" strike="noStrike">
              <a:solidFill>
                <a:schemeClr val="dk1"/>
              </a:solidFill>
              <a:effectLst/>
              <a:latin typeface="+mn-lt"/>
              <a:ea typeface="+mn-ea"/>
              <a:cs typeface="+mn-cs"/>
            </a:rPr>
            <a:t>3.</a:t>
          </a:r>
          <a:r>
            <a:rPr lang="en-US" b="1"/>
            <a:t> </a:t>
          </a:r>
          <a:r>
            <a:rPr lang="en-US" sz="1100" b="1" i="0" u="none" strike="noStrike">
              <a:solidFill>
                <a:schemeClr val="dk1"/>
              </a:solidFill>
              <a:effectLst/>
              <a:latin typeface="+mn-lt"/>
              <a:ea typeface="+mn-ea"/>
              <a:cs typeface="+mn-cs"/>
            </a:rPr>
            <a:t>Durable competitive advantage?</a:t>
          </a:r>
          <a:r>
            <a:rPr lang="en-US" b="1"/>
            <a:t> </a:t>
          </a:r>
        </a:p>
        <a:p>
          <a:r>
            <a:rPr lang="en-US" sz="1100" b="1" i="0" u="none" strike="noStrike">
              <a:solidFill>
                <a:schemeClr val="dk1"/>
              </a:solidFill>
              <a:effectLst/>
              <a:latin typeface="+mn-lt"/>
              <a:ea typeface="+mn-ea"/>
              <a:cs typeface="+mn-cs"/>
            </a:rPr>
            <a:t>4.</a:t>
          </a:r>
          <a:r>
            <a:rPr lang="en-US" b="1"/>
            <a:t> </a:t>
          </a:r>
          <a:r>
            <a:rPr lang="en-US" sz="1100" b="1" i="0" u="none" strike="noStrike">
              <a:solidFill>
                <a:schemeClr val="dk1"/>
              </a:solidFill>
              <a:effectLst/>
              <a:latin typeface="+mn-lt"/>
              <a:ea typeface="+mn-ea"/>
              <a:cs typeface="+mn-cs"/>
            </a:rPr>
            <a:t>Management good?</a:t>
          </a:r>
          <a:r>
            <a:rPr lang="en-US" b="1"/>
            <a:t> </a:t>
          </a:r>
        </a:p>
        <a:p>
          <a:r>
            <a:rPr lang="en-US" sz="1100" b="1" i="0" u="none" strike="noStrike">
              <a:solidFill>
                <a:schemeClr val="dk1"/>
              </a:solidFill>
              <a:effectLst/>
              <a:latin typeface="+mn-lt"/>
              <a:ea typeface="+mn-ea"/>
              <a:cs typeface="+mn-cs"/>
            </a:rPr>
            <a:t>5.</a:t>
          </a:r>
          <a:r>
            <a:rPr lang="en-US" b="1"/>
            <a:t> </a:t>
          </a:r>
          <a:r>
            <a:rPr lang="en-US" sz="1100" b="1" i="0" u="none" strike="noStrike">
              <a:solidFill>
                <a:schemeClr val="dk1"/>
              </a:solidFill>
              <a:effectLst/>
              <a:latin typeface="+mn-lt"/>
              <a:ea typeface="+mn-ea"/>
              <a:cs typeface="+mn-cs"/>
            </a:rPr>
            <a:t>Price makes sense?</a:t>
          </a:r>
          <a:r>
            <a:rPr lang="en-US" b="1"/>
            <a:t> </a:t>
          </a:r>
        </a:p>
        <a:p>
          <a:r>
            <a:rPr lang="en-US" sz="1100" b="1" i="0" u="none" strike="noStrike">
              <a:solidFill>
                <a:schemeClr val="dk1"/>
              </a:solidFill>
              <a:effectLst/>
              <a:latin typeface="+mn-lt"/>
              <a:ea typeface="+mn-ea"/>
              <a:cs typeface="+mn-cs"/>
            </a:rPr>
            <a:t>6.</a:t>
          </a:r>
          <a:r>
            <a:rPr lang="en-US" b="1"/>
            <a:t> </a:t>
          </a:r>
          <a:r>
            <a:rPr lang="en-US" sz="1100" b="1" i="0" u="none" strike="noStrike">
              <a:solidFill>
                <a:schemeClr val="dk1"/>
              </a:solidFill>
              <a:effectLst/>
              <a:latin typeface="+mn-lt"/>
              <a:ea typeface="+mn-ea"/>
              <a:cs typeface="+mn-cs"/>
            </a:rPr>
            <a:t>Margin of safety?</a:t>
          </a:r>
          <a:r>
            <a:rPr lang="en-US" b="1"/>
            <a:t> </a:t>
          </a:r>
        </a:p>
        <a:p>
          <a:r>
            <a:rPr lang="en-US" sz="1100" b="1" i="0" u="none" strike="noStrike">
              <a:solidFill>
                <a:schemeClr val="dk1"/>
              </a:solidFill>
              <a:effectLst/>
              <a:latin typeface="+mn-lt"/>
              <a:ea typeface="+mn-ea"/>
              <a:cs typeface="+mn-cs"/>
            </a:rPr>
            <a:t>7.</a:t>
          </a:r>
          <a:r>
            <a:rPr lang="en-US" b="1"/>
            <a:t> </a:t>
          </a:r>
          <a:r>
            <a:rPr lang="en-US" sz="1100" b="1" i="0" u="none" strike="noStrike">
              <a:solidFill>
                <a:schemeClr val="dk1"/>
              </a:solidFill>
              <a:effectLst/>
              <a:latin typeface="+mn-lt"/>
              <a:ea typeface="+mn-ea"/>
              <a:cs typeface="+mn-cs"/>
            </a:rPr>
            <a:t>Are the odds in your favor?</a:t>
          </a:r>
          <a:r>
            <a:rPr lang="en-US" b="1"/>
            <a:t> </a:t>
          </a:r>
        </a:p>
        <a:p>
          <a:r>
            <a:rPr lang="en-US" sz="1100" b="1" i="0" u="none" strike="noStrike">
              <a:solidFill>
                <a:schemeClr val="dk1"/>
              </a:solidFill>
              <a:effectLst/>
              <a:latin typeface="+mn-lt"/>
              <a:ea typeface="+mn-ea"/>
              <a:cs typeface="+mn-cs"/>
            </a:rPr>
            <a:t>8.</a:t>
          </a:r>
          <a:r>
            <a:rPr lang="en-US" b="1"/>
            <a:t> </a:t>
          </a:r>
          <a:r>
            <a:rPr lang="en-US" sz="1100" b="1" i="0" u="none" strike="noStrike">
              <a:solidFill>
                <a:schemeClr val="dk1"/>
              </a:solidFill>
              <a:effectLst/>
              <a:latin typeface="+mn-lt"/>
              <a:ea typeface="+mn-ea"/>
              <a:cs typeface="+mn-cs"/>
            </a:rPr>
            <a:t>Regulatory climate?</a:t>
          </a:r>
          <a:r>
            <a:rPr lang="en-US" b="1"/>
            <a:t> </a:t>
          </a:r>
        </a:p>
        <a:p>
          <a:r>
            <a:rPr lang="en-US" sz="1100" b="1" i="0" u="none" strike="noStrike">
              <a:solidFill>
                <a:schemeClr val="dk1"/>
              </a:solidFill>
              <a:effectLst/>
              <a:latin typeface="+mn-lt"/>
              <a:ea typeface="+mn-ea"/>
              <a:cs typeface="+mn-cs"/>
            </a:rPr>
            <a:t>9.</a:t>
          </a:r>
          <a:r>
            <a:rPr lang="en-US" b="1"/>
            <a:t> </a:t>
          </a:r>
          <a:r>
            <a:rPr lang="en-US" sz="1100" b="1" i="0" u="none" strike="noStrike">
              <a:solidFill>
                <a:schemeClr val="dk1"/>
              </a:solidFill>
              <a:effectLst/>
              <a:latin typeface="+mn-lt"/>
              <a:ea typeface="+mn-ea"/>
              <a:cs typeface="+mn-cs"/>
            </a:rPr>
            <a:t>State of labor?</a:t>
          </a:r>
          <a:r>
            <a:rPr lang="en-US" b="1"/>
            <a:t> </a:t>
          </a:r>
        </a:p>
        <a:p>
          <a:r>
            <a:rPr lang="en-US" sz="1100" b="1" i="0" u="none" strike="noStrike">
              <a:solidFill>
                <a:schemeClr val="dk1"/>
              </a:solidFill>
              <a:effectLst/>
              <a:latin typeface="+mn-lt"/>
              <a:ea typeface="+mn-ea"/>
              <a:cs typeface="+mn-cs"/>
            </a:rPr>
            <a:t>10.</a:t>
          </a:r>
          <a:r>
            <a:rPr lang="en-US" b="1"/>
            <a:t> </a:t>
          </a:r>
          <a:r>
            <a:rPr lang="en-US" sz="1100" b="1" i="0" u="none" strike="noStrike">
              <a:solidFill>
                <a:schemeClr val="dk1"/>
              </a:solidFill>
              <a:effectLst/>
              <a:latin typeface="+mn-lt"/>
              <a:ea typeface="+mn-ea"/>
              <a:cs typeface="+mn-cs"/>
            </a:rPr>
            <a:t>Customer relations</a:t>
          </a:r>
          <a:r>
            <a:rPr lang="en-US" b="1"/>
            <a:t> </a:t>
          </a:r>
        </a:p>
        <a:p>
          <a:r>
            <a:rPr lang="en-US" sz="1100" b="1" i="0" u="none" strike="noStrike">
              <a:solidFill>
                <a:schemeClr val="dk1"/>
              </a:solidFill>
              <a:effectLst/>
              <a:latin typeface="+mn-lt"/>
              <a:ea typeface="+mn-ea"/>
              <a:cs typeface="+mn-cs"/>
            </a:rPr>
            <a:t>11.</a:t>
          </a:r>
          <a:r>
            <a:rPr lang="en-US" b="1"/>
            <a:t> </a:t>
          </a:r>
          <a:r>
            <a:rPr lang="en-US" sz="1100" b="1" i="0" u="none" strike="noStrike">
              <a:solidFill>
                <a:schemeClr val="dk1"/>
              </a:solidFill>
              <a:effectLst/>
              <a:latin typeface="+mn-lt"/>
              <a:ea typeface="+mn-ea"/>
              <a:cs typeface="+mn-cs"/>
            </a:rPr>
            <a:t>Potential impact of changes in technology</a:t>
          </a:r>
          <a:r>
            <a:rPr lang="en-US" b="1"/>
            <a:t> </a:t>
          </a:r>
        </a:p>
        <a:p>
          <a:r>
            <a:rPr lang="en-US" sz="1100" b="1" i="0" u="none" strike="noStrike">
              <a:solidFill>
                <a:schemeClr val="dk1"/>
              </a:solidFill>
              <a:effectLst/>
              <a:latin typeface="+mn-lt"/>
              <a:ea typeface="+mn-ea"/>
              <a:cs typeface="+mn-cs"/>
            </a:rPr>
            <a:t>12.</a:t>
          </a:r>
          <a:r>
            <a:rPr lang="en-US" b="1"/>
            <a:t> </a:t>
          </a:r>
          <a:r>
            <a:rPr lang="en-US" sz="1100" b="1" i="0" u="none" strike="noStrike">
              <a:solidFill>
                <a:schemeClr val="dk1"/>
              </a:solidFill>
              <a:effectLst/>
              <a:latin typeface="+mn-lt"/>
              <a:ea typeface="+mn-ea"/>
              <a:cs typeface="+mn-cs"/>
            </a:rPr>
            <a:t>Vulnerabilities</a:t>
          </a:r>
          <a:r>
            <a:rPr lang="en-US" b="1"/>
            <a:t> </a:t>
          </a:r>
        </a:p>
        <a:p>
          <a:r>
            <a:rPr lang="en-US" sz="1100" b="1" i="0" u="none" strike="noStrike">
              <a:solidFill>
                <a:schemeClr val="dk1"/>
              </a:solidFill>
              <a:effectLst/>
              <a:latin typeface="+mn-lt"/>
              <a:ea typeface="+mn-ea"/>
              <a:cs typeface="+mn-cs"/>
            </a:rPr>
            <a:t>13.</a:t>
          </a:r>
          <a:r>
            <a:rPr lang="en-US" b="1"/>
            <a:t> </a:t>
          </a:r>
          <a:r>
            <a:rPr lang="en-US" sz="1100" b="1" i="0" u="none" strike="noStrike">
              <a:solidFill>
                <a:schemeClr val="dk1"/>
              </a:solidFill>
              <a:effectLst/>
              <a:latin typeface="+mn-lt"/>
              <a:ea typeface="+mn-ea"/>
              <a:cs typeface="+mn-cs"/>
            </a:rPr>
            <a:t>Pricing power</a:t>
          </a:r>
          <a:r>
            <a:rPr lang="en-US" b="1"/>
            <a:t> </a:t>
          </a:r>
        </a:p>
        <a:p>
          <a:r>
            <a:rPr lang="en-US" sz="1100" b="1" i="0" u="none" strike="noStrike">
              <a:solidFill>
                <a:schemeClr val="dk1"/>
              </a:solidFill>
              <a:effectLst/>
              <a:latin typeface="+mn-lt"/>
              <a:ea typeface="+mn-ea"/>
              <a:cs typeface="+mn-cs"/>
            </a:rPr>
            <a:t>14.</a:t>
          </a:r>
          <a:r>
            <a:rPr lang="en-US" b="1"/>
            <a:t> </a:t>
          </a:r>
          <a:r>
            <a:rPr lang="en-US" sz="1100" b="1" i="0" u="none" strike="noStrike">
              <a:solidFill>
                <a:schemeClr val="dk1"/>
              </a:solidFill>
              <a:effectLst/>
              <a:latin typeface="+mn-lt"/>
              <a:ea typeface="+mn-ea"/>
              <a:cs typeface="+mn-cs"/>
            </a:rPr>
            <a:t>Scalability</a:t>
          </a:r>
          <a:r>
            <a:rPr lang="en-US" b="1"/>
            <a:t> </a:t>
          </a:r>
        </a:p>
        <a:p>
          <a:r>
            <a:rPr lang="en-US" sz="1100" b="1" i="0" u="none" strike="noStrike">
              <a:solidFill>
                <a:schemeClr val="dk1"/>
              </a:solidFill>
              <a:effectLst/>
              <a:latin typeface="+mn-lt"/>
              <a:ea typeface="+mn-ea"/>
              <a:cs typeface="+mn-cs"/>
            </a:rPr>
            <a:t>16.</a:t>
          </a:r>
          <a:r>
            <a:rPr lang="en-US" b="1"/>
            <a:t> </a:t>
          </a:r>
          <a:r>
            <a:rPr lang="en-US" sz="1100" b="1" i="0" u="none" strike="noStrike">
              <a:solidFill>
                <a:schemeClr val="dk1"/>
              </a:solidFill>
              <a:effectLst/>
              <a:latin typeface="+mn-lt"/>
              <a:ea typeface="+mn-ea"/>
              <a:cs typeface="+mn-cs"/>
            </a:rPr>
            <a:t>Do you need a good lord?</a:t>
          </a:r>
          <a:r>
            <a:rPr lang="en-US" b="1"/>
            <a:t> </a:t>
          </a:r>
        </a:p>
        <a:p>
          <a:r>
            <a:rPr lang="en-US" sz="1100" b="1" i="0" u="none" strike="noStrike">
              <a:solidFill>
                <a:schemeClr val="dk1"/>
              </a:solidFill>
              <a:effectLst/>
              <a:latin typeface="+mn-lt"/>
              <a:ea typeface="+mn-ea"/>
              <a:cs typeface="+mn-cs"/>
            </a:rPr>
            <a:t>17.</a:t>
          </a:r>
          <a:r>
            <a:rPr lang="en-US" b="1"/>
            <a:t> </a:t>
          </a:r>
          <a:r>
            <a:rPr lang="en-US" sz="1100" b="1" i="0" u="none" strike="noStrike">
              <a:solidFill>
                <a:schemeClr val="dk1"/>
              </a:solidFill>
              <a:effectLst/>
              <a:latin typeface="+mn-lt"/>
              <a:ea typeface="+mn-ea"/>
              <a:cs typeface="+mn-cs"/>
            </a:rPr>
            <a:t>Where does the capital go?</a:t>
          </a:r>
          <a:r>
            <a:rPr lang="en-US" b="1"/>
            <a:t> </a:t>
          </a:r>
        </a:p>
        <a:p>
          <a:r>
            <a:rPr lang="en-US" sz="1100" b="1" i="0" u="none" strike="noStrike">
              <a:solidFill>
                <a:schemeClr val="dk1"/>
              </a:solidFill>
              <a:effectLst/>
              <a:latin typeface="+mn-lt"/>
              <a:ea typeface="+mn-ea"/>
              <a:cs typeface="+mn-cs"/>
            </a:rPr>
            <a:t>18.</a:t>
          </a:r>
          <a:r>
            <a:rPr lang="en-US" b="1"/>
            <a:t> </a:t>
          </a:r>
          <a:r>
            <a:rPr lang="en-US" sz="1100" b="1" i="0" u="none" strike="noStrike">
              <a:solidFill>
                <a:schemeClr val="dk1"/>
              </a:solidFill>
              <a:effectLst/>
              <a:latin typeface="+mn-lt"/>
              <a:ea typeface="+mn-ea"/>
              <a:cs typeface="+mn-cs"/>
            </a:rPr>
            <a:t>Consider potential second order and higher level impacts</a:t>
          </a:r>
          <a:r>
            <a:rPr lang="en-US" b="1"/>
            <a:t> </a:t>
          </a:r>
        </a:p>
        <a:p>
          <a:r>
            <a:rPr lang="en-US" sz="1100" b="1" i="0" u="none" strike="noStrike">
              <a:solidFill>
                <a:schemeClr val="dk1"/>
              </a:solidFill>
              <a:effectLst/>
              <a:latin typeface="+mn-lt"/>
              <a:ea typeface="+mn-ea"/>
              <a:cs typeface="+mn-cs"/>
            </a:rPr>
            <a:t>19.</a:t>
          </a:r>
          <a:r>
            <a:rPr lang="en-US" b="1"/>
            <a:t> </a:t>
          </a:r>
          <a:r>
            <a:rPr lang="en-US" sz="1100" b="1" i="0" u="none" strike="noStrike">
              <a:solidFill>
                <a:schemeClr val="dk1"/>
              </a:solidFill>
              <a:effectLst/>
              <a:latin typeface="+mn-lt"/>
              <a:ea typeface="+mn-ea"/>
              <a:cs typeface="+mn-cs"/>
            </a:rPr>
            <a:t>Is the dividend safe?</a:t>
          </a:r>
          <a:r>
            <a:rPr lang="en-US" b="1"/>
            <a:t> </a:t>
          </a:r>
          <a:r>
            <a:rPr lang="en-US" sz="1100" b="1" i="0" u="none" strike="noStrike">
              <a:solidFill>
                <a:schemeClr val="dk1"/>
              </a:solidFill>
              <a:effectLst/>
              <a:latin typeface="+mn-lt"/>
              <a:ea typeface="+mn-ea"/>
              <a:cs typeface="+mn-cs"/>
            </a:rPr>
            <a:t>20</a:t>
          </a:r>
          <a:r>
            <a:rPr lang="en-US" b="1"/>
            <a:t> </a:t>
          </a:r>
          <a:r>
            <a:rPr lang="en-US" sz="1100" b="1" i="0" u="none" strike="noStrike">
              <a:solidFill>
                <a:schemeClr val="dk1"/>
              </a:solidFill>
              <a:effectLst/>
              <a:latin typeface="+mn-lt"/>
              <a:ea typeface="+mn-ea"/>
              <a:cs typeface="+mn-cs"/>
            </a:rPr>
            <a:t>Will this dividend grow?</a:t>
          </a:r>
          <a:r>
            <a:rPr lang="en-US" b="1"/>
            <a:t> </a:t>
          </a:r>
        </a:p>
        <a:p>
          <a:r>
            <a:rPr lang="en-US" sz="1100" b="1" i="0" u="none" strike="noStrike">
              <a:solidFill>
                <a:schemeClr val="dk1"/>
              </a:solidFill>
              <a:effectLst/>
              <a:latin typeface="+mn-lt"/>
              <a:ea typeface="+mn-ea"/>
              <a:cs typeface="+mn-cs"/>
            </a:rPr>
            <a:t>21.</a:t>
          </a:r>
          <a:r>
            <a:rPr lang="en-US" b="1"/>
            <a:t> </a:t>
          </a:r>
          <a:r>
            <a:rPr lang="en-US" sz="1100" b="1" i="0" u="none" strike="noStrike">
              <a:solidFill>
                <a:schemeClr val="dk1"/>
              </a:solidFill>
              <a:effectLst/>
              <a:latin typeface="+mn-lt"/>
              <a:ea typeface="+mn-ea"/>
              <a:cs typeface="+mn-cs"/>
            </a:rPr>
            <a:t>What does this dividend stream stand to return to me as a shareholder?</a:t>
          </a:r>
        </a:p>
        <a:p>
          <a:r>
            <a:rPr lang="en-US" sz="1100" b="1" i="0" u="none" strike="noStrike">
              <a:solidFill>
                <a:schemeClr val="dk1"/>
              </a:solidFill>
              <a:effectLst/>
              <a:latin typeface="+mn-lt"/>
              <a:ea typeface="+mn-ea"/>
              <a:cs typeface="+mn-cs"/>
            </a:rPr>
            <a:t>22.</a:t>
          </a:r>
          <a:r>
            <a:rPr lang="en-US" b="1"/>
            <a:t> </a:t>
          </a:r>
          <a:r>
            <a:rPr lang="en-US" sz="1100" b="1" i="0" u="none" strike="noStrike">
              <a:solidFill>
                <a:schemeClr val="dk1"/>
              </a:solidFill>
              <a:effectLst/>
              <a:latin typeface="+mn-lt"/>
              <a:ea typeface="+mn-ea"/>
              <a:cs typeface="+mn-cs"/>
            </a:rPr>
            <a:t>Have margins been consistent and high relative to its industry?</a:t>
          </a:r>
          <a:r>
            <a:rPr lang="en-US" b="1"/>
            <a:t> </a:t>
          </a:r>
        </a:p>
        <a:p>
          <a:r>
            <a:rPr lang="en-US" sz="1100" b="1" i="0" u="none" strike="noStrike">
              <a:solidFill>
                <a:schemeClr val="dk1"/>
              </a:solidFill>
              <a:effectLst/>
              <a:latin typeface="+mn-lt"/>
              <a:ea typeface="+mn-ea"/>
              <a:cs typeface="+mn-cs"/>
            </a:rPr>
            <a:t>23.</a:t>
          </a:r>
          <a:r>
            <a:rPr lang="en-US" b="1"/>
            <a:t> </a:t>
          </a:r>
          <a:r>
            <a:rPr lang="en-US" sz="1100" b="1" i="0" u="none" strike="noStrike">
              <a:solidFill>
                <a:schemeClr val="dk1"/>
              </a:solidFill>
              <a:effectLst/>
              <a:latin typeface="+mn-lt"/>
              <a:ea typeface="+mn-ea"/>
              <a:cs typeface="+mn-cs"/>
            </a:rPr>
            <a:t>Return on equity relative to industry?</a:t>
          </a:r>
          <a:r>
            <a:rPr lang="en-US" b="1"/>
            <a:t> </a:t>
          </a:r>
        </a:p>
        <a:p>
          <a:r>
            <a:rPr lang="en-US" sz="1100" b="1" i="0" u="none" strike="noStrike">
              <a:solidFill>
                <a:schemeClr val="dk1"/>
              </a:solidFill>
              <a:effectLst/>
              <a:latin typeface="+mn-lt"/>
              <a:ea typeface="+mn-ea"/>
              <a:cs typeface="+mn-cs"/>
            </a:rPr>
            <a:t>24.</a:t>
          </a:r>
          <a:r>
            <a:rPr lang="en-US" b="1"/>
            <a:t> </a:t>
          </a:r>
          <a:r>
            <a:rPr lang="en-US" sz="1100" b="1" i="0" u="none" strike="noStrike">
              <a:solidFill>
                <a:schemeClr val="dk1"/>
              </a:solidFill>
              <a:effectLst/>
              <a:latin typeface="+mn-lt"/>
              <a:ea typeface="+mn-ea"/>
              <a:cs typeface="+mn-cs"/>
            </a:rPr>
            <a:t>Is there a lot of entry and exits within the industry? If not its strong - if so very competitive market</a:t>
          </a:r>
          <a:r>
            <a:rPr lang="en-US" b="1"/>
            <a:t> </a:t>
          </a:r>
        </a:p>
        <a:p>
          <a:r>
            <a:rPr lang="en-US" sz="1100" b="1" i="0" u="none" strike="noStrike">
              <a:solidFill>
                <a:schemeClr val="dk1"/>
              </a:solidFill>
              <a:effectLst/>
              <a:latin typeface="+mn-lt"/>
              <a:ea typeface="+mn-ea"/>
              <a:cs typeface="+mn-cs"/>
            </a:rPr>
            <a:t>25.</a:t>
          </a:r>
          <a:r>
            <a:rPr lang="en-US" b="1"/>
            <a:t> </a:t>
          </a:r>
          <a:r>
            <a:rPr lang="en-US" sz="1100" b="1" i="0" u="none" strike="noStrike">
              <a:solidFill>
                <a:schemeClr val="dk1"/>
              </a:solidFill>
              <a:effectLst/>
              <a:latin typeface="+mn-lt"/>
              <a:ea typeface="+mn-ea"/>
              <a:cs typeface="+mn-cs"/>
            </a:rPr>
            <a:t>How dominate?</a:t>
          </a:r>
          <a:r>
            <a:rPr lang="en-US" b="1"/>
            <a:t> </a:t>
          </a:r>
        </a:p>
        <a:p>
          <a:r>
            <a:rPr lang="en-US" sz="1100" b="1" i="0" u="none" strike="noStrike">
              <a:solidFill>
                <a:schemeClr val="dk1"/>
              </a:solidFill>
              <a:effectLst/>
              <a:latin typeface="+mn-lt"/>
              <a:ea typeface="+mn-ea"/>
              <a:cs typeface="+mn-cs"/>
            </a:rPr>
            <a:t>26.</a:t>
          </a:r>
          <a:r>
            <a:rPr lang="en-US" b="1"/>
            <a:t> </a:t>
          </a:r>
          <a:r>
            <a:rPr lang="en-US" sz="1100" b="1" i="0" u="none" strike="noStrike">
              <a:solidFill>
                <a:schemeClr val="dk1"/>
              </a:solidFill>
              <a:effectLst/>
              <a:latin typeface="+mn-lt"/>
              <a:ea typeface="+mn-ea"/>
              <a:cs typeface="+mn-cs"/>
            </a:rPr>
            <a:t>Market Share?</a:t>
          </a:r>
          <a:r>
            <a:rPr lang="en-US" b="1"/>
            <a:t> </a:t>
          </a:r>
        </a:p>
        <a:p>
          <a:r>
            <a:rPr lang="en-US" sz="1100" b="1" i="0" u="none" strike="noStrike">
              <a:solidFill>
                <a:schemeClr val="dk1"/>
              </a:solidFill>
              <a:effectLst/>
              <a:latin typeface="+mn-lt"/>
              <a:ea typeface="+mn-ea"/>
              <a:cs typeface="+mn-cs"/>
            </a:rPr>
            <a:t>27.</a:t>
          </a:r>
          <a:r>
            <a:rPr lang="en-US" b="1"/>
            <a:t> </a:t>
          </a:r>
          <a:r>
            <a:rPr lang="en-US" sz="1100" b="1" i="0" u="none" strike="noStrike">
              <a:solidFill>
                <a:schemeClr val="dk1"/>
              </a:solidFill>
              <a:effectLst/>
              <a:latin typeface="+mn-lt"/>
              <a:ea typeface="+mn-ea"/>
              <a:cs typeface="+mn-cs"/>
            </a:rPr>
            <a:t>High switch costs / habits / search cost of replacement</a:t>
          </a:r>
          <a:r>
            <a:rPr lang="en-US" b="1"/>
            <a:t> </a:t>
          </a:r>
        </a:p>
        <a:p>
          <a:endParaRPr lang="en-US" sz="1100" b="0" i="0" u="sng" strike="noStrike">
            <a:solidFill>
              <a:schemeClr val="dk1"/>
            </a:solidFill>
            <a:effectLst/>
            <a:latin typeface="+mn-lt"/>
            <a:ea typeface="+mn-ea"/>
            <a:cs typeface="+mn-cs"/>
          </a:endParaRPr>
        </a:p>
        <a:p>
          <a:r>
            <a:rPr lang="en-US" sz="1100" b="0" i="0" u="sng" strike="noStrike">
              <a:solidFill>
                <a:schemeClr val="dk1"/>
              </a:solidFill>
              <a:effectLst/>
              <a:latin typeface="+mn-lt"/>
              <a:ea typeface="+mn-ea"/>
              <a:cs typeface="+mn-cs"/>
            </a:rPr>
            <a:t>Macro-View</a:t>
          </a:r>
          <a:r>
            <a:rPr lang="en-US"/>
            <a:t> </a:t>
          </a:r>
          <a:r>
            <a:rPr lang="en-US" sz="1100" b="0" i="0" u="none" strike="noStrike">
              <a:solidFill>
                <a:schemeClr val="dk1"/>
              </a:solidFill>
              <a:effectLst/>
              <a:latin typeface="+mn-lt"/>
              <a:ea typeface="+mn-ea"/>
              <a:cs typeface="+mn-cs"/>
            </a:rPr>
            <a:t>after-tax corporate profits as a percentage of national income (GDP similar) - historically it's 4.9%</a:t>
          </a:r>
        </a:p>
        <a:p>
          <a:endParaRPr lang="en-US" sz="1100" b="0" i="0" u="none" strike="noStrike">
            <a:solidFill>
              <a:schemeClr val="dk1"/>
            </a:solidFill>
            <a:effectLst/>
            <a:latin typeface="+mn-lt"/>
            <a:ea typeface="+mn-ea"/>
            <a:cs typeface="+mn-cs"/>
          </a:endParaRPr>
        </a:p>
        <a:p>
          <a:r>
            <a:rPr lang="en-US"/>
            <a:t> </a:t>
          </a:r>
          <a:r>
            <a:rPr lang="en-US" sz="1100" b="0" i="0" u="none" strike="noStrike">
              <a:solidFill>
                <a:schemeClr val="dk1"/>
              </a:solidFill>
              <a:effectLst/>
              <a:latin typeface="+mn-lt"/>
              <a:ea typeface="+mn-ea"/>
              <a:cs typeface="+mn-cs"/>
            </a:rPr>
            <a:t>“Patience … followed by pretty aggressive conduct. It is given to human beings who work hard at it—who look and sift the world for a mispriced bet — that they can occasionally find one. And the wise ones bet heavily when the world offers them that opportunity. They bet big when they have the odds. And the rest of the time, they don’t. It’s just that simple.” – Charlie Munger</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“Over the past 50 years we lived through the best time of human history. It is likely to get worse. I recommend you to prepare for worse because pleasant surprises are easy to handle.”– Charlie Munger  </a:t>
          </a:r>
          <a:r>
            <a:rPr lang="en-US"/>
            <a:t> </a:t>
          </a:r>
        </a:p>
        <a:p>
          <a:endParaRPr lang="en-US" sz="1100"/>
        </a:p>
      </xdr:txBody>
    </xdr:sp>
    <xdr:clientData/>
  </xdr:twoCellAnchor>
  <xdr:twoCellAnchor>
    <xdr:from>
      <xdr:col>10</xdr:col>
      <xdr:colOff>352425</xdr:colOff>
      <xdr:row>57</xdr:row>
      <xdr:rowOff>47625</xdr:rowOff>
    </xdr:from>
    <xdr:to>
      <xdr:col>15</xdr:col>
      <xdr:colOff>542925</xdr:colOff>
      <xdr:row>68</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7743825" y="9248775"/>
          <a:ext cx="4924425"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FCAU - Fiat Chrysler Automobiles N.V.</a:t>
          </a:r>
          <a:endParaRPr lang="en-US" sz="1100"/>
        </a:p>
        <a:p>
          <a:r>
            <a:rPr lang="en-US" sz="1100"/>
            <a:t>Date: 02/06/2020</a:t>
          </a:r>
        </a:p>
        <a:p>
          <a:r>
            <a:rPr lang="en-US" sz="1100"/>
            <a:t>Notes: Best ROE vs</a:t>
          </a:r>
          <a:r>
            <a:rPr lang="en-US" sz="1100" baseline="0"/>
            <a:t> compeitiors, highly profitable, net debt free. Merger will create synergies, economies of scale. </a:t>
          </a:r>
          <a:endParaRPr lang="en-US" sz="1100"/>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85724</xdr:colOff>
      <xdr:row>70</xdr:row>
      <xdr:rowOff>152399</xdr:rowOff>
    </xdr:from>
    <xdr:to>
      <xdr:col>21</xdr:col>
      <xdr:colOff>161924</xdr:colOff>
      <xdr:row>125</xdr:row>
      <xdr:rowOff>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5724" y="11496674"/>
          <a:ext cx="16563975" cy="8791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sng" strike="noStrike">
              <a:solidFill>
                <a:schemeClr val="dk1"/>
              </a:solidFill>
              <a:effectLst/>
              <a:latin typeface="+mn-lt"/>
              <a:ea typeface="+mn-ea"/>
              <a:cs typeface="+mn-cs"/>
            </a:rPr>
            <a:t>Investment Question</a:t>
          </a:r>
          <a:r>
            <a:rPr lang="en-US" sz="1400" b="1" u="sng"/>
            <a:t> - Thesis</a:t>
          </a:r>
        </a:p>
        <a:p>
          <a:r>
            <a:rPr lang="en-US" sz="1100" b="1" i="0" u="none" strike="noStrike">
              <a:solidFill>
                <a:schemeClr val="dk1"/>
              </a:solidFill>
              <a:effectLst/>
              <a:latin typeface="+mn-lt"/>
              <a:ea typeface="+mn-ea"/>
              <a:cs typeface="+mn-cs"/>
            </a:rPr>
            <a:t>1. How Long</a:t>
          </a:r>
          <a:r>
            <a:rPr lang="en-US" b="1"/>
            <a:t> </a:t>
          </a:r>
        </a:p>
        <a:p>
          <a:r>
            <a:rPr lang="en-US" b="0"/>
            <a:t>1</a:t>
          </a:r>
          <a:r>
            <a:rPr lang="en-US" b="0" baseline="0"/>
            <a:t> Year</a:t>
          </a:r>
          <a:endParaRPr lang="en-US" b="0"/>
        </a:p>
        <a:p>
          <a:r>
            <a:rPr lang="en-US" sz="1100" b="1" i="0" u="none" strike="noStrike">
              <a:solidFill>
                <a:schemeClr val="dk1"/>
              </a:solidFill>
              <a:effectLst/>
              <a:latin typeface="+mn-lt"/>
              <a:ea typeface="+mn-ea"/>
              <a:cs typeface="+mn-cs"/>
            </a:rPr>
            <a:t>2. How Many</a:t>
          </a:r>
          <a:r>
            <a:rPr lang="en-US" b="1"/>
            <a:t> </a:t>
          </a:r>
        </a:p>
        <a:p>
          <a:r>
            <a:rPr lang="en-US" b="0"/>
            <a:t>30-40%</a:t>
          </a:r>
        </a:p>
        <a:p>
          <a:r>
            <a:rPr lang="en-US" sz="1100" b="1" i="0" u="none" strike="noStrike">
              <a:solidFill>
                <a:schemeClr val="dk1"/>
              </a:solidFill>
              <a:effectLst/>
              <a:latin typeface="+mn-lt"/>
              <a:ea typeface="+mn-ea"/>
              <a:cs typeface="+mn-cs"/>
            </a:rPr>
            <a:t>3. How Sure Are You?</a:t>
          </a:r>
          <a:r>
            <a:rPr lang="en-US" b="1"/>
            <a:t> </a:t>
          </a:r>
        </a:p>
        <a:p>
          <a:r>
            <a:rPr lang="en-US"/>
            <a:t>Probability seems to be about 80%,</a:t>
          </a:r>
          <a:r>
            <a:rPr lang="en-US" baseline="0"/>
            <a:t> worst case 20% </a:t>
          </a:r>
          <a:endParaRPr lang="en-US"/>
        </a:p>
        <a:p>
          <a:r>
            <a:rPr lang="en-US" sz="1400" b="1" i="0" u="sng" strike="noStrike">
              <a:solidFill>
                <a:schemeClr val="dk1"/>
              </a:solidFill>
              <a:effectLst/>
              <a:latin typeface="+mn-lt"/>
              <a:ea typeface="+mn-ea"/>
              <a:cs typeface="+mn-cs"/>
            </a:rPr>
            <a:t>Market View</a:t>
          </a:r>
          <a:r>
            <a:rPr lang="en-US" sz="1400" b="1" u="sng"/>
            <a:t> </a:t>
          </a:r>
        </a:p>
        <a:p>
          <a:r>
            <a:rPr lang="en-US" sz="1100" b="1" i="0" u="none" strike="noStrike">
              <a:solidFill>
                <a:schemeClr val="dk1"/>
              </a:solidFill>
              <a:effectLst/>
              <a:latin typeface="+mn-lt"/>
              <a:ea typeface="+mn-ea"/>
              <a:cs typeface="+mn-cs"/>
            </a:rPr>
            <a:t>What is the concensus currently and why?</a:t>
          </a:r>
          <a:r>
            <a:rPr lang="en-US" b="1"/>
            <a:t> </a:t>
          </a:r>
        </a:p>
        <a:p>
          <a:r>
            <a:rPr lang="en-US" b="0"/>
            <a:t>Market is vewing Shell as</a:t>
          </a:r>
          <a:r>
            <a:rPr lang="en-US" b="0" baseline="0"/>
            <a:t> in the refinary business. but it has mixed lines mainly focused on LNG but does have Upstream assets. </a:t>
          </a:r>
          <a:endParaRPr lang="en-US" b="0"/>
        </a:p>
        <a:p>
          <a:r>
            <a:rPr lang="en-US" sz="1100" b="1" i="0" u="none" strike="noStrike">
              <a:solidFill>
                <a:schemeClr val="dk1"/>
              </a:solidFill>
              <a:effectLst/>
              <a:latin typeface="+mn-lt"/>
              <a:ea typeface="+mn-ea"/>
              <a:cs typeface="+mn-cs"/>
            </a:rPr>
            <a:t>Current Price</a:t>
          </a:r>
          <a:r>
            <a:rPr lang="en-US" b="1"/>
            <a:t> </a:t>
          </a:r>
        </a:p>
        <a:p>
          <a:r>
            <a:rPr lang="en-US" b="0"/>
            <a:t>$59</a:t>
          </a:r>
        </a:p>
        <a:p>
          <a:r>
            <a:rPr lang="en-US" sz="1100" b="1" i="0" u="none" strike="noStrike">
              <a:solidFill>
                <a:schemeClr val="dk1"/>
              </a:solidFill>
              <a:effectLst/>
              <a:latin typeface="+mn-lt"/>
              <a:ea typeface="+mn-ea"/>
              <a:cs typeface="+mn-cs"/>
            </a:rPr>
            <a:t>What is the most important drivers of customers to the industry and does this company competitively meet these drivers?</a:t>
          </a:r>
          <a:r>
            <a:rPr lang="en-US" b="1"/>
            <a:t> </a:t>
          </a:r>
        </a:p>
        <a:p>
          <a:r>
            <a:rPr lang="en-US"/>
            <a:t>oil price</a:t>
          </a:r>
          <a:r>
            <a:rPr lang="en-US" baseline="0"/>
            <a:t> supply and demand</a:t>
          </a:r>
        </a:p>
        <a:p>
          <a:endParaRPr lang="en-US"/>
        </a:p>
        <a:p>
          <a:r>
            <a:rPr lang="en-US" sz="1400" b="1" i="0" u="sng" strike="noStrike">
              <a:solidFill>
                <a:schemeClr val="dk1"/>
              </a:solidFill>
              <a:effectLst/>
              <a:latin typeface="+mn-lt"/>
              <a:ea typeface="+mn-ea"/>
              <a:cs typeface="+mn-cs"/>
            </a:rPr>
            <a:t>Management/Barriers/Competition</a:t>
          </a:r>
        </a:p>
        <a:p>
          <a:r>
            <a:rPr lang="en-US" sz="1100" b="1" i="0" u="none" strike="noStrike">
              <a:solidFill>
                <a:schemeClr val="dk1"/>
              </a:solidFill>
              <a:effectLst/>
              <a:latin typeface="+mn-lt"/>
              <a:ea typeface="+mn-ea"/>
              <a:cs typeface="+mn-cs"/>
            </a:rPr>
            <a:t>1.</a:t>
          </a:r>
          <a:r>
            <a:rPr lang="en-US" b="1"/>
            <a:t> </a:t>
          </a:r>
          <a:r>
            <a:rPr lang="en-US" sz="1100" b="1" i="0" u="none" strike="noStrike">
              <a:solidFill>
                <a:schemeClr val="dk1"/>
              </a:solidFill>
              <a:effectLst/>
              <a:latin typeface="+mn-lt"/>
              <a:ea typeface="+mn-ea"/>
              <a:cs typeface="+mn-cs"/>
            </a:rPr>
            <a:t>Competition?</a:t>
          </a:r>
          <a:r>
            <a:rPr lang="en-US" b="1"/>
            <a:t> </a:t>
          </a:r>
        </a:p>
        <a:p>
          <a:r>
            <a:rPr lang="en-US" sz="1100" b="1" i="0" u="none" strike="noStrike">
              <a:solidFill>
                <a:schemeClr val="dk1"/>
              </a:solidFill>
              <a:effectLst/>
              <a:latin typeface="+mn-lt"/>
              <a:ea typeface="+mn-ea"/>
              <a:cs typeface="+mn-cs"/>
            </a:rPr>
            <a:t>2.</a:t>
          </a:r>
          <a:r>
            <a:rPr lang="en-US" b="1"/>
            <a:t> </a:t>
          </a:r>
          <a:r>
            <a:rPr lang="en-US" sz="1100" b="1" i="0" u="none" strike="noStrike">
              <a:solidFill>
                <a:schemeClr val="dk1"/>
              </a:solidFill>
              <a:effectLst/>
              <a:latin typeface="+mn-lt"/>
              <a:ea typeface="+mn-ea"/>
              <a:cs typeface="+mn-cs"/>
            </a:rPr>
            <a:t>Suppliers?</a:t>
          </a:r>
          <a:r>
            <a:rPr lang="en-US" b="1"/>
            <a:t> </a:t>
          </a:r>
        </a:p>
        <a:p>
          <a:r>
            <a:rPr lang="en-US" sz="1100" b="1" i="0" u="none" strike="noStrike">
              <a:solidFill>
                <a:schemeClr val="dk1"/>
              </a:solidFill>
              <a:effectLst/>
              <a:latin typeface="+mn-lt"/>
              <a:ea typeface="+mn-ea"/>
              <a:cs typeface="+mn-cs"/>
            </a:rPr>
            <a:t>3.</a:t>
          </a:r>
          <a:r>
            <a:rPr lang="en-US" b="1"/>
            <a:t> </a:t>
          </a:r>
          <a:r>
            <a:rPr lang="en-US" sz="1100" b="1" i="0" u="none" strike="noStrike">
              <a:solidFill>
                <a:schemeClr val="dk1"/>
              </a:solidFill>
              <a:effectLst/>
              <a:latin typeface="+mn-lt"/>
              <a:ea typeface="+mn-ea"/>
              <a:cs typeface="+mn-cs"/>
            </a:rPr>
            <a:t>Durable competitive advantage?</a:t>
          </a:r>
          <a:r>
            <a:rPr lang="en-US" b="1"/>
            <a:t> </a:t>
          </a:r>
        </a:p>
        <a:p>
          <a:r>
            <a:rPr lang="en-US" b="0"/>
            <a:t>They say break evens are at $40 should be solid</a:t>
          </a:r>
        </a:p>
        <a:p>
          <a:r>
            <a:rPr lang="en-US" sz="1100" b="1" i="0" u="none" strike="noStrike">
              <a:solidFill>
                <a:schemeClr val="dk1"/>
              </a:solidFill>
              <a:effectLst/>
              <a:latin typeface="+mn-lt"/>
              <a:ea typeface="+mn-ea"/>
              <a:cs typeface="+mn-cs"/>
            </a:rPr>
            <a:t>4.</a:t>
          </a:r>
          <a:r>
            <a:rPr lang="en-US" b="1"/>
            <a:t> </a:t>
          </a:r>
          <a:r>
            <a:rPr lang="en-US" sz="1100" b="1" i="0" u="none" strike="noStrike">
              <a:solidFill>
                <a:schemeClr val="dk1"/>
              </a:solidFill>
              <a:effectLst/>
              <a:latin typeface="+mn-lt"/>
              <a:ea typeface="+mn-ea"/>
              <a:cs typeface="+mn-cs"/>
            </a:rPr>
            <a:t>Management good?</a:t>
          </a:r>
          <a:r>
            <a:rPr lang="en-US" b="1"/>
            <a:t> </a:t>
          </a:r>
        </a:p>
        <a:p>
          <a:r>
            <a:rPr lang="en-US" b="0"/>
            <a:t>Has market leading ROE, ROA</a:t>
          </a:r>
        </a:p>
        <a:p>
          <a:r>
            <a:rPr lang="en-US" sz="1100" b="1" i="0" u="none" strike="noStrike">
              <a:solidFill>
                <a:schemeClr val="dk1"/>
              </a:solidFill>
              <a:effectLst/>
              <a:latin typeface="+mn-lt"/>
              <a:ea typeface="+mn-ea"/>
              <a:cs typeface="+mn-cs"/>
            </a:rPr>
            <a:t>5.</a:t>
          </a:r>
          <a:r>
            <a:rPr lang="en-US" b="1"/>
            <a:t> </a:t>
          </a:r>
          <a:r>
            <a:rPr lang="en-US" sz="1100" b="1" i="0" u="none" strike="noStrike">
              <a:solidFill>
                <a:schemeClr val="dk1"/>
              </a:solidFill>
              <a:effectLst/>
              <a:latin typeface="+mn-lt"/>
              <a:ea typeface="+mn-ea"/>
              <a:cs typeface="+mn-cs"/>
            </a:rPr>
            <a:t>Price makes sense?</a:t>
          </a:r>
          <a:r>
            <a:rPr lang="en-US" b="1"/>
            <a:t> </a:t>
          </a:r>
        </a:p>
        <a:p>
          <a:r>
            <a:rPr lang="en-US" sz="1100" b="1" i="0" u="none" strike="noStrike">
              <a:solidFill>
                <a:schemeClr val="dk1"/>
              </a:solidFill>
              <a:effectLst/>
              <a:latin typeface="+mn-lt"/>
              <a:ea typeface="+mn-ea"/>
              <a:cs typeface="+mn-cs"/>
            </a:rPr>
            <a:t>6.</a:t>
          </a:r>
          <a:r>
            <a:rPr lang="en-US" b="1"/>
            <a:t> </a:t>
          </a:r>
          <a:r>
            <a:rPr lang="en-US" sz="1100" b="1" i="0" u="none" strike="noStrike">
              <a:solidFill>
                <a:schemeClr val="dk1"/>
              </a:solidFill>
              <a:effectLst/>
              <a:latin typeface="+mn-lt"/>
              <a:ea typeface="+mn-ea"/>
              <a:cs typeface="+mn-cs"/>
            </a:rPr>
            <a:t>Margin of safety?</a:t>
          </a:r>
          <a:r>
            <a:rPr lang="en-US" b="1"/>
            <a:t> </a:t>
          </a:r>
        </a:p>
        <a:p>
          <a:r>
            <a:rPr lang="en-US" sz="1100" b="1" i="0" u="none" strike="noStrike">
              <a:solidFill>
                <a:schemeClr val="dk1"/>
              </a:solidFill>
              <a:effectLst/>
              <a:latin typeface="+mn-lt"/>
              <a:ea typeface="+mn-ea"/>
              <a:cs typeface="+mn-cs"/>
            </a:rPr>
            <a:t>7.</a:t>
          </a:r>
          <a:r>
            <a:rPr lang="en-US" b="1"/>
            <a:t> </a:t>
          </a:r>
          <a:r>
            <a:rPr lang="en-US" sz="1100" b="1" i="0" u="none" strike="noStrike">
              <a:solidFill>
                <a:schemeClr val="dk1"/>
              </a:solidFill>
              <a:effectLst/>
              <a:latin typeface="+mn-lt"/>
              <a:ea typeface="+mn-ea"/>
              <a:cs typeface="+mn-cs"/>
            </a:rPr>
            <a:t>Are the odds in your favor?</a:t>
          </a:r>
          <a:r>
            <a:rPr lang="en-US" b="1"/>
            <a:t> </a:t>
          </a:r>
        </a:p>
        <a:p>
          <a:r>
            <a:rPr lang="en-US" b="0"/>
            <a:t>Undervalued,</a:t>
          </a:r>
          <a:r>
            <a:rPr lang="en-US" b="0" baseline="0"/>
            <a:t> dividend play and upside</a:t>
          </a:r>
          <a:endParaRPr lang="en-US" b="0"/>
        </a:p>
        <a:p>
          <a:r>
            <a:rPr lang="en-US" sz="1100" b="1" i="0" u="none" strike="noStrike">
              <a:solidFill>
                <a:schemeClr val="dk1"/>
              </a:solidFill>
              <a:effectLst/>
              <a:latin typeface="+mn-lt"/>
              <a:ea typeface="+mn-ea"/>
              <a:cs typeface="+mn-cs"/>
            </a:rPr>
            <a:t>8.</a:t>
          </a:r>
          <a:r>
            <a:rPr lang="en-US" b="1"/>
            <a:t> </a:t>
          </a:r>
          <a:r>
            <a:rPr lang="en-US" sz="1100" b="1" i="0" u="none" strike="noStrike">
              <a:solidFill>
                <a:schemeClr val="dk1"/>
              </a:solidFill>
              <a:effectLst/>
              <a:latin typeface="+mn-lt"/>
              <a:ea typeface="+mn-ea"/>
              <a:cs typeface="+mn-cs"/>
            </a:rPr>
            <a:t>Regulatory climate?</a:t>
          </a:r>
          <a:r>
            <a:rPr lang="en-US" b="1"/>
            <a:t> </a:t>
          </a:r>
        </a:p>
        <a:p>
          <a:r>
            <a:rPr lang="en-US" sz="1100" b="1" i="0" u="none" strike="noStrike">
              <a:solidFill>
                <a:schemeClr val="dk1"/>
              </a:solidFill>
              <a:effectLst/>
              <a:latin typeface="+mn-lt"/>
              <a:ea typeface="+mn-ea"/>
              <a:cs typeface="+mn-cs"/>
            </a:rPr>
            <a:t>9.</a:t>
          </a:r>
          <a:r>
            <a:rPr lang="en-US" b="1"/>
            <a:t> </a:t>
          </a:r>
          <a:r>
            <a:rPr lang="en-US" sz="1100" b="1" i="0" u="none" strike="noStrike">
              <a:solidFill>
                <a:schemeClr val="dk1"/>
              </a:solidFill>
              <a:effectLst/>
              <a:latin typeface="+mn-lt"/>
              <a:ea typeface="+mn-ea"/>
              <a:cs typeface="+mn-cs"/>
            </a:rPr>
            <a:t>State of labor?</a:t>
          </a:r>
          <a:r>
            <a:rPr lang="en-US" b="1"/>
            <a:t> </a:t>
          </a:r>
        </a:p>
        <a:p>
          <a:r>
            <a:rPr lang="en-US" sz="1100" b="1" i="0" u="none" strike="noStrike">
              <a:solidFill>
                <a:schemeClr val="dk1"/>
              </a:solidFill>
              <a:effectLst/>
              <a:latin typeface="+mn-lt"/>
              <a:ea typeface="+mn-ea"/>
              <a:cs typeface="+mn-cs"/>
            </a:rPr>
            <a:t>10.</a:t>
          </a:r>
          <a:r>
            <a:rPr lang="en-US" b="1"/>
            <a:t> </a:t>
          </a:r>
          <a:r>
            <a:rPr lang="en-US" sz="1100" b="1" i="0" u="none" strike="noStrike">
              <a:solidFill>
                <a:schemeClr val="dk1"/>
              </a:solidFill>
              <a:effectLst/>
              <a:latin typeface="+mn-lt"/>
              <a:ea typeface="+mn-ea"/>
              <a:cs typeface="+mn-cs"/>
            </a:rPr>
            <a:t>Customer relations</a:t>
          </a:r>
          <a:r>
            <a:rPr lang="en-US" b="1"/>
            <a:t> </a:t>
          </a:r>
        </a:p>
        <a:p>
          <a:r>
            <a:rPr lang="en-US" sz="1100" b="1" i="0" u="none" strike="noStrike">
              <a:solidFill>
                <a:schemeClr val="dk1"/>
              </a:solidFill>
              <a:effectLst/>
              <a:latin typeface="+mn-lt"/>
              <a:ea typeface="+mn-ea"/>
              <a:cs typeface="+mn-cs"/>
            </a:rPr>
            <a:t>11.</a:t>
          </a:r>
          <a:r>
            <a:rPr lang="en-US" b="1"/>
            <a:t> </a:t>
          </a:r>
          <a:r>
            <a:rPr lang="en-US" sz="1100" b="1" i="0" u="none" strike="noStrike">
              <a:solidFill>
                <a:schemeClr val="dk1"/>
              </a:solidFill>
              <a:effectLst/>
              <a:latin typeface="+mn-lt"/>
              <a:ea typeface="+mn-ea"/>
              <a:cs typeface="+mn-cs"/>
            </a:rPr>
            <a:t>Potential impact of changes in technology</a:t>
          </a:r>
          <a:r>
            <a:rPr lang="en-US" b="1"/>
            <a:t> </a:t>
          </a:r>
        </a:p>
        <a:p>
          <a:r>
            <a:rPr lang="en-US" sz="1100" b="1" i="0" u="none" strike="noStrike">
              <a:solidFill>
                <a:schemeClr val="dk1"/>
              </a:solidFill>
              <a:effectLst/>
              <a:latin typeface="+mn-lt"/>
              <a:ea typeface="+mn-ea"/>
              <a:cs typeface="+mn-cs"/>
            </a:rPr>
            <a:t>12.</a:t>
          </a:r>
          <a:r>
            <a:rPr lang="en-US" b="1"/>
            <a:t> </a:t>
          </a:r>
          <a:r>
            <a:rPr lang="en-US" sz="1100" b="1" i="0" u="none" strike="noStrike">
              <a:solidFill>
                <a:schemeClr val="dk1"/>
              </a:solidFill>
              <a:effectLst/>
              <a:latin typeface="+mn-lt"/>
              <a:ea typeface="+mn-ea"/>
              <a:cs typeface="+mn-cs"/>
            </a:rPr>
            <a:t>Vulnerabilities</a:t>
          </a:r>
          <a:r>
            <a:rPr lang="en-US" b="1"/>
            <a:t> </a:t>
          </a:r>
        </a:p>
        <a:p>
          <a:r>
            <a:rPr lang="en-US" sz="1100" b="1" i="0" u="none" strike="noStrike">
              <a:solidFill>
                <a:schemeClr val="dk1"/>
              </a:solidFill>
              <a:effectLst/>
              <a:latin typeface="+mn-lt"/>
              <a:ea typeface="+mn-ea"/>
              <a:cs typeface="+mn-cs"/>
            </a:rPr>
            <a:t>13.</a:t>
          </a:r>
          <a:r>
            <a:rPr lang="en-US" b="1"/>
            <a:t> </a:t>
          </a:r>
          <a:r>
            <a:rPr lang="en-US" sz="1100" b="1" i="0" u="none" strike="noStrike">
              <a:solidFill>
                <a:schemeClr val="dk1"/>
              </a:solidFill>
              <a:effectLst/>
              <a:latin typeface="+mn-lt"/>
              <a:ea typeface="+mn-ea"/>
              <a:cs typeface="+mn-cs"/>
            </a:rPr>
            <a:t>Pricing power</a:t>
          </a:r>
          <a:r>
            <a:rPr lang="en-US" b="1"/>
            <a:t> </a:t>
          </a:r>
        </a:p>
        <a:p>
          <a:r>
            <a:rPr lang="en-US" b="0"/>
            <a:t>Strong pricing power, not sure why people</a:t>
          </a:r>
          <a:r>
            <a:rPr lang="en-US" b="0" baseline="0"/>
            <a:t> agree to indexed priced with oil but it has nothing to do with oil. They said its gonna be stable into 2025 with contracts</a:t>
          </a:r>
          <a:endParaRPr lang="en-US" b="0"/>
        </a:p>
        <a:p>
          <a:r>
            <a:rPr lang="en-US" sz="1100" b="1" i="0" u="none" strike="noStrike">
              <a:solidFill>
                <a:schemeClr val="dk1"/>
              </a:solidFill>
              <a:effectLst/>
              <a:latin typeface="+mn-lt"/>
              <a:ea typeface="+mn-ea"/>
              <a:cs typeface="+mn-cs"/>
            </a:rPr>
            <a:t>14.</a:t>
          </a:r>
          <a:r>
            <a:rPr lang="en-US" b="1"/>
            <a:t> </a:t>
          </a:r>
          <a:r>
            <a:rPr lang="en-US" sz="1100" b="1" i="0" u="none" strike="noStrike">
              <a:solidFill>
                <a:schemeClr val="dk1"/>
              </a:solidFill>
              <a:effectLst/>
              <a:latin typeface="+mn-lt"/>
              <a:ea typeface="+mn-ea"/>
              <a:cs typeface="+mn-cs"/>
            </a:rPr>
            <a:t>Scalability</a:t>
          </a:r>
          <a:r>
            <a:rPr lang="en-US" b="1"/>
            <a:t> </a:t>
          </a:r>
        </a:p>
        <a:p>
          <a:r>
            <a:rPr lang="en-US" sz="1100" b="1" i="0" u="none" strike="noStrike">
              <a:solidFill>
                <a:schemeClr val="dk1"/>
              </a:solidFill>
              <a:effectLst/>
              <a:latin typeface="+mn-lt"/>
              <a:ea typeface="+mn-ea"/>
              <a:cs typeface="+mn-cs"/>
            </a:rPr>
            <a:t>16.</a:t>
          </a:r>
          <a:r>
            <a:rPr lang="en-US" b="1"/>
            <a:t> </a:t>
          </a:r>
          <a:r>
            <a:rPr lang="en-US" sz="1100" b="1" i="0" u="none" strike="noStrike">
              <a:solidFill>
                <a:schemeClr val="dk1"/>
              </a:solidFill>
              <a:effectLst/>
              <a:latin typeface="+mn-lt"/>
              <a:ea typeface="+mn-ea"/>
              <a:cs typeface="+mn-cs"/>
            </a:rPr>
            <a:t>Do you need a good lord?</a:t>
          </a:r>
          <a:r>
            <a:rPr lang="en-US" b="1"/>
            <a:t> </a:t>
          </a:r>
        </a:p>
        <a:p>
          <a:r>
            <a:rPr lang="en-US" sz="1100" b="1" i="0" u="none" strike="noStrike">
              <a:solidFill>
                <a:schemeClr val="dk1"/>
              </a:solidFill>
              <a:effectLst/>
              <a:latin typeface="+mn-lt"/>
              <a:ea typeface="+mn-ea"/>
              <a:cs typeface="+mn-cs"/>
            </a:rPr>
            <a:t>17.</a:t>
          </a:r>
          <a:r>
            <a:rPr lang="en-US" b="1"/>
            <a:t> </a:t>
          </a:r>
          <a:r>
            <a:rPr lang="en-US" sz="1100" b="1" i="0" u="none" strike="noStrike">
              <a:solidFill>
                <a:schemeClr val="dk1"/>
              </a:solidFill>
              <a:effectLst/>
              <a:latin typeface="+mn-lt"/>
              <a:ea typeface="+mn-ea"/>
              <a:cs typeface="+mn-cs"/>
            </a:rPr>
            <a:t>Where does the capital go?</a:t>
          </a:r>
          <a:r>
            <a:rPr lang="en-US" b="1"/>
            <a:t> </a:t>
          </a:r>
        </a:p>
        <a:p>
          <a:r>
            <a:rPr lang="en-US" sz="1100" b="1" i="0" u="none" strike="noStrike">
              <a:solidFill>
                <a:schemeClr val="dk1"/>
              </a:solidFill>
              <a:effectLst/>
              <a:latin typeface="+mn-lt"/>
              <a:ea typeface="+mn-ea"/>
              <a:cs typeface="+mn-cs"/>
            </a:rPr>
            <a:t>18.</a:t>
          </a:r>
          <a:r>
            <a:rPr lang="en-US" b="1"/>
            <a:t> </a:t>
          </a:r>
          <a:r>
            <a:rPr lang="en-US" sz="1100" b="1" i="0" u="none" strike="noStrike">
              <a:solidFill>
                <a:schemeClr val="dk1"/>
              </a:solidFill>
              <a:effectLst/>
              <a:latin typeface="+mn-lt"/>
              <a:ea typeface="+mn-ea"/>
              <a:cs typeface="+mn-cs"/>
            </a:rPr>
            <a:t>Consider potential second order and higher level impacts</a:t>
          </a:r>
          <a:r>
            <a:rPr lang="en-US" b="1"/>
            <a:t> </a:t>
          </a:r>
        </a:p>
        <a:p>
          <a:r>
            <a:rPr lang="en-US" sz="1100" b="1" i="0" u="none" strike="noStrike">
              <a:solidFill>
                <a:schemeClr val="dk1"/>
              </a:solidFill>
              <a:effectLst/>
              <a:latin typeface="+mn-lt"/>
              <a:ea typeface="+mn-ea"/>
              <a:cs typeface="+mn-cs"/>
            </a:rPr>
            <a:t>19.</a:t>
          </a:r>
          <a:r>
            <a:rPr lang="en-US" b="1"/>
            <a:t> </a:t>
          </a:r>
          <a:r>
            <a:rPr lang="en-US" sz="1100" b="1" i="0" u="none" strike="noStrike">
              <a:solidFill>
                <a:schemeClr val="dk1"/>
              </a:solidFill>
              <a:effectLst/>
              <a:latin typeface="+mn-lt"/>
              <a:ea typeface="+mn-ea"/>
              <a:cs typeface="+mn-cs"/>
            </a:rPr>
            <a:t>Is the dividend safe?</a:t>
          </a:r>
          <a:r>
            <a:rPr lang="en-US" b="1"/>
            <a:t> </a:t>
          </a:r>
          <a:r>
            <a:rPr lang="en-US" sz="1100" b="1" i="0" u="none" strike="noStrike">
              <a:solidFill>
                <a:schemeClr val="dk1"/>
              </a:solidFill>
              <a:effectLst/>
              <a:latin typeface="+mn-lt"/>
              <a:ea typeface="+mn-ea"/>
              <a:cs typeface="+mn-cs"/>
            </a:rPr>
            <a:t>20</a:t>
          </a:r>
          <a:r>
            <a:rPr lang="en-US" b="1"/>
            <a:t> </a:t>
          </a:r>
          <a:r>
            <a:rPr lang="en-US" sz="1100" b="1" i="0" u="none" strike="noStrike">
              <a:solidFill>
                <a:schemeClr val="dk1"/>
              </a:solidFill>
              <a:effectLst/>
              <a:latin typeface="+mn-lt"/>
              <a:ea typeface="+mn-ea"/>
              <a:cs typeface="+mn-cs"/>
            </a:rPr>
            <a:t>Will this dividend grow?</a:t>
          </a:r>
          <a:r>
            <a:rPr lang="en-US" b="1"/>
            <a:t> </a:t>
          </a:r>
        </a:p>
        <a:p>
          <a:r>
            <a:rPr lang="en-US" sz="1100" b="1" i="0" u="none" strike="noStrike">
              <a:solidFill>
                <a:schemeClr val="dk1"/>
              </a:solidFill>
              <a:effectLst/>
              <a:latin typeface="+mn-lt"/>
              <a:ea typeface="+mn-ea"/>
              <a:cs typeface="+mn-cs"/>
            </a:rPr>
            <a:t>21.</a:t>
          </a:r>
          <a:r>
            <a:rPr lang="en-US" b="1"/>
            <a:t> </a:t>
          </a:r>
          <a:r>
            <a:rPr lang="en-US" sz="1100" b="1" i="0" u="none" strike="noStrike">
              <a:solidFill>
                <a:schemeClr val="dk1"/>
              </a:solidFill>
              <a:effectLst/>
              <a:latin typeface="+mn-lt"/>
              <a:ea typeface="+mn-ea"/>
              <a:cs typeface="+mn-cs"/>
            </a:rPr>
            <a:t>What does this dividend stream stand to return to me as a shareholder?</a:t>
          </a:r>
        </a:p>
        <a:p>
          <a:r>
            <a:rPr lang="en-US" sz="1100" b="1" i="0" u="none" strike="noStrike">
              <a:solidFill>
                <a:schemeClr val="dk1"/>
              </a:solidFill>
              <a:effectLst/>
              <a:latin typeface="+mn-lt"/>
              <a:ea typeface="+mn-ea"/>
              <a:cs typeface="+mn-cs"/>
            </a:rPr>
            <a:t>22.</a:t>
          </a:r>
          <a:r>
            <a:rPr lang="en-US" b="1"/>
            <a:t> </a:t>
          </a:r>
          <a:r>
            <a:rPr lang="en-US" sz="1100" b="1" i="0" u="none" strike="noStrike">
              <a:solidFill>
                <a:schemeClr val="dk1"/>
              </a:solidFill>
              <a:effectLst/>
              <a:latin typeface="+mn-lt"/>
              <a:ea typeface="+mn-ea"/>
              <a:cs typeface="+mn-cs"/>
            </a:rPr>
            <a:t>Have margins been consistent and high relative to its industry?</a:t>
          </a:r>
          <a:r>
            <a:rPr lang="en-US" b="1"/>
            <a:t> </a:t>
          </a:r>
        </a:p>
        <a:p>
          <a:r>
            <a:rPr lang="en-US" sz="1100" b="1" i="0" u="none" strike="noStrike">
              <a:solidFill>
                <a:schemeClr val="dk1"/>
              </a:solidFill>
              <a:effectLst/>
              <a:latin typeface="+mn-lt"/>
              <a:ea typeface="+mn-ea"/>
              <a:cs typeface="+mn-cs"/>
            </a:rPr>
            <a:t>23.</a:t>
          </a:r>
          <a:r>
            <a:rPr lang="en-US" b="1"/>
            <a:t> </a:t>
          </a:r>
          <a:r>
            <a:rPr lang="en-US" sz="1100" b="1" i="0" u="none" strike="noStrike">
              <a:solidFill>
                <a:schemeClr val="dk1"/>
              </a:solidFill>
              <a:effectLst/>
              <a:latin typeface="+mn-lt"/>
              <a:ea typeface="+mn-ea"/>
              <a:cs typeface="+mn-cs"/>
            </a:rPr>
            <a:t>Return on equity relative to industry?</a:t>
          </a:r>
          <a:r>
            <a:rPr lang="en-US" b="1"/>
            <a:t> </a:t>
          </a:r>
        </a:p>
        <a:p>
          <a:r>
            <a:rPr lang="en-US" sz="1100" b="1" i="0" u="none" strike="noStrike">
              <a:solidFill>
                <a:schemeClr val="dk1"/>
              </a:solidFill>
              <a:effectLst/>
              <a:latin typeface="+mn-lt"/>
              <a:ea typeface="+mn-ea"/>
              <a:cs typeface="+mn-cs"/>
            </a:rPr>
            <a:t>24.</a:t>
          </a:r>
          <a:r>
            <a:rPr lang="en-US" b="1"/>
            <a:t> </a:t>
          </a:r>
          <a:r>
            <a:rPr lang="en-US" sz="1100" b="1" i="0" u="none" strike="noStrike">
              <a:solidFill>
                <a:schemeClr val="dk1"/>
              </a:solidFill>
              <a:effectLst/>
              <a:latin typeface="+mn-lt"/>
              <a:ea typeface="+mn-ea"/>
              <a:cs typeface="+mn-cs"/>
            </a:rPr>
            <a:t>Is there a lot of entry and exits within the industry? If not its strong - if so very competitive market</a:t>
          </a:r>
          <a:r>
            <a:rPr lang="en-US" b="1"/>
            <a:t> </a:t>
          </a:r>
        </a:p>
        <a:p>
          <a:r>
            <a:rPr lang="en-US" sz="1100" b="1" i="0" u="none" strike="noStrike">
              <a:solidFill>
                <a:schemeClr val="dk1"/>
              </a:solidFill>
              <a:effectLst/>
              <a:latin typeface="+mn-lt"/>
              <a:ea typeface="+mn-ea"/>
              <a:cs typeface="+mn-cs"/>
            </a:rPr>
            <a:t>25.</a:t>
          </a:r>
          <a:r>
            <a:rPr lang="en-US" b="1"/>
            <a:t> </a:t>
          </a:r>
          <a:r>
            <a:rPr lang="en-US" sz="1100" b="1" i="0" u="none" strike="noStrike">
              <a:solidFill>
                <a:schemeClr val="dk1"/>
              </a:solidFill>
              <a:effectLst/>
              <a:latin typeface="+mn-lt"/>
              <a:ea typeface="+mn-ea"/>
              <a:cs typeface="+mn-cs"/>
            </a:rPr>
            <a:t>How dominate?</a:t>
          </a:r>
          <a:r>
            <a:rPr lang="en-US" b="1"/>
            <a:t> </a:t>
          </a:r>
        </a:p>
        <a:p>
          <a:r>
            <a:rPr lang="en-US" sz="1100" b="1" i="0" u="none" strike="noStrike">
              <a:solidFill>
                <a:schemeClr val="dk1"/>
              </a:solidFill>
              <a:effectLst/>
              <a:latin typeface="+mn-lt"/>
              <a:ea typeface="+mn-ea"/>
              <a:cs typeface="+mn-cs"/>
            </a:rPr>
            <a:t>26.</a:t>
          </a:r>
          <a:r>
            <a:rPr lang="en-US" b="1"/>
            <a:t> </a:t>
          </a:r>
          <a:r>
            <a:rPr lang="en-US" sz="1100" b="1" i="0" u="none" strike="noStrike">
              <a:solidFill>
                <a:schemeClr val="dk1"/>
              </a:solidFill>
              <a:effectLst/>
              <a:latin typeface="+mn-lt"/>
              <a:ea typeface="+mn-ea"/>
              <a:cs typeface="+mn-cs"/>
            </a:rPr>
            <a:t>Market Share?</a:t>
          </a:r>
          <a:r>
            <a:rPr lang="en-US" b="1"/>
            <a:t> </a:t>
          </a:r>
        </a:p>
        <a:p>
          <a:r>
            <a:rPr lang="en-US" b="0"/>
            <a:t>22</a:t>
          </a:r>
          <a:r>
            <a:rPr lang="en-US" b="0" baseline="0"/>
            <a:t>% of LNG market share, market leader</a:t>
          </a:r>
          <a:endParaRPr lang="en-US" b="0"/>
        </a:p>
        <a:p>
          <a:r>
            <a:rPr lang="en-US" sz="1100" b="1" i="0" u="none" strike="noStrike">
              <a:solidFill>
                <a:schemeClr val="dk1"/>
              </a:solidFill>
              <a:effectLst/>
              <a:latin typeface="+mn-lt"/>
              <a:ea typeface="+mn-ea"/>
              <a:cs typeface="+mn-cs"/>
            </a:rPr>
            <a:t>27.</a:t>
          </a:r>
          <a:r>
            <a:rPr lang="en-US" b="1"/>
            <a:t> </a:t>
          </a:r>
          <a:r>
            <a:rPr lang="en-US" sz="1100" b="1" i="0" u="none" strike="noStrike">
              <a:solidFill>
                <a:schemeClr val="dk1"/>
              </a:solidFill>
              <a:effectLst/>
              <a:latin typeface="+mn-lt"/>
              <a:ea typeface="+mn-ea"/>
              <a:cs typeface="+mn-cs"/>
            </a:rPr>
            <a:t>High switch costs / habits / search cost of replacement</a:t>
          </a:r>
          <a:r>
            <a:rPr lang="en-US" b="1"/>
            <a:t> </a:t>
          </a:r>
        </a:p>
        <a:p>
          <a:r>
            <a:rPr lang="en-US" b="0"/>
            <a:t>Takes</a:t>
          </a:r>
          <a:r>
            <a:rPr lang="en-US" b="0" baseline="0"/>
            <a:t> years to build LNG plant</a:t>
          </a:r>
          <a:endParaRPr lang="en-US" b="0"/>
        </a:p>
        <a:p>
          <a:endParaRPr lang="en-US" sz="1100" b="0" i="0" u="sng" strike="noStrike">
            <a:solidFill>
              <a:schemeClr val="dk1"/>
            </a:solidFill>
            <a:effectLst/>
            <a:latin typeface="+mn-lt"/>
            <a:ea typeface="+mn-ea"/>
            <a:cs typeface="+mn-cs"/>
          </a:endParaRPr>
        </a:p>
        <a:p>
          <a:r>
            <a:rPr lang="en-US" sz="1100" b="0" i="0" u="sng" strike="noStrike">
              <a:solidFill>
                <a:schemeClr val="dk1"/>
              </a:solidFill>
              <a:effectLst/>
              <a:latin typeface="+mn-lt"/>
              <a:ea typeface="+mn-ea"/>
              <a:cs typeface="+mn-cs"/>
            </a:rPr>
            <a:t>Macro-View</a:t>
          </a:r>
          <a:r>
            <a:rPr lang="en-US"/>
            <a:t> </a:t>
          </a:r>
          <a:r>
            <a:rPr lang="en-US" sz="1100" b="0" i="0" u="none" strike="noStrike">
              <a:solidFill>
                <a:schemeClr val="dk1"/>
              </a:solidFill>
              <a:effectLst/>
              <a:latin typeface="+mn-lt"/>
              <a:ea typeface="+mn-ea"/>
              <a:cs typeface="+mn-cs"/>
            </a:rPr>
            <a:t>after-tax corporate profits as a percentage of national income (GDP similar) - historically it's 4.9%</a:t>
          </a:r>
        </a:p>
        <a:p>
          <a:endParaRPr lang="en-US" sz="1100" b="0" i="0" u="none" strike="noStrike">
            <a:solidFill>
              <a:schemeClr val="dk1"/>
            </a:solidFill>
            <a:effectLst/>
            <a:latin typeface="+mn-lt"/>
            <a:ea typeface="+mn-ea"/>
            <a:cs typeface="+mn-cs"/>
          </a:endParaRPr>
        </a:p>
        <a:p>
          <a:r>
            <a:rPr lang="en-US"/>
            <a:t> </a:t>
          </a:r>
          <a:r>
            <a:rPr lang="en-US" sz="1100" b="0" i="0" u="none" strike="noStrike">
              <a:solidFill>
                <a:schemeClr val="dk1"/>
              </a:solidFill>
              <a:effectLst/>
              <a:latin typeface="+mn-lt"/>
              <a:ea typeface="+mn-ea"/>
              <a:cs typeface="+mn-cs"/>
            </a:rPr>
            <a:t>“Patience … followed by pretty aggressive conduct. It is given to human beings who work hard at it—who look and sift the world for a mispriced bet — that they can occasionally find one. And the wise ones bet heavily when the world offers them that opportunity. They bet big when they have the odds. And the rest of the time, they don’t. It’s just that simple.” – Charlie Munger</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“Over the past 50 years we lived through the best time of human history. It is likely to get worse. I recommend you to prepare for worse because pleasant surprises are easy to handle.”– Charlie Munger  </a:t>
          </a:r>
          <a:r>
            <a:rPr lang="en-US"/>
            <a:t> </a:t>
          </a:r>
        </a:p>
        <a:p>
          <a:endParaRPr lang="en-US" sz="1100"/>
        </a:p>
      </xdr:txBody>
    </xdr:sp>
    <xdr:clientData/>
  </xdr:twoCellAnchor>
  <xdr:twoCellAnchor>
    <xdr:from>
      <xdr:col>10</xdr:col>
      <xdr:colOff>352425</xdr:colOff>
      <xdr:row>57</xdr:row>
      <xdr:rowOff>47624</xdr:rowOff>
    </xdr:from>
    <xdr:to>
      <xdr:col>15</xdr:col>
      <xdr:colOff>542925</xdr:colOff>
      <xdr:row>80</xdr:row>
      <xdr:rowOff>133350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7791450" y="9248774"/>
          <a:ext cx="4924425" cy="4038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Date: 11/21/2019</a:t>
          </a:r>
        </a:p>
        <a:p>
          <a:r>
            <a:rPr lang="en-US" sz="1100"/>
            <a:t>Notes: </a:t>
          </a:r>
        </a:p>
        <a:p>
          <a:r>
            <a:rPr lang="en-US" sz="1100"/>
            <a:t>Integrated gas = LNG,</a:t>
          </a:r>
          <a:r>
            <a:rPr lang="en-US" sz="1100" baseline="0"/>
            <a:t> natural gas, exploration and extraction and conversions</a:t>
          </a:r>
        </a:p>
        <a:p>
          <a:r>
            <a:rPr lang="en-US" sz="1100" b="0" i="0">
              <a:solidFill>
                <a:schemeClr val="dk1"/>
              </a:solidFill>
              <a:effectLst/>
              <a:latin typeface="+mn-lt"/>
              <a:ea typeface="+mn-ea"/>
              <a:cs typeface="+mn-cs"/>
            </a:rPr>
            <a:t>The pricing of more than 80% of these term contracts is linked to the oil price, typically with three to six months’ time lag.</a:t>
          </a:r>
        </a:p>
        <a:p>
          <a:endParaRPr lang="en-US" sz="1100" baseline="0"/>
        </a:p>
        <a:p>
          <a:r>
            <a:rPr lang="en-US" sz="1100" b="0" i="0">
              <a:solidFill>
                <a:schemeClr val="dk1"/>
              </a:solidFill>
              <a:effectLst/>
              <a:latin typeface="+mn-lt"/>
              <a:ea typeface="+mn-ea"/>
              <a:cs typeface="+mn-cs"/>
            </a:rPr>
            <a:t>current weak spot LNG prices have little impact on profitability in our business, with the oil price remaining the main macro driver for the Integrated Gas results.</a:t>
          </a:r>
        </a:p>
        <a:p>
          <a:endParaRPr lang="en-US" sz="1100" b="0" i="0">
            <a:solidFill>
              <a:schemeClr val="dk1"/>
            </a:solidFill>
            <a:effectLst/>
            <a:latin typeface="+mn-lt"/>
            <a:ea typeface="+mn-ea"/>
            <a:cs typeface="+mn-cs"/>
          </a:endParaRPr>
        </a:p>
        <a:p>
          <a:r>
            <a:rPr lang="en-US"/>
            <a:t>It would be extremely unusual for the underlying price indexation to change. From the price reviews that are currently ongoing in our portfolio, we do not expect a significant impact on this or next year’s results. Our 2025 cash flow outlook already takes into account anticipated changes from price reviews, where required. </a:t>
          </a:r>
        </a:p>
        <a:p>
          <a:endParaRPr lang="en-US" sz="1100"/>
        </a:p>
        <a:p>
          <a:r>
            <a:rPr lang="en-US" sz="1100"/>
            <a:t>Shell</a:t>
          </a:r>
          <a:r>
            <a:rPr lang="en-US" sz="1100" baseline="0"/>
            <a:t> has an advantage with pricing, in a down market they will do fine so the main key is macro conditions and if oil goes high. But if it doesn't they have refining and retail to stablizize and they have LNG. So if oil doesn't go high they should be okay because LNG, retail, and refining don't depend on that for higher returns. </a:t>
          </a:r>
        </a:p>
        <a:p>
          <a:endParaRPr lang="en-US" sz="1100" baseline="0"/>
        </a:p>
        <a:p>
          <a:r>
            <a:rPr lang="en-US" sz="1100" baseline="0"/>
            <a:t>Resilent growth funnel with a competitive average delivered ex ship into Asia cost below $7/MMBtu</a:t>
          </a:r>
        </a:p>
        <a:p>
          <a:endParaRPr lang="en-US" sz="1100" baseline="0"/>
        </a:p>
        <a:p>
          <a:r>
            <a:rPr lang="en-US" sz="1100" baseline="0"/>
            <a:t>Breakevens in Argentina $35</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73</xdr:row>
      <xdr:rowOff>104774</xdr:rowOff>
    </xdr:from>
    <xdr:to>
      <xdr:col>21</xdr:col>
      <xdr:colOff>504825</xdr:colOff>
      <xdr:row>150</xdr:row>
      <xdr:rowOff>104774</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428625" y="11934824"/>
          <a:ext cx="16563975" cy="12506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sng" strike="noStrike">
              <a:solidFill>
                <a:schemeClr val="dk1"/>
              </a:solidFill>
              <a:effectLst/>
              <a:latin typeface="+mn-lt"/>
              <a:ea typeface="+mn-ea"/>
              <a:cs typeface="+mn-cs"/>
            </a:rPr>
            <a:t>Investment Question</a:t>
          </a:r>
          <a:r>
            <a:rPr lang="en-US" sz="1400" b="1" u="sng"/>
            <a:t> - Thesis</a:t>
          </a:r>
        </a:p>
        <a:p>
          <a:r>
            <a:rPr lang="en-US" sz="1100" b="1" i="0" u="none" strike="noStrike">
              <a:solidFill>
                <a:schemeClr val="dk1"/>
              </a:solidFill>
              <a:effectLst/>
              <a:latin typeface="+mn-lt"/>
              <a:ea typeface="+mn-ea"/>
              <a:cs typeface="+mn-cs"/>
            </a:rPr>
            <a:t>1. How Long</a:t>
          </a:r>
          <a:r>
            <a:rPr lang="en-US" b="1"/>
            <a:t> </a:t>
          </a:r>
        </a:p>
        <a:p>
          <a:r>
            <a:rPr lang="en-US" b="0"/>
            <a:t>2-3</a:t>
          </a:r>
          <a:r>
            <a:rPr lang="en-US" b="0" baseline="0"/>
            <a:t> Years </a:t>
          </a:r>
          <a:endParaRPr lang="en-US" b="0"/>
        </a:p>
        <a:p>
          <a:r>
            <a:rPr lang="en-US" sz="1100" b="1" i="0" u="none" strike="noStrike">
              <a:solidFill>
                <a:schemeClr val="dk1"/>
              </a:solidFill>
              <a:effectLst/>
              <a:latin typeface="+mn-lt"/>
              <a:ea typeface="+mn-ea"/>
              <a:cs typeface="+mn-cs"/>
            </a:rPr>
            <a:t>2. How Many</a:t>
          </a:r>
          <a:r>
            <a:rPr lang="en-US" b="1"/>
            <a:t> </a:t>
          </a:r>
        </a:p>
        <a:p>
          <a:r>
            <a:rPr lang="en-US" b="0"/>
            <a:t>100% - 500%</a:t>
          </a:r>
        </a:p>
        <a:p>
          <a:r>
            <a:rPr lang="en-US" sz="1100" b="1" i="0" u="none" strike="noStrike">
              <a:solidFill>
                <a:schemeClr val="dk1"/>
              </a:solidFill>
              <a:effectLst/>
              <a:latin typeface="+mn-lt"/>
              <a:ea typeface="+mn-ea"/>
              <a:cs typeface="+mn-cs"/>
            </a:rPr>
            <a:t>3. How Sure Are You?</a:t>
          </a:r>
          <a:r>
            <a:rPr lang="en-US" b="1"/>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Government risk is the largest risk, new president is anti-companies. They have laws if the country gets bad they have price controls for oil limiting profitability and they have export tax currently….</a:t>
          </a:r>
          <a:r>
            <a:rPr lang="en-US"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Current</a:t>
          </a:r>
          <a:r>
            <a:rPr lang="en-US" sz="1100" baseline="0">
              <a:solidFill>
                <a:schemeClr val="dk1"/>
              </a:solidFill>
              <a:effectLst/>
              <a:latin typeface="+mn-lt"/>
              <a:ea typeface="+mn-ea"/>
              <a:cs typeface="+mn-cs"/>
            </a:rPr>
            <a:t> i think its costing them 55-60 to extract the oil from the ground and this is not include capex for the distrubtion of the oil after extraction. CEO says they can get it to $35 - the minister says breakeven is $46. In the US shale is around $40 breakeven on the good operators. Shell and Cheveron says the inital drill results are positive and its favorable as US shale. The shale in Argentina has more layers to frac so they say its more oil per well, there's more pressure in the area for oil to come out easier, they have lease contracts of 35 years so plan and execute better than US land leases, they have to drill and find oil because they're paying the lease even if they're not doing anything, also so overall sounds like it should be better than US Shale operations to be profitable. There is'nt a lot of infastructure built yet to move large volumes of oil and gas in the area after its drilled but it should be there in 5-10 years. They're moving small volume through current infastructure so it should be enough for now...  They also have convetional assets so that diversifies some of the risk, i think its 25% of production.Current drilling efforts are turning out to be better and positive than initially forecasted they say. You're betting on management here to execute, there's not much financial data to go on. They've been decreasing costs every quarter and drilling more profitably. CEO is the former CEO of YPF which is Argintina's state owned oil company so he does have experience dealing with the government and with the area so he should pick good land resouce spots. Current proved reserves is 65% oil and 35% gas, about 11 years left of inventory but can change because current reserve replacement ratio is above 100%. Key is to get costs low to breakeven, if they hit $40 the company will be profitable as oil looks to stay above $50. The bet here is on oil prices and how the company can get extraction to low costs. They are currently the 2nd highest shale producer in the country. I don't think political risk is that much... the nationalization they did to a company when they took 51% of YPF was paid out to the shareholders, so worst case maybe be that you get paid out and lose half your investment or break even. </a:t>
          </a:r>
          <a:endParaRPr lang="en-US">
            <a:effectLst/>
          </a:endParaRPr>
        </a:p>
        <a:p>
          <a:endParaRPr lang="en-US"/>
        </a:p>
        <a:p>
          <a:r>
            <a:rPr lang="en-US" sz="1400" b="1" i="0" u="sng" strike="noStrike">
              <a:solidFill>
                <a:schemeClr val="dk1"/>
              </a:solidFill>
              <a:effectLst/>
              <a:latin typeface="+mn-lt"/>
              <a:ea typeface="+mn-ea"/>
              <a:cs typeface="+mn-cs"/>
            </a:rPr>
            <a:t>Market View</a:t>
          </a:r>
          <a:r>
            <a:rPr lang="en-US" sz="1400" b="1" u="sng"/>
            <a:t> </a:t>
          </a:r>
        </a:p>
        <a:p>
          <a:r>
            <a:rPr lang="en-US" sz="1100" b="1" i="0" u="none" strike="noStrike">
              <a:solidFill>
                <a:schemeClr val="dk1"/>
              </a:solidFill>
              <a:effectLst/>
              <a:latin typeface="+mn-lt"/>
              <a:ea typeface="+mn-ea"/>
              <a:cs typeface="+mn-cs"/>
            </a:rPr>
            <a:t>What is the concensus currently and why?</a:t>
          </a:r>
          <a:r>
            <a:rPr lang="en-US" b="1"/>
            <a:t> </a:t>
          </a:r>
        </a:p>
        <a:p>
          <a:r>
            <a:rPr lang="en-US" b="0"/>
            <a:t>country has political risk as its not stable, argentina peso has inflation</a:t>
          </a:r>
        </a:p>
        <a:p>
          <a:r>
            <a:rPr lang="en-US" sz="1100" b="1" i="0" u="none" strike="noStrike">
              <a:solidFill>
                <a:schemeClr val="dk1"/>
              </a:solidFill>
              <a:effectLst/>
              <a:latin typeface="+mn-lt"/>
              <a:ea typeface="+mn-ea"/>
              <a:cs typeface="+mn-cs"/>
            </a:rPr>
            <a:t>Current Price</a:t>
          </a:r>
          <a:r>
            <a:rPr lang="en-US" b="1"/>
            <a:t> ?</a:t>
          </a:r>
        </a:p>
        <a:p>
          <a:r>
            <a:rPr lang="en-US" b="0"/>
            <a:t>5.9</a:t>
          </a:r>
        </a:p>
        <a:p>
          <a:r>
            <a:rPr lang="en-US" sz="1100" b="1" i="0" u="none" strike="noStrike">
              <a:solidFill>
                <a:schemeClr val="dk1"/>
              </a:solidFill>
              <a:effectLst/>
              <a:latin typeface="+mn-lt"/>
              <a:ea typeface="+mn-ea"/>
              <a:cs typeface="+mn-cs"/>
            </a:rPr>
            <a:t>What is the most important drivers of customers to the industry and does this company competitively meet these drivers?</a:t>
          </a:r>
          <a:r>
            <a:rPr lang="en-US" b="1"/>
            <a:t> </a:t>
          </a:r>
        </a:p>
        <a:p>
          <a:r>
            <a:rPr lang="en-US" b="0"/>
            <a:t>country has political risk as its not stable, argentina peso has inflation</a:t>
          </a:r>
        </a:p>
        <a:p>
          <a:endParaRPr lang="en-US"/>
        </a:p>
        <a:p>
          <a:r>
            <a:rPr lang="en-US" sz="1400" b="1" i="0" u="sng" strike="noStrike">
              <a:solidFill>
                <a:schemeClr val="dk1"/>
              </a:solidFill>
              <a:effectLst/>
              <a:latin typeface="+mn-lt"/>
              <a:ea typeface="+mn-ea"/>
              <a:cs typeface="+mn-cs"/>
            </a:rPr>
            <a:t>Management/Barriers/Competition</a:t>
          </a:r>
        </a:p>
        <a:p>
          <a:r>
            <a:rPr lang="en-US" sz="1100" b="1" i="0" u="none" strike="noStrike">
              <a:solidFill>
                <a:schemeClr val="dk1"/>
              </a:solidFill>
              <a:effectLst/>
              <a:latin typeface="+mn-lt"/>
              <a:ea typeface="+mn-ea"/>
              <a:cs typeface="+mn-cs"/>
            </a:rPr>
            <a:t>1.</a:t>
          </a:r>
          <a:r>
            <a:rPr lang="en-US" b="1"/>
            <a:t> </a:t>
          </a:r>
          <a:r>
            <a:rPr lang="en-US" sz="1100" b="1" i="0" u="none" strike="noStrike">
              <a:solidFill>
                <a:schemeClr val="dk1"/>
              </a:solidFill>
              <a:effectLst/>
              <a:latin typeface="+mn-lt"/>
              <a:ea typeface="+mn-ea"/>
              <a:cs typeface="+mn-cs"/>
            </a:rPr>
            <a:t>Competition?</a:t>
          </a:r>
          <a:r>
            <a:rPr lang="en-US" b="1"/>
            <a:t> </a:t>
          </a:r>
        </a:p>
        <a:p>
          <a:r>
            <a:rPr lang="en-US" b="0"/>
            <a:t>Cheveron,</a:t>
          </a:r>
          <a:r>
            <a:rPr lang="en-US" b="0" baseline="0"/>
            <a:t> Shell, YPF, Exxon</a:t>
          </a:r>
          <a:endParaRPr lang="en-US" b="0"/>
        </a:p>
        <a:p>
          <a:r>
            <a:rPr lang="en-US" sz="1100" b="1" i="0" u="none" strike="noStrike">
              <a:solidFill>
                <a:schemeClr val="dk1"/>
              </a:solidFill>
              <a:effectLst/>
              <a:latin typeface="+mn-lt"/>
              <a:ea typeface="+mn-ea"/>
              <a:cs typeface="+mn-cs"/>
            </a:rPr>
            <a:t>2.</a:t>
          </a:r>
          <a:r>
            <a:rPr lang="en-US" b="1"/>
            <a:t> </a:t>
          </a:r>
          <a:r>
            <a:rPr lang="en-US" sz="1100" b="1" i="0" u="none" strike="noStrike">
              <a:solidFill>
                <a:schemeClr val="dk1"/>
              </a:solidFill>
              <a:effectLst/>
              <a:latin typeface="+mn-lt"/>
              <a:ea typeface="+mn-ea"/>
              <a:cs typeface="+mn-cs"/>
            </a:rPr>
            <a:t>Suppliers?</a:t>
          </a:r>
          <a:r>
            <a:rPr lang="en-US" b="1"/>
            <a:t> </a:t>
          </a:r>
        </a:p>
        <a:p>
          <a:r>
            <a:rPr lang="en-US" sz="1100" b="1" i="0" u="none" strike="noStrike">
              <a:solidFill>
                <a:schemeClr val="dk1"/>
              </a:solidFill>
              <a:effectLst/>
              <a:latin typeface="+mn-lt"/>
              <a:ea typeface="+mn-ea"/>
              <a:cs typeface="+mn-cs"/>
            </a:rPr>
            <a:t>3.</a:t>
          </a:r>
          <a:r>
            <a:rPr lang="en-US" b="1"/>
            <a:t> </a:t>
          </a:r>
          <a:r>
            <a:rPr lang="en-US" sz="1100" b="1" i="0" u="none" strike="noStrike">
              <a:solidFill>
                <a:schemeClr val="dk1"/>
              </a:solidFill>
              <a:effectLst/>
              <a:latin typeface="+mn-lt"/>
              <a:ea typeface="+mn-ea"/>
              <a:cs typeface="+mn-cs"/>
            </a:rPr>
            <a:t>Durable competitive advantage?</a:t>
          </a:r>
          <a:r>
            <a:rPr lang="en-US" b="1"/>
            <a:t> </a:t>
          </a:r>
        </a:p>
        <a:p>
          <a:r>
            <a:rPr lang="en-US" b="0"/>
            <a:t>Land contracts, management team - former CEO</a:t>
          </a:r>
          <a:r>
            <a:rPr lang="en-US" b="0" baseline="0"/>
            <a:t> of YPF - Argentinas state owned oil company</a:t>
          </a:r>
          <a:endParaRPr lang="en-US" b="0"/>
        </a:p>
        <a:p>
          <a:r>
            <a:rPr lang="en-US" sz="1100" b="1" i="0" u="none" strike="noStrike">
              <a:solidFill>
                <a:schemeClr val="dk1"/>
              </a:solidFill>
              <a:effectLst/>
              <a:latin typeface="+mn-lt"/>
              <a:ea typeface="+mn-ea"/>
              <a:cs typeface="+mn-cs"/>
            </a:rPr>
            <a:t>4.</a:t>
          </a:r>
          <a:r>
            <a:rPr lang="en-US" b="1"/>
            <a:t> </a:t>
          </a:r>
          <a:r>
            <a:rPr lang="en-US" sz="1100" b="1" i="0" u="none" strike="noStrike">
              <a:solidFill>
                <a:schemeClr val="dk1"/>
              </a:solidFill>
              <a:effectLst/>
              <a:latin typeface="+mn-lt"/>
              <a:ea typeface="+mn-ea"/>
              <a:cs typeface="+mn-cs"/>
            </a:rPr>
            <a:t>Management good?</a:t>
          </a:r>
          <a:r>
            <a:rPr lang="en-US" b="1"/>
            <a:t> </a:t>
          </a:r>
        </a:p>
        <a:p>
          <a:r>
            <a:rPr lang="en-US" b="0"/>
            <a:t>Yes</a:t>
          </a:r>
          <a:r>
            <a:rPr lang="en-US" b="0" baseline="0"/>
            <a:t> all from YPF</a:t>
          </a:r>
          <a:endParaRPr lang="en-US" b="0"/>
        </a:p>
        <a:p>
          <a:r>
            <a:rPr lang="en-US" sz="1100" b="1" i="0" u="none" strike="noStrike">
              <a:solidFill>
                <a:schemeClr val="dk1"/>
              </a:solidFill>
              <a:effectLst/>
              <a:latin typeface="+mn-lt"/>
              <a:ea typeface="+mn-ea"/>
              <a:cs typeface="+mn-cs"/>
            </a:rPr>
            <a:t>5.</a:t>
          </a:r>
          <a:r>
            <a:rPr lang="en-US" b="1"/>
            <a:t> </a:t>
          </a:r>
          <a:r>
            <a:rPr lang="en-US" sz="1100" b="1" i="0" u="none" strike="noStrike">
              <a:solidFill>
                <a:schemeClr val="dk1"/>
              </a:solidFill>
              <a:effectLst/>
              <a:latin typeface="+mn-lt"/>
              <a:ea typeface="+mn-ea"/>
              <a:cs typeface="+mn-cs"/>
            </a:rPr>
            <a:t>Price makes sense?</a:t>
          </a:r>
          <a:r>
            <a:rPr lang="en-US" b="1"/>
            <a:t> </a:t>
          </a:r>
        </a:p>
        <a:p>
          <a:r>
            <a:rPr lang="en-US" b="0"/>
            <a:t>Discounted for country risk</a:t>
          </a:r>
        </a:p>
        <a:p>
          <a:r>
            <a:rPr lang="en-US" sz="1100" b="1" i="0" u="none" strike="noStrike">
              <a:solidFill>
                <a:schemeClr val="dk1"/>
              </a:solidFill>
              <a:effectLst/>
              <a:latin typeface="+mn-lt"/>
              <a:ea typeface="+mn-ea"/>
              <a:cs typeface="+mn-cs"/>
            </a:rPr>
            <a:t>6.</a:t>
          </a:r>
          <a:r>
            <a:rPr lang="en-US" b="1"/>
            <a:t> </a:t>
          </a:r>
          <a:r>
            <a:rPr lang="en-US" sz="1100" b="1" i="0" u="none" strike="noStrike">
              <a:solidFill>
                <a:schemeClr val="dk1"/>
              </a:solidFill>
              <a:effectLst/>
              <a:latin typeface="+mn-lt"/>
              <a:ea typeface="+mn-ea"/>
              <a:cs typeface="+mn-cs"/>
            </a:rPr>
            <a:t>Margin of safety?</a:t>
          </a:r>
          <a:r>
            <a:rPr lang="en-US" b="1"/>
            <a:t> </a:t>
          </a:r>
        </a:p>
        <a:p>
          <a:r>
            <a:rPr lang="en-US" sz="1100" b="1" i="0" u="none" strike="noStrike">
              <a:solidFill>
                <a:schemeClr val="dk1"/>
              </a:solidFill>
              <a:effectLst/>
              <a:latin typeface="+mn-lt"/>
              <a:ea typeface="+mn-ea"/>
              <a:cs typeface="+mn-cs"/>
            </a:rPr>
            <a:t>7.</a:t>
          </a:r>
          <a:r>
            <a:rPr lang="en-US" b="1"/>
            <a:t> </a:t>
          </a:r>
          <a:r>
            <a:rPr lang="en-US" sz="1100" b="1" i="0" u="none" strike="noStrike">
              <a:solidFill>
                <a:schemeClr val="dk1"/>
              </a:solidFill>
              <a:effectLst/>
              <a:latin typeface="+mn-lt"/>
              <a:ea typeface="+mn-ea"/>
              <a:cs typeface="+mn-cs"/>
            </a:rPr>
            <a:t>Are the odds in your favor?</a:t>
          </a:r>
          <a:r>
            <a:rPr lang="en-US" b="1"/>
            <a:t> </a:t>
          </a:r>
        </a:p>
        <a:p>
          <a:r>
            <a:rPr lang="en-US" sz="1100" b="1" i="0" u="none" strike="noStrike">
              <a:solidFill>
                <a:schemeClr val="dk1"/>
              </a:solidFill>
              <a:effectLst/>
              <a:latin typeface="+mn-lt"/>
              <a:ea typeface="+mn-ea"/>
              <a:cs typeface="+mn-cs"/>
            </a:rPr>
            <a:t>8.</a:t>
          </a:r>
          <a:r>
            <a:rPr lang="en-US" b="1"/>
            <a:t> </a:t>
          </a:r>
          <a:r>
            <a:rPr lang="en-US" sz="1100" b="1" i="0" u="none" strike="noStrike">
              <a:solidFill>
                <a:schemeClr val="dk1"/>
              </a:solidFill>
              <a:effectLst/>
              <a:latin typeface="+mn-lt"/>
              <a:ea typeface="+mn-ea"/>
              <a:cs typeface="+mn-cs"/>
            </a:rPr>
            <a:t>Regulatory climate?</a:t>
          </a:r>
          <a:r>
            <a:rPr lang="en-US" b="1"/>
            <a:t> </a:t>
          </a:r>
        </a:p>
        <a:p>
          <a:r>
            <a:rPr lang="en-US" b="0"/>
            <a:t>Rough</a:t>
          </a:r>
        </a:p>
        <a:p>
          <a:r>
            <a:rPr lang="en-US" sz="1100" b="1" i="0" u="none" strike="noStrike">
              <a:solidFill>
                <a:schemeClr val="dk1"/>
              </a:solidFill>
              <a:effectLst/>
              <a:latin typeface="+mn-lt"/>
              <a:ea typeface="+mn-ea"/>
              <a:cs typeface="+mn-cs"/>
            </a:rPr>
            <a:t>9.</a:t>
          </a:r>
          <a:r>
            <a:rPr lang="en-US" b="1"/>
            <a:t> </a:t>
          </a:r>
          <a:r>
            <a:rPr lang="en-US" sz="1100" b="1" i="0" u="none" strike="noStrike">
              <a:solidFill>
                <a:schemeClr val="dk1"/>
              </a:solidFill>
              <a:effectLst/>
              <a:latin typeface="+mn-lt"/>
              <a:ea typeface="+mn-ea"/>
              <a:cs typeface="+mn-cs"/>
            </a:rPr>
            <a:t>State of labor?</a:t>
          </a:r>
          <a:r>
            <a:rPr lang="en-US" b="1"/>
            <a:t> </a:t>
          </a:r>
        </a:p>
        <a:p>
          <a:r>
            <a:rPr lang="en-US" b="0"/>
            <a:t>Abundant, as</a:t>
          </a:r>
          <a:r>
            <a:rPr lang="en-US" b="0" baseline="0"/>
            <a:t> the country is going through a recession</a:t>
          </a:r>
          <a:endParaRPr lang="en-US" b="0"/>
        </a:p>
        <a:p>
          <a:r>
            <a:rPr lang="en-US" sz="1100" b="1" i="0" u="none" strike="noStrike">
              <a:solidFill>
                <a:schemeClr val="dk1"/>
              </a:solidFill>
              <a:effectLst/>
              <a:latin typeface="+mn-lt"/>
              <a:ea typeface="+mn-ea"/>
              <a:cs typeface="+mn-cs"/>
            </a:rPr>
            <a:t>10.</a:t>
          </a:r>
          <a:r>
            <a:rPr lang="en-US" b="1"/>
            <a:t> </a:t>
          </a:r>
          <a:r>
            <a:rPr lang="en-US" sz="1100" b="1" i="0" u="none" strike="noStrike">
              <a:solidFill>
                <a:schemeClr val="dk1"/>
              </a:solidFill>
              <a:effectLst/>
              <a:latin typeface="+mn-lt"/>
              <a:ea typeface="+mn-ea"/>
              <a:cs typeface="+mn-cs"/>
            </a:rPr>
            <a:t>Customer relations</a:t>
          </a:r>
          <a:r>
            <a:rPr lang="en-US" b="1"/>
            <a:t> </a:t>
          </a:r>
        </a:p>
        <a:p>
          <a:r>
            <a:rPr lang="en-US" sz="1100" b="1" i="0" u="none" strike="noStrike">
              <a:solidFill>
                <a:schemeClr val="dk1"/>
              </a:solidFill>
              <a:effectLst/>
              <a:latin typeface="+mn-lt"/>
              <a:ea typeface="+mn-ea"/>
              <a:cs typeface="+mn-cs"/>
            </a:rPr>
            <a:t>11.</a:t>
          </a:r>
          <a:r>
            <a:rPr lang="en-US" b="1"/>
            <a:t> </a:t>
          </a:r>
          <a:r>
            <a:rPr lang="en-US" sz="1100" b="1" i="0" u="none" strike="noStrike">
              <a:solidFill>
                <a:schemeClr val="dk1"/>
              </a:solidFill>
              <a:effectLst/>
              <a:latin typeface="+mn-lt"/>
              <a:ea typeface="+mn-ea"/>
              <a:cs typeface="+mn-cs"/>
            </a:rPr>
            <a:t>Potential impact of changes in technology</a:t>
          </a:r>
          <a:r>
            <a:rPr lang="en-US" b="1"/>
            <a:t> </a:t>
          </a:r>
        </a:p>
        <a:p>
          <a:r>
            <a:rPr lang="en-US" b="0"/>
            <a:t>better technology</a:t>
          </a:r>
          <a:r>
            <a:rPr lang="en-US" b="0" baseline="0"/>
            <a:t> = cheaper to get oil out of the ground</a:t>
          </a:r>
          <a:endParaRPr lang="en-US" b="0"/>
        </a:p>
        <a:p>
          <a:r>
            <a:rPr lang="en-US" sz="1100" b="1" i="0" u="none" strike="noStrike">
              <a:solidFill>
                <a:schemeClr val="dk1"/>
              </a:solidFill>
              <a:effectLst/>
              <a:latin typeface="+mn-lt"/>
              <a:ea typeface="+mn-ea"/>
              <a:cs typeface="+mn-cs"/>
            </a:rPr>
            <a:t>12.</a:t>
          </a:r>
          <a:r>
            <a:rPr lang="en-US" b="1"/>
            <a:t> </a:t>
          </a:r>
          <a:r>
            <a:rPr lang="en-US" sz="1100" b="1" i="0" u="none" strike="noStrike">
              <a:solidFill>
                <a:schemeClr val="dk1"/>
              </a:solidFill>
              <a:effectLst/>
              <a:latin typeface="+mn-lt"/>
              <a:ea typeface="+mn-ea"/>
              <a:cs typeface="+mn-cs"/>
            </a:rPr>
            <a:t>Vulnerabilities</a:t>
          </a:r>
          <a:r>
            <a:rPr lang="en-US" b="1"/>
            <a:t> </a:t>
          </a:r>
        </a:p>
        <a:p>
          <a:r>
            <a:rPr lang="en-US" b="0"/>
            <a:t>Country</a:t>
          </a:r>
          <a:r>
            <a:rPr lang="en-US" b="0" baseline="0"/>
            <a:t> economy risk, execution risk of not getting cost low to market prices, chooisng bad land that's not oil but gas. </a:t>
          </a:r>
          <a:endParaRPr lang="en-US" b="0"/>
        </a:p>
        <a:p>
          <a:r>
            <a:rPr lang="en-US" sz="1100" b="1" i="0" u="none" strike="noStrike">
              <a:solidFill>
                <a:schemeClr val="dk1"/>
              </a:solidFill>
              <a:effectLst/>
              <a:latin typeface="+mn-lt"/>
              <a:ea typeface="+mn-ea"/>
              <a:cs typeface="+mn-cs"/>
            </a:rPr>
            <a:t>13.</a:t>
          </a:r>
          <a:r>
            <a:rPr lang="en-US" b="1"/>
            <a:t> </a:t>
          </a:r>
          <a:r>
            <a:rPr lang="en-US" sz="1100" b="1" i="0" u="none" strike="noStrike">
              <a:solidFill>
                <a:schemeClr val="dk1"/>
              </a:solidFill>
              <a:effectLst/>
              <a:latin typeface="+mn-lt"/>
              <a:ea typeface="+mn-ea"/>
              <a:cs typeface="+mn-cs"/>
            </a:rPr>
            <a:t>Pricing power</a:t>
          </a:r>
          <a:r>
            <a:rPr lang="en-US" b="1"/>
            <a:t> </a:t>
          </a:r>
        </a:p>
        <a:p>
          <a:r>
            <a:rPr lang="en-US" b="0"/>
            <a:t>@ market hopefully</a:t>
          </a:r>
        </a:p>
        <a:p>
          <a:r>
            <a:rPr lang="en-US" sz="1100" b="1" i="0" u="none" strike="noStrike">
              <a:solidFill>
                <a:schemeClr val="dk1"/>
              </a:solidFill>
              <a:effectLst/>
              <a:latin typeface="+mn-lt"/>
              <a:ea typeface="+mn-ea"/>
              <a:cs typeface="+mn-cs"/>
            </a:rPr>
            <a:t>14.</a:t>
          </a:r>
          <a:r>
            <a:rPr lang="en-US" b="1"/>
            <a:t> </a:t>
          </a:r>
          <a:r>
            <a:rPr lang="en-US" sz="1100" b="1" i="0" u="none" strike="noStrike">
              <a:solidFill>
                <a:schemeClr val="dk1"/>
              </a:solidFill>
              <a:effectLst/>
              <a:latin typeface="+mn-lt"/>
              <a:ea typeface="+mn-ea"/>
              <a:cs typeface="+mn-cs"/>
            </a:rPr>
            <a:t>Scalability</a:t>
          </a:r>
          <a:r>
            <a:rPr lang="en-US" b="1"/>
            <a:t> </a:t>
          </a:r>
        </a:p>
        <a:p>
          <a:r>
            <a:rPr lang="en-US" b="0"/>
            <a:t>Very</a:t>
          </a:r>
          <a:r>
            <a:rPr lang="en-US" b="0" baseline="0"/>
            <a:t> scalable has tons of land</a:t>
          </a:r>
          <a:endParaRPr lang="en-US" b="0"/>
        </a:p>
        <a:p>
          <a:r>
            <a:rPr lang="en-US" sz="1100" b="1" i="0" u="none" strike="noStrike">
              <a:solidFill>
                <a:schemeClr val="dk1"/>
              </a:solidFill>
              <a:effectLst/>
              <a:latin typeface="+mn-lt"/>
              <a:ea typeface="+mn-ea"/>
              <a:cs typeface="+mn-cs"/>
            </a:rPr>
            <a:t>16.</a:t>
          </a:r>
          <a:r>
            <a:rPr lang="en-US" b="1"/>
            <a:t> </a:t>
          </a:r>
          <a:r>
            <a:rPr lang="en-US" sz="1100" b="1" i="0" u="none" strike="noStrike">
              <a:solidFill>
                <a:schemeClr val="dk1"/>
              </a:solidFill>
              <a:effectLst/>
              <a:latin typeface="+mn-lt"/>
              <a:ea typeface="+mn-ea"/>
              <a:cs typeface="+mn-cs"/>
            </a:rPr>
            <a:t>Do you need a good lord?</a:t>
          </a:r>
          <a:r>
            <a:rPr lang="en-US" b="1"/>
            <a:t> </a:t>
          </a:r>
        </a:p>
        <a:p>
          <a:r>
            <a:rPr lang="en-US" b="0"/>
            <a:t>Yes,</a:t>
          </a:r>
          <a:r>
            <a:rPr lang="en-US" b="0" baseline="0"/>
            <a:t> to watch ROI</a:t>
          </a:r>
          <a:endParaRPr lang="en-US" b="0"/>
        </a:p>
        <a:p>
          <a:r>
            <a:rPr lang="en-US" sz="1100" b="1" i="0" u="none" strike="noStrike">
              <a:solidFill>
                <a:schemeClr val="dk1"/>
              </a:solidFill>
              <a:effectLst/>
              <a:latin typeface="+mn-lt"/>
              <a:ea typeface="+mn-ea"/>
              <a:cs typeface="+mn-cs"/>
            </a:rPr>
            <a:t>17.</a:t>
          </a:r>
          <a:r>
            <a:rPr lang="en-US" b="1"/>
            <a:t> </a:t>
          </a:r>
          <a:r>
            <a:rPr lang="en-US" sz="1100" b="1" i="0" u="none" strike="noStrike">
              <a:solidFill>
                <a:schemeClr val="dk1"/>
              </a:solidFill>
              <a:effectLst/>
              <a:latin typeface="+mn-lt"/>
              <a:ea typeface="+mn-ea"/>
              <a:cs typeface="+mn-cs"/>
            </a:rPr>
            <a:t>Where does the capital go?</a:t>
          </a:r>
        </a:p>
        <a:p>
          <a:r>
            <a:rPr lang="en-US" sz="1100" b="0" i="0" u="none" strike="noStrike">
              <a:solidFill>
                <a:schemeClr val="dk1"/>
              </a:solidFill>
              <a:effectLst/>
              <a:latin typeface="+mn-lt"/>
              <a:ea typeface="+mn-ea"/>
              <a:cs typeface="+mn-cs"/>
            </a:rPr>
            <a:t>Reinvested</a:t>
          </a:r>
          <a:r>
            <a:rPr lang="en-US" sz="1100" b="0" i="0" u="none" strike="noStrike" baseline="0">
              <a:solidFill>
                <a:schemeClr val="dk1"/>
              </a:solidFill>
              <a:effectLst/>
              <a:latin typeface="+mn-lt"/>
              <a:ea typeface="+mn-ea"/>
              <a:cs typeface="+mn-cs"/>
            </a:rPr>
            <a:t> to get more oil and increase EBITA</a:t>
          </a:r>
          <a:r>
            <a:rPr lang="en-US" b="1"/>
            <a:t> </a:t>
          </a:r>
        </a:p>
        <a:p>
          <a:r>
            <a:rPr lang="en-US" sz="1100" b="1" i="0" u="none" strike="noStrike">
              <a:solidFill>
                <a:schemeClr val="dk1"/>
              </a:solidFill>
              <a:effectLst/>
              <a:latin typeface="+mn-lt"/>
              <a:ea typeface="+mn-ea"/>
              <a:cs typeface="+mn-cs"/>
            </a:rPr>
            <a:t>18.</a:t>
          </a:r>
          <a:r>
            <a:rPr lang="en-US" b="1"/>
            <a:t> </a:t>
          </a:r>
          <a:r>
            <a:rPr lang="en-US" sz="1100" b="1" i="0" u="none" strike="noStrike">
              <a:solidFill>
                <a:schemeClr val="dk1"/>
              </a:solidFill>
              <a:effectLst/>
              <a:latin typeface="+mn-lt"/>
              <a:ea typeface="+mn-ea"/>
              <a:cs typeface="+mn-cs"/>
            </a:rPr>
            <a:t>Consider potential second order and higher level impacts</a:t>
          </a:r>
          <a:r>
            <a:rPr lang="en-US" b="1"/>
            <a:t> </a:t>
          </a:r>
        </a:p>
        <a:p>
          <a:r>
            <a:rPr lang="en-US" sz="1100" b="1" i="0" u="none" strike="noStrike">
              <a:solidFill>
                <a:schemeClr val="dk1"/>
              </a:solidFill>
              <a:effectLst/>
              <a:latin typeface="+mn-lt"/>
              <a:ea typeface="+mn-ea"/>
              <a:cs typeface="+mn-cs"/>
            </a:rPr>
            <a:t>19.</a:t>
          </a:r>
          <a:r>
            <a:rPr lang="en-US" b="1"/>
            <a:t> </a:t>
          </a:r>
          <a:r>
            <a:rPr lang="en-US" sz="1100" b="1" i="0" u="none" strike="noStrike">
              <a:solidFill>
                <a:schemeClr val="dk1"/>
              </a:solidFill>
              <a:effectLst/>
              <a:latin typeface="+mn-lt"/>
              <a:ea typeface="+mn-ea"/>
              <a:cs typeface="+mn-cs"/>
            </a:rPr>
            <a:t>Is the dividend safe?</a:t>
          </a:r>
          <a:r>
            <a:rPr lang="en-US" b="1"/>
            <a:t> </a:t>
          </a:r>
          <a:r>
            <a:rPr lang="en-US" sz="1100" b="1" i="0" u="none" strike="noStrike">
              <a:solidFill>
                <a:schemeClr val="dk1"/>
              </a:solidFill>
              <a:effectLst/>
              <a:latin typeface="+mn-lt"/>
              <a:ea typeface="+mn-ea"/>
              <a:cs typeface="+mn-cs"/>
            </a:rPr>
            <a:t>20</a:t>
          </a:r>
          <a:r>
            <a:rPr lang="en-US" b="1"/>
            <a:t> </a:t>
          </a:r>
          <a:r>
            <a:rPr lang="en-US" sz="1100" b="1" i="0" u="none" strike="noStrike">
              <a:solidFill>
                <a:schemeClr val="dk1"/>
              </a:solidFill>
              <a:effectLst/>
              <a:latin typeface="+mn-lt"/>
              <a:ea typeface="+mn-ea"/>
              <a:cs typeface="+mn-cs"/>
            </a:rPr>
            <a:t>Will this dividend grow?</a:t>
          </a:r>
          <a:r>
            <a:rPr lang="en-US" b="1"/>
            <a:t> </a:t>
          </a:r>
        </a:p>
        <a:p>
          <a:r>
            <a:rPr lang="en-US" sz="1100" b="1" i="0" u="none" strike="noStrike">
              <a:solidFill>
                <a:schemeClr val="dk1"/>
              </a:solidFill>
              <a:effectLst/>
              <a:latin typeface="+mn-lt"/>
              <a:ea typeface="+mn-ea"/>
              <a:cs typeface="+mn-cs"/>
            </a:rPr>
            <a:t>21.</a:t>
          </a:r>
          <a:r>
            <a:rPr lang="en-US" b="1"/>
            <a:t> </a:t>
          </a:r>
          <a:r>
            <a:rPr lang="en-US" sz="1100" b="1" i="0" u="none" strike="noStrike">
              <a:solidFill>
                <a:schemeClr val="dk1"/>
              </a:solidFill>
              <a:effectLst/>
              <a:latin typeface="+mn-lt"/>
              <a:ea typeface="+mn-ea"/>
              <a:cs typeface="+mn-cs"/>
            </a:rPr>
            <a:t>What does this dividend stream stand to return to me as a shareholder?</a:t>
          </a:r>
        </a:p>
        <a:p>
          <a:r>
            <a:rPr lang="en-US" sz="1100" b="1" i="0" u="none" strike="noStrike">
              <a:solidFill>
                <a:schemeClr val="dk1"/>
              </a:solidFill>
              <a:effectLst/>
              <a:latin typeface="+mn-lt"/>
              <a:ea typeface="+mn-ea"/>
              <a:cs typeface="+mn-cs"/>
            </a:rPr>
            <a:t>22.</a:t>
          </a:r>
          <a:r>
            <a:rPr lang="en-US" b="1"/>
            <a:t> </a:t>
          </a:r>
          <a:r>
            <a:rPr lang="en-US" sz="1100" b="1" i="0" u="none" strike="noStrike">
              <a:solidFill>
                <a:schemeClr val="dk1"/>
              </a:solidFill>
              <a:effectLst/>
              <a:latin typeface="+mn-lt"/>
              <a:ea typeface="+mn-ea"/>
              <a:cs typeface="+mn-cs"/>
            </a:rPr>
            <a:t>Have margins been consistent and high relative to its industry?</a:t>
          </a:r>
          <a:r>
            <a:rPr lang="en-US" b="1"/>
            <a:t> </a:t>
          </a:r>
        </a:p>
        <a:p>
          <a:r>
            <a:rPr lang="en-US" sz="1100" b="1" i="0" u="none" strike="noStrike">
              <a:solidFill>
                <a:schemeClr val="dk1"/>
              </a:solidFill>
              <a:effectLst/>
              <a:latin typeface="+mn-lt"/>
              <a:ea typeface="+mn-ea"/>
              <a:cs typeface="+mn-cs"/>
            </a:rPr>
            <a:t>23.</a:t>
          </a:r>
          <a:r>
            <a:rPr lang="en-US" b="1"/>
            <a:t> </a:t>
          </a:r>
          <a:r>
            <a:rPr lang="en-US" sz="1100" b="1" i="0" u="none" strike="noStrike">
              <a:solidFill>
                <a:schemeClr val="dk1"/>
              </a:solidFill>
              <a:effectLst/>
              <a:latin typeface="+mn-lt"/>
              <a:ea typeface="+mn-ea"/>
              <a:cs typeface="+mn-cs"/>
            </a:rPr>
            <a:t>Return on equity relative to industry?</a:t>
          </a:r>
          <a:r>
            <a:rPr lang="en-US" b="1"/>
            <a:t> </a:t>
          </a:r>
        </a:p>
        <a:p>
          <a:r>
            <a:rPr lang="en-US" sz="1100" b="1" i="0" u="none" strike="noStrike">
              <a:solidFill>
                <a:schemeClr val="dk1"/>
              </a:solidFill>
              <a:effectLst/>
              <a:latin typeface="+mn-lt"/>
              <a:ea typeface="+mn-ea"/>
              <a:cs typeface="+mn-cs"/>
            </a:rPr>
            <a:t>24.</a:t>
          </a:r>
          <a:r>
            <a:rPr lang="en-US" b="1"/>
            <a:t> </a:t>
          </a:r>
          <a:r>
            <a:rPr lang="en-US" sz="1100" b="1" i="0" u="none" strike="noStrike">
              <a:solidFill>
                <a:schemeClr val="dk1"/>
              </a:solidFill>
              <a:effectLst/>
              <a:latin typeface="+mn-lt"/>
              <a:ea typeface="+mn-ea"/>
              <a:cs typeface="+mn-cs"/>
            </a:rPr>
            <a:t>Is there a lot of entry and exits within the industry? If not its strong - if so very competitive market</a:t>
          </a:r>
          <a:r>
            <a:rPr lang="en-US" b="1"/>
            <a:t> </a:t>
          </a:r>
        </a:p>
        <a:p>
          <a:r>
            <a:rPr lang="en-US" sz="1100" b="1" i="0" u="none" strike="noStrike">
              <a:solidFill>
                <a:schemeClr val="dk1"/>
              </a:solidFill>
              <a:effectLst/>
              <a:latin typeface="+mn-lt"/>
              <a:ea typeface="+mn-ea"/>
              <a:cs typeface="+mn-cs"/>
            </a:rPr>
            <a:t>25.</a:t>
          </a:r>
          <a:r>
            <a:rPr lang="en-US" b="1"/>
            <a:t> </a:t>
          </a:r>
          <a:r>
            <a:rPr lang="en-US" sz="1100" b="1" i="0" u="none" strike="noStrike">
              <a:solidFill>
                <a:schemeClr val="dk1"/>
              </a:solidFill>
              <a:effectLst/>
              <a:latin typeface="+mn-lt"/>
              <a:ea typeface="+mn-ea"/>
              <a:cs typeface="+mn-cs"/>
            </a:rPr>
            <a:t>How dominate?</a:t>
          </a:r>
          <a:r>
            <a:rPr lang="en-US" b="1"/>
            <a:t> </a:t>
          </a:r>
        </a:p>
        <a:p>
          <a:r>
            <a:rPr lang="en-US" sz="1100" b="1" i="0" u="none" strike="noStrike">
              <a:solidFill>
                <a:schemeClr val="dk1"/>
              </a:solidFill>
              <a:effectLst/>
              <a:latin typeface="+mn-lt"/>
              <a:ea typeface="+mn-ea"/>
              <a:cs typeface="+mn-cs"/>
            </a:rPr>
            <a:t>26.</a:t>
          </a:r>
          <a:r>
            <a:rPr lang="en-US" b="1"/>
            <a:t> </a:t>
          </a:r>
          <a:r>
            <a:rPr lang="en-US" sz="1100" b="1" i="0" u="none" strike="noStrike">
              <a:solidFill>
                <a:schemeClr val="dk1"/>
              </a:solidFill>
              <a:effectLst/>
              <a:latin typeface="+mn-lt"/>
              <a:ea typeface="+mn-ea"/>
              <a:cs typeface="+mn-cs"/>
            </a:rPr>
            <a:t>Market Share?</a:t>
          </a:r>
          <a:r>
            <a:rPr lang="en-US" b="1"/>
            <a:t> </a:t>
          </a:r>
        </a:p>
        <a:p>
          <a:r>
            <a:rPr lang="en-US" b="0"/>
            <a:t>They</a:t>
          </a:r>
          <a:r>
            <a:rPr lang="en-US" b="0" baseline="0"/>
            <a:t> are the second largest shale producer in the country</a:t>
          </a:r>
          <a:endParaRPr lang="en-US" b="0"/>
        </a:p>
        <a:p>
          <a:r>
            <a:rPr lang="en-US" sz="1100" b="1" i="0" u="none" strike="noStrike">
              <a:solidFill>
                <a:schemeClr val="dk1"/>
              </a:solidFill>
              <a:effectLst/>
              <a:latin typeface="+mn-lt"/>
              <a:ea typeface="+mn-ea"/>
              <a:cs typeface="+mn-cs"/>
            </a:rPr>
            <a:t>27.</a:t>
          </a:r>
          <a:r>
            <a:rPr lang="en-US" b="1"/>
            <a:t> </a:t>
          </a:r>
          <a:r>
            <a:rPr lang="en-US" sz="1100" b="1" i="0" u="none" strike="noStrike">
              <a:solidFill>
                <a:schemeClr val="dk1"/>
              </a:solidFill>
              <a:effectLst/>
              <a:latin typeface="+mn-lt"/>
              <a:ea typeface="+mn-ea"/>
              <a:cs typeface="+mn-cs"/>
            </a:rPr>
            <a:t>High switch costs / habits / search cost of replacement</a:t>
          </a:r>
          <a:r>
            <a:rPr lang="en-US" b="1"/>
            <a:t> </a:t>
          </a:r>
        </a:p>
        <a:p>
          <a:endParaRPr lang="en-US" sz="1100" b="0" i="0" u="sng" strike="noStrike">
            <a:solidFill>
              <a:schemeClr val="dk1"/>
            </a:solidFill>
            <a:effectLst/>
            <a:latin typeface="+mn-lt"/>
            <a:ea typeface="+mn-ea"/>
            <a:cs typeface="+mn-cs"/>
          </a:endParaRPr>
        </a:p>
        <a:p>
          <a:r>
            <a:rPr lang="en-US" sz="1100" b="0" i="0" u="sng" strike="noStrike">
              <a:solidFill>
                <a:schemeClr val="dk1"/>
              </a:solidFill>
              <a:effectLst/>
              <a:latin typeface="+mn-lt"/>
              <a:ea typeface="+mn-ea"/>
              <a:cs typeface="+mn-cs"/>
            </a:rPr>
            <a:t>Macro-View</a:t>
          </a:r>
          <a:r>
            <a:rPr lang="en-US"/>
            <a:t> </a:t>
          </a:r>
          <a:r>
            <a:rPr lang="en-US" sz="1100" b="0" i="0" u="none" strike="noStrike">
              <a:solidFill>
                <a:schemeClr val="dk1"/>
              </a:solidFill>
              <a:effectLst/>
              <a:latin typeface="+mn-lt"/>
              <a:ea typeface="+mn-ea"/>
              <a:cs typeface="+mn-cs"/>
            </a:rPr>
            <a:t>after-tax corporate profits as a percentage of national income (GDP similar) - historically it's 4.9%</a:t>
          </a:r>
        </a:p>
        <a:p>
          <a:endParaRPr lang="en-US" sz="1100" b="0" i="0" u="none" strike="noStrike">
            <a:solidFill>
              <a:schemeClr val="dk1"/>
            </a:solidFill>
            <a:effectLst/>
            <a:latin typeface="+mn-lt"/>
            <a:ea typeface="+mn-ea"/>
            <a:cs typeface="+mn-cs"/>
          </a:endParaRPr>
        </a:p>
        <a:p>
          <a:r>
            <a:rPr lang="en-US"/>
            <a:t> </a:t>
          </a:r>
          <a:r>
            <a:rPr lang="en-US" sz="1100" b="0" i="0" u="none" strike="noStrike">
              <a:solidFill>
                <a:schemeClr val="dk1"/>
              </a:solidFill>
              <a:effectLst/>
              <a:latin typeface="+mn-lt"/>
              <a:ea typeface="+mn-ea"/>
              <a:cs typeface="+mn-cs"/>
            </a:rPr>
            <a:t>“Patience … followed by pretty aggressive conduct. It is given to human beings who work hard at it—who look and sift the world for a mispriced bet — that they can occasionally find one. And the wise ones bet heavily when the world offers them that opportunity. They bet big when they have the odds. And the rest of the time, they don’t. It’s just that simple.” – Charlie Munger</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“Over the past 50 years we lived through the best time of human history. It is likely to get worse. I recommend you to prepare for worse because pleasant surprises are easy to handle.”– Charlie Munger  </a:t>
          </a:r>
          <a:r>
            <a:rPr lang="en-US"/>
            <a:t> </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85724</xdr:colOff>
      <xdr:row>70</xdr:row>
      <xdr:rowOff>152399</xdr:rowOff>
    </xdr:from>
    <xdr:to>
      <xdr:col>21</xdr:col>
      <xdr:colOff>161924</xdr:colOff>
      <xdr:row>125</xdr:row>
      <xdr:rowOff>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85724" y="11496674"/>
          <a:ext cx="16563975" cy="8791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sng" strike="noStrike">
              <a:solidFill>
                <a:schemeClr val="dk1"/>
              </a:solidFill>
              <a:effectLst/>
              <a:latin typeface="+mn-lt"/>
              <a:ea typeface="+mn-ea"/>
              <a:cs typeface="+mn-cs"/>
            </a:rPr>
            <a:t>Investment Question</a:t>
          </a:r>
          <a:r>
            <a:rPr lang="en-US" sz="1400" b="1" u="sng"/>
            <a:t> - Thesis</a:t>
          </a:r>
        </a:p>
        <a:p>
          <a:r>
            <a:rPr lang="en-US" sz="1100" b="1" i="0" u="none" strike="noStrike">
              <a:solidFill>
                <a:schemeClr val="dk1"/>
              </a:solidFill>
              <a:effectLst/>
              <a:latin typeface="+mn-lt"/>
              <a:ea typeface="+mn-ea"/>
              <a:cs typeface="+mn-cs"/>
            </a:rPr>
            <a:t>1. How Long</a:t>
          </a:r>
          <a:r>
            <a:rPr lang="en-US" b="1"/>
            <a:t> </a:t>
          </a:r>
        </a:p>
        <a:p>
          <a:r>
            <a:rPr lang="en-US" sz="1100" b="1" i="0" u="none" strike="noStrike">
              <a:solidFill>
                <a:schemeClr val="dk1"/>
              </a:solidFill>
              <a:effectLst/>
              <a:latin typeface="+mn-lt"/>
              <a:ea typeface="+mn-ea"/>
              <a:cs typeface="+mn-cs"/>
            </a:rPr>
            <a:t>2. How Many</a:t>
          </a:r>
          <a:r>
            <a:rPr lang="en-US" b="1"/>
            <a:t> </a:t>
          </a:r>
        </a:p>
        <a:p>
          <a:r>
            <a:rPr lang="en-US" sz="1100" b="1" i="0" u="none" strike="noStrike">
              <a:solidFill>
                <a:schemeClr val="dk1"/>
              </a:solidFill>
              <a:effectLst/>
              <a:latin typeface="+mn-lt"/>
              <a:ea typeface="+mn-ea"/>
              <a:cs typeface="+mn-cs"/>
            </a:rPr>
            <a:t>3. How Sure Are You?</a:t>
          </a:r>
          <a:r>
            <a:rPr lang="en-US" b="1"/>
            <a:t> </a:t>
          </a:r>
        </a:p>
        <a:p>
          <a:endParaRPr lang="en-US"/>
        </a:p>
        <a:p>
          <a:r>
            <a:rPr lang="en-US" sz="1400" b="1" i="0" u="sng" strike="noStrike">
              <a:solidFill>
                <a:schemeClr val="dk1"/>
              </a:solidFill>
              <a:effectLst/>
              <a:latin typeface="+mn-lt"/>
              <a:ea typeface="+mn-ea"/>
              <a:cs typeface="+mn-cs"/>
            </a:rPr>
            <a:t>Market View</a:t>
          </a:r>
          <a:r>
            <a:rPr lang="en-US" sz="1400" b="1" u="sng"/>
            <a:t> </a:t>
          </a:r>
        </a:p>
        <a:p>
          <a:r>
            <a:rPr lang="en-US" sz="1100" b="1" i="0" u="none" strike="noStrike">
              <a:solidFill>
                <a:schemeClr val="dk1"/>
              </a:solidFill>
              <a:effectLst/>
              <a:latin typeface="+mn-lt"/>
              <a:ea typeface="+mn-ea"/>
              <a:cs typeface="+mn-cs"/>
            </a:rPr>
            <a:t>What is the concensus currently and why?</a:t>
          </a:r>
          <a:r>
            <a:rPr lang="en-US" b="1"/>
            <a:t> </a:t>
          </a:r>
        </a:p>
        <a:p>
          <a:r>
            <a:rPr lang="en-US" sz="1100" b="1" i="0" u="none" strike="noStrike">
              <a:solidFill>
                <a:schemeClr val="dk1"/>
              </a:solidFill>
              <a:effectLst/>
              <a:latin typeface="+mn-lt"/>
              <a:ea typeface="+mn-ea"/>
              <a:cs typeface="+mn-cs"/>
            </a:rPr>
            <a:t>Current Price</a:t>
          </a:r>
          <a:r>
            <a:rPr lang="en-US" b="1"/>
            <a:t> </a:t>
          </a:r>
        </a:p>
        <a:p>
          <a:r>
            <a:rPr lang="en-US" sz="1100" b="1" i="0" u="none" strike="noStrike">
              <a:solidFill>
                <a:schemeClr val="dk1"/>
              </a:solidFill>
              <a:effectLst/>
              <a:latin typeface="+mn-lt"/>
              <a:ea typeface="+mn-ea"/>
              <a:cs typeface="+mn-cs"/>
            </a:rPr>
            <a:t>What is the most important drivers of customers to the industry and does this company competitively meet these drivers?</a:t>
          </a:r>
          <a:r>
            <a:rPr lang="en-US" b="1"/>
            <a:t> </a:t>
          </a:r>
        </a:p>
        <a:p>
          <a:endParaRPr lang="en-US"/>
        </a:p>
        <a:p>
          <a:r>
            <a:rPr lang="en-US" sz="1400" b="1" i="0" u="sng" strike="noStrike">
              <a:solidFill>
                <a:schemeClr val="dk1"/>
              </a:solidFill>
              <a:effectLst/>
              <a:latin typeface="+mn-lt"/>
              <a:ea typeface="+mn-ea"/>
              <a:cs typeface="+mn-cs"/>
            </a:rPr>
            <a:t>Management/Barriers/Competition</a:t>
          </a:r>
        </a:p>
        <a:p>
          <a:r>
            <a:rPr lang="en-US" sz="1100" b="1" i="0" u="none" strike="noStrike">
              <a:solidFill>
                <a:schemeClr val="dk1"/>
              </a:solidFill>
              <a:effectLst/>
              <a:latin typeface="+mn-lt"/>
              <a:ea typeface="+mn-ea"/>
              <a:cs typeface="+mn-cs"/>
            </a:rPr>
            <a:t>1.</a:t>
          </a:r>
          <a:r>
            <a:rPr lang="en-US" b="1"/>
            <a:t> </a:t>
          </a:r>
          <a:r>
            <a:rPr lang="en-US" sz="1100" b="1" i="0" u="none" strike="noStrike">
              <a:solidFill>
                <a:schemeClr val="dk1"/>
              </a:solidFill>
              <a:effectLst/>
              <a:latin typeface="+mn-lt"/>
              <a:ea typeface="+mn-ea"/>
              <a:cs typeface="+mn-cs"/>
            </a:rPr>
            <a:t>Competition?</a:t>
          </a:r>
          <a:r>
            <a:rPr lang="en-US" b="1"/>
            <a:t> </a:t>
          </a:r>
        </a:p>
        <a:p>
          <a:r>
            <a:rPr lang="en-US" sz="1100" b="1" i="0" u="none" strike="noStrike">
              <a:solidFill>
                <a:schemeClr val="dk1"/>
              </a:solidFill>
              <a:effectLst/>
              <a:latin typeface="+mn-lt"/>
              <a:ea typeface="+mn-ea"/>
              <a:cs typeface="+mn-cs"/>
            </a:rPr>
            <a:t>2.</a:t>
          </a:r>
          <a:r>
            <a:rPr lang="en-US" b="1"/>
            <a:t> </a:t>
          </a:r>
          <a:r>
            <a:rPr lang="en-US" sz="1100" b="1" i="0" u="none" strike="noStrike">
              <a:solidFill>
                <a:schemeClr val="dk1"/>
              </a:solidFill>
              <a:effectLst/>
              <a:latin typeface="+mn-lt"/>
              <a:ea typeface="+mn-ea"/>
              <a:cs typeface="+mn-cs"/>
            </a:rPr>
            <a:t>Suppliers?</a:t>
          </a:r>
          <a:r>
            <a:rPr lang="en-US" b="1"/>
            <a:t> </a:t>
          </a:r>
        </a:p>
        <a:p>
          <a:r>
            <a:rPr lang="en-US" sz="1100" b="1" i="0" u="none" strike="noStrike">
              <a:solidFill>
                <a:schemeClr val="dk1"/>
              </a:solidFill>
              <a:effectLst/>
              <a:latin typeface="+mn-lt"/>
              <a:ea typeface="+mn-ea"/>
              <a:cs typeface="+mn-cs"/>
            </a:rPr>
            <a:t>3.</a:t>
          </a:r>
          <a:r>
            <a:rPr lang="en-US" b="1"/>
            <a:t> </a:t>
          </a:r>
          <a:r>
            <a:rPr lang="en-US" sz="1100" b="1" i="0" u="none" strike="noStrike">
              <a:solidFill>
                <a:schemeClr val="dk1"/>
              </a:solidFill>
              <a:effectLst/>
              <a:latin typeface="+mn-lt"/>
              <a:ea typeface="+mn-ea"/>
              <a:cs typeface="+mn-cs"/>
            </a:rPr>
            <a:t>Durable competitive advantage?</a:t>
          </a:r>
          <a:r>
            <a:rPr lang="en-US" b="1"/>
            <a:t> </a:t>
          </a:r>
        </a:p>
        <a:p>
          <a:r>
            <a:rPr lang="en-US" sz="1100" b="1" i="0" u="none" strike="noStrike">
              <a:solidFill>
                <a:schemeClr val="dk1"/>
              </a:solidFill>
              <a:effectLst/>
              <a:latin typeface="+mn-lt"/>
              <a:ea typeface="+mn-ea"/>
              <a:cs typeface="+mn-cs"/>
            </a:rPr>
            <a:t>4.</a:t>
          </a:r>
          <a:r>
            <a:rPr lang="en-US" b="1"/>
            <a:t> </a:t>
          </a:r>
          <a:r>
            <a:rPr lang="en-US" sz="1100" b="1" i="0" u="none" strike="noStrike">
              <a:solidFill>
                <a:schemeClr val="dk1"/>
              </a:solidFill>
              <a:effectLst/>
              <a:latin typeface="+mn-lt"/>
              <a:ea typeface="+mn-ea"/>
              <a:cs typeface="+mn-cs"/>
            </a:rPr>
            <a:t>Management good?</a:t>
          </a:r>
          <a:r>
            <a:rPr lang="en-US" b="1"/>
            <a:t> </a:t>
          </a:r>
        </a:p>
        <a:p>
          <a:r>
            <a:rPr lang="en-US" sz="1100" b="1" i="0" u="none" strike="noStrike">
              <a:solidFill>
                <a:schemeClr val="dk1"/>
              </a:solidFill>
              <a:effectLst/>
              <a:latin typeface="+mn-lt"/>
              <a:ea typeface="+mn-ea"/>
              <a:cs typeface="+mn-cs"/>
            </a:rPr>
            <a:t>5.</a:t>
          </a:r>
          <a:r>
            <a:rPr lang="en-US" b="1"/>
            <a:t> </a:t>
          </a:r>
          <a:r>
            <a:rPr lang="en-US" sz="1100" b="1" i="0" u="none" strike="noStrike">
              <a:solidFill>
                <a:schemeClr val="dk1"/>
              </a:solidFill>
              <a:effectLst/>
              <a:latin typeface="+mn-lt"/>
              <a:ea typeface="+mn-ea"/>
              <a:cs typeface="+mn-cs"/>
            </a:rPr>
            <a:t>Price makes sense?</a:t>
          </a:r>
          <a:r>
            <a:rPr lang="en-US" b="1"/>
            <a:t> </a:t>
          </a:r>
        </a:p>
        <a:p>
          <a:r>
            <a:rPr lang="en-US" sz="1100" b="1" i="0" u="none" strike="noStrike">
              <a:solidFill>
                <a:schemeClr val="dk1"/>
              </a:solidFill>
              <a:effectLst/>
              <a:latin typeface="+mn-lt"/>
              <a:ea typeface="+mn-ea"/>
              <a:cs typeface="+mn-cs"/>
            </a:rPr>
            <a:t>6.</a:t>
          </a:r>
          <a:r>
            <a:rPr lang="en-US" b="1"/>
            <a:t> </a:t>
          </a:r>
          <a:r>
            <a:rPr lang="en-US" sz="1100" b="1" i="0" u="none" strike="noStrike">
              <a:solidFill>
                <a:schemeClr val="dk1"/>
              </a:solidFill>
              <a:effectLst/>
              <a:latin typeface="+mn-lt"/>
              <a:ea typeface="+mn-ea"/>
              <a:cs typeface="+mn-cs"/>
            </a:rPr>
            <a:t>Margin of safety?</a:t>
          </a:r>
          <a:r>
            <a:rPr lang="en-US" b="1"/>
            <a:t> </a:t>
          </a:r>
        </a:p>
        <a:p>
          <a:r>
            <a:rPr lang="en-US" sz="1100" b="1" i="0" u="none" strike="noStrike">
              <a:solidFill>
                <a:schemeClr val="dk1"/>
              </a:solidFill>
              <a:effectLst/>
              <a:latin typeface="+mn-lt"/>
              <a:ea typeface="+mn-ea"/>
              <a:cs typeface="+mn-cs"/>
            </a:rPr>
            <a:t>7.</a:t>
          </a:r>
          <a:r>
            <a:rPr lang="en-US" b="1"/>
            <a:t> </a:t>
          </a:r>
          <a:r>
            <a:rPr lang="en-US" sz="1100" b="1" i="0" u="none" strike="noStrike">
              <a:solidFill>
                <a:schemeClr val="dk1"/>
              </a:solidFill>
              <a:effectLst/>
              <a:latin typeface="+mn-lt"/>
              <a:ea typeface="+mn-ea"/>
              <a:cs typeface="+mn-cs"/>
            </a:rPr>
            <a:t>Are the odds in your favor?</a:t>
          </a:r>
          <a:r>
            <a:rPr lang="en-US" b="1"/>
            <a:t> </a:t>
          </a:r>
        </a:p>
        <a:p>
          <a:r>
            <a:rPr lang="en-US" sz="1100" b="1" i="0" u="none" strike="noStrike">
              <a:solidFill>
                <a:schemeClr val="dk1"/>
              </a:solidFill>
              <a:effectLst/>
              <a:latin typeface="+mn-lt"/>
              <a:ea typeface="+mn-ea"/>
              <a:cs typeface="+mn-cs"/>
            </a:rPr>
            <a:t>8.</a:t>
          </a:r>
          <a:r>
            <a:rPr lang="en-US" b="1"/>
            <a:t> </a:t>
          </a:r>
          <a:r>
            <a:rPr lang="en-US" sz="1100" b="1" i="0" u="none" strike="noStrike">
              <a:solidFill>
                <a:schemeClr val="dk1"/>
              </a:solidFill>
              <a:effectLst/>
              <a:latin typeface="+mn-lt"/>
              <a:ea typeface="+mn-ea"/>
              <a:cs typeface="+mn-cs"/>
            </a:rPr>
            <a:t>Regulatory climate?</a:t>
          </a:r>
          <a:r>
            <a:rPr lang="en-US" b="1"/>
            <a:t> </a:t>
          </a:r>
        </a:p>
        <a:p>
          <a:r>
            <a:rPr lang="en-US" sz="1100" b="1" i="0" u="none" strike="noStrike">
              <a:solidFill>
                <a:schemeClr val="dk1"/>
              </a:solidFill>
              <a:effectLst/>
              <a:latin typeface="+mn-lt"/>
              <a:ea typeface="+mn-ea"/>
              <a:cs typeface="+mn-cs"/>
            </a:rPr>
            <a:t>9.</a:t>
          </a:r>
          <a:r>
            <a:rPr lang="en-US" b="1"/>
            <a:t> </a:t>
          </a:r>
          <a:r>
            <a:rPr lang="en-US" sz="1100" b="1" i="0" u="none" strike="noStrike">
              <a:solidFill>
                <a:schemeClr val="dk1"/>
              </a:solidFill>
              <a:effectLst/>
              <a:latin typeface="+mn-lt"/>
              <a:ea typeface="+mn-ea"/>
              <a:cs typeface="+mn-cs"/>
            </a:rPr>
            <a:t>State of labor?</a:t>
          </a:r>
          <a:r>
            <a:rPr lang="en-US" b="1"/>
            <a:t> </a:t>
          </a:r>
        </a:p>
        <a:p>
          <a:r>
            <a:rPr lang="en-US" sz="1100" b="1" i="0" u="none" strike="noStrike">
              <a:solidFill>
                <a:schemeClr val="dk1"/>
              </a:solidFill>
              <a:effectLst/>
              <a:latin typeface="+mn-lt"/>
              <a:ea typeface="+mn-ea"/>
              <a:cs typeface="+mn-cs"/>
            </a:rPr>
            <a:t>10.</a:t>
          </a:r>
          <a:r>
            <a:rPr lang="en-US" b="1"/>
            <a:t> </a:t>
          </a:r>
          <a:r>
            <a:rPr lang="en-US" sz="1100" b="1" i="0" u="none" strike="noStrike">
              <a:solidFill>
                <a:schemeClr val="dk1"/>
              </a:solidFill>
              <a:effectLst/>
              <a:latin typeface="+mn-lt"/>
              <a:ea typeface="+mn-ea"/>
              <a:cs typeface="+mn-cs"/>
            </a:rPr>
            <a:t>Customer relations</a:t>
          </a:r>
          <a:r>
            <a:rPr lang="en-US" b="1"/>
            <a:t> </a:t>
          </a:r>
        </a:p>
        <a:p>
          <a:r>
            <a:rPr lang="en-US" sz="1100" b="1" i="0" u="none" strike="noStrike">
              <a:solidFill>
                <a:schemeClr val="dk1"/>
              </a:solidFill>
              <a:effectLst/>
              <a:latin typeface="+mn-lt"/>
              <a:ea typeface="+mn-ea"/>
              <a:cs typeface="+mn-cs"/>
            </a:rPr>
            <a:t>11.</a:t>
          </a:r>
          <a:r>
            <a:rPr lang="en-US" b="1"/>
            <a:t> </a:t>
          </a:r>
          <a:r>
            <a:rPr lang="en-US" sz="1100" b="1" i="0" u="none" strike="noStrike">
              <a:solidFill>
                <a:schemeClr val="dk1"/>
              </a:solidFill>
              <a:effectLst/>
              <a:latin typeface="+mn-lt"/>
              <a:ea typeface="+mn-ea"/>
              <a:cs typeface="+mn-cs"/>
            </a:rPr>
            <a:t>Potential impact of changes in technology</a:t>
          </a:r>
          <a:r>
            <a:rPr lang="en-US" b="1"/>
            <a:t> </a:t>
          </a:r>
        </a:p>
        <a:p>
          <a:r>
            <a:rPr lang="en-US" sz="1100" b="1" i="0" u="none" strike="noStrike">
              <a:solidFill>
                <a:schemeClr val="dk1"/>
              </a:solidFill>
              <a:effectLst/>
              <a:latin typeface="+mn-lt"/>
              <a:ea typeface="+mn-ea"/>
              <a:cs typeface="+mn-cs"/>
            </a:rPr>
            <a:t>12.</a:t>
          </a:r>
          <a:r>
            <a:rPr lang="en-US" b="1"/>
            <a:t> </a:t>
          </a:r>
          <a:r>
            <a:rPr lang="en-US" sz="1100" b="1" i="0" u="none" strike="noStrike">
              <a:solidFill>
                <a:schemeClr val="dk1"/>
              </a:solidFill>
              <a:effectLst/>
              <a:latin typeface="+mn-lt"/>
              <a:ea typeface="+mn-ea"/>
              <a:cs typeface="+mn-cs"/>
            </a:rPr>
            <a:t>Vulnerabilities</a:t>
          </a:r>
          <a:r>
            <a:rPr lang="en-US" b="1"/>
            <a:t> </a:t>
          </a:r>
        </a:p>
        <a:p>
          <a:r>
            <a:rPr lang="en-US" sz="1100" b="1" i="0" u="none" strike="noStrike">
              <a:solidFill>
                <a:schemeClr val="dk1"/>
              </a:solidFill>
              <a:effectLst/>
              <a:latin typeface="+mn-lt"/>
              <a:ea typeface="+mn-ea"/>
              <a:cs typeface="+mn-cs"/>
            </a:rPr>
            <a:t>13.</a:t>
          </a:r>
          <a:r>
            <a:rPr lang="en-US" b="1"/>
            <a:t> </a:t>
          </a:r>
          <a:r>
            <a:rPr lang="en-US" sz="1100" b="1" i="0" u="none" strike="noStrike">
              <a:solidFill>
                <a:schemeClr val="dk1"/>
              </a:solidFill>
              <a:effectLst/>
              <a:latin typeface="+mn-lt"/>
              <a:ea typeface="+mn-ea"/>
              <a:cs typeface="+mn-cs"/>
            </a:rPr>
            <a:t>Pricing power</a:t>
          </a:r>
          <a:r>
            <a:rPr lang="en-US" b="1"/>
            <a:t> </a:t>
          </a:r>
        </a:p>
        <a:p>
          <a:r>
            <a:rPr lang="en-US" sz="1100" b="1" i="0" u="none" strike="noStrike">
              <a:solidFill>
                <a:schemeClr val="dk1"/>
              </a:solidFill>
              <a:effectLst/>
              <a:latin typeface="+mn-lt"/>
              <a:ea typeface="+mn-ea"/>
              <a:cs typeface="+mn-cs"/>
            </a:rPr>
            <a:t>14.</a:t>
          </a:r>
          <a:r>
            <a:rPr lang="en-US" b="1"/>
            <a:t> </a:t>
          </a:r>
          <a:r>
            <a:rPr lang="en-US" sz="1100" b="1" i="0" u="none" strike="noStrike">
              <a:solidFill>
                <a:schemeClr val="dk1"/>
              </a:solidFill>
              <a:effectLst/>
              <a:latin typeface="+mn-lt"/>
              <a:ea typeface="+mn-ea"/>
              <a:cs typeface="+mn-cs"/>
            </a:rPr>
            <a:t>Scalability</a:t>
          </a:r>
          <a:r>
            <a:rPr lang="en-US" b="1"/>
            <a:t> </a:t>
          </a:r>
        </a:p>
        <a:p>
          <a:r>
            <a:rPr lang="en-US" sz="1100" b="1" i="0" u="none" strike="noStrike">
              <a:solidFill>
                <a:schemeClr val="dk1"/>
              </a:solidFill>
              <a:effectLst/>
              <a:latin typeface="+mn-lt"/>
              <a:ea typeface="+mn-ea"/>
              <a:cs typeface="+mn-cs"/>
            </a:rPr>
            <a:t>16.</a:t>
          </a:r>
          <a:r>
            <a:rPr lang="en-US" b="1"/>
            <a:t> </a:t>
          </a:r>
          <a:r>
            <a:rPr lang="en-US" sz="1100" b="1" i="0" u="none" strike="noStrike">
              <a:solidFill>
                <a:schemeClr val="dk1"/>
              </a:solidFill>
              <a:effectLst/>
              <a:latin typeface="+mn-lt"/>
              <a:ea typeface="+mn-ea"/>
              <a:cs typeface="+mn-cs"/>
            </a:rPr>
            <a:t>Do you need a good lord?</a:t>
          </a:r>
          <a:r>
            <a:rPr lang="en-US" b="1"/>
            <a:t> </a:t>
          </a:r>
        </a:p>
        <a:p>
          <a:r>
            <a:rPr lang="en-US" sz="1100" b="1" i="0" u="none" strike="noStrike">
              <a:solidFill>
                <a:schemeClr val="dk1"/>
              </a:solidFill>
              <a:effectLst/>
              <a:latin typeface="+mn-lt"/>
              <a:ea typeface="+mn-ea"/>
              <a:cs typeface="+mn-cs"/>
            </a:rPr>
            <a:t>17.</a:t>
          </a:r>
          <a:r>
            <a:rPr lang="en-US" b="1"/>
            <a:t> </a:t>
          </a:r>
          <a:r>
            <a:rPr lang="en-US" sz="1100" b="1" i="0" u="none" strike="noStrike">
              <a:solidFill>
                <a:schemeClr val="dk1"/>
              </a:solidFill>
              <a:effectLst/>
              <a:latin typeface="+mn-lt"/>
              <a:ea typeface="+mn-ea"/>
              <a:cs typeface="+mn-cs"/>
            </a:rPr>
            <a:t>Where does the capital go?</a:t>
          </a:r>
          <a:r>
            <a:rPr lang="en-US" b="1"/>
            <a:t> </a:t>
          </a:r>
        </a:p>
        <a:p>
          <a:r>
            <a:rPr lang="en-US" sz="1100" b="1" i="0" u="none" strike="noStrike">
              <a:solidFill>
                <a:schemeClr val="dk1"/>
              </a:solidFill>
              <a:effectLst/>
              <a:latin typeface="+mn-lt"/>
              <a:ea typeface="+mn-ea"/>
              <a:cs typeface="+mn-cs"/>
            </a:rPr>
            <a:t>18.</a:t>
          </a:r>
          <a:r>
            <a:rPr lang="en-US" b="1"/>
            <a:t> </a:t>
          </a:r>
          <a:r>
            <a:rPr lang="en-US" sz="1100" b="1" i="0" u="none" strike="noStrike">
              <a:solidFill>
                <a:schemeClr val="dk1"/>
              </a:solidFill>
              <a:effectLst/>
              <a:latin typeface="+mn-lt"/>
              <a:ea typeface="+mn-ea"/>
              <a:cs typeface="+mn-cs"/>
            </a:rPr>
            <a:t>Consider potential second order and higher level impacts</a:t>
          </a:r>
          <a:r>
            <a:rPr lang="en-US" b="1"/>
            <a:t> </a:t>
          </a:r>
        </a:p>
        <a:p>
          <a:r>
            <a:rPr lang="en-US" sz="1100" b="1" i="0" u="none" strike="noStrike">
              <a:solidFill>
                <a:schemeClr val="dk1"/>
              </a:solidFill>
              <a:effectLst/>
              <a:latin typeface="+mn-lt"/>
              <a:ea typeface="+mn-ea"/>
              <a:cs typeface="+mn-cs"/>
            </a:rPr>
            <a:t>19.</a:t>
          </a:r>
          <a:r>
            <a:rPr lang="en-US" b="1"/>
            <a:t> </a:t>
          </a:r>
          <a:r>
            <a:rPr lang="en-US" sz="1100" b="1" i="0" u="none" strike="noStrike">
              <a:solidFill>
                <a:schemeClr val="dk1"/>
              </a:solidFill>
              <a:effectLst/>
              <a:latin typeface="+mn-lt"/>
              <a:ea typeface="+mn-ea"/>
              <a:cs typeface="+mn-cs"/>
            </a:rPr>
            <a:t>Is the dividend safe?</a:t>
          </a:r>
          <a:r>
            <a:rPr lang="en-US" b="1"/>
            <a:t> </a:t>
          </a:r>
          <a:r>
            <a:rPr lang="en-US" sz="1100" b="1" i="0" u="none" strike="noStrike">
              <a:solidFill>
                <a:schemeClr val="dk1"/>
              </a:solidFill>
              <a:effectLst/>
              <a:latin typeface="+mn-lt"/>
              <a:ea typeface="+mn-ea"/>
              <a:cs typeface="+mn-cs"/>
            </a:rPr>
            <a:t>20</a:t>
          </a:r>
          <a:r>
            <a:rPr lang="en-US" b="1"/>
            <a:t> </a:t>
          </a:r>
          <a:r>
            <a:rPr lang="en-US" sz="1100" b="1" i="0" u="none" strike="noStrike">
              <a:solidFill>
                <a:schemeClr val="dk1"/>
              </a:solidFill>
              <a:effectLst/>
              <a:latin typeface="+mn-lt"/>
              <a:ea typeface="+mn-ea"/>
              <a:cs typeface="+mn-cs"/>
            </a:rPr>
            <a:t>Will this dividend grow?</a:t>
          </a:r>
          <a:r>
            <a:rPr lang="en-US" b="1"/>
            <a:t> </a:t>
          </a:r>
        </a:p>
        <a:p>
          <a:r>
            <a:rPr lang="en-US" sz="1100" b="1" i="0" u="none" strike="noStrike">
              <a:solidFill>
                <a:schemeClr val="dk1"/>
              </a:solidFill>
              <a:effectLst/>
              <a:latin typeface="+mn-lt"/>
              <a:ea typeface="+mn-ea"/>
              <a:cs typeface="+mn-cs"/>
            </a:rPr>
            <a:t>21.</a:t>
          </a:r>
          <a:r>
            <a:rPr lang="en-US" b="1"/>
            <a:t> </a:t>
          </a:r>
          <a:r>
            <a:rPr lang="en-US" sz="1100" b="1" i="0" u="none" strike="noStrike">
              <a:solidFill>
                <a:schemeClr val="dk1"/>
              </a:solidFill>
              <a:effectLst/>
              <a:latin typeface="+mn-lt"/>
              <a:ea typeface="+mn-ea"/>
              <a:cs typeface="+mn-cs"/>
            </a:rPr>
            <a:t>What does this dividend stream stand to return to me as a shareholder?</a:t>
          </a:r>
        </a:p>
        <a:p>
          <a:r>
            <a:rPr lang="en-US" sz="1100" b="1" i="0" u="none" strike="noStrike">
              <a:solidFill>
                <a:schemeClr val="dk1"/>
              </a:solidFill>
              <a:effectLst/>
              <a:latin typeface="+mn-lt"/>
              <a:ea typeface="+mn-ea"/>
              <a:cs typeface="+mn-cs"/>
            </a:rPr>
            <a:t>22.</a:t>
          </a:r>
          <a:r>
            <a:rPr lang="en-US" b="1"/>
            <a:t> </a:t>
          </a:r>
          <a:r>
            <a:rPr lang="en-US" sz="1100" b="1" i="0" u="none" strike="noStrike">
              <a:solidFill>
                <a:schemeClr val="dk1"/>
              </a:solidFill>
              <a:effectLst/>
              <a:latin typeface="+mn-lt"/>
              <a:ea typeface="+mn-ea"/>
              <a:cs typeface="+mn-cs"/>
            </a:rPr>
            <a:t>Have margins been consistent and high relative to its industry?</a:t>
          </a:r>
          <a:r>
            <a:rPr lang="en-US" b="1"/>
            <a:t> </a:t>
          </a:r>
        </a:p>
        <a:p>
          <a:r>
            <a:rPr lang="en-US" sz="1100" b="1" i="0" u="none" strike="noStrike">
              <a:solidFill>
                <a:schemeClr val="dk1"/>
              </a:solidFill>
              <a:effectLst/>
              <a:latin typeface="+mn-lt"/>
              <a:ea typeface="+mn-ea"/>
              <a:cs typeface="+mn-cs"/>
            </a:rPr>
            <a:t>23.</a:t>
          </a:r>
          <a:r>
            <a:rPr lang="en-US" b="1"/>
            <a:t> </a:t>
          </a:r>
          <a:r>
            <a:rPr lang="en-US" sz="1100" b="1" i="0" u="none" strike="noStrike">
              <a:solidFill>
                <a:schemeClr val="dk1"/>
              </a:solidFill>
              <a:effectLst/>
              <a:latin typeface="+mn-lt"/>
              <a:ea typeface="+mn-ea"/>
              <a:cs typeface="+mn-cs"/>
            </a:rPr>
            <a:t>Return on equity relative to industry?</a:t>
          </a:r>
          <a:r>
            <a:rPr lang="en-US" b="1"/>
            <a:t> </a:t>
          </a:r>
        </a:p>
        <a:p>
          <a:r>
            <a:rPr lang="en-US" sz="1100" b="1" i="0" u="none" strike="noStrike">
              <a:solidFill>
                <a:schemeClr val="dk1"/>
              </a:solidFill>
              <a:effectLst/>
              <a:latin typeface="+mn-lt"/>
              <a:ea typeface="+mn-ea"/>
              <a:cs typeface="+mn-cs"/>
            </a:rPr>
            <a:t>24.</a:t>
          </a:r>
          <a:r>
            <a:rPr lang="en-US" b="1"/>
            <a:t> </a:t>
          </a:r>
          <a:r>
            <a:rPr lang="en-US" sz="1100" b="1" i="0" u="none" strike="noStrike">
              <a:solidFill>
                <a:schemeClr val="dk1"/>
              </a:solidFill>
              <a:effectLst/>
              <a:latin typeface="+mn-lt"/>
              <a:ea typeface="+mn-ea"/>
              <a:cs typeface="+mn-cs"/>
            </a:rPr>
            <a:t>Is there a lot of entry and exits within the industry? If not its strong - if so very competitive market</a:t>
          </a:r>
          <a:r>
            <a:rPr lang="en-US" b="1"/>
            <a:t> </a:t>
          </a:r>
        </a:p>
        <a:p>
          <a:r>
            <a:rPr lang="en-US" sz="1100" b="1" i="0" u="none" strike="noStrike">
              <a:solidFill>
                <a:schemeClr val="dk1"/>
              </a:solidFill>
              <a:effectLst/>
              <a:latin typeface="+mn-lt"/>
              <a:ea typeface="+mn-ea"/>
              <a:cs typeface="+mn-cs"/>
            </a:rPr>
            <a:t>25.</a:t>
          </a:r>
          <a:r>
            <a:rPr lang="en-US" b="1"/>
            <a:t> </a:t>
          </a:r>
          <a:r>
            <a:rPr lang="en-US" sz="1100" b="1" i="0" u="none" strike="noStrike">
              <a:solidFill>
                <a:schemeClr val="dk1"/>
              </a:solidFill>
              <a:effectLst/>
              <a:latin typeface="+mn-lt"/>
              <a:ea typeface="+mn-ea"/>
              <a:cs typeface="+mn-cs"/>
            </a:rPr>
            <a:t>How dominate?</a:t>
          </a:r>
          <a:r>
            <a:rPr lang="en-US" b="1"/>
            <a:t> </a:t>
          </a:r>
        </a:p>
        <a:p>
          <a:r>
            <a:rPr lang="en-US" sz="1100" b="1" i="0" u="none" strike="noStrike">
              <a:solidFill>
                <a:schemeClr val="dk1"/>
              </a:solidFill>
              <a:effectLst/>
              <a:latin typeface="+mn-lt"/>
              <a:ea typeface="+mn-ea"/>
              <a:cs typeface="+mn-cs"/>
            </a:rPr>
            <a:t>26.</a:t>
          </a:r>
          <a:r>
            <a:rPr lang="en-US" b="1"/>
            <a:t> </a:t>
          </a:r>
          <a:r>
            <a:rPr lang="en-US" sz="1100" b="1" i="0" u="none" strike="noStrike">
              <a:solidFill>
                <a:schemeClr val="dk1"/>
              </a:solidFill>
              <a:effectLst/>
              <a:latin typeface="+mn-lt"/>
              <a:ea typeface="+mn-ea"/>
              <a:cs typeface="+mn-cs"/>
            </a:rPr>
            <a:t>Market Share?</a:t>
          </a:r>
          <a:r>
            <a:rPr lang="en-US" b="1"/>
            <a:t> </a:t>
          </a:r>
        </a:p>
        <a:p>
          <a:r>
            <a:rPr lang="en-US" sz="1100" b="1" i="0" u="none" strike="noStrike">
              <a:solidFill>
                <a:schemeClr val="dk1"/>
              </a:solidFill>
              <a:effectLst/>
              <a:latin typeface="+mn-lt"/>
              <a:ea typeface="+mn-ea"/>
              <a:cs typeface="+mn-cs"/>
            </a:rPr>
            <a:t>27.</a:t>
          </a:r>
          <a:r>
            <a:rPr lang="en-US" b="1"/>
            <a:t> </a:t>
          </a:r>
          <a:r>
            <a:rPr lang="en-US" sz="1100" b="1" i="0" u="none" strike="noStrike">
              <a:solidFill>
                <a:schemeClr val="dk1"/>
              </a:solidFill>
              <a:effectLst/>
              <a:latin typeface="+mn-lt"/>
              <a:ea typeface="+mn-ea"/>
              <a:cs typeface="+mn-cs"/>
            </a:rPr>
            <a:t>High switch costs / habits / search cost of replacement</a:t>
          </a:r>
          <a:r>
            <a:rPr lang="en-US" b="1"/>
            <a:t> </a:t>
          </a:r>
        </a:p>
        <a:p>
          <a:endParaRPr lang="en-US" sz="1100" b="0" i="0" u="sng" strike="noStrike">
            <a:solidFill>
              <a:schemeClr val="dk1"/>
            </a:solidFill>
            <a:effectLst/>
            <a:latin typeface="+mn-lt"/>
            <a:ea typeface="+mn-ea"/>
            <a:cs typeface="+mn-cs"/>
          </a:endParaRPr>
        </a:p>
        <a:p>
          <a:r>
            <a:rPr lang="en-US" sz="1100" b="0" i="0" u="sng" strike="noStrike">
              <a:solidFill>
                <a:schemeClr val="dk1"/>
              </a:solidFill>
              <a:effectLst/>
              <a:latin typeface="+mn-lt"/>
              <a:ea typeface="+mn-ea"/>
              <a:cs typeface="+mn-cs"/>
            </a:rPr>
            <a:t>Macro-View</a:t>
          </a:r>
          <a:r>
            <a:rPr lang="en-US"/>
            <a:t> </a:t>
          </a:r>
          <a:r>
            <a:rPr lang="en-US" sz="1100" b="0" i="0" u="none" strike="noStrike">
              <a:solidFill>
                <a:schemeClr val="dk1"/>
              </a:solidFill>
              <a:effectLst/>
              <a:latin typeface="+mn-lt"/>
              <a:ea typeface="+mn-ea"/>
              <a:cs typeface="+mn-cs"/>
            </a:rPr>
            <a:t>after-tax corporate profits as a percentage of national income (GDP similar) - historically it's 4.9%</a:t>
          </a:r>
        </a:p>
        <a:p>
          <a:endParaRPr lang="en-US" sz="1100" b="0" i="0" u="none" strike="noStrike">
            <a:solidFill>
              <a:schemeClr val="dk1"/>
            </a:solidFill>
            <a:effectLst/>
            <a:latin typeface="+mn-lt"/>
            <a:ea typeface="+mn-ea"/>
            <a:cs typeface="+mn-cs"/>
          </a:endParaRPr>
        </a:p>
        <a:p>
          <a:r>
            <a:rPr lang="en-US"/>
            <a:t> </a:t>
          </a:r>
          <a:r>
            <a:rPr lang="en-US" sz="1100" b="0" i="0" u="none" strike="noStrike">
              <a:solidFill>
                <a:schemeClr val="dk1"/>
              </a:solidFill>
              <a:effectLst/>
              <a:latin typeface="+mn-lt"/>
              <a:ea typeface="+mn-ea"/>
              <a:cs typeface="+mn-cs"/>
            </a:rPr>
            <a:t>“Patience … followed by pretty aggressive conduct. It is given to human beings who work hard at it—who look and sift the world for a mispriced bet — that they can occasionally find one. And the wise ones bet heavily when the world offers them that opportunity. They bet big when they have the odds. And the rest of the time, they don’t. It’s just that simple.” – Charlie Munger</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“Over the past 50 years we lived through the best time of human history. It is likely to get worse. I recommend you to prepare for worse because pleasant surprises are easy to handle.”– Charlie Munger  </a:t>
          </a:r>
          <a:r>
            <a:rPr lang="en-US"/>
            <a:t> </a:t>
          </a:r>
        </a:p>
        <a:p>
          <a:endParaRPr lang="en-US" sz="1100"/>
        </a:p>
      </xdr:txBody>
    </xdr:sp>
    <xdr:clientData/>
  </xdr:twoCellAnchor>
  <xdr:twoCellAnchor>
    <xdr:from>
      <xdr:col>10</xdr:col>
      <xdr:colOff>352425</xdr:colOff>
      <xdr:row>57</xdr:row>
      <xdr:rowOff>47625</xdr:rowOff>
    </xdr:from>
    <xdr:to>
      <xdr:col>15</xdr:col>
      <xdr:colOff>542925</xdr:colOff>
      <xdr:row>68</xdr:row>
      <xdr:rowOff>114300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7743825" y="9248775"/>
          <a:ext cx="4924425"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AmerisourceBergen Corporation</a:t>
          </a:r>
          <a:endParaRPr lang="en-US" sz="1100"/>
        </a:p>
        <a:p>
          <a:r>
            <a:rPr lang="en-US" sz="1100"/>
            <a:t>Date: 12/12/2019 </a:t>
          </a:r>
        </a:p>
        <a:p>
          <a:r>
            <a:rPr lang="en-US" sz="1100"/>
            <a:t>Notes: slow growth, looks like its hitting a wall, slow growth. not cheap enough. for a 20+ return</a:t>
          </a:r>
        </a:p>
        <a:p>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85724</xdr:colOff>
      <xdr:row>70</xdr:row>
      <xdr:rowOff>152399</xdr:rowOff>
    </xdr:from>
    <xdr:to>
      <xdr:col>21</xdr:col>
      <xdr:colOff>161924</xdr:colOff>
      <xdr:row>125</xdr:row>
      <xdr:rowOff>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85724" y="11496674"/>
          <a:ext cx="16563975" cy="8791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sng" strike="noStrike">
              <a:solidFill>
                <a:schemeClr val="dk1"/>
              </a:solidFill>
              <a:effectLst/>
              <a:latin typeface="+mn-lt"/>
              <a:ea typeface="+mn-ea"/>
              <a:cs typeface="+mn-cs"/>
            </a:rPr>
            <a:t>Investment Question</a:t>
          </a:r>
          <a:r>
            <a:rPr lang="en-US" sz="1400" b="1" u="sng"/>
            <a:t> - Thesis</a:t>
          </a:r>
        </a:p>
        <a:p>
          <a:r>
            <a:rPr lang="en-US" sz="1100" b="1" i="0" u="none" strike="noStrike">
              <a:solidFill>
                <a:schemeClr val="dk1"/>
              </a:solidFill>
              <a:effectLst/>
              <a:latin typeface="+mn-lt"/>
              <a:ea typeface="+mn-ea"/>
              <a:cs typeface="+mn-cs"/>
            </a:rPr>
            <a:t>1. How Long</a:t>
          </a:r>
          <a:r>
            <a:rPr lang="en-US" b="1"/>
            <a:t> </a:t>
          </a:r>
        </a:p>
        <a:p>
          <a:r>
            <a:rPr lang="en-US" sz="1100" b="1" i="0" u="none" strike="noStrike">
              <a:solidFill>
                <a:schemeClr val="dk1"/>
              </a:solidFill>
              <a:effectLst/>
              <a:latin typeface="+mn-lt"/>
              <a:ea typeface="+mn-ea"/>
              <a:cs typeface="+mn-cs"/>
            </a:rPr>
            <a:t>2. How Many</a:t>
          </a:r>
          <a:r>
            <a:rPr lang="en-US" b="1"/>
            <a:t> </a:t>
          </a:r>
        </a:p>
        <a:p>
          <a:r>
            <a:rPr lang="en-US" sz="1100" b="1" i="0" u="none" strike="noStrike">
              <a:solidFill>
                <a:schemeClr val="dk1"/>
              </a:solidFill>
              <a:effectLst/>
              <a:latin typeface="+mn-lt"/>
              <a:ea typeface="+mn-ea"/>
              <a:cs typeface="+mn-cs"/>
            </a:rPr>
            <a:t>3. How Sure Are You?</a:t>
          </a:r>
          <a:r>
            <a:rPr lang="en-US" b="1"/>
            <a:t> </a:t>
          </a:r>
        </a:p>
        <a:p>
          <a:endParaRPr lang="en-US"/>
        </a:p>
        <a:p>
          <a:r>
            <a:rPr lang="en-US" sz="1400" b="1" i="0" u="sng" strike="noStrike">
              <a:solidFill>
                <a:schemeClr val="dk1"/>
              </a:solidFill>
              <a:effectLst/>
              <a:latin typeface="+mn-lt"/>
              <a:ea typeface="+mn-ea"/>
              <a:cs typeface="+mn-cs"/>
            </a:rPr>
            <a:t>Market View</a:t>
          </a:r>
          <a:r>
            <a:rPr lang="en-US" sz="1400" b="1" u="sng"/>
            <a:t> </a:t>
          </a:r>
        </a:p>
        <a:p>
          <a:r>
            <a:rPr lang="en-US" sz="1100" b="1" i="0" u="none" strike="noStrike">
              <a:solidFill>
                <a:schemeClr val="dk1"/>
              </a:solidFill>
              <a:effectLst/>
              <a:latin typeface="+mn-lt"/>
              <a:ea typeface="+mn-ea"/>
              <a:cs typeface="+mn-cs"/>
            </a:rPr>
            <a:t>What is the concensus currently and why?</a:t>
          </a:r>
          <a:r>
            <a:rPr lang="en-US" b="1"/>
            <a:t> </a:t>
          </a:r>
        </a:p>
        <a:p>
          <a:r>
            <a:rPr lang="en-US" sz="1100" b="1" i="0" u="none" strike="noStrike">
              <a:solidFill>
                <a:schemeClr val="dk1"/>
              </a:solidFill>
              <a:effectLst/>
              <a:latin typeface="+mn-lt"/>
              <a:ea typeface="+mn-ea"/>
              <a:cs typeface="+mn-cs"/>
            </a:rPr>
            <a:t>Current Price</a:t>
          </a:r>
          <a:r>
            <a:rPr lang="en-US" b="1"/>
            <a:t> </a:t>
          </a:r>
        </a:p>
        <a:p>
          <a:r>
            <a:rPr lang="en-US" sz="1100" b="1" i="0" u="none" strike="noStrike">
              <a:solidFill>
                <a:schemeClr val="dk1"/>
              </a:solidFill>
              <a:effectLst/>
              <a:latin typeface="+mn-lt"/>
              <a:ea typeface="+mn-ea"/>
              <a:cs typeface="+mn-cs"/>
            </a:rPr>
            <a:t>What is the most important drivers of customers to the industry and does this company competitively meet these drivers?</a:t>
          </a:r>
          <a:r>
            <a:rPr lang="en-US" b="1"/>
            <a:t> </a:t>
          </a:r>
        </a:p>
        <a:p>
          <a:endParaRPr lang="en-US"/>
        </a:p>
        <a:p>
          <a:r>
            <a:rPr lang="en-US" sz="1400" b="1" i="0" u="sng" strike="noStrike">
              <a:solidFill>
                <a:schemeClr val="dk1"/>
              </a:solidFill>
              <a:effectLst/>
              <a:latin typeface="+mn-lt"/>
              <a:ea typeface="+mn-ea"/>
              <a:cs typeface="+mn-cs"/>
            </a:rPr>
            <a:t>Management/Barriers/Competition</a:t>
          </a:r>
        </a:p>
        <a:p>
          <a:r>
            <a:rPr lang="en-US" sz="1100" b="1" i="0" u="none" strike="noStrike">
              <a:solidFill>
                <a:schemeClr val="dk1"/>
              </a:solidFill>
              <a:effectLst/>
              <a:latin typeface="+mn-lt"/>
              <a:ea typeface="+mn-ea"/>
              <a:cs typeface="+mn-cs"/>
            </a:rPr>
            <a:t>1.</a:t>
          </a:r>
          <a:r>
            <a:rPr lang="en-US" b="1"/>
            <a:t> </a:t>
          </a:r>
          <a:r>
            <a:rPr lang="en-US" sz="1100" b="1" i="0" u="none" strike="noStrike">
              <a:solidFill>
                <a:schemeClr val="dk1"/>
              </a:solidFill>
              <a:effectLst/>
              <a:latin typeface="+mn-lt"/>
              <a:ea typeface="+mn-ea"/>
              <a:cs typeface="+mn-cs"/>
            </a:rPr>
            <a:t>Competition?</a:t>
          </a:r>
          <a:r>
            <a:rPr lang="en-US" b="1"/>
            <a:t> </a:t>
          </a:r>
        </a:p>
        <a:p>
          <a:r>
            <a:rPr lang="en-US" sz="1100" b="1" i="0" u="none" strike="noStrike">
              <a:solidFill>
                <a:schemeClr val="dk1"/>
              </a:solidFill>
              <a:effectLst/>
              <a:latin typeface="+mn-lt"/>
              <a:ea typeface="+mn-ea"/>
              <a:cs typeface="+mn-cs"/>
            </a:rPr>
            <a:t>2.</a:t>
          </a:r>
          <a:r>
            <a:rPr lang="en-US" b="1"/>
            <a:t> </a:t>
          </a:r>
          <a:r>
            <a:rPr lang="en-US" sz="1100" b="1" i="0" u="none" strike="noStrike">
              <a:solidFill>
                <a:schemeClr val="dk1"/>
              </a:solidFill>
              <a:effectLst/>
              <a:latin typeface="+mn-lt"/>
              <a:ea typeface="+mn-ea"/>
              <a:cs typeface="+mn-cs"/>
            </a:rPr>
            <a:t>Suppliers?</a:t>
          </a:r>
          <a:r>
            <a:rPr lang="en-US" b="1"/>
            <a:t> </a:t>
          </a:r>
        </a:p>
        <a:p>
          <a:r>
            <a:rPr lang="en-US" sz="1100" b="1" i="0" u="none" strike="noStrike">
              <a:solidFill>
                <a:schemeClr val="dk1"/>
              </a:solidFill>
              <a:effectLst/>
              <a:latin typeface="+mn-lt"/>
              <a:ea typeface="+mn-ea"/>
              <a:cs typeface="+mn-cs"/>
            </a:rPr>
            <a:t>3.</a:t>
          </a:r>
          <a:r>
            <a:rPr lang="en-US" b="1"/>
            <a:t> </a:t>
          </a:r>
          <a:r>
            <a:rPr lang="en-US" sz="1100" b="1" i="0" u="none" strike="noStrike">
              <a:solidFill>
                <a:schemeClr val="dk1"/>
              </a:solidFill>
              <a:effectLst/>
              <a:latin typeface="+mn-lt"/>
              <a:ea typeface="+mn-ea"/>
              <a:cs typeface="+mn-cs"/>
            </a:rPr>
            <a:t>Durable competitive advantage?</a:t>
          </a:r>
          <a:r>
            <a:rPr lang="en-US" b="1"/>
            <a:t> </a:t>
          </a:r>
        </a:p>
        <a:p>
          <a:r>
            <a:rPr lang="en-US" sz="1100" b="1" i="0" u="none" strike="noStrike">
              <a:solidFill>
                <a:schemeClr val="dk1"/>
              </a:solidFill>
              <a:effectLst/>
              <a:latin typeface="+mn-lt"/>
              <a:ea typeface="+mn-ea"/>
              <a:cs typeface="+mn-cs"/>
            </a:rPr>
            <a:t>4.</a:t>
          </a:r>
          <a:r>
            <a:rPr lang="en-US" b="1"/>
            <a:t> </a:t>
          </a:r>
          <a:r>
            <a:rPr lang="en-US" sz="1100" b="1" i="0" u="none" strike="noStrike">
              <a:solidFill>
                <a:schemeClr val="dk1"/>
              </a:solidFill>
              <a:effectLst/>
              <a:latin typeface="+mn-lt"/>
              <a:ea typeface="+mn-ea"/>
              <a:cs typeface="+mn-cs"/>
            </a:rPr>
            <a:t>Management good?</a:t>
          </a:r>
          <a:r>
            <a:rPr lang="en-US" b="1"/>
            <a:t> </a:t>
          </a:r>
        </a:p>
        <a:p>
          <a:r>
            <a:rPr lang="en-US" sz="1100" b="1" i="0" u="none" strike="noStrike">
              <a:solidFill>
                <a:schemeClr val="dk1"/>
              </a:solidFill>
              <a:effectLst/>
              <a:latin typeface="+mn-lt"/>
              <a:ea typeface="+mn-ea"/>
              <a:cs typeface="+mn-cs"/>
            </a:rPr>
            <a:t>5.</a:t>
          </a:r>
          <a:r>
            <a:rPr lang="en-US" b="1"/>
            <a:t> </a:t>
          </a:r>
          <a:r>
            <a:rPr lang="en-US" sz="1100" b="1" i="0" u="none" strike="noStrike">
              <a:solidFill>
                <a:schemeClr val="dk1"/>
              </a:solidFill>
              <a:effectLst/>
              <a:latin typeface="+mn-lt"/>
              <a:ea typeface="+mn-ea"/>
              <a:cs typeface="+mn-cs"/>
            </a:rPr>
            <a:t>Price makes sense?</a:t>
          </a:r>
          <a:r>
            <a:rPr lang="en-US" b="1"/>
            <a:t> </a:t>
          </a:r>
        </a:p>
        <a:p>
          <a:r>
            <a:rPr lang="en-US" sz="1100" b="1" i="0" u="none" strike="noStrike">
              <a:solidFill>
                <a:schemeClr val="dk1"/>
              </a:solidFill>
              <a:effectLst/>
              <a:latin typeface="+mn-lt"/>
              <a:ea typeface="+mn-ea"/>
              <a:cs typeface="+mn-cs"/>
            </a:rPr>
            <a:t>6.</a:t>
          </a:r>
          <a:r>
            <a:rPr lang="en-US" b="1"/>
            <a:t> </a:t>
          </a:r>
          <a:r>
            <a:rPr lang="en-US" sz="1100" b="1" i="0" u="none" strike="noStrike">
              <a:solidFill>
                <a:schemeClr val="dk1"/>
              </a:solidFill>
              <a:effectLst/>
              <a:latin typeface="+mn-lt"/>
              <a:ea typeface="+mn-ea"/>
              <a:cs typeface="+mn-cs"/>
            </a:rPr>
            <a:t>Margin of safety?</a:t>
          </a:r>
          <a:r>
            <a:rPr lang="en-US" b="1"/>
            <a:t> </a:t>
          </a:r>
        </a:p>
        <a:p>
          <a:r>
            <a:rPr lang="en-US" sz="1100" b="1" i="0" u="none" strike="noStrike">
              <a:solidFill>
                <a:schemeClr val="dk1"/>
              </a:solidFill>
              <a:effectLst/>
              <a:latin typeface="+mn-lt"/>
              <a:ea typeface="+mn-ea"/>
              <a:cs typeface="+mn-cs"/>
            </a:rPr>
            <a:t>7.</a:t>
          </a:r>
          <a:r>
            <a:rPr lang="en-US" b="1"/>
            <a:t> </a:t>
          </a:r>
          <a:r>
            <a:rPr lang="en-US" sz="1100" b="1" i="0" u="none" strike="noStrike">
              <a:solidFill>
                <a:schemeClr val="dk1"/>
              </a:solidFill>
              <a:effectLst/>
              <a:latin typeface="+mn-lt"/>
              <a:ea typeface="+mn-ea"/>
              <a:cs typeface="+mn-cs"/>
            </a:rPr>
            <a:t>Are the odds in your favor?</a:t>
          </a:r>
          <a:r>
            <a:rPr lang="en-US" b="1"/>
            <a:t> </a:t>
          </a:r>
        </a:p>
        <a:p>
          <a:r>
            <a:rPr lang="en-US" sz="1100" b="1" i="0" u="none" strike="noStrike">
              <a:solidFill>
                <a:schemeClr val="dk1"/>
              </a:solidFill>
              <a:effectLst/>
              <a:latin typeface="+mn-lt"/>
              <a:ea typeface="+mn-ea"/>
              <a:cs typeface="+mn-cs"/>
            </a:rPr>
            <a:t>8.</a:t>
          </a:r>
          <a:r>
            <a:rPr lang="en-US" b="1"/>
            <a:t> </a:t>
          </a:r>
          <a:r>
            <a:rPr lang="en-US" sz="1100" b="1" i="0" u="none" strike="noStrike">
              <a:solidFill>
                <a:schemeClr val="dk1"/>
              </a:solidFill>
              <a:effectLst/>
              <a:latin typeface="+mn-lt"/>
              <a:ea typeface="+mn-ea"/>
              <a:cs typeface="+mn-cs"/>
            </a:rPr>
            <a:t>Regulatory climate?</a:t>
          </a:r>
          <a:r>
            <a:rPr lang="en-US" b="1"/>
            <a:t> </a:t>
          </a:r>
        </a:p>
        <a:p>
          <a:r>
            <a:rPr lang="en-US" sz="1100" b="1" i="0" u="none" strike="noStrike">
              <a:solidFill>
                <a:schemeClr val="dk1"/>
              </a:solidFill>
              <a:effectLst/>
              <a:latin typeface="+mn-lt"/>
              <a:ea typeface="+mn-ea"/>
              <a:cs typeface="+mn-cs"/>
            </a:rPr>
            <a:t>9.</a:t>
          </a:r>
          <a:r>
            <a:rPr lang="en-US" b="1"/>
            <a:t> </a:t>
          </a:r>
          <a:r>
            <a:rPr lang="en-US" sz="1100" b="1" i="0" u="none" strike="noStrike">
              <a:solidFill>
                <a:schemeClr val="dk1"/>
              </a:solidFill>
              <a:effectLst/>
              <a:latin typeface="+mn-lt"/>
              <a:ea typeface="+mn-ea"/>
              <a:cs typeface="+mn-cs"/>
            </a:rPr>
            <a:t>State of labor?</a:t>
          </a:r>
          <a:r>
            <a:rPr lang="en-US" b="1"/>
            <a:t> </a:t>
          </a:r>
        </a:p>
        <a:p>
          <a:r>
            <a:rPr lang="en-US" sz="1100" b="1" i="0" u="none" strike="noStrike">
              <a:solidFill>
                <a:schemeClr val="dk1"/>
              </a:solidFill>
              <a:effectLst/>
              <a:latin typeface="+mn-lt"/>
              <a:ea typeface="+mn-ea"/>
              <a:cs typeface="+mn-cs"/>
            </a:rPr>
            <a:t>10.</a:t>
          </a:r>
          <a:r>
            <a:rPr lang="en-US" b="1"/>
            <a:t> </a:t>
          </a:r>
          <a:r>
            <a:rPr lang="en-US" sz="1100" b="1" i="0" u="none" strike="noStrike">
              <a:solidFill>
                <a:schemeClr val="dk1"/>
              </a:solidFill>
              <a:effectLst/>
              <a:latin typeface="+mn-lt"/>
              <a:ea typeface="+mn-ea"/>
              <a:cs typeface="+mn-cs"/>
            </a:rPr>
            <a:t>Customer relations</a:t>
          </a:r>
          <a:r>
            <a:rPr lang="en-US" b="1"/>
            <a:t> </a:t>
          </a:r>
        </a:p>
        <a:p>
          <a:r>
            <a:rPr lang="en-US" sz="1100" b="1" i="0" u="none" strike="noStrike">
              <a:solidFill>
                <a:schemeClr val="dk1"/>
              </a:solidFill>
              <a:effectLst/>
              <a:latin typeface="+mn-lt"/>
              <a:ea typeface="+mn-ea"/>
              <a:cs typeface="+mn-cs"/>
            </a:rPr>
            <a:t>11.</a:t>
          </a:r>
          <a:r>
            <a:rPr lang="en-US" b="1"/>
            <a:t> </a:t>
          </a:r>
          <a:r>
            <a:rPr lang="en-US" sz="1100" b="1" i="0" u="none" strike="noStrike">
              <a:solidFill>
                <a:schemeClr val="dk1"/>
              </a:solidFill>
              <a:effectLst/>
              <a:latin typeface="+mn-lt"/>
              <a:ea typeface="+mn-ea"/>
              <a:cs typeface="+mn-cs"/>
            </a:rPr>
            <a:t>Potential impact of changes in technology</a:t>
          </a:r>
          <a:r>
            <a:rPr lang="en-US" b="1"/>
            <a:t> </a:t>
          </a:r>
        </a:p>
        <a:p>
          <a:r>
            <a:rPr lang="en-US" sz="1100" b="1" i="0" u="none" strike="noStrike">
              <a:solidFill>
                <a:schemeClr val="dk1"/>
              </a:solidFill>
              <a:effectLst/>
              <a:latin typeface="+mn-lt"/>
              <a:ea typeface="+mn-ea"/>
              <a:cs typeface="+mn-cs"/>
            </a:rPr>
            <a:t>12.</a:t>
          </a:r>
          <a:r>
            <a:rPr lang="en-US" b="1"/>
            <a:t> </a:t>
          </a:r>
          <a:r>
            <a:rPr lang="en-US" sz="1100" b="1" i="0" u="none" strike="noStrike">
              <a:solidFill>
                <a:schemeClr val="dk1"/>
              </a:solidFill>
              <a:effectLst/>
              <a:latin typeface="+mn-lt"/>
              <a:ea typeface="+mn-ea"/>
              <a:cs typeface="+mn-cs"/>
            </a:rPr>
            <a:t>Vulnerabilities</a:t>
          </a:r>
          <a:r>
            <a:rPr lang="en-US" b="1"/>
            <a:t> </a:t>
          </a:r>
        </a:p>
        <a:p>
          <a:r>
            <a:rPr lang="en-US" sz="1100" b="1" i="0" u="none" strike="noStrike">
              <a:solidFill>
                <a:schemeClr val="dk1"/>
              </a:solidFill>
              <a:effectLst/>
              <a:latin typeface="+mn-lt"/>
              <a:ea typeface="+mn-ea"/>
              <a:cs typeface="+mn-cs"/>
            </a:rPr>
            <a:t>13.</a:t>
          </a:r>
          <a:r>
            <a:rPr lang="en-US" b="1"/>
            <a:t> </a:t>
          </a:r>
          <a:r>
            <a:rPr lang="en-US" sz="1100" b="1" i="0" u="none" strike="noStrike">
              <a:solidFill>
                <a:schemeClr val="dk1"/>
              </a:solidFill>
              <a:effectLst/>
              <a:latin typeface="+mn-lt"/>
              <a:ea typeface="+mn-ea"/>
              <a:cs typeface="+mn-cs"/>
            </a:rPr>
            <a:t>Pricing power</a:t>
          </a:r>
          <a:r>
            <a:rPr lang="en-US" b="1"/>
            <a:t> </a:t>
          </a:r>
        </a:p>
        <a:p>
          <a:r>
            <a:rPr lang="en-US" sz="1100" b="1" i="0" u="none" strike="noStrike">
              <a:solidFill>
                <a:schemeClr val="dk1"/>
              </a:solidFill>
              <a:effectLst/>
              <a:latin typeface="+mn-lt"/>
              <a:ea typeface="+mn-ea"/>
              <a:cs typeface="+mn-cs"/>
            </a:rPr>
            <a:t>14.</a:t>
          </a:r>
          <a:r>
            <a:rPr lang="en-US" b="1"/>
            <a:t> </a:t>
          </a:r>
          <a:r>
            <a:rPr lang="en-US" sz="1100" b="1" i="0" u="none" strike="noStrike">
              <a:solidFill>
                <a:schemeClr val="dk1"/>
              </a:solidFill>
              <a:effectLst/>
              <a:latin typeface="+mn-lt"/>
              <a:ea typeface="+mn-ea"/>
              <a:cs typeface="+mn-cs"/>
            </a:rPr>
            <a:t>Scalability</a:t>
          </a:r>
          <a:r>
            <a:rPr lang="en-US" b="1"/>
            <a:t> </a:t>
          </a:r>
        </a:p>
        <a:p>
          <a:r>
            <a:rPr lang="en-US" sz="1100" b="1" i="0" u="none" strike="noStrike">
              <a:solidFill>
                <a:schemeClr val="dk1"/>
              </a:solidFill>
              <a:effectLst/>
              <a:latin typeface="+mn-lt"/>
              <a:ea typeface="+mn-ea"/>
              <a:cs typeface="+mn-cs"/>
            </a:rPr>
            <a:t>16.</a:t>
          </a:r>
          <a:r>
            <a:rPr lang="en-US" b="1"/>
            <a:t> </a:t>
          </a:r>
          <a:r>
            <a:rPr lang="en-US" sz="1100" b="1" i="0" u="none" strike="noStrike">
              <a:solidFill>
                <a:schemeClr val="dk1"/>
              </a:solidFill>
              <a:effectLst/>
              <a:latin typeface="+mn-lt"/>
              <a:ea typeface="+mn-ea"/>
              <a:cs typeface="+mn-cs"/>
            </a:rPr>
            <a:t>Do you need a good lord?</a:t>
          </a:r>
          <a:r>
            <a:rPr lang="en-US" b="1"/>
            <a:t> </a:t>
          </a:r>
        </a:p>
        <a:p>
          <a:r>
            <a:rPr lang="en-US" sz="1100" b="1" i="0" u="none" strike="noStrike">
              <a:solidFill>
                <a:schemeClr val="dk1"/>
              </a:solidFill>
              <a:effectLst/>
              <a:latin typeface="+mn-lt"/>
              <a:ea typeface="+mn-ea"/>
              <a:cs typeface="+mn-cs"/>
            </a:rPr>
            <a:t>17.</a:t>
          </a:r>
          <a:r>
            <a:rPr lang="en-US" b="1"/>
            <a:t> </a:t>
          </a:r>
          <a:r>
            <a:rPr lang="en-US" sz="1100" b="1" i="0" u="none" strike="noStrike">
              <a:solidFill>
                <a:schemeClr val="dk1"/>
              </a:solidFill>
              <a:effectLst/>
              <a:latin typeface="+mn-lt"/>
              <a:ea typeface="+mn-ea"/>
              <a:cs typeface="+mn-cs"/>
            </a:rPr>
            <a:t>Where does the capital go?</a:t>
          </a:r>
          <a:r>
            <a:rPr lang="en-US" b="1"/>
            <a:t> </a:t>
          </a:r>
        </a:p>
        <a:p>
          <a:r>
            <a:rPr lang="en-US" sz="1100" b="1" i="0" u="none" strike="noStrike">
              <a:solidFill>
                <a:schemeClr val="dk1"/>
              </a:solidFill>
              <a:effectLst/>
              <a:latin typeface="+mn-lt"/>
              <a:ea typeface="+mn-ea"/>
              <a:cs typeface="+mn-cs"/>
            </a:rPr>
            <a:t>18.</a:t>
          </a:r>
          <a:r>
            <a:rPr lang="en-US" b="1"/>
            <a:t> </a:t>
          </a:r>
          <a:r>
            <a:rPr lang="en-US" sz="1100" b="1" i="0" u="none" strike="noStrike">
              <a:solidFill>
                <a:schemeClr val="dk1"/>
              </a:solidFill>
              <a:effectLst/>
              <a:latin typeface="+mn-lt"/>
              <a:ea typeface="+mn-ea"/>
              <a:cs typeface="+mn-cs"/>
            </a:rPr>
            <a:t>Consider potential second order and higher level impacts</a:t>
          </a:r>
          <a:r>
            <a:rPr lang="en-US" b="1"/>
            <a:t> </a:t>
          </a:r>
        </a:p>
        <a:p>
          <a:r>
            <a:rPr lang="en-US" sz="1100" b="1" i="0" u="none" strike="noStrike">
              <a:solidFill>
                <a:schemeClr val="dk1"/>
              </a:solidFill>
              <a:effectLst/>
              <a:latin typeface="+mn-lt"/>
              <a:ea typeface="+mn-ea"/>
              <a:cs typeface="+mn-cs"/>
            </a:rPr>
            <a:t>19.</a:t>
          </a:r>
          <a:r>
            <a:rPr lang="en-US" b="1"/>
            <a:t> </a:t>
          </a:r>
          <a:r>
            <a:rPr lang="en-US" sz="1100" b="1" i="0" u="none" strike="noStrike">
              <a:solidFill>
                <a:schemeClr val="dk1"/>
              </a:solidFill>
              <a:effectLst/>
              <a:latin typeface="+mn-lt"/>
              <a:ea typeface="+mn-ea"/>
              <a:cs typeface="+mn-cs"/>
            </a:rPr>
            <a:t>Is the dividend safe?</a:t>
          </a:r>
          <a:r>
            <a:rPr lang="en-US" b="1"/>
            <a:t> </a:t>
          </a:r>
          <a:r>
            <a:rPr lang="en-US" sz="1100" b="1" i="0" u="none" strike="noStrike">
              <a:solidFill>
                <a:schemeClr val="dk1"/>
              </a:solidFill>
              <a:effectLst/>
              <a:latin typeface="+mn-lt"/>
              <a:ea typeface="+mn-ea"/>
              <a:cs typeface="+mn-cs"/>
            </a:rPr>
            <a:t>20</a:t>
          </a:r>
          <a:r>
            <a:rPr lang="en-US" b="1"/>
            <a:t> </a:t>
          </a:r>
          <a:r>
            <a:rPr lang="en-US" sz="1100" b="1" i="0" u="none" strike="noStrike">
              <a:solidFill>
                <a:schemeClr val="dk1"/>
              </a:solidFill>
              <a:effectLst/>
              <a:latin typeface="+mn-lt"/>
              <a:ea typeface="+mn-ea"/>
              <a:cs typeface="+mn-cs"/>
            </a:rPr>
            <a:t>Will this dividend grow?</a:t>
          </a:r>
          <a:r>
            <a:rPr lang="en-US" b="1"/>
            <a:t> </a:t>
          </a:r>
        </a:p>
        <a:p>
          <a:r>
            <a:rPr lang="en-US" sz="1100" b="1" i="0" u="none" strike="noStrike">
              <a:solidFill>
                <a:schemeClr val="dk1"/>
              </a:solidFill>
              <a:effectLst/>
              <a:latin typeface="+mn-lt"/>
              <a:ea typeface="+mn-ea"/>
              <a:cs typeface="+mn-cs"/>
            </a:rPr>
            <a:t>21.</a:t>
          </a:r>
          <a:r>
            <a:rPr lang="en-US" b="1"/>
            <a:t> </a:t>
          </a:r>
          <a:r>
            <a:rPr lang="en-US" sz="1100" b="1" i="0" u="none" strike="noStrike">
              <a:solidFill>
                <a:schemeClr val="dk1"/>
              </a:solidFill>
              <a:effectLst/>
              <a:latin typeface="+mn-lt"/>
              <a:ea typeface="+mn-ea"/>
              <a:cs typeface="+mn-cs"/>
            </a:rPr>
            <a:t>What does this dividend stream stand to return to me as a shareholder?</a:t>
          </a:r>
        </a:p>
        <a:p>
          <a:r>
            <a:rPr lang="en-US" sz="1100" b="1" i="0" u="none" strike="noStrike">
              <a:solidFill>
                <a:schemeClr val="dk1"/>
              </a:solidFill>
              <a:effectLst/>
              <a:latin typeface="+mn-lt"/>
              <a:ea typeface="+mn-ea"/>
              <a:cs typeface="+mn-cs"/>
            </a:rPr>
            <a:t>22.</a:t>
          </a:r>
          <a:r>
            <a:rPr lang="en-US" b="1"/>
            <a:t> </a:t>
          </a:r>
          <a:r>
            <a:rPr lang="en-US" sz="1100" b="1" i="0" u="none" strike="noStrike">
              <a:solidFill>
                <a:schemeClr val="dk1"/>
              </a:solidFill>
              <a:effectLst/>
              <a:latin typeface="+mn-lt"/>
              <a:ea typeface="+mn-ea"/>
              <a:cs typeface="+mn-cs"/>
            </a:rPr>
            <a:t>Have margins been consistent and high relative to its industry?</a:t>
          </a:r>
          <a:r>
            <a:rPr lang="en-US" b="1"/>
            <a:t> </a:t>
          </a:r>
        </a:p>
        <a:p>
          <a:r>
            <a:rPr lang="en-US" sz="1100" b="1" i="0" u="none" strike="noStrike">
              <a:solidFill>
                <a:schemeClr val="dk1"/>
              </a:solidFill>
              <a:effectLst/>
              <a:latin typeface="+mn-lt"/>
              <a:ea typeface="+mn-ea"/>
              <a:cs typeface="+mn-cs"/>
            </a:rPr>
            <a:t>23.</a:t>
          </a:r>
          <a:r>
            <a:rPr lang="en-US" b="1"/>
            <a:t> </a:t>
          </a:r>
          <a:r>
            <a:rPr lang="en-US" sz="1100" b="1" i="0" u="none" strike="noStrike">
              <a:solidFill>
                <a:schemeClr val="dk1"/>
              </a:solidFill>
              <a:effectLst/>
              <a:latin typeface="+mn-lt"/>
              <a:ea typeface="+mn-ea"/>
              <a:cs typeface="+mn-cs"/>
            </a:rPr>
            <a:t>Return on equity relative to industry?</a:t>
          </a:r>
          <a:r>
            <a:rPr lang="en-US" b="1"/>
            <a:t> </a:t>
          </a:r>
        </a:p>
        <a:p>
          <a:r>
            <a:rPr lang="en-US" sz="1100" b="1" i="0" u="none" strike="noStrike">
              <a:solidFill>
                <a:schemeClr val="dk1"/>
              </a:solidFill>
              <a:effectLst/>
              <a:latin typeface="+mn-lt"/>
              <a:ea typeface="+mn-ea"/>
              <a:cs typeface="+mn-cs"/>
            </a:rPr>
            <a:t>24.</a:t>
          </a:r>
          <a:r>
            <a:rPr lang="en-US" b="1"/>
            <a:t> </a:t>
          </a:r>
          <a:r>
            <a:rPr lang="en-US" sz="1100" b="1" i="0" u="none" strike="noStrike">
              <a:solidFill>
                <a:schemeClr val="dk1"/>
              </a:solidFill>
              <a:effectLst/>
              <a:latin typeface="+mn-lt"/>
              <a:ea typeface="+mn-ea"/>
              <a:cs typeface="+mn-cs"/>
            </a:rPr>
            <a:t>Is there a lot of entry and exits within the industry? If not its strong - if so very competitive market</a:t>
          </a:r>
          <a:r>
            <a:rPr lang="en-US" b="1"/>
            <a:t> </a:t>
          </a:r>
        </a:p>
        <a:p>
          <a:r>
            <a:rPr lang="en-US" sz="1100" b="1" i="0" u="none" strike="noStrike">
              <a:solidFill>
                <a:schemeClr val="dk1"/>
              </a:solidFill>
              <a:effectLst/>
              <a:latin typeface="+mn-lt"/>
              <a:ea typeface="+mn-ea"/>
              <a:cs typeface="+mn-cs"/>
            </a:rPr>
            <a:t>25.</a:t>
          </a:r>
          <a:r>
            <a:rPr lang="en-US" b="1"/>
            <a:t> </a:t>
          </a:r>
          <a:r>
            <a:rPr lang="en-US" sz="1100" b="1" i="0" u="none" strike="noStrike">
              <a:solidFill>
                <a:schemeClr val="dk1"/>
              </a:solidFill>
              <a:effectLst/>
              <a:latin typeface="+mn-lt"/>
              <a:ea typeface="+mn-ea"/>
              <a:cs typeface="+mn-cs"/>
            </a:rPr>
            <a:t>How dominate?</a:t>
          </a:r>
          <a:r>
            <a:rPr lang="en-US" b="1"/>
            <a:t> </a:t>
          </a:r>
        </a:p>
        <a:p>
          <a:r>
            <a:rPr lang="en-US" sz="1100" b="1" i="0" u="none" strike="noStrike">
              <a:solidFill>
                <a:schemeClr val="dk1"/>
              </a:solidFill>
              <a:effectLst/>
              <a:latin typeface="+mn-lt"/>
              <a:ea typeface="+mn-ea"/>
              <a:cs typeface="+mn-cs"/>
            </a:rPr>
            <a:t>26.</a:t>
          </a:r>
          <a:r>
            <a:rPr lang="en-US" b="1"/>
            <a:t> </a:t>
          </a:r>
          <a:r>
            <a:rPr lang="en-US" sz="1100" b="1" i="0" u="none" strike="noStrike">
              <a:solidFill>
                <a:schemeClr val="dk1"/>
              </a:solidFill>
              <a:effectLst/>
              <a:latin typeface="+mn-lt"/>
              <a:ea typeface="+mn-ea"/>
              <a:cs typeface="+mn-cs"/>
            </a:rPr>
            <a:t>Market Share?</a:t>
          </a:r>
          <a:r>
            <a:rPr lang="en-US" b="1"/>
            <a:t> </a:t>
          </a:r>
        </a:p>
        <a:p>
          <a:r>
            <a:rPr lang="en-US" sz="1100" b="1" i="0" u="none" strike="noStrike">
              <a:solidFill>
                <a:schemeClr val="dk1"/>
              </a:solidFill>
              <a:effectLst/>
              <a:latin typeface="+mn-lt"/>
              <a:ea typeface="+mn-ea"/>
              <a:cs typeface="+mn-cs"/>
            </a:rPr>
            <a:t>27.</a:t>
          </a:r>
          <a:r>
            <a:rPr lang="en-US" b="1"/>
            <a:t> </a:t>
          </a:r>
          <a:r>
            <a:rPr lang="en-US" sz="1100" b="1" i="0" u="none" strike="noStrike">
              <a:solidFill>
                <a:schemeClr val="dk1"/>
              </a:solidFill>
              <a:effectLst/>
              <a:latin typeface="+mn-lt"/>
              <a:ea typeface="+mn-ea"/>
              <a:cs typeface="+mn-cs"/>
            </a:rPr>
            <a:t>High switch costs / habits / search cost of replacement</a:t>
          </a:r>
          <a:r>
            <a:rPr lang="en-US" b="1"/>
            <a:t> </a:t>
          </a:r>
        </a:p>
        <a:p>
          <a:endParaRPr lang="en-US" sz="1100" b="0" i="0" u="sng" strike="noStrike">
            <a:solidFill>
              <a:schemeClr val="dk1"/>
            </a:solidFill>
            <a:effectLst/>
            <a:latin typeface="+mn-lt"/>
            <a:ea typeface="+mn-ea"/>
            <a:cs typeface="+mn-cs"/>
          </a:endParaRPr>
        </a:p>
        <a:p>
          <a:r>
            <a:rPr lang="en-US" sz="1100" b="0" i="0" u="sng" strike="noStrike">
              <a:solidFill>
                <a:schemeClr val="dk1"/>
              </a:solidFill>
              <a:effectLst/>
              <a:latin typeface="+mn-lt"/>
              <a:ea typeface="+mn-ea"/>
              <a:cs typeface="+mn-cs"/>
            </a:rPr>
            <a:t>Macro-View</a:t>
          </a:r>
          <a:r>
            <a:rPr lang="en-US"/>
            <a:t> </a:t>
          </a:r>
          <a:r>
            <a:rPr lang="en-US" sz="1100" b="0" i="0" u="none" strike="noStrike">
              <a:solidFill>
                <a:schemeClr val="dk1"/>
              </a:solidFill>
              <a:effectLst/>
              <a:latin typeface="+mn-lt"/>
              <a:ea typeface="+mn-ea"/>
              <a:cs typeface="+mn-cs"/>
            </a:rPr>
            <a:t>after-tax corporate profits as a percentage of national income (GDP similar) - historically it's 4.9%</a:t>
          </a:r>
        </a:p>
        <a:p>
          <a:endParaRPr lang="en-US" sz="1100" b="0" i="0" u="none" strike="noStrike">
            <a:solidFill>
              <a:schemeClr val="dk1"/>
            </a:solidFill>
            <a:effectLst/>
            <a:latin typeface="+mn-lt"/>
            <a:ea typeface="+mn-ea"/>
            <a:cs typeface="+mn-cs"/>
          </a:endParaRPr>
        </a:p>
        <a:p>
          <a:r>
            <a:rPr lang="en-US"/>
            <a:t> </a:t>
          </a:r>
          <a:r>
            <a:rPr lang="en-US" sz="1100" b="0" i="0" u="none" strike="noStrike">
              <a:solidFill>
                <a:schemeClr val="dk1"/>
              </a:solidFill>
              <a:effectLst/>
              <a:latin typeface="+mn-lt"/>
              <a:ea typeface="+mn-ea"/>
              <a:cs typeface="+mn-cs"/>
            </a:rPr>
            <a:t>“Patience … followed by pretty aggressive conduct. It is given to human beings who work hard at it—who look and sift the world for a mispriced bet — that they can occasionally find one. And the wise ones bet heavily when the world offers them that opportunity. They bet big when they have the odds. And the rest of the time, they don’t. It’s just that simple.” – Charlie Munger</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“Over the past 50 years we lived through the best time of human history. It is likely to get worse. I recommend you to prepare for worse because pleasant surprises are easy to handle.”– Charlie Munger  </a:t>
          </a:r>
          <a:r>
            <a:rPr lang="en-US"/>
            <a:t> </a:t>
          </a:r>
        </a:p>
        <a:p>
          <a:endParaRPr lang="en-US" sz="1100"/>
        </a:p>
      </xdr:txBody>
    </xdr:sp>
    <xdr:clientData/>
  </xdr:twoCellAnchor>
  <xdr:twoCellAnchor>
    <xdr:from>
      <xdr:col>10</xdr:col>
      <xdr:colOff>352425</xdr:colOff>
      <xdr:row>57</xdr:row>
      <xdr:rowOff>47625</xdr:rowOff>
    </xdr:from>
    <xdr:to>
      <xdr:col>15</xdr:col>
      <xdr:colOff>542925</xdr:colOff>
      <xdr:row>68</xdr:row>
      <xdr:rowOff>114300</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7743825" y="9248775"/>
          <a:ext cx="4924425"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Date: </a:t>
          </a:r>
        </a:p>
        <a:p>
          <a:r>
            <a:rPr lang="en-US" sz="1100"/>
            <a:t>Notes: Doesn't make money LOL</a:t>
          </a:r>
        </a:p>
        <a:p>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85724</xdr:colOff>
      <xdr:row>70</xdr:row>
      <xdr:rowOff>152399</xdr:rowOff>
    </xdr:from>
    <xdr:to>
      <xdr:col>21</xdr:col>
      <xdr:colOff>161924</xdr:colOff>
      <xdr:row>125</xdr:row>
      <xdr:rowOff>0</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85724" y="11496674"/>
          <a:ext cx="16563975" cy="8791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sng" strike="noStrike">
              <a:solidFill>
                <a:schemeClr val="dk1"/>
              </a:solidFill>
              <a:effectLst/>
              <a:latin typeface="+mn-lt"/>
              <a:ea typeface="+mn-ea"/>
              <a:cs typeface="+mn-cs"/>
            </a:rPr>
            <a:t>Investment Question</a:t>
          </a:r>
          <a:r>
            <a:rPr lang="en-US" sz="1400" b="1" u="sng"/>
            <a:t> - Thesis</a:t>
          </a:r>
        </a:p>
        <a:p>
          <a:r>
            <a:rPr lang="en-US" sz="1100" b="1" i="0" u="none" strike="noStrike">
              <a:solidFill>
                <a:schemeClr val="dk1"/>
              </a:solidFill>
              <a:effectLst/>
              <a:latin typeface="+mn-lt"/>
              <a:ea typeface="+mn-ea"/>
              <a:cs typeface="+mn-cs"/>
            </a:rPr>
            <a:t>1. How Long</a:t>
          </a:r>
          <a:r>
            <a:rPr lang="en-US" b="1"/>
            <a:t> </a:t>
          </a:r>
        </a:p>
        <a:p>
          <a:r>
            <a:rPr lang="en-US" sz="1100" b="1" i="0" u="none" strike="noStrike">
              <a:solidFill>
                <a:schemeClr val="dk1"/>
              </a:solidFill>
              <a:effectLst/>
              <a:latin typeface="+mn-lt"/>
              <a:ea typeface="+mn-ea"/>
              <a:cs typeface="+mn-cs"/>
            </a:rPr>
            <a:t>2. How Many</a:t>
          </a:r>
          <a:r>
            <a:rPr lang="en-US" b="1"/>
            <a:t> </a:t>
          </a:r>
        </a:p>
        <a:p>
          <a:r>
            <a:rPr lang="en-US" sz="1100" b="1" i="0" u="none" strike="noStrike">
              <a:solidFill>
                <a:schemeClr val="dk1"/>
              </a:solidFill>
              <a:effectLst/>
              <a:latin typeface="+mn-lt"/>
              <a:ea typeface="+mn-ea"/>
              <a:cs typeface="+mn-cs"/>
            </a:rPr>
            <a:t>3. How Sure Are You?</a:t>
          </a:r>
          <a:r>
            <a:rPr lang="en-US" b="1"/>
            <a:t> </a:t>
          </a:r>
        </a:p>
        <a:p>
          <a:endParaRPr lang="en-US"/>
        </a:p>
        <a:p>
          <a:r>
            <a:rPr lang="en-US" sz="1400" b="1" i="0" u="sng" strike="noStrike">
              <a:solidFill>
                <a:schemeClr val="dk1"/>
              </a:solidFill>
              <a:effectLst/>
              <a:latin typeface="+mn-lt"/>
              <a:ea typeface="+mn-ea"/>
              <a:cs typeface="+mn-cs"/>
            </a:rPr>
            <a:t>Market View</a:t>
          </a:r>
          <a:r>
            <a:rPr lang="en-US" sz="1400" b="1" u="sng"/>
            <a:t> </a:t>
          </a:r>
        </a:p>
        <a:p>
          <a:r>
            <a:rPr lang="en-US" sz="1100" b="1" i="0" u="none" strike="noStrike">
              <a:solidFill>
                <a:schemeClr val="dk1"/>
              </a:solidFill>
              <a:effectLst/>
              <a:latin typeface="+mn-lt"/>
              <a:ea typeface="+mn-ea"/>
              <a:cs typeface="+mn-cs"/>
            </a:rPr>
            <a:t>What is the concensus currently and why?</a:t>
          </a:r>
          <a:r>
            <a:rPr lang="en-US" b="1"/>
            <a:t> </a:t>
          </a:r>
        </a:p>
        <a:p>
          <a:r>
            <a:rPr lang="en-US" sz="1100" b="1" i="0" u="none" strike="noStrike">
              <a:solidFill>
                <a:schemeClr val="dk1"/>
              </a:solidFill>
              <a:effectLst/>
              <a:latin typeface="+mn-lt"/>
              <a:ea typeface="+mn-ea"/>
              <a:cs typeface="+mn-cs"/>
            </a:rPr>
            <a:t>Current Price</a:t>
          </a:r>
          <a:r>
            <a:rPr lang="en-US" b="1"/>
            <a:t> </a:t>
          </a:r>
        </a:p>
        <a:p>
          <a:r>
            <a:rPr lang="en-US" sz="1100" b="1" i="0" u="none" strike="noStrike">
              <a:solidFill>
                <a:schemeClr val="dk1"/>
              </a:solidFill>
              <a:effectLst/>
              <a:latin typeface="+mn-lt"/>
              <a:ea typeface="+mn-ea"/>
              <a:cs typeface="+mn-cs"/>
            </a:rPr>
            <a:t>What is the most important drivers of customers to the industry and does this company competitively meet these drivers?</a:t>
          </a:r>
          <a:r>
            <a:rPr lang="en-US" b="1"/>
            <a:t> </a:t>
          </a:r>
        </a:p>
        <a:p>
          <a:endParaRPr lang="en-US"/>
        </a:p>
        <a:p>
          <a:r>
            <a:rPr lang="en-US" sz="1400" b="1" i="0" u="sng" strike="noStrike">
              <a:solidFill>
                <a:schemeClr val="dk1"/>
              </a:solidFill>
              <a:effectLst/>
              <a:latin typeface="+mn-lt"/>
              <a:ea typeface="+mn-ea"/>
              <a:cs typeface="+mn-cs"/>
            </a:rPr>
            <a:t>Management/Barriers/Competition</a:t>
          </a:r>
        </a:p>
        <a:p>
          <a:r>
            <a:rPr lang="en-US" sz="1100" b="1" i="0" u="none" strike="noStrike">
              <a:solidFill>
                <a:schemeClr val="dk1"/>
              </a:solidFill>
              <a:effectLst/>
              <a:latin typeface="+mn-lt"/>
              <a:ea typeface="+mn-ea"/>
              <a:cs typeface="+mn-cs"/>
            </a:rPr>
            <a:t>1.</a:t>
          </a:r>
          <a:r>
            <a:rPr lang="en-US" b="1"/>
            <a:t> </a:t>
          </a:r>
          <a:r>
            <a:rPr lang="en-US" sz="1100" b="1" i="0" u="none" strike="noStrike">
              <a:solidFill>
                <a:schemeClr val="dk1"/>
              </a:solidFill>
              <a:effectLst/>
              <a:latin typeface="+mn-lt"/>
              <a:ea typeface="+mn-ea"/>
              <a:cs typeface="+mn-cs"/>
            </a:rPr>
            <a:t>Competition?</a:t>
          </a:r>
          <a:r>
            <a:rPr lang="en-US" b="1"/>
            <a:t> </a:t>
          </a:r>
        </a:p>
        <a:p>
          <a:r>
            <a:rPr lang="en-US" sz="1100" b="1" i="0" u="none" strike="noStrike">
              <a:solidFill>
                <a:schemeClr val="dk1"/>
              </a:solidFill>
              <a:effectLst/>
              <a:latin typeface="+mn-lt"/>
              <a:ea typeface="+mn-ea"/>
              <a:cs typeface="+mn-cs"/>
            </a:rPr>
            <a:t>2.</a:t>
          </a:r>
          <a:r>
            <a:rPr lang="en-US" b="1"/>
            <a:t> </a:t>
          </a:r>
          <a:r>
            <a:rPr lang="en-US" sz="1100" b="1" i="0" u="none" strike="noStrike">
              <a:solidFill>
                <a:schemeClr val="dk1"/>
              </a:solidFill>
              <a:effectLst/>
              <a:latin typeface="+mn-lt"/>
              <a:ea typeface="+mn-ea"/>
              <a:cs typeface="+mn-cs"/>
            </a:rPr>
            <a:t>Suppliers?</a:t>
          </a:r>
          <a:r>
            <a:rPr lang="en-US" b="1"/>
            <a:t> </a:t>
          </a:r>
        </a:p>
        <a:p>
          <a:r>
            <a:rPr lang="en-US" sz="1100" b="1" i="0" u="none" strike="noStrike">
              <a:solidFill>
                <a:schemeClr val="dk1"/>
              </a:solidFill>
              <a:effectLst/>
              <a:latin typeface="+mn-lt"/>
              <a:ea typeface="+mn-ea"/>
              <a:cs typeface="+mn-cs"/>
            </a:rPr>
            <a:t>3.</a:t>
          </a:r>
          <a:r>
            <a:rPr lang="en-US" b="1"/>
            <a:t> </a:t>
          </a:r>
          <a:r>
            <a:rPr lang="en-US" sz="1100" b="1" i="0" u="none" strike="noStrike">
              <a:solidFill>
                <a:schemeClr val="dk1"/>
              </a:solidFill>
              <a:effectLst/>
              <a:latin typeface="+mn-lt"/>
              <a:ea typeface="+mn-ea"/>
              <a:cs typeface="+mn-cs"/>
            </a:rPr>
            <a:t>Durable competitive advantage?</a:t>
          </a:r>
          <a:r>
            <a:rPr lang="en-US" b="1"/>
            <a:t> </a:t>
          </a:r>
        </a:p>
        <a:p>
          <a:r>
            <a:rPr lang="en-US" sz="1100" b="1" i="0" u="none" strike="noStrike">
              <a:solidFill>
                <a:schemeClr val="dk1"/>
              </a:solidFill>
              <a:effectLst/>
              <a:latin typeface="+mn-lt"/>
              <a:ea typeface="+mn-ea"/>
              <a:cs typeface="+mn-cs"/>
            </a:rPr>
            <a:t>4.</a:t>
          </a:r>
          <a:r>
            <a:rPr lang="en-US" b="1"/>
            <a:t> </a:t>
          </a:r>
          <a:r>
            <a:rPr lang="en-US" sz="1100" b="1" i="0" u="none" strike="noStrike">
              <a:solidFill>
                <a:schemeClr val="dk1"/>
              </a:solidFill>
              <a:effectLst/>
              <a:latin typeface="+mn-lt"/>
              <a:ea typeface="+mn-ea"/>
              <a:cs typeface="+mn-cs"/>
            </a:rPr>
            <a:t>Management good?</a:t>
          </a:r>
          <a:r>
            <a:rPr lang="en-US" b="1"/>
            <a:t> </a:t>
          </a:r>
        </a:p>
        <a:p>
          <a:r>
            <a:rPr lang="en-US" sz="1100" b="1" i="0" u="none" strike="noStrike">
              <a:solidFill>
                <a:schemeClr val="dk1"/>
              </a:solidFill>
              <a:effectLst/>
              <a:latin typeface="+mn-lt"/>
              <a:ea typeface="+mn-ea"/>
              <a:cs typeface="+mn-cs"/>
            </a:rPr>
            <a:t>5.</a:t>
          </a:r>
          <a:r>
            <a:rPr lang="en-US" b="1"/>
            <a:t> </a:t>
          </a:r>
          <a:r>
            <a:rPr lang="en-US" sz="1100" b="1" i="0" u="none" strike="noStrike">
              <a:solidFill>
                <a:schemeClr val="dk1"/>
              </a:solidFill>
              <a:effectLst/>
              <a:latin typeface="+mn-lt"/>
              <a:ea typeface="+mn-ea"/>
              <a:cs typeface="+mn-cs"/>
            </a:rPr>
            <a:t>Price makes sense?</a:t>
          </a:r>
          <a:r>
            <a:rPr lang="en-US" b="1"/>
            <a:t> </a:t>
          </a:r>
        </a:p>
        <a:p>
          <a:r>
            <a:rPr lang="en-US" sz="1100" b="1" i="0" u="none" strike="noStrike">
              <a:solidFill>
                <a:schemeClr val="dk1"/>
              </a:solidFill>
              <a:effectLst/>
              <a:latin typeface="+mn-lt"/>
              <a:ea typeface="+mn-ea"/>
              <a:cs typeface="+mn-cs"/>
            </a:rPr>
            <a:t>6.</a:t>
          </a:r>
          <a:r>
            <a:rPr lang="en-US" b="1"/>
            <a:t> </a:t>
          </a:r>
          <a:r>
            <a:rPr lang="en-US" sz="1100" b="1" i="0" u="none" strike="noStrike">
              <a:solidFill>
                <a:schemeClr val="dk1"/>
              </a:solidFill>
              <a:effectLst/>
              <a:latin typeface="+mn-lt"/>
              <a:ea typeface="+mn-ea"/>
              <a:cs typeface="+mn-cs"/>
            </a:rPr>
            <a:t>Margin of safety?</a:t>
          </a:r>
          <a:r>
            <a:rPr lang="en-US" b="1"/>
            <a:t> </a:t>
          </a:r>
        </a:p>
        <a:p>
          <a:r>
            <a:rPr lang="en-US" sz="1100" b="1" i="0" u="none" strike="noStrike">
              <a:solidFill>
                <a:schemeClr val="dk1"/>
              </a:solidFill>
              <a:effectLst/>
              <a:latin typeface="+mn-lt"/>
              <a:ea typeface="+mn-ea"/>
              <a:cs typeface="+mn-cs"/>
            </a:rPr>
            <a:t>7.</a:t>
          </a:r>
          <a:r>
            <a:rPr lang="en-US" b="1"/>
            <a:t> </a:t>
          </a:r>
          <a:r>
            <a:rPr lang="en-US" sz="1100" b="1" i="0" u="none" strike="noStrike">
              <a:solidFill>
                <a:schemeClr val="dk1"/>
              </a:solidFill>
              <a:effectLst/>
              <a:latin typeface="+mn-lt"/>
              <a:ea typeface="+mn-ea"/>
              <a:cs typeface="+mn-cs"/>
            </a:rPr>
            <a:t>Are the odds in your favor?</a:t>
          </a:r>
          <a:r>
            <a:rPr lang="en-US" b="1"/>
            <a:t> </a:t>
          </a:r>
        </a:p>
        <a:p>
          <a:r>
            <a:rPr lang="en-US" sz="1100" b="1" i="0" u="none" strike="noStrike">
              <a:solidFill>
                <a:schemeClr val="dk1"/>
              </a:solidFill>
              <a:effectLst/>
              <a:latin typeface="+mn-lt"/>
              <a:ea typeface="+mn-ea"/>
              <a:cs typeface="+mn-cs"/>
            </a:rPr>
            <a:t>8.</a:t>
          </a:r>
          <a:r>
            <a:rPr lang="en-US" b="1"/>
            <a:t> </a:t>
          </a:r>
          <a:r>
            <a:rPr lang="en-US" sz="1100" b="1" i="0" u="none" strike="noStrike">
              <a:solidFill>
                <a:schemeClr val="dk1"/>
              </a:solidFill>
              <a:effectLst/>
              <a:latin typeface="+mn-lt"/>
              <a:ea typeface="+mn-ea"/>
              <a:cs typeface="+mn-cs"/>
            </a:rPr>
            <a:t>Regulatory climate?</a:t>
          </a:r>
          <a:r>
            <a:rPr lang="en-US" b="1"/>
            <a:t> </a:t>
          </a:r>
        </a:p>
        <a:p>
          <a:r>
            <a:rPr lang="en-US" sz="1100" b="1" i="0" u="none" strike="noStrike">
              <a:solidFill>
                <a:schemeClr val="dk1"/>
              </a:solidFill>
              <a:effectLst/>
              <a:latin typeface="+mn-lt"/>
              <a:ea typeface="+mn-ea"/>
              <a:cs typeface="+mn-cs"/>
            </a:rPr>
            <a:t>9.</a:t>
          </a:r>
          <a:r>
            <a:rPr lang="en-US" b="1"/>
            <a:t> </a:t>
          </a:r>
          <a:r>
            <a:rPr lang="en-US" sz="1100" b="1" i="0" u="none" strike="noStrike">
              <a:solidFill>
                <a:schemeClr val="dk1"/>
              </a:solidFill>
              <a:effectLst/>
              <a:latin typeface="+mn-lt"/>
              <a:ea typeface="+mn-ea"/>
              <a:cs typeface="+mn-cs"/>
            </a:rPr>
            <a:t>State of labor?</a:t>
          </a:r>
          <a:r>
            <a:rPr lang="en-US" b="1"/>
            <a:t> </a:t>
          </a:r>
        </a:p>
        <a:p>
          <a:r>
            <a:rPr lang="en-US" sz="1100" b="1" i="0" u="none" strike="noStrike">
              <a:solidFill>
                <a:schemeClr val="dk1"/>
              </a:solidFill>
              <a:effectLst/>
              <a:latin typeface="+mn-lt"/>
              <a:ea typeface="+mn-ea"/>
              <a:cs typeface="+mn-cs"/>
            </a:rPr>
            <a:t>10.</a:t>
          </a:r>
          <a:r>
            <a:rPr lang="en-US" b="1"/>
            <a:t> </a:t>
          </a:r>
          <a:r>
            <a:rPr lang="en-US" sz="1100" b="1" i="0" u="none" strike="noStrike">
              <a:solidFill>
                <a:schemeClr val="dk1"/>
              </a:solidFill>
              <a:effectLst/>
              <a:latin typeface="+mn-lt"/>
              <a:ea typeface="+mn-ea"/>
              <a:cs typeface="+mn-cs"/>
            </a:rPr>
            <a:t>Customer relations</a:t>
          </a:r>
          <a:r>
            <a:rPr lang="en-US" b="1"/>
            <a:t> </a:t>
          </a:r>
        </a:p>
        <a:p>
          <a:r>
            <a:rPr lang="en-US" sz="1100" b="1" i="0" u="none" strike="noStrike">
              <a:solidFill>
                <a:schemeClr val="dk1"/>
              </a:solidFill>
              <a:effectLst/>
              <a:latin typeface="+mn-lt"/>
              <a:ea typeface="+mn-ea"/>
              <a:cs typeface="+mn-cs"/>
            </a:rPr>
            <a:t>11.</a:t>
          </a:r>
          <a:r>
            <a:rPr lang="en-US" b="1"/>
            <a:t> </a:t>
          </a:r>
          <a:r>
            <a:rPr lang="en-US" sz="1100" b="1" i="0" u="none" strike="noStrike">
              <a:solidFill>
                <a:schemeClr val="dk1"/>
              </a:solidFill>
              <a:effectLst/>
              <a:latin typeface="+mn-lt"/>
              <a:ea typeface="+mn-ea"/>
              <a:cs typeface="+mn-cs"/>
            </a:rPr>
            <a:t>Potential impact of changes in technology</a:t>
          </a:r>
          <a:r>
            <a:rPr lang="en-US" b="1"/>
            <a:t> </a:t>
          </a:r>
        </a:p>
        <a:p>
          <a:r>
            <a:rPr lang="en-US" sz="1100" b="1" i="0" u="none" strike="noStrike">
              <a:solidFill>
                <a:schemeClr val="dk1"/>
              </a:solidFill>
              <a:effectLst/>
              <a:latin typeface="+mn-lt"/>
              <a:ea typeface="+mn-ea"/>
              <a:cs typeface="+mn-cs"/>
            </a:rPr>
            <a:t>12.</a:t>
          </a:r>
          <a:r>
            <a:rPr lang="en-US" b="1"/>
            <a:t> </a:t>
          </a:r>
          <a:r>
            <a:rPr lang="en-US" sz="1100" b="1" i="0" u="none" strike="noStrike">
              <a:solidFill>
                <a:schemeClr val="dk1"/>
              </a:solidFill>
              <a:effectLst/>
              <a:latin typeface="+mn-lt"/>
              <a:ea typeface="+mn-ea"/>
              <a:cs typeface="+mn-cs"/>
            </a:rPr>
            <a:t>Vulnerabilities</a:t>
          </a:r>
          <a:r>
            <a:rPr lang="en-US" b="1"/>
            <a:t> </a:t>
          </a:r>
        </a:p>
        <a:p>
          <a:r>
            <a:rPr lang="en-US" sz="1100" b="1" i="0" u="none" strike="noStrike">
              <a:solidFill>
                <a:schemeClr val="dk1"/>
              </a:solidFill>
              <a:effectLst/>
              <a:latin typeface="+mn-lt"/>
              <a:ea typeface="+mn-ea"/>
              <a:cs typeface="+mn-cs"/>
            </a:rPr>
            <a:t>13.</a:t>
          </a:r>
          <a:r>
            <a:rPr lang="en-US" b="1"/>
            <a:t> </a:t>
          </a:r>
          <a:r>
            <a:rPr lang="en-US" sz="1100" b="1" i="0" u="none" strike="noStrike">
              <a:solidFill>
                <a:schemeClr val="dk1"/>
              </a:solidFill>
              <a:effectLst/>
              <a:latin typeface="+mn-lt"/>
              <a:ea typeface="+mn-ea"/>
              <a:cs typeface="+mn-cs"/>
            </a:rPr>
            <a:t>Pricing power</a:t>
          </a:r>
          <a:r>
            <a:rPr lang="en-US" b="1"/>
            <a:t> </a:t>
          </a:r>
        </a:p>
        <a:p>
          <a:r>
            <a:rPr lang="en-US" sz="1100" b="1" i="0" u="none" strike="noStrike">
              <a:solidFill>
                <a:schemeClr val="dk1"/>
              </a:solidFill>
              <a:effectLst/>
              <a:latin typeface="+mn-lt"/>
              <a:ea typeface="+mn-ea"/>
              <a:cs typeface="+mn-cs"/>
            </a:rPr>
            <a:t>14.</a:t>
          </a:r>
          <a:r>
            <a:rPr lang="en-US" b="1"/>
            <a:t> </a:t>
          </a:r>
          <a:r>
            <a:rPr lang="en-US" sz="1100" b="1" i="0" u="none" strike="noStrike">
              <a:solidFill>
                <a:schemeClr val="dk1"/>
              </a:solidFill>
              <a:effectLst/>
              <a:latin typeface="+mn-lt"/>
              <a:ea typeface="+mn-ea"/>
              <a:cs typeface="+mn-cs"/>
            </a:rPr>
            <a:t>Scalability</a:t>
          </a:r>
          <a:r>
            <a:rPr lang="en-US" b="1"/>
            <a:t> </a:t>
          </a:r>
        </a:p>
        <a:p>
          <a:r>
            <a:rPr lang="en-US" sz="1100" b="1" i="0" u="none" strike="noStrike">
              <a:solidFill>
                <a:schemeClr val="dk1"/>
              </a:solidFill>
              <a:effectLst/>
              <a:latin typeface="+mn-lt"/>
              <a:ea typeface="+mn-ea"/>
              <a:cs typeface="+mn-cs"/>
            </a:rPr>
            <a:t>16.</a:t>
          </a:r>
          <a:r>
            <a:rPr lang="en-US" b="1"/>
            <a:t> </a:t>
          </a:r>
          <a:r>
            <a:rPr lang="en-US" sz="1100" b="1" i="0" u="none" strike="noStrike">
              <a:solidFill>
                <a:schemeClr val="dk1"/>
              </a:solidFill>
              <a:effectLst/>
              <a:latin typeface="+mn-lt"/>
              <a:ea typeface="+mn-ea"/>
              <a:cs typeface="+mn-cs"/>
            </a:rPr>
            <a:t>Do you need a good lord?</a:t>
          </a:r>
          <a:r>
            <a:rPr lang="en-US" b="1"/>
            <a:t> </a:t>
          </a:r>
        </a:p>
        <a:p>
          <a:r>
            <a:rPr lang="en-US" sz="1100" b="1" i="0" u="none" strike="noStrike">
              <a:solidFill>
                <a:schemeClr val="dk1"/>
              </a:solidFill>
              <a:effectLst/>
              <a:latin typeface="+mn-lt"/>
              <a:ea typeface="+mn-ea"/>
              <a:cs typeface="+mn-cs"/>
            </a:rPr>
            <a:t>17.</a:t>
          </a:r>
          <a:r>
            <a:rPr lang="en-US" b="1"/>
            <a:t> </a:t>
          </a:r>
          <a:r>
            <a:rPr lang="en-US" sz="1100" b="1" i="0" u="none" strike="noStrike">
              <a:solidFill>
                <a:schemeClr val="dk1"/>
              </a:solidFill>
              <a:effectLst/>
              <a:latin typeface="+mn-lt"/>
              <a:ea typeface="+mn-ea"/>
              <a:cs typeface="+mn-cs"/>
            </a:rPr>
            <a:t>Where does the capital go?</a:t>
          </a:r>
          <a:r>
            <a:rPr lang="en-US" b="1"/>
            <a:t> </a:t>
          </a:r>
        </a:p>
        <a:p>
          <a:r>
            <a:rPr lang="en-US" sz="1100" b="1" i="0" u="none" strike="noStrike">
              <a:solidFill>
                <a:schemeClr val="dk1"/>
              </a:solidFill>
              <a:effectLst/>
              <a:latin typeface="+mn-lt"/>
              <a:ea typeface="+mn-ea"/>
              <a:cs typeface="+mn-cs"/>
            </a:rPr>
            <a:t>18.</a:t>
          </a:r>
          <a:r>
            <a:rPr lang="en-US" b="1"/>
            <a:t> </a:t>
          </a:r>
          <a:r>
            <a:rPr lang="en-US" sz="1100" b="1" i="0" u="none" strike="noStrike">
              <a:solidFill>
                <a:schemeClr val="dk1"/>
              </a:solidFill>
              <a:effectLst/>
              <a:latin typeface="+mn-lt"/>
              <a:ea typeface="+mn-ea"/>
              <a:cs typeface="+mn-cs"/>
            </a:rPr>
            <a:t>Consider potential second order and higher level impacts</a:t>
          </a:r>
          <a:r>
            <a:rPr lang="en-US" b="1"/>
            <a:t> </a:t>
          </a:r>
        </a:p>
        <a:p>
          <a:r>
            <a:rPr lang="en-US" sz="1100" b="1" i="0" u="none" strike="noStrike">
              <a:solidFill>
                <a:schemeClr val="dk1"/>
              </a:solidFill>
              <a:effectLst/>
              <a:latin typeface="+mn-lt"/>
              <a:ea typeface="+mn-ea"/>
              <a:cs typeface="+mn-cs"/>
            </a:rPr>
            <a:t>19.</a:t>
          </a:r>
          <a:r>
            <a:rPr lang="en-US" b="1"/>
            <a:t> </a:t>
          </a:r>
          <a:r>
            <a:rPr lang="en-US" sz="1100" b="1" i="0" u="none" strike="noStrike">
              <a:solidFill>
                <a:schemeClr val="dk1"/>
              </a:solidFill>
              <a:effectLst/>
              <a:latin typeface="+mn-lt"/>
              <a:ea typeface="+mn-ea"/>
              <a:cs typeface="+mn-cs"/>
            </a:rPr>
            <a:t>Is the dividend safe?</a:t>
          </a:r>
          <a:r>
            <a:rPr lang="en-US" b="1"/>
            <a:t> </a:t>
          </a:r>
          <a:r>
            <a:rPr lang="en-US" sz="1100" b="1" i="0" u="none" strike="noStrike">
              <a:solidFill>
                <a:schemeClr val="dk1"/>
              </a:solidFill>
              <a:effectLst/>
              <a:latin typeface="+mn-lt"/>
              <a:ea typeface="+mn-ea"/>
              <a:cs typeface="+mn-cs"/>
            </a:rPr>
            <a:t>20</a:t>
          </a:r>
          <a:r>
            <a:rPr lang="en-US" b="1"/>
            <a:t> </a:t>
          </a:r>
          <a:r>
            <a:rPr lang="en-US" sz="1100" b="1" i="0" u="none" strike="noStrike">
              <a:solidFill>
                <a:schemeClr val="dk1"/>
              </a:solidFill>
              <a:effectLst/>
              <a:latin typeface="+mn-lt"/>
              <a:ea typeface="+mn-ea"/>
              <a:cs typeface="+mn-cs"/>
            </a:rPr>
            <a:t>Will this dividend grow?</a:t>
          </a:r>
          <a:r>
            <a:rPr lang="en-US" b="1"/>
            <a:t> </a:t>
          </a:r>
        </a:p>
        <a:p>
          <a:r>
            <a:rPr lang="en-US" sz="1100" b="1" i="0" u="none" strike="noStrike">
              <a:solidFill>
                <a:schemeClr val="dk1"/>
              </a:solidFill>
              <a:effectLst/>
              <a:latin typeface="+mn-lt"/>
              <a:ea typeface="+mn-ea"/>
              <a:cs typeface="+mn-cs"/>
            </a:rPr>
            <a:t>21.</a:t>
          </a:r>
          <a:r>
            <a:rPr lang="en-US" b="1"/>
            <a:t> </a:t>
          </a:r>
          <a:r>
            <a:rPr lang="en-US" sz="1100" b="1" i="0" u="none" strike="noStrike">
              <a:solidFill>
                <a:schemeClr val="dk1"/>
              </a:solidFill>
              <a:effectLst/>
              <a:latin typeface="+mn-lt"/>
              <a:ea typeface="+mn-ea"/>
              <a:cs typeface="+mn-cs"/>
            </a:rPr>
            <a:t>What does this dividend stream stand to return to me as a shareholder?</a:t>
          </a:r>
        </a:p>
        <a:p>
          <a:r>
            <a:rPr lang="en-US" sz="1100" b="1" i="0" u="none" strike="noStrike">
              <a:solidFill>
                <a:schemeClr val="dk1"/>
              </a:solidFill>
              <a:effectLst/>
              <a:latin typeface="+mn-lt"/>
              <a:ea typeface="+mn-ea"/>
              <a:cs typeface="+mn-cs"/>
            </a:rPr>
            <a:t>22.</a:t>
          </a:r>
          <a:r>
            <a:rPr lang="en-US" b="1"/>
            <a:t> </a:t>
          </a:r>
          <a:r>
            <a:rPr lang="en-US" sz="1100" b="1" i="0" u="none" strike="noStrike">
              <a:solidFill>
                <a:schemeClr val="dk1"/>
              </a:solidFill>
              <a:effectLst/>
              <a:latin typeface="+mn-lt"/>
              <a:ea typeface="+mn-ea"/>
              <a:cs typeface="+mn-cs"/>
            </a:rPr>
            <a:t>Have margins been consistent and high relative to its industry?</a:t>
          </a:r>
          <a:r>
            <a:rPr lang="en-US" b="1"/>
            <a:t> </a:t>
          </a:r>
        </a:p>
        <a:p>
          <a:r>
            <a:rPr lang="en-US" sz="1100" b="1" i="0" u="none" strike="noStrike">
              <a:solidFill>
                <a:schemeClr val="dk1"/>
              </a:solidFill>
              <a:effectLst/>
              <a:latin typeface="+mn-lt"/>
              <a:ea typeface="+mn-ea"/>
              <a:cs typeface="+mn-cs"/>
            </a:rPr>
            <a:t>23.</a:t>
          </a:r>
          <a:r>
            <a:rPr lang="en-US" b="1"/>
            <a:t> </a:t>
          </a:r>
          <a:r>
            <a:rPr lang="en-US" sz="1100" b="1" i="0" u="none" strike="noStrike">
              <a:solidFill>
                <a:schemeClr val="dk1"/>
              </a:solidFill>
              <a:effectLst/>
              <a:latin typeface="+mn-lt"/>
              <a:ea typeface="+mn-ea"/>
              <a:cs typeface="+mn-cs"/>
            </a:rPr>
            <a:t>Return on equity relative to industry?</a:t>
          </a:r>
          <a:r>
            <a:rPr lang="en-US" b="1"/>
            <a:t> </a:t>
          </a:r>
        </a:p>
        <a:p>
          <a:r>
            <a:rPr lang="en-US" sz="1100" b="1" i="0" u="none" strike="noStrike">
              <a:solidFill>
                <a:schemeClr val="dk1"/>
              </a:solidFill>
              <a:effectLst/>
              <a:latin typeface="+mn-lt"/>
              <a:ea typeface="+mn-ea"/>
              <a:cs typeface="+mn-cs"/>
            </a:rPr>
            <a:t>24.</a:t>
          </a:r>
          <a:r>
            <a:rPr lang="en-US" b="1"/>
            <a:t> </a:t>
          </a:r>
          <a:r>
            <a:rPr lang="en-US" sz="1100" b="1" i="0" u="none" strike="noStrike">
              <a:solidFill>
                <a:schemeClr val="dk1"/>
              </a:solidFill>
              <a:effectLst/>
              <a:latin typeface="+mn-lt"/>
              <a:ea typeface="+mn-ea"/>
              <a:cs typeface="+mn-cs"/>
            </a:rPr>
            <a:t>Is there a lot of entry and exits within the industry? If not its strong - if so very competitive market</a:t>
          </a:r>
          <a:r>
            <a:rPr lang="en-US" b="1"/>
            <a:t> </a:t>
          </a:r>
        </a:p>
        <a:p>
          <a:r>
            <a:rPr lang="en-US" sz="1100" b="1" i="0" u="none" strike="noStrike">
              <a:solidFill>
                <a:schemeClr val="dk1"/>
              </a:solidFill>
              <a:effectLst/>
              <a:latin typeface="+mn-lt"/>
              <a:ea typeface="+mn-ea"/>
              <a:cs typeface="+mn-cs"/>
            </a:rPr>
            <a:t>25.</a:t>
          </a:r>
          <a:r>
            <a:rPr lang="en-US" b="1"/>
            <a:t> </a:t>
          </a:r>
          <a:r>
            <a:rPr lang="en-US" sz="1100" b="1" i="0" u="none" strike="noStrike">
              <a:solidFill>
                <a:schemeClr val="dk1"/>
              </a:solidFill>
              <a:effectLst/>
              <a:latin typeface="+mn-lt"/>
              <a:ea typeface="+mn-ea"/>
              <a:cs typeface="+mn-cs"/>
            </a:rPr>
            <a:t>How dominate?</a:t>
          </a:r>
          <a:r>
            <a:rPr lang="en-US" b="1"/>
            <a:t> </a:t>
          </a:r>
        </a:p>
        <a:p>
          <a:r>
            <a:rPr lang="en-US" sz="1100" b="1" i="0" u="none" strike="noStrike">
              <a:solidFill>
                <a:schemeClr val="dk1"/>
              </a:solidFill>
              <a:effectLst/>
              <a:latin typeface="+mn-lt"/>
              <a:ea typeface="+mn-ea"/>
              <a:cs typeface="+mn-cs"/>
            </a:rPr>
            <a:t>26.</a:t>
          </a:r>
          <a:r>
            <a:rPr lang="en-US" b="1"/>
            <a:t> </a:t>
          </a:r>
          <a:r>
            <a:rPr lang="en-US" sz="1100" b="1" i="0" u="none" strike="noStrike">
              <a:solidFill>
                <a:schemeClr val="dk1"/>
              </a:solidFill>
              <a:effectLst/>
              <a:latin typeface="+mn-lt"/>
              <a:ea typeface="+mn-ea"/>
              <a:cs typeface="+mn-cs"/>
            </a:rPr>
            <a:t>Market Share?</a:t>
          </a:r>
          <a:r>
            <a:rPr lang="en-US" b="1"/>
            <a:t> </a:t>
          </a:r>
        </a:p>
        <a:p>
          <a:r>
            <a:rPr lang="en-US" sz="1100" b="1" i="0" u="none" strike="noStrike">
              <a:solidFill>
                <a:schemeClr val="dk1"/>
              </a:solidFill>
              <a:effectLst/>
              <a:latin typeface="+mn-lt"/>
              <a:ea typeface="+mn-ea"/>
              <a:cs typeface="+mn-cs"/>
            </a:rPr>
            <a:t>27.</a:t>
          </a:r>
          <a:r>
            <a:rPr lang="en-US" b="1"/>
            <a:t> </a:t>
          </a:r>
          <a:r>
            <a:rPr lang="en-US" sz="1100" b="1" i="0" u="none" strike="noStrike">
              <a:solidFill>
                <a:schemeClr val="dk1"/>
              </a:solidFill>
              <a:effectLst/>
              <a:latin typeface="+mn-lt"/>
              <a:ea typeface="+mn-ea"/>
              <a:cs typeface="+mn-cs"/>
            </a:rPr>
            <a:t>High switch costs / habits / search cost of replacement</a:t>
          </a:r>
          <a:r>
            <a:rPr lang="en-US" b="1"/>
            <a:t> </a:t>
          </a:r>
        </a:p>
        <a:p>
          <a:endParaRPr lang="en-US" sz="1100" b="0" i="0" u="sng" strike="noStrike">
            <a:solidFill>
              <a:schemeClr val="dk1"/>
            </a:solidFill>
            <a:effectLst/>
            <a:latin typeface="+mn-lt"/>
            <a:ea typeface="+mn-ea"/>
            <a:cs typeface="+mn-cs"/>
          </a:endParaRPr>
        </a:p>
        <a:p>
          <a:r>
            <a:rPr lang="en-US" sz="1100" b="0" i="0" u="sng" strike="noStrike">
              <a:solidFill>
                <a:schemeClr val="dk1"/>
              </a:solidFill>
              <a:effectLst/>
              <a:latin typeface="+mn-lt"/>
              <a:ea typeface="+mn-ea"/>
              <a:cs typeface="+mn-cs"/>
            </a:rPr>
            <a:t>Macro-View</a:t>
          </a:r>
          <a:r>
            <a:rPr lang="en-US"/>
            <a:t> </a:t>
          </a:r>
          <a:r>
            <a:rPr lang="en-US" sz="1100" b="0" i="0" u="none" strike="noStrike">
              <a:solidFill>
                <a:schemeClr val="dk1"/>
              </a:solidFill>
              <a:effectLst/>
              <a:latin typeface="+mn-lt"/>
              <a:ea typeface="+mn-ea"/>
              <a:cs typeface="+mn-cs"/>
            </a:rPr>
            <a:t>after-tax corporate profits as a percentage of national income (GDP similar) - historically it's 4.9%</a:t>
          </a:r>
        </a:p>
        <a:p>
          <a:endParaRPr lang="en-US" sz="1100" b="0" i="0" u="none" strike="noStrike">
            <a:solidFill>
              <a:schemeClr val="dk1"/>
            </a:solidFill>
            <a:effectLst/>
            <a:latin typeface="+mn-lt"/>
            <a:ea typeface="+mn-ea"/>
            <a:cs typeface="+mn-cs"/>
          </a:endParaRPr>
        </a:p>
        <a:p>
          <a:r>
            <a:rPr lang="en-US"/>
            <a:t> </a:t>
          </a:r>
          <a:r>
            <a:rPr lang="en-US" sz="1100" b="0" i="0" u="none" strike="noStrike">
              <a:solidFill>
                <a:schemeClr val="dk1"/>
              </a:solidFill>
              <a:effectLst/>
              <a:latin typeface="+mn-lt"/>
              <a:ea typeface="+mn-ea"/>
              <a:cs typeface="+mn-cs"/>
            </a:rPr>
            <a:t>“Patience … followed by pretty aggressive conduct. It is given to human beings who work hard at it—who look and sift the world for a mispriced bet — that they can occasionally find one. And the wise ones bet heavily when the world offers them that opportunity. They bet big when they have the odds. And the rest of the time, they don’t. It’s just that simple.” – Charlie Munger</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“Over the past 50 years we lived through the best time of human history. It is likely to get worse. I recommend you to prepare for worse because pleasant surprises are easy to handle.”– Charlie Munger  </a:t>
          </a:r>
          <a:r>
            <a:rPr lang="en-US"/>
            <a:t> </a:t>
          </a:r>
        </a:p>
        <a:p>
          <a:endParaRPr lang="en-US" sz="1100"/>
        </a:p>
      </xdr:txBody>
    </xdr:sp>
    <xdr:clientData/>
  </xdr:twoCellAnchor>
  <xdr:twoCellAnchor>
    <xdr:from>
      <xdr:col>10</xdr:col>
      <xdr:colOff>352425</xdr:colOff>
      <xdr:row>57</xdr:row>
      <xdr:rowOff>47625</xdr:rowOff>
    </xdr:from>
    <xdr:to>
      <xdr:col>15</xdr:col>
      <xdr:colOff>542925</xdr:colOff>
      <xdr:row>70</xdr:row>
      <xdr:rowOff>38100</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7743825" y="9248775"/>
          <a:ext cx="4924425" cy="213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Date: 11/19/2019</a:t>
          </a:r>
        </a:p>
        <a:p>
          <a:r>
            <a:rPr lang="en-US" sz="1100"/>
            <a:t>Notes: </a:t>
          </a:r>
        </a:p>
        <a:p>
          <a:r>
            <a:rPr lang="en-US" sz="1100" b="0" i="0">
              <a:solidFill>
                <a:schemeClr val="dk1"/>
              </a:solidFill>
              <a:effectLst/>
              <a:latin typeface="+mn-lt"/>
              <a:ea typeface="+mn-ea"/>
              <a:cs typeface="+mn-cs"/>
            </a:rPr>
            <a:t>Natural Gas Transportation</a:t>
          </a:r>
        </a:p>
        <a:p>
          <a:r>
            <a:rPr lang="en-US" sz="1100" b="0" i="0">
              <a:solidFill>
                <a:schemeClr val="dk1"/>
              </a:solidFill>
              <a:effectLst/>
              <a:latin typeface="+mn-lt"/>
              <a:ea typeface="+mn-ea"/>
              <a:cs typeface="+mn-cs"/>
            </a:rPr>
            <a:t>Liquid Production and Marketing</a:t>
          </a:r>
        </a:p>
        <a:p>
          <a:r>
            <a:rPr lang="en-US" sz="1100"/>
            <a:t>Only 15%</a:t>
          </a:r>
          <a:r>
            <a:rPr lang="en-US" sz="1100" baseline="0"/>
            <a:t> - 17% traded on NYSE </a:t>
          </a:r>
        </a:p>
        <a:p>
          <a:r>
            <a:rPr lang="en-US" sz="1100" baseline="0"/>
            <a:t>1 ADS is = 5 Class B Shares</a:t>
          </a:r>
        </a:p>
        <a:p>
          <a:r>
            <a:rPr lang="en-US"/>
            <a:t>27,997,480 ADSs outstanding. Such ADSs represented approximately 17.62% of the total number of issued and outstanding Class B Shares as of such date. </a:t>
          </a:r>
        </a:p>
        <a:p>
          <a:endParaRPr lang="en-US"/>
        </a:p>
        <a:p>
          <a:r>
            <a:rPr lang="en-US"/>
            <a:t>Financials are too confusing,</a:t>
          </a:r>
          <a:r>
            <a:rPr lang="en-US" baseline="0"/>
            <a:t> not what i thought it was. Sell when your even lol.</a:t>
          </a:r>
        </a:p>
        <a:p>
          <a:r>
            <a:rPr lang="en-US" baseline="0"/>
            <a:t>Thankfully sold the next day. </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13</xdr:col>
      <xdr:colOff>438150</xdr:colOff>
      <xdr:row>62</xdr:row>
      <xdr:rowOff>81191</xdr:rowOff>
    </xdr:from>
    <xdr:to>
      <xdr:col>19</xdr:col>
      <xdr:colOff>160807</xdr:colOff>
      <xdr:row>79</xdr:row>
      <xdr:rowOff>18304</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9944100" y="10015766"/>
          <a:ext cx="4256557" cy="28422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macabacus.com/Documents%20and%20Settings/Administrator/My%20Documents/M&amp;A%20Mode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Merger --&gt;&gt;"/>
      <sheetName val="Contribution"/>
      <sheetName val="Acc-Dil"/>
      <sheetName val="PPR"/>
      <sheetName val="S&amp;U"/>
      <sheetName val="GAAP"/>
      <sheetName val="Pro Forma --&gt;&gt;"/>
      <sheetName val="BS"/>
      <sheetName val="IS"/>
      <sheetName val="Inputs --&gt;&gt;"/>
      <sheetName val="Acquirer"/>
      <sheetName val="Target"/>
      <sheetName val="Valuation --&gt;&gt;"/>
      <sheetName val="LBO"/>
      <sheetName val="DCF"/>
    </sheetNames>
    <sheetDataSet>
      <sheetData sheetId="0">
        <row r="9">
          <cell r="S9" t="str">
            <v>Clipper</v>
          </cell>
        </row>
        <row r="19">
          <cell r="AA19">
            <v>35.021206088992969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70"/>
  <sheetViews>
    <sheetView topLeftCell="A19" workbookViewId="0">
      <selection activeCell="G40" sqref="G40:G42"/>
    </sheetView>
  </sheetViews>
  <sheetFormatPr defaultRowHeight="12.75"/>
  <cols>
    <col min="7" max="7" width="18.140625" bestFit="1" customWidth="1"/>
  </cols>
  <sheetData>
    <row r="2" spans="1:6">
      <c r="A2" t="s">
        <v>41</v>
      </c>
    </row>
    <row r="3" spans="1:6">
      <c r="A3" t="s">
        <v>42</v>
      </c>
    </row>
    <row r="4" spans="1:6">
      <c r="A4" t="s">
        <v>43</v>
      </c>
      <c r="F4" t="s">
        <v>52</v>
      </c>
    </row>
    <row r="5" spans="1:6">
      <c r="A5" t="s">
        <v>44</v>
      </c>
      <c r="F5" t="s">
        <v>53</v>
      </c>
    </row>
    <row r="6" spans="1:6">
      <c r="A6" t="s">
        <v>45</v>
      </c>
    </row>
    <row r="7" spans="1:6">
      <c r="A7" t="s">
        <v>46</v>
      </c>
    </row>
    <row r="8" spans="1:6">
      <c r="A8" t="s">
        <v>47</v>
      </c>
    </row>
    <row r="9" spans="1:6">
      <c r="A9" t="s">
        <v>48</v>
      </c>
    </row>
    <row r="10" spans="1:6">
      <c r="A10" t="s">
        <v>49</v>
      </c>
    </row>
    <row r="11" spans="1:6">
      <c r="A11" t="s">
        <v>50</v>
      </c>
    </row>
    <row r="12" spans="1:6">
      <c r="A12" t="s">
        <v>51</v>
      </c>
    </row>
    <row r="13" spans="1:6">
      <c r="A13" t="s">
        <v>54</v>
      </c>
    </row>
    <row r="14" spans="1:6">
      <c r="A14" t="s">
        <v>55</v>
      </c>
    </row>
    <row r="15" spans="1:6">
      <c r="A15" t="s">
        <v>56</v>
      </c>
    </row>
    <row r="16" spans="1:6">
      <c r="A16" t="s">
        <v>57</v>
      </c>
    </row>
    <row r="17" spans="1:2">
      <c r="A17" t="s">
        <v>58</v>
      </c>
    </row>
    <row r="18" spans="1:2">
      <c r="A18" t="s">
        <v>59</v>
      </c>
    </row>
    <row r="19" spans="1:2">
      <c r="A19" t="s">
        <v>60</v>
      </c>
    </row>
    <row r="20" spans="1:2">
      <c r="A20" t="s">
        <v>61</v>
      </c>
      <c r="B20" t="s">
        <v>64</v>
      </c>
    </row>
    <row r="21" spans="1:2">
      <c r="A21" t="s">
        <v>62</v>
      </c>
    </row>
    <row r="22" spans="1:2">
      <c r="A22" t="s">
        <v>63</v>
      </c>
    </row>
    <row r="26" spans="1:2" ht="13.5" thickBot="1"/>
    <row r="27" spans="1:2" ht="26.25" thickBot="1">
      <c r="A27" s="138" t="s">
        <v>114</v>
      </c>
      <c r="B27" s="139" t="s">
        <v>116</v>
      </c>
    </row>
    <row r="28" spans="1:2" ht="13.5" thickBot="1">
      <c r="A28" s="139" t="s">
        <v>115</v>
      </c>
      <c r="B28" s="138"/>
    </row>
    <row r="33" spans="1:7">
      <c r="A33" t="s">
        <v>65</v>
      </c>
      <c r="C33" t="s">
        <v>66</v>
      </c>
      <c r="D33" t="s">
        <v>67</v>
      </c>
    </row>
    <row r="34" spans="1:7">
      <c r="A34" t="s">
        <v>68</v>
      </c>
      <c r="B34" t="s">
        <v>69</v>
      </c>
      <c r="C34" t="s">
        <v>70</v>
      </c>
    </row>
    <row r="35" spans="1:7">
      <c r="A35" t="s">
        <v>71</v>
      </c>
      <c r="B35" t="s">
        <v>72</v>
      </c>
      <c r="C35" t="s">
        <v>73</v>
      </c>
    </row>
    <row r="36" spans="1:7">
      <c r="A36" t="s">
        <v>74</v>
      </c>
      <c r="B36" t="s">
        <v>75</v>
      </c>
      <c r="C36" t="s">
        <v>76</v>
      </c>
    </row>
    <row r="37" spans="1:7">
      <c r="A37" t="s">
        <v>77</v>
      </c>
      <c r="B37" t="s">
        <v>78</v>
      </c>
      <c r="C37" t="s">
        <v>79</v>
      </c>
      <c r="D37">
        <v>97.57</v>
      </c>
    </row>
    <row r="38" spans="1:7">
      <c r="A38" t="s">
        <v>80</v>
      </c>
      <c r="B38" t="s">
        <v>81</v>
      </c>
    </row>
    <row r="39" spans="1:7">
      <c r="A39" t="s">
        <v>82</v>
      </c>
      <c r="B39" t="s">
        <v>83</v>
      </c>
      <c r="C39" t="s">
        <v>84</v>
      </c>
    </row>
    <row r="40" spans="1:7">
      <c r="A40" t="s">
        <v>85</v>
      </c>
      <c r="C40" t="s">
        <v>86</v>
      </c>
      <c r="G40" s="126"/>
    </row>
    <row r="41" spans="1:7">
      <c r="A41" t="s">
        <v>87</v>
      </c>
      <c r="G41" s="126"/>
    </row>
    <row r="47" spans="1:7">
      <c r="A47" t="s">
        <v>88</v>
      </c>
    </row>
    <row r="48" spans="1:7">
      <c r="A48" t="s">
        <v>89</v>
      </c>
    </row>
    <row r="49" spans="1:3">
      <c r="A49" t="s">
        <v>90</v>
      </c>
    </row>
    <row r="50" spans="1:3">
      <c r="A50" t="s">
        <v>91</v>
      </c>
    </row>
    <row r="54" spans="1:3">
      <c r="A54" t="s">
        <v>92</v>
      </c>
    </row>
    <row r="55" spans="1:3">
      <c r="A55" t="s">
        <v>93</v>
      </c>
    </row>
    <row r="56" spans="1:3">
      <c r="A56" t="s">
        <v>94</v>
      </c>
    </row>
    <row r="57" spans="1:3">
      <c r="A57" t="s">
        <v>95</v>
      </c>
    </row>
    <row r="59" spans="1:3">
      <c r="A59" t="s">
        <v>80</v>
      </c>
    </row>
    <row r="60" spans="1:3">
      <c r="A60" t="s">
        <v>85</v>
      </c>
      <c r="C60" t="s">
        <v>86</v>
      </c>
    </row>
    <row r="65" spans="1:2">
      <c r="A65" t="s">
        <v>96</v>
      </c>
    </row>
    <row r="66" spans="1:2">
      <c r="A66" t="s">
        <v>97</v>
      </c>
    </row>
    <row r="68" spans="1:2">
      <c r="A68" t="s">
        <v>98</v>
      </c>
    </row>
    <row r="69" spans="1:2">
      <c r="A69">
        <v>1</v>
      </c>
      <c r="B69" t="s">
        <v>80</v>
      </c>
    </row>
    <row r="70" spans="1:2">
      <c r="A70">
        <v>2</v>
      </c>
      <c r="B70" t="s">
        <v>85</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122"/>
  <sheetViews>
    <sheetView showGridLines="0" topLeftCell="A29" zoomScaleNormal="100" workbookViewId="0">
      <selection activeCell="J59" sqref="J59"/>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 bestFit="1"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2019</v>
      </c>
      <c r="J4" s="27">
        <f>H4+1</f>
        <v>2020</v>
      </c>
      <c r="K4" s="20"/>
      <c r="L4" s="27">
        <f>J4+1</f>
        <v>2021</v>
      </c>
      <c r="M4" s="20"/>
      <c r="N4" s="60">
        <f>L4+1</f>
        <v>2022</v>
      </c>
      <c r="O4" s="21"/>
      <c r="P4" s="60">
        <f>N4+1</f>
        <v>2023</v>
      </c>
      <c r="Q4" s="21"/>
      <c r="R4" s="60">
        <f>P4+1</f>
        <v>2024</v>
      </c>
      <c r="T4" s="28" t="s">
        <v>33</v>
      </c>
    </row>
    <row r="5" spans="1:24" ht="5.0999999999999996" customHeight="1"/>
    <row r="6" spans="1:24">
      <c r="B6" t="s">
        <v>26</v>
      </c>
      <c r="H6" s="75">
        <v>1750000000</v>
      </c>
      <c r="J6" s="75">
        <f>H6*C47</f>
        <v>1732500000</v>
      </c>
      <c r="K6" s="121"/>
      <c r="L6" s="75">
        <f>J6*C48</f>
        <v>1697850000</v>
      </c>
      <c r="M6" s="121"/>
      <c r="N6" s="75">
        <f>L6*C49</f>
        <v>1646914500</v>
      </c>
      <c r="O6" s="75"/>
      <c r="P6" s="75">
        <f>N6*C50</f>
        <v>1581037920</v>
      </c>
      <c r="Q6" s="75"/>
      <c r="R6" s="75">
        <f>P6*C51</f>
        <v>1501986024</v>
      </c>
      <c r="T6" s="4">
        <f>(R6/J6)^(1/4)-1</f>
        <v>-3.5064771795532579E-2</v>
      </c>
    </row>
    <row r="7" spans="1:24">
      <c r="B7" s="23" t="s">
        <v>22</v>
      </c>
      <c r="H7" s="71">
        <v>0</v>
      </c>
      <c r="J7" s="71">
        <v>0</v>
      </c>
      <c r="L7" s="71">
        <v>0</v>
      </c>
      <c r="N7" s="71">
        <v>0</v>
      </c>
      <c r="P7" s="71">
        <v>0</v>
      </c>
      <c r="R7" s="71">
        <v>0</v>
      </c>
      <c r="T7" s="4"/>
    </row>
    <row r="8" spans="1:24">
      <c r="B8" t="s">
        <v>27</v>
      </c>
      <c r="H8" s="115">
        <f>H6+H7</f>
        <v>1750000000</v>
      </c>
      <c r="I8" s="73"/>
      <c r="J8" s="115">
        <f>J6+J7</f>
        <v>1732500000</v>
      </c>
      <c r="K8" s="116"/>
      <c r="L8" s="115">
        <f>L6+L7</f>
        <v>1697850000</v>
      </c>
      <c r="M8" s="116"/>
      <c r="N8" s="115">
        <f>N6+N7</f>
        <v>1646914500</v>
      </c>
      <c r="O8" s="116"/>
      <c r="P8" s="115">
        <f>P6+P7</f>
        <v>1581037920</v>
      </c>
      <c r="Q8" s="116"/>
      <c r="R8" s="115">
        <f>R6+R7</f>
        <v>1501986024</v>
      </c>
      <c r="T8" s="4">
        <f>(R8/J8)^(1/4)-1</f>
        <v>-3.5064771795532579E-2</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1750000000</v>
      </c>
      <c r="J10" s="118">
        <f>SUM(J8:J9)</f>
        <v>1732500000</v>
      </c>
      <c r="K10" s="119"/>
      <c r="L10" s="118">
        <f>SUM(L8:L9)</f>
        <v>1697850000</v>
      </c>
      <c r="M10" s="119"/>
      <c r="N10" s="118">
        <f>SUM(N8:N9)</f>
        <v>1646914500</v>
      </c>
      <c r="O10" s="119"/>
      <c r="P10" s="118">
        <f>SUM(P8:P9)</f>
        <v>1581037920</v>
      </c>
      <c r="Q10" s="119"/>
      <c r="R10" s="118">
        <f>SUM(R8:R9)</f>
        <v>1501986024</v>
      </c>
      <c r="T10" s="4">
        <f>(R10/J10)^(1/4)-1</f>
        <v>-3.5064771795532579E-2</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-360000000</v>
      </c>
      <c r="I12" s="112"/>
      <c r="J12" s="112">
        <f>H12</f>
        <v>-360000000</v>
      </c>
      <c r="K12" s="112"/>
      <c r="L12" s="112">
        <f>J12</f>
        <v>-360000000</v>
      </c>
      <c r="M12" s="112"/>
      <c r="N12" s="112">
        <f>L12</f>
        <v>-360000000</v>
      </c>
      <c r="O12" s="112"/>
      <c r="P12" s="112">
        <f>N12</f>
        <v>-360000000</v>
      </c>
      <c r="Q12" s="112"/>
      <c r="R12" s="112">
        <f>P12</f>
        <v>-360000000</v>
      </c>
      <c r="X12" s="81"/>
    </row>
    <row r="13" spans="1:24">
      <c r="B13" s="2" t="s">
        <v>19</v>
      </c>
      <c r="H13" s="120">
        <f>SUM(H10:H12)</f>
        <v>1390000000</v>
      </c>
      <c r="J13" s="120">
        <f>SUM(J10:J12)</f>
        <v>1372500000</v>
      </c>
      <c r="K13" s="114"/>
      <c r="L13" s="120">
        <f>SUM(L10:L12)</f>
        <v>1337850000</v>
      </c>
      <c r="M13" s="114"/>
      <c r="N13" s="120">
        <f>SUM(N10:N12)</f>
        <v>1286914500</v>
      </c>
      <c r="O13" s="114"/>
      <c r="P13" s="120">
        <f>SUM(P10:P12)</f>
        <v>1221037920</v>
      </c>
      <c r="Q13" s="114"/>
      <c r="R13" s="120">
        <f>SUM(R10:R12)</f>
        <v>1141986024</v>
      </c>
      <c r="T13" s="4">
        <f>(R13/J13)^(1/4)-1</f>
        <v>-4.4925809713850073E-2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f>H4</f>
        <v>2019</v>
      </c>
      <c r="J16" s="27">
        <f>H16+1</f>
        <v>2020</v>
      </c>
      <c r="K16" s="20"/>
      <c r="L16" s="27">
        <f>J16+1</f>
        <v>2021</v>
      </c>
      <c r="M16" s="20"/>
      <c r="N16" s="60">
        <f>L16+1</f>
        <v>2022</v>
      </c>
      <c r="O16" s="21"/>
      <c r="P16" s="60">
        <f>N16+1</f>
        <v>2023</v>
      </c>
      <c r="Q16" s="21"/>
      <c r="R16" s="60">
        <f>P16+1</f>
        <v>2024</v>
      </c>
      <c r="T16" s="28" t="s">
        <v>33</v>
      </c>
    </row>
    <row r="18" spans="1:20">
      <c r="B18" t="s">
        <v>26</v>
      </c>
      <c r="H18" s="75">
        <f>H6</f>
        <v>1750000000</v>
      </c>
      <c r="J18" s="75">
        <f>H18*D47</f>
        <v>1750000000</v>
      </c>
      <c r="K18" s="121"/>
      <c r="L18" s="75">
        <f>J18*D48</f>
        <v>1750000000</v>
      </c>
      <c r="M18" s="121"/>
      <c r="N18" s="75">
        <f>L18*D49</f>
        <v>1750000000</v>
      </c>
      <c r="O18" s="75"/>
      <c r="P18" s="75">
        <f>N18*D50</f>
        <v>1750000000</v>
      </c>
      <c r="Q18" s="75"/>
      <c r="R18" s="75">
        <f>P18*D51</f>
        <v>1750000000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1750000000</v>
      </c>
      <c r="I20" s="116"/>
      <c r="J20" s="115">
        <f>J18+J19</f>
        <v>1750000000</v>
      </c>
      <c r="K20" s="116"/>
      <c r="L20" s="115">
        <f>L18+L19</f>
        <v>1750000000</v>
      </c>
      <c r="M20" s="116"/>
      <c r="N20" s="115">
        <f>N18+N19</f>
        <v>1750000000</v>
      </c>
      <c r="O20" s="116"/>
      <c r="P20" s="115">
        <f>P18+P19</f>
        <v>1750000000</v>
      </c>
      <c r="Q20" s="116"/>
      <c r="R20" s="115">
        <f>R18+R19</f>
        <v>1750000000</v>
      </c>
      <c r="T20" s="4">
        <f>(R20/J20)^(1/4)-1</f>
        <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1750000000</v>
      </c>
      <c r="I22" s="119"/>
      <c r="J22" s="118">
        <f>SUM(J20:J21)</f>
        <v>1750000000</v>
      </c>
      <c r="K22" s="119"/>
      <c r="L22" s="118">
        <f>SUM(L20:L21)</f>
        <v>1750000000</v>
      </c>
      <c r="M22" s="119"/>
      <c r="N22" s="118">
        <f>SUM(N20:N21)</f>
        <v>1750000000</v>
      </c>
      <c r="O22" s="119"/>
      <c r="P22" s="118">
        <f>SUM(P20:P21)</f>
        <v>1750000000</v>
      </c>
      <c r="Q22" s="119"/>
      <c r="R22" s="118">
        <f>SUM(R20:R21)</f>
        <v>1750000000</v>
      </c>
      <c r="S22" s="2"/>
      <c r="T22" s="4">
        <f>(R22/J22)^(1/4)-1</f>
        <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-360000000</v>
      </c>
      <c r="I24" s="112"/>
      <c r="J24" s="112">
        <f>J12</f>
        <v>-360000000</v>
      </c>
      <c r="K24" s="112"/>
      <c r="L24" s="112">
        <f>L12</f>
        <v>-360000000</v>
      </c>
      <c r="M24" s="112"/>
      <c r="N24" s="112">
        <f>N12</f>
        <v>-360000000</v>
      </c>
      <c r="O24" s="112"/>
      <c r="P24" s="112">
        <f>P12</f>
        <v>-360000000</v>
      </c>
      <c r="Q24" s="112"/>
      <c r="R24" s="112">
        <f>R12</f>
        <v>-360000000</v>
      </c>
    </row>
    <row r="25" spans="1:20">
      <c r="B25" s="2" t="s">
        <v>19</v>
      </c>
      <c r="H25" s="120">
        <f>SUM(H22:H24)</f>
        <v>1390000000</v>
      </c>
      <c r="I25" s="114"/>
      <c r="J25" s="120">
        <f>SUM(J22:J24)</f>
        <v>1390000000</v>
      </c>
      <c r="K25" s="114"/>
      <c r="L25" s="120">
        <f>SUM(L22:L24)</f>
        <v>1390000000</v>
      </c>
      <c r="M25" s="114"/>
      <c r="N25" s="120">
        <f>SUM(N22:N24)</f>
        <v>1390000000</v>
      </c>
      <c r="O25" s="114"/>
      <c r="P25" s="120">
        <f>SUM(P22:P24)</f>
        <v>1390000000</v>
      </c>
      <c r="Q25" s="114"/>
      <c r="R25" s="120">
        <f>SUM(R22:R24)</f>
        <v>1390000000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f>H4</f>
        <v>2019</v>
      </c>
      <c r="J29" s="27">
        <f>H29+1</f>
        <v>2020</v>
      </c>
      <c r="K29" s="20"/>
      <c r="L29" s="27">
        <f>J29+1</f>
        <v>2021</v>
      </c>
      <c r="M29" s="20"/>
      <c r="N29" s="60">
        <f>L29+1</f>
        <v>2022</v>
      </c>
      <c r="O29" s="21"/>
      <c r="P29" s="60">
        <f>N29+1</f>
        <v>2023</v>
      </c>
      <c r="Q29" s="21"/>
      <c r="R29" s="60">
        <f>P29+1</f>
        <v>2024</v>
      </c>
      <c r="T29" s="28" t="s">
        <v>33</v>
      </c>
    </row>
    <row r="31" spans="1:20">
      <c r="B31" t="s">
        <v>26</v>
      </c>
      <c r="H31" s="75">
        <f>H6</f>
        <v>1750000000</v>
      </c>
      <c r="J31" s="75">
        <f>H31*E47</f>
        <v>1767500000</v>
      </c>
      <c r="K31" s="121"/>
      <c r="L31" s="75">
        <f>J31*E48</f>
        <v>1802850000</v>
      </c>
      <c r="M31" s="121"/>
      <c r="N31" s="75">
        <f>L31*E49</f>
        <v>1802850000</v>
      </c>
      <c r="O31" s="75"/>
      <c r="P31" s="75">
        <f>N31*E50</f>
        <v>1856935500</v>
      </c>
      <c r="Q31" s="75"/>
      <c r="R31" s="75">
        <f>P31*E51</f>
        <v>1949782275</v>
      </c>
      <c r="T31" s="4">
        <f>(R31/J31)^(1/4)-1</f>
        <v>2.4841430249137542E-2</v>
      </c>
    </row>
    <row r="32" spans="1:20">
      <c r="B32" s="23" t="s">
        <v>22</v>
      </c>
      <c r="H32" s="71">
        <f>H7</f>
        <v>0</v>
      </c>
      <c r="J32" s="71">
        <f>J7</f>
        <v>0</v>
      </c>
      <c r="L32" s="71">
        <f>L7</f>
        <v>0</v>
      </c>
      <c r="N32" s="71">
        <f>N7</f>
        <v>0</v>
      </c>
      <c r="P32" s="71">
        <f>P7</f>
        <v>0</v>
      </c>
      <c r="R32" s="71">
        <f>R7</f>
        <v>0</v>
      </c>
      <c r="T32" s="4"/>
    </row>
    <row r="33" spans="1:29">
      <c r="B33" t="s">
        <v>27</v>
      </c>
      <c r="H33" s="115">
        <f>H31+H32</f>
        <v>1750000000</v>
      </c>
      <c r="I33" s="116"/>
      <c r="J33" s="115">
        <f>J31+J32</f>
        <v>1767500000</v>
      </c>
      <c r="K33" s="116"/>
      <c r="L33" s="115">
        <f>L31+L32</f>
        <v>1802850000</v>
      </c>
      <c r="M33" s="116"/>
      <c r="N33" s="115">
        <f>N31+N32</f>
        <v>1802850000</v>
      </c>
      <c r="O33" s="116"/>
      <c r="P33" s="115">
        <f>P31+P32</f>
        <v>1856935500</v>
      </c>
      <c r="Q33" s="116"/>
      <c r="R33" s="115">
        <f>R31+R32</f>
        <v>1949782275</v>
      </c>
      <c r="T33" s="4">
        <f>(R33/J33)^(1/4)-1</f>
        <v>2.4841430249137542E-2</v>
      </c>
    </row>
    <row r="34" spans="1:29">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9">
      <c r="A35" s="2"/>
      <c r="B35" s="2" t="s">
        <v>3</v>
      </c>
      <c r="C35" s="2"/>
      <c r="D35" s="2"/>
      <c r="E35" s="2"/>
      <c r="F35" s="2"/>
      <c r="G35" s="2"/>
      <c r="H35" s="118">
        <f>SUM(H33:H34)</f>
        <v>1750000000</v>
      </c>
      <c r="I35" s="119"/>
      <c r="J35" s="118">
        <f>SUM(J33:J34)</f>
        <v>1767500000</v>
      </c>
      <c r="K35" s="119"/>
      <c r="L35" s="118">
        <f>SUM(L33:L34)</f>
        <v>1802850000</v>
      </c>
      <c r="M35" s="119"/>
      <c r="N35" s="118">
        <f>SUM(N33:N34)</f>
        <v>1802850000</v>
      </c>
      <c r="O35" s="119"/>
      <c r="P35" s="118">
        <f>SUM(P33:P34)</f>
        <v>1856935500</v>
      </c>
      <c r="Q35" s="119"/>
      <c r="R35" s="118">
        <f>SUM(R33:R34)</f>
        <v>1949782275</v>
      </c>
      <c r="S35" s="2"/>
      <c r="T35" s="4">
        <f>(R35/J35)^(1/4)-1</f>
        <v>2.4841430249137542E-2</v>
      </c>
    </row>
    <row r="36" spans="1:29">
      <c r="B36" s="10" t="s">
        <v>25</v>
      </c>
      <c r="H36" s="112">
        <f>H11</f>
        <v>0</v>
      </c>
      <c r="I36" s="112"/>
      <c r="J36" s="112">
        <f>J11</f>
        <v>0</v>
      </c>
      <c r="K36" s="112"/>
      <c r="L36" s="112">
        <f>L11</f>
        <v>0</v>
      </c>
      <c r="M36" s="112"/>
      <c r="N36" s="112">
        <f>N11</f>
        <v>0</v>
      </c>
      <c r="O36" s="112"/>
      <c r="P36" s="112">
        <f>P11</f>
        <v>0</v>
      </c>
      <c r="Q36" s="112"/>
      <c r="R36" s="112">
        <f>R11</f>
        <v>0</v>
      </c>
    </row>
    <row r="37" spans="1:29">
      <c r="B37" t="s">
        <v>23</v>
      </c>
      <c r="H37" s="112">
        <f>H12</f>
        <v>-360000000</v>
      </c>
      <c r="I37" s="112"/>
      <c r="J37" s="112">
        <f>J12</f>
        <v>-360000000</v>
      </c>
      <c r="K37" s="112"/>
      <c r="L37" s="112">
        <f>L12</f>
        <v>-360000000</v>
      </c>
      <c r="M37" s="112"/>
      <c r="N37" s="112">
        <f>N12</f>
        <v>-360000000</v>
      </c>
      <c r="O37" s="112"/>
      <c r="P37" s="112">
        <f>P12</f>
        <v>-360000000</v>
      </c>
      <c r="Q37" s="112"/>
      <c r="R37" s="112">
        <f>R12</f>
        <v>-360000000</v>
      </c>
    </row>
    <row r="38" spans="1:29">
      <c r="B38" s="2" t="s">
        <v>19</v>
      </c>
      <c r="H38" s="120">
        <f>SUM(H35:H37)</f>
        <v>1390000000</v>
      </c>
      <c r="I38" s="153"/>
      <c r="J38" s="120">
        <f>SUM(J35:J37)</f>
        <v>1407500000</v>
      </c>
      <c r="K38" s="114"/>
      <c r="L38" s="120">
        <f>SUM(L35:L37)</f>
        <v>1442850000</v>
      </c>
      <c r="M38" s="114"/>
      <c r="N38" s="120">
        <f>SUM(N35:N37)</f>
        <v>1442850000</v>
      </c>
      <c r="O38" s="114"/>
      <c r="P38" s="120">
        <f>SUM(P35:P37)</f>
        <v>1496935500</v>
      </c>
      <c r="Q38" s="114"/>
      <c r="R38" s="120">
        <f>SUM(R35:R37)</f>
        <v>1589782275</v>
      </c>
      <c r="T38" s="4">
        <f>(R38/J38)^(1/4)-1</f>
        <v>3.0913701623433543E-2</v>
      </c>
    </row>
    <row r="39" spans="1:29">
      <c r="A39" s="2"/>
      <c r="H39" s="19"/>
      <c r="J39" s="19"/>
      <c r="L39" s="19"/>
      <c r="N39" s="19"/>
      <c r="P39" s="19"/>
      <c r="R39" s="19"/>
      <c r="T39" s="4"/>
    </row>
    <row r="40" spans="1:29">
      <c r="A40" s="2"/>
      <c r="G40" s="305"/>
      <c r="H40" s="305"/>
      <c r="I40" s="306"/>
      <c r="J40" s="307"/>
      <c r="K40" s="305"/>
      <c r="L40" s="305"/>
      <c r="M40" s="306"/>
      <c r="N40" s="307"/>
      <c r="O40" s="305"/>
      <c r="P40" s="305"/>
      <c r="Q40" s="308"/>
      <c r="R40" s="19"/>
      <c r="S40" s="304"/>
      <c r="T40" s="304"/>
      <c r="U40" s="232"/>
      <c r="V40" s="231"/>
      <c r="W40" s="304"/>
      <c r="X40" s="304"/>
      <c r="Y40" s="232"/>
      <c r="Z40" s="231"/>
      <c r="AA40" s="304"/>
      <c r="AB40" s="304"/>
      <c r="AC40" s="232" t="s">
        <v>415</v>
      </c>
    </row>
    <row r="41" spans="1:29">
      <c r="A41" s="2"/>
      <c r="G41" s="305"/>
      <c r="H41" s="305"/>
      <c r="I41" s="306"/>
      <c r="J41" s="307"/>
      <c r="K41" s="305"/>
      <c r="L41" s="305"/>
      <c r="M41" s="306"/>
      <c r="N41" s="307"/>
      <c r="O41" s="305"/>
      <c r="P41" s="305"/>
      <c r="Q41" s="308"/>
      <c r="R41" s="19"/>
      <c r="T41" s="4"/>
    </row>
    <row r="43" spans="1:29">
      <c r="A43" s="24" t="s">
        <v>37</v>
      </c>
      <c r="B43" s="30"/>
      <c r="C43" s="30"/>
      <c r="D43" s="30"/>
      <c r="E43" s="30"/>
      <c r="F43" s="30"/>
      <c r="G43" s="30"/>
      <c r="H43" s="31"/>
      <c r="I43" s="30"/>
      <c r="J43" s="30"/>
      <c r="K43" s="30"/>
      <c r="L43" s="30"/>
      <c r="M43" s="30"/>
      <c r="N43" s="30"/>
      <c r="O43" s="30"/>
      <c r="P43" s="30"/>
      <c r="Q43" s="30"/>
      <c r="R43" s="30"/>
      <c r="S43" s="30"/>
      <c r="T43" s="30"/>
    </row>
    <row r="44" spans="1:29">
      <c r="H44" s="16"/>
    </row>
    <row r="45" spans="1:29" ht="15">
      <c r="B45" s="233"/>
      <c r="D45" s="2"/>
      <c r="I45" s="23"/>
      <c r="J45" s="23"/>
      <c r="M45" s="148" t="s">
        <v>182</v>
      </c>
      <c r="N45" s="2"/>
      <c r="P45" s="2"/>
    </row>
    <row r="46" spans="1:29" ht="15.75">
      <c r="B46" s="88" t="s">
        <v>32</v>
      </c>
      <c r="C46" s="89" t="s">
        <v>29</v>
      </c>
      <c r="D46" s="89" t="s">
        <v>31</v>
      </c>
      <c r="E46" s="152" t="s">
        <v>188</v>
      </c>
      <c r="H46" s="294" t="s">
        <v>181</v>
      </c>
      <c r="I46" s="294"/>
      <c r="J46" s="294"/>
      <c r="K46" s="135"/>
      <c r="L46" s="135"/>
      <c r="M46" s="2" t="s">
        <v>57</v>
      </c>
      <c r="P46" s="2"/>
      <c r="R46" s="147" t="s">
        <v>136</v>
      </c>
      <c r="X46" s="127"/>
    </row>
    <row r="47" spans="1:29" ht="15.75">
      <c r="B47" s="90">
        <v>2020</v>
      </c>
      <c r="C47" s="88">
        <v>0.99</v>
      </c>
      <c r="D47" s="88">
        <v>1</v>
      </c>
      <c r="E47" s="88">
        <v>1.01</v>
      </c>
      <c r="H47" s="156" t="s">
        <v>15</v>
      </c>
      <c r="I47" s="156"/>
      <c r="J47" s="230">
        <v>205922186</v>
      </c>
      <c r="K47" s="140"/>
      <c r="L47" s="221"/>
      <c r="M47" t="s">
        <v>55</v>
      </c>
      <c r="P47" s="2"/>
      <c r="R47" s="147" t="s">
        <v>137</v>
      </c>
      <c r="X47" s="127"/>
    </row>
    <row r="48" spans="1:29">
      <c r="B48" s="90">
        <f>B47+1</f>
        <v>2021</v>
      </c>
      <c r="C48" s="88">
        <v>0.98</v>
      </c>
      <c r="D48" s="88">
        <v>1</v>
      </c>
      <c r="E48" s="88">
        <v>1.02</v>
      </c>
      <c r="H48" s="156" t="s">
        <v>99</v>
      </c>
      <c r="I48" s="156"/>
      <c r="J48" s="157">
        <v>3374194000</v>
      </c>
      <c r="L48" s="163"/>
      <c r="M48" t="s">
        <v>56</v>
      </c>
      <c r="P48" s="2"/>
      <c r="X48" s="127"/>
    </row>
    <row r="49" spans="2:24">
      <c r="B49" s="90">
        <f>B48+1</f>
        <v>2022</v>
      </c>
      <c r="C49" s="88">
        <v>0.97</v>
      </c>
      <c r="D49" s="88">
        <v>1</v>
      </c>
      <c r="E49" s="88">
        <v>1</v>
      </c>
      <c r="H49" s="156" t="s">
        <v>14</v>
      </c>
      <c r="I49" s="156"/>
      <c r="J49" s="157">
        <f>139012000+4033880000</f>
        <v>4172892000</v>
      </c>
      <c r="M49" t="s">
        <v>58</v>
      </c>
      <c r="P49" s="2"/>
      <c r="X49" s="127"/>
    </row>
    <row r="50" spans="2:24">
      <c r="B50" s="90">
        <f>B49+1</f>
        <v>2023</v>
      </c>
      <c r="C50" s="88">
        <v>0.96</v>
      </c>
      <c r="D50" s="88">
        <v>1</v>
      </c>
      <c r="E50" s="88">
        <v>1.03</v>
      </c>
      <c r="H50" s="155" t="s">
        <v>16</v>
      </c>
      <c r="I50" s="156"/>
      <c r="J50" s="158">
        <v>0.02</v>
      </c>
      <c r="M50" t="s">
        <v>59</v>
      </c>
      <c r="P50" s="2"/>
      <c r="X50" s="127"/>
    </row>
    <row r="51" spans="2:24">
      <c r="B51" s="90">
        <f>B50+1</f>
        <v>2024</v>
      </c>
      <c r="C51" s="88">
        <v>0.95</v>
      </c>
      <c r="D51" s="88">
        <v>1</v>
      </c>
      <c r="E51" s="88">
        <v>1.05</v>
      </c>
      <c r="H51" s="156" t="s">
        <v>2</v>
      </c>
      <c r="I51" s="156"/>
      <c r="J51" s="158">
        <v>0</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f>((NPV($C56,$J$13:$P$13,$R$13+$R$13*(1+$J$50)/($C56-$J$50)))-$J$49+J48)/$J$47</f>
        <v>85.120097761000977</v>
      </c>
      <c r="E56" s="93"/>
      <c r="F56" s="94">
        <f>((NPV($C56,$J$25:$P$25,$R$25+$R$25*(1+$J$50)/($C56-$J$50)))-$J$49+J48)/$J$47</f>
        <v>101.17098260333212</v>
      </c>
      <c r="G56" s="93"/>
      <c r="H56" s="123">
        <f>((NPV($C56,$J$38:$P$38,$R$38+$R$38*(1+$J$50)/($C56-$J$50)))-$J$49+J48)/$J$47</f>
        <v>113.94037477004824</v>
      </c>
      <c r="I56" s="10"/>
      <c r="J56" s="11"/>
      <c r="M56" s="135" t="s">
        <v>186</v>
      </c>
      <c r="Q56" s="87"/>
      <c r="R56" s="91"/>
      <c r="S56" s="87"/>
      <c r="T56" s="91"/>
    </row>
    <row r="57" spans="2:24">
      <c r="B57" s="84" t="s">
        <v>28</v>
      </c>
      <c r="C57" s="4">
        <v>0.11</v>
      </c>
      <c r="D57" s="96">
        <f>((NPV($C57,$J$13:$P$13,$R$13+$R$13*(1+$J$50)/($C57-$J$50)))-$J$49+J48)/$J$47</f>
        <v>56.464997380987612</v>
      </c>
      <c r="E57" s="97"/>
      <c r="F57" s="98">
        <f>((NPV($C57,$J$25:$P$25,$R$25+$R$25*(1+$J$50)/($C57-$J$50)))-$J$49+J48)/$J$47</f>
        <v>66.468969218054937</v>
      </c>
      <c r="G57" s="97"/>
      <c r="H57" s="99">
        <f>((NPV($C57,$J$38:$P$38,$R$38+$R$38*(1+$J$50)/($C57-$J$50)))-$J$49+J48)/$J$47</f>
        <v>74.384572013502662</v>
      </c>
      <c r="I57" s="44"/>
      <c r="J57" s="43"/>
      <c r="Q57" s="87"/>
      <c r="R57" s="91"/>
      <c r="S57" s="87"/>
      <c r="T57" s="91"/>
    </row>
    <row r="58" spans="2:24">
      <c r="B58" s="174" t="s">
        <v>407</v>
      </c>
      <c r="C58" s="4">
        <v>0.15</v>
      </c>
      <c r="D58" s="100">
        <f>((NPV($C58,$J$13:$P$13,$R$13+$R$13*(1+$J$50)/($C58-$J$50)))-$J$49+J48)/$J$47</f>
        <v>38.719759525985076</v>
      </c>
      <c r="E58" s="101"/>
      <c r="F58" s="102">
        <f>((NPV($C58,$J$25:$P$25,$R$25+$R$25*(1+$J$50)/($C58-$J$50)))-$J$49+J48)/$J$47</f>
        <v>45.080541006531014</v>
      </c>
      <c r="G58" s="101"/>
      <c r="H58" s="103">
        <f>((NPV($C58,$J$38:$P$38,$R$38+$R$38*(1+$J$50)/($C58-$J$50)))-$J$49+J48)/$J$47</f>
        <v>50.081133013167651</v>
      </c>
      <c r="I58" s="44"/>
      <c r="J58" s="43"/>
      <c r="Q58" s="87"/>
      <c r="R58" s="91"/>
      <c r="S58" s="87"/>
      <c r="T58" s="91"/>
    </row>
    <row r="59" spans="2:24">
      <c r="C59" s="4"/>
      <c r="D59" s="23"/>
      <c r="I59" s="23"/>
      <c r="J59" s="136"/>
      <c r="Q59" s="23"/>
      <c r="R59" s="23"/>
      <c r="S59" s="23"/>
      <c r="T59" s="23"/>
    </row>
    <row r="60" spans="2:24">
      <c r="D60" s="2"/>
      <c r="M60" s="140"/>
      <c r="N60" s="23"/>
      <c r="O60" s="23"/>
      <c r="P60" s="107"/>
      <c r="Q60" s="23"/>
      <c r="R60" s="190"/>
      <c r="S60" s="23"/>
      <c r="T60" s="23"/>
    </row>
    <row r="61" spans="2:24">
      <c r="D61" s="30"/>
      <c r="E61" s="30"/>
      <c r="F61" s="109" t="s">
        <v>6</v>
      </c>
      <c r="G61" s="30"/>
      <c r="H61" s="30"/>
      <c r="I61" s="104"/>
      <c r="J61" s="137"/>
      <c r="L61" s="23"/>
      <c r="M61" s="200"/>
      <c r="N61" s="128"/>
      <c r="O61" s="23"/>
      <c r="P61" s="104"/>
      <c r="Q61" s="104"/>
      <c r="R61" s="104"/>
      <c r="S61" s="104"/>
      <c r="T61" s="104"/>
    </row>
    <row r="62" spans="2:24">
      <c r="D62" s="85" t="s">
        <v>29</v>
      </c>
      <c r="E62" s="85"/>
      <c r="F62" s="166" t="s">
        <v>31</v>
      </c>
      <c r="G62" s="85"/>
      <c r="H62" s="85" t="s">
        <v>188</v>
      </c>
      <c r="I62" s="62"/>
      <c r="J62" s="61"/>
      <c r="L62" s="23"/>
      <c r="M62" s="160"/>
      <c r="N62" s="129"/>
      <c r="O62" s="23"/>
      <c r="P62" s="87"/>
      <c r="Q62" s="87"/>
      <c r="R62" s="87"/>
      <c r="S62" s="87"/>
      <c r="T62" s="87"/>
    </row>
    <row r="63" spans="2:24">
      <c r="B63" s="84" t="s">
        <v>8</v>
      </c>
      <c r="C63" s="4">
        <f>C56</f>
        <v>0.08</v>
      </c>
      <c r="D63" s="92">
        <f>((NPV($C63,$J$13:$P$13,$R$13+$R$13*(1+$J$50)/($C63-$J$50)))-$J$49+J48)</f>
        <v>17528116603.479027</v>
      </c>
      <c r="E63" s="93"/>
      <c r="F63" s="94">
        <f>((NPV($C63,$J$25:$P$25,$R$25+$R$25*(1+$J$50)/($C63-$J$50)))-$J$49+J48)</f>
        <v>20833349897.446121</v>
      </c>
      <c r="G63" s="93"/>
      <c r="H63" s="95">
        <f>((NPV($C63,$J$38:$P$38,$R$38+$R$38*(1+$J$50)/($C63-$J$50)))-$J$49+J48)</f>
        <v>23462851046.307579</v>
      </c>
      <c r="I63" s="17"/>
      <c r="J63" s="18"/>
      <c r="L63" s="23"/>
      <c r="M63" s="167"/>
      <c r="N63" s="23"/>
      <c r="O63" s="23"/>
      <c r="P63" s="98"/>
      <c r="Q63" s="97"/>
      <c r="R63" s="98"/>
      <c r="S63" s="97"/>
      <c r="T63" s="98"/>
    </row>
    <row r="64" spans="2:24">
      <c r="B64" s="84" t="s">
        <v>28</v>
      </c>
      <c r="C64" s="4">
        <f>C57</f>
        <v>0.11</v>
      </c>
      <c r="D64" s="96">
        <f>((NPV($C64,$J$13:$P$13,$R$13+$R$13*(1+$J$50)/($C64-$J$50)))-$J$49+J48)</f>
        <v>11627395693.177244</v>
      </c>
      <c r="E64" s="97"/>
      <c r="F64" s="98">
        <f>((NPV($C64,$J$25:$P$25,$R$25+$R$25*(1+$J$50)/($C64-$J$50)))-$J$49+J48)</f>
        <v>13687435442.548582</v>
      </c>
      <c r="G64" s="97"/>
      <c r="H64" s="122">
        <f>((NPV($C64,$J$38:$P$38,$R$38+$R$38*(1+$J$50)/($C64-$J$50)))-$J$49+J48)</f>
        <v>15317433673.694891</v>
      </c>
      <c r="I64" s="17"/>
      <c r="J64" s="18"/>
      <c r="L64" s="23"/>
      <c r="M64" s="167"/>
      <c r="N64" s="23"/>
      <c r="O64" s="23"/>
      <c r="P64" s="98"/>
      <c r="Q64" s="97"/>
      <c r="R64" s="98"/>
      <c r="S64" s="97"/>
      <c r="T64" s="98"/>
    </row>
    <row r="65" spans="1:20">
      <c r="B65" s="174" t="s">
        <v>407</v>
      </c>
      <c r="C65" s="4">
        <f>C58</f>
        <v>0.15</v>
      </c>
      <c r="D65" s="100">
        <f>((NPV($C65,$J$13:$P$13,$R$13+$R$13*(1+$J$50)/($C65-$J$50)))-$J$49+J48)</f>
        <v>7973257522.9851704</v>
      </c>
      <c r="E65" s="101"/>
      <c r="F65" s="102">
        <f>((NPV($C65,$J$25:$P$25,$R$25+$R$25*(1+$J$50)/($C65-$J$50)))-$J$49+J48)</f>
        <v>9283083550.1275063</v>
      </c>
      <c r="G65" s="101"/>
      <c r="H65" s="103">
        <f>((NPV($C65,$J$38:$P$38,$R$38+$R$38*(1+$J$50)/($C65-$J$50)))-$J$49+J48)</f>
        <v>10312816387.428249</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$4172892000.0mm as of 5/16/08.</v>
      </c>
      <c r="F69" s="87"/>
      <c r="G69" s="87"/>
      <c r="H69" s="87"/>
      <c r="I69" s="87"/>
      <c r="J69" s="87"/>
      <c r="L69" s="82"/>
      <c r="M69" s="165"/>
      <c r="N69" s="82"/>
    </row>
    <row r="70" spans="1:20">
      <c r="A70" s="1" t="str">
        <f>"(2)  Assumes outstanding diluted shares of "&amp;TEXT(J47,"0.000")&amp;" million."</f>
        <v>(2)  Assumes outstanding diluted shares of 205922186.000 million.</v>
      </c>
      <c r="C70" s="8"/>
      <c r="D70" s="4"/>
      <c r="E70" s="23"/>
      <c r="F70" s="91"/>
      <c r="G70" s="87"/>
      <c r="H70" s="91"/>
      <c r="I70" s="87"/>
      <c r="J70" s="91"/>
      <c r="M70" s="146"/>
    </row>
    <row r="71" spans="1:20">
      <c r="B71" s="2"/>
      <c r="C71" s="8"/>
      <c r="D71" s="4"/>
      <c r="E71" s="23"/>
      <c r="F71" s="91"/>
      <c r="G71" s="87"/>
      <c r="H71" s="91"/>
      <c r="I71" s="87"/>
      <c r="J71" s="91"/>
      <c r="M71" s="146"/>
    </row>
    <row r="72" spans="1:20">
      <c r="C72" s="8"/>
      <c r="D72" s="4"/>
      <c r="E72" s="23"/>
      <c r="F72" s="91"/>
      <c r="G72" s="87"/>
      <c r="H72" s="91"/>
      <c r="I72" s="87"/>
      <c r="J72" s="91"/>
      <c r="M72" s="146"/>
    </row>
    <row r="73" spans="1:20">
      <c r="C73" s="8"/>
      <c r="D73" s="4"/>
      <c r="E73" s="23"/>
      <c r="F73" s="91"/>
      <c r="G73" s="87"/>
      <c r="H73" s="91"/>
      <c r="I73" s="87"/>
      <c r="J73" s="91"/>
      <c r="M73" s="146"/>
    </row>
    <row r="74" spans="1:20" ht="15.75">
      <c r="B74" s="147"/>
      <c r="C74" s="8"/>
      <c r="D74" s="4"/>
      <c r="E74" s="23"/>
      <c r="F74" s="91"/>
      <c r="G74" s="87"/>
      <c r="H74" s="91"/>
      <c r="I74" s="87"/>
      <c r="J74" s="91"/>
      <c r="M74" s="146"/>
    </row>
    <row r="75" spans="1:20">
      <c r="E75" s="23"/>
      <c r="F75" s="91"/>
      <c r="G75" s="87"/>
      <c r="H75" s="91"/>
      <c r="I75" s="87"/>
      <c r="J75" s="91"/>
      <c r="M75" s="146"/>
    </row>
    <row r="76" spans="1:20" ht="12.75" customHeight="1">
      <c r="E76" s="177"/>
      <c r="F76" s="191"/>
      <c r="G76" s="87"/>
      <c r="H76" s="91"/>
      <c r="I76" s="87"/>
      <c r="J76" s="91"/>
      <c r="M76" s="146"/>
      <c r="P76" s="79"/>
    </row>
    <row r="77" spans="1:20" ht="12.75" customHeight="1">
      <c r="E77" s="205"/>
      <c r="F77" s="160"/>
      <c r="G77" s="23"/>
      <c r="H77" s="23"/>
      <c r="I77" s="23"/>
      <c r="J77" s="23"/>
      <c r="M77" s="146"/>
    </row>
    <row r="78" spans="1:20" ht="12.75" customHeight="1">
      <c r="E78" s="135"/>
      <c r="F78" s="160"/>
      <c r="G78" s="87"/>
      <c r="H78" s="87"/>
      <c r="I78" s="87"/>
      <c r="J78" s="87"/>
      <c r="M78" s="146"/>
    </row>
    <row r="79" spans="1:20" ht="12.75" customHeight="1">
      <c r="F79" s="160"/>
      <c r="G79" s="87"/>
      <c r="H79" s="87"/>
      <c r="I79" s="87"/>
      <c r="J79" s="87"/>
      <c r="M79" s="146"/>
    </row>
    <row r="80" spans="1:20" ht="12.75" customHeight="1">
      <c r="F80" s="160"/>
      <c r="G80" s="87"/>
      <c r="H80" s="87"/>
      <c r="I80" s="87"/>
      <c r="J80" s="87"/>
      <c r="M80" s="146"/>
    </row>
    <row r="81" spans="5:13" ht="12.75" customHeight="1">
      <c r="E81" s="135"/>
      <c r="F81" s="160"/>
      <c r="G81" s="87"/>
      <c r="H81" s="87"/>
      <c r="I81" s="87"/>
      <c r="J81" s="87"/>
      <c r="M81" s="146"/>
    </row>
    <row r="82" spans="5:13" ht="12.75" customHeight="1">
      <c r="F82" s="160"/>
      <c r="G82" s="87"/>
      <c r="H82" s="87"/>
      <c r="I82" s="87"/>
      <c r="J82" s="87"/>
      <c r="M82" s="146"/>
    </row>
    <row r="83" spans="5:13" ht="12.75" customHeight="1">
      <c r="E83" s="135"/>
      <c r="F83" s="160"/>
      <c r="G83" s="87"/>
      <c r="H83" s="87"/>
      <c r="I83" s="87"/>
      <c r="J83" s="87"/>
      <c r="M83" s="146"/>
    </row>
    <row r="84" spans="5:13" ht="12.75" customHeight="1">
      <c r="F84" s="160"/>
      <c r="G84" s="87"/>
      <c r="H84" s="87"/>
      <c r="I84" s="87"/>
      <c r="J84" s="87"/>
      <c r="M84" s="146"/>
    </row>
    <row r="85" spans="5:13" ht="12.75" customHeight="1">
      <c r="F85" s="160"/>
      <c r="G85" s="87"/>
      <c r="H85" s="87"/>
      <c r="I85" s="87"/>
      <c r="J85" s="87"/>
      <c r="M85" s="146"/>
    </row>
    <row r="86" spans="5:13" ht="12.75" customHeight="1">
      <c r="E86" s="23"/>
      <c r="F86" s="141"/>
      <c r="G86" s="97"/>
      <c r="H86" s="98"/>
      <c r="I86" s="97"/>
      <c r="J86" s="98"/>
      <c r="M86" s="146"/>
    </row>
    <row r="87" spans="5:13" ht="12.75" customHeight="1">
      <c r="E87" s="23"/>
      <c r="F87" s="141"/>
      <c r="G87" s="97"/>
      <c r="H87" s="98"/>
      <c r="I87" s="97"/>
      <c r="J87" s="98"/>
      <c r="M87" s="146"/>
    </row>
    <row r="88" spans="5:13" ht="12.75" customHeight="1">
      <c r="E88" s="23"/>
      <c r="F88" s="141"/>
      <c r="G88" s="97"/>
      <c r="H88" s="98"/>
      <c r="I88" s="97"/>
      <c r="J88" s="98"/>
      <c r="M88" s="146"/>
    </row>
    <row r="89" spans="5:13" ht="12.75" customHeight="1">
      <c r="F89" s="142"/>
      <c r="J89" s="142"/>
      <c r="M89" s="146"/>
    </row>
    <row r="90" spans="5:13" ht="12.75" customHeight="1">
      <c r="F90" s="146"/>
      <c r="J90" s="142"/>
      <c r="M90" s="146"/>
    </row>
    <row r="91" spans="5:13" ht="12.75" customHeight="1">
      <c r="F91" s="146"/>
      <c r="J91" s="146"/>
      <c r="M91" s="146"/>
    </row>
    <row r="92" spans="5:13" ht="12.75" customHeight="1">
      <c r="F92" s="146"/>
      <c r="J92" s="146"/>
      <c r="M92" s="146"/>
    </row>
    <row r="93" spans="5:13" ht="12.75" customHeight="1">
      <c r="F93" s="146"/>
      <c r="J93" s="146"/>
      <c r="M93" s="146"/>
    </row>
    <row r="94" spans="5:13" ht="12.75" customHeight="1">
      <c r="F94" s="146"/>
      <c r="J94" s="146"/>
    </row>
    <row r="95" spans="5:13" ht="12.75" customHeight="1">
      <c r="F95" s="146"/>
      <c r="J95" s="146"/>
    </row>
    <row r="96" spans="5:13">
      <c r="F96" s="146"/>
    </row>
    <row r="97" spans="6:6">
      <c r="F97" s="146"/>
    </row>
    <row r="98" spans="6:6">
      <c r="F98" s="146"/>
    </row>
    <row r="99" spans="6:6">
      <c r="F99" s="146"/>
    </row>
    <row r="100" spans="6:6">
      <c r="F100" s="146"/>
    </row>
    <row r="101" spans="6:6">
      <c r="F101" s="146"/>
    </row>
    <row r="102" spans="6:6">
      <c r="F102" s="146"/>
    </row>
    <row r="103" spans="6:6">
      <c r="F103" s="146"/>
    </row>
    <row r="104" spans="6:6">
      <c r="F104" s="146"/>
    </row>
    <row r="105" spans="6:6">
      <c r="F105" s="146"/>
    </row>
    <row r="106" spans="6:6">
      <c r="F106" s="146"/>
    </row>
    <row r="107" spans="6:6">
      <c r="F107" s="146"/>
    </row>
    <row r="108" spans="6:6">
      <c r="F108" s="146"/>
    </row>
    <row r="109" spans="6:6">
      <c r="F109" s="146"/>
    </row>
    <row r="110" spans="6:6">
      <c r="F110" s="146"/>
    </row>
    <row r="111" spans="6:6">
      <c r="F111" s="146"/>
    </row>
    <row r="112" spans="6:6">
      <c r="F112" s="146"/>
    </row>
    <row r="113" spans="2:6">
      <c r="F113" s="146"/>
    </row>
    <row r="114" spans="2:6">
      <c r="F114" s="146"/>
    </row>
    <row r="115" spans="2:6">
      <c r="F115" s="146"/>
    </row>
    <row r="122" spans="2:6">
      <c r="B122" s="182"/>
    </row>
  </sheetData>
  <mergeCells count="12">
    <mergeCell ref="AA40:AB40"/>
    <mergeCell ref="H46:J46"/>
    <mergeCell ref="G40:H41"/>
    <mergeCell ref="I40:I41"/>
    <mergeCell ref="J40:J41"/>
    <mergeCell ref="K40:L41"/>
    <mergeCell ref="M40:M41"/>
    <mergeCell ref="N40:N41"/>
    <mergeCell ref="O40:P41"/>
    <mergeCell ref="Q40:Q41"/>
    <mergeCell ref="S40:T40"/>
    <mergeCell ref="W40:X40"/>
  </mergeCells>
  <conditionalFormatting sqref="B6:T13">
    <cfRule type="expression" dxfId="167" priority="6">
      <formula>MOD(ROW(),2)=0</formula>
    </cfRule>
  </conditionalFormatting>
  <conditionalFormatting sqref="B18:T25">
    <cfRule type="expression" dxfId="166" priority="5">
      <formula>MOD(ROW(),2)=0</formula>
    </cfRule>
  </conditionalFormatting>
  <conditionalFormatting sqref="B31:T39">
    <cfRule type="expression" dxfId="165" priority="4">
      <formula>MOD(ROW(),2)=0</formula>
    </cfRule>
  </conditionalFormatting>
  <conditionalFormatting sqref="D56:H58">
    <cfRule type="expression" dxfId="164" priority="3">
      <formula>MOD(ROW(),2)=0</formula>
    </cfRule>
  </conditionalFormatting>
  <conditionalFormatting sqref="D63:H65">
    <cfRule type="expression" dxfId="163" priority="2">
      <formula>MOD(ROW(),2)=0</formula>
    </cfRule>
  </conditionalFormatting>
  <conditionalFormatting sqref="C47:E51">
    <cfRule type="expression" dxfId="162" priority="1">
      <formula>MOD(ROW(),2)=0</formula>
    </cfRule>
  </conditionalFormatting>
  <pageMargins left="0.75" right="0.75" top="1" bottom="1" header="0.5" footer="0.5"/>
  <pageSetup paperSize="119"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122"/>
  <sheetViews>
    <sheetView showGridLines="0" topLeftCell="A21" zoomScaleNormal="100" workbookViewId="0">
      <selection activeCell="H35" sqref="H35"/>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42578125" customWidth="1"/>
    <col min="10" max="10" width="19.7109375" bestFit="1" customWidth="1"/>
    <col min="11" max="11" width="17" bestFit="1"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2019</v>
      </c>
      <c r="J4" s="27">
        <f>H4+1</f>
        <v>2020</v>
      </c>
      <c r="K4" s="20"/>
      <c r="L4" s="27">
        <f>J4+1</f>
        <v>2021</v>
      </c>
      <c r="M4" s="20"/>
      <c r="N4" s="60">
        <f>L4+1</f>
        <v>2022</v>
      </c>
      <c r="O4" s="21"/>
      <c r="P4" s="60">
        <f>N4+1</f>
        <v>2023</v>
      </c>
      <c r="Q4" s="21"/>
      <c r="R4" s="60">
        <f>P4+1</f>
        <v>2024</v>
      </c>
      <c r="T4" s="28" t="s">
        <v>33</v>
      </c>
    </row>
    <row r="5" spans="1:24" ht="5.0999999999999996" customHeight="1"/>
    <row r="6" spans="1:24">
      <c r="B6" t="s">
        <v>26</v>
      </c>
      <c r="H6" s="75">
        <v>200000000</v>
      </c>
      <c r="J6" s="75">
        <f>H6*C47</f>
        <v>198000000</v>
      </c>
      <c r="K6" s="121"/>
      <c r="L6" s="75">
        <f>J6*C48</f>
        <v>194040000</v>
      </c>
      <c r="M6" s="121"/>
      <c r="N6" s="75">
        <f>L6*C49</f>
        <v>188218800</v>
      </c>
      <c r="O6" s="75"/>
      <c r="P6" s="75">
        <f>N6*C50</f>
        <v>180690048</v>
      </c>
      <c r="Q6" s="75"/>
      <c r="R6" s="75">
        <f>P6*C51</f>
        <v>171655545.59999999</v>
      </c>
      <c r="T6" s="4">
        <f>(R6/J6)^(1/4)-1</f>
        <v>-3.506477179553269E-2</v>
      </c>
    </row>
    <row r="7" spans="1:24">
      <c r="B7" s="23" t="s">
        <v>22</v>
      </c>
      <c r="H7" s="71">
        <v>0</v>
      </c>
      <c r="J7" s="71">
        <v>0</v>
      </c>
      <c r="L7" s="71">
        <v>0</v>
      </c>
      <c r="N7" s="71">
        <v>0</v>
      </c>
      <c r="P7" s="71">
        <v>0</v>
      </c>
      <c r="R7" s="71">
        <v>0</v>
      </c>
      <c r="T7" s="4"/>
    </row>
    <row r="8" spans="1:24">
      <c r="B8" t="s">
        <v>27</v>
      </c>
      <c r="H8" s="115">
        <f>H6+H7</f>
        <v>200000000</v>
      </c>
      <c r="I8" s="73"/>
      <c r="J8" s="115">
        <f>J6+J7</f>
        <v>198000000</v>
      </c>
      <c r="K8" s="116"/>
      <c r="L8" s="115">
        <f>L6+L7</f>
        <v>194040000</v>
      </c>
      <c r="M8" s="116"/>
      <c r="N8" s="115">
        <f>N6+N7</f>
        <v>188218800</v>
      </c>
      <c r="O8" s="116"/>
      <c r="P8" s="115">
        <f>P6+P7</f>
        <v>180690048</v>
      </c>
      <c r="Q8" s="116"/>
      <c r="R8" s="115">
        <f>R6+R7</f>
        <v>171655545.59999999</v>
      </c>
      <c r="T8" s="4">
        <f>(R8/J8)^(1/4)-1</f>
        <v>-3.506477179553269E-2</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200000000</v>
      </c>
      <c r="J10" s="118">
        <f>SUM(J8:J9)</f>
        <v>198000000</v>
      </c>
      <c r="K10" s="119"/>
      <c r="L10" s="118">
        <f>SUM(L8:L9)</f>
        <v>194040000</v>
      </c>
      <c r="M10" s="119"/>
      <c r="N10" s="118">
        <f>SUM(N8:N9)</f>
        <v>188218800</v>
      </c>
      <c r="O10" s="119"/>
      <c r="P10" s="118">
        <f>SUM(P8:P9)</f>
        <v>180690048</v>
      </c>
      <c r="Q10" s="119"/>
      <c r="R10" s="118">
        <f>SUM(R8:R9)</f>
        <v>171655545.59999999</v>
      </c>
      <c r="T10" s="4">
        <f>(R10/J10)^(1/4)-1</f>
        <v>-3.506477179553269E-2</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200000000</v>
      </c>
      <c r="J13" s="120">
        <f>SUM(J10:J12)</f>
        <v>198000000</v>
      </c>
      <c r="K13" s="114"/>
      <c r="L13" s="120">
        <f>SUM(L10:L12)</f>
        <v>194040000</v>
      </c>
      <c r="M13" s="114"/>
      <c r="N13" s="120">
        <f>SUM(N10:N12)</f>
        <v>188218800</v>
      </c>
      <c r="O13" s="114"/>
      <c r="P13" s="120">
        <f>SUM(P10:P12)</f>
        <v>180690048</v>
      </c>
      <c r="Q13" s="114"/>
      <c r="R13" s="120">
        <f>SUM(R10:R12)</f>
        <v>171655545.59999999</v>
      </c>
      <c r="T13" s="4">
        <f>(R13/J13)^(1/4)-1</f>
        <v>-3.506477179553269E-2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f>H4</f>
        <v>2019</v>
      </c>
      <c r="J16" s="27">
        <f>H16+1</f>
        <v>2020</v>
      </c>
      <c r="K16" s="20"/>
      <c r="L16" s="27">
        <f>J16+1</f>
        <v>2021</v>
      </c>
      <c r="M16" s="20"/>
      <c r="N16" s="60">
        <f>L16+1</f>
        <v>2022</v>
      </c>
      <c r="O16" s="21"/>
      <c r="P16" s="60">
        <f>N16+1</f>
        <v>2023</v>
      </c>
      <c r="Q16" s="21"/>
      <c r="R16" s="60">
        <f>P16+1</f>
        <v>2024</v>
      </c>
      <c r="T16" s="28" t="s">
        <v>33</v>
      </c>
    </row>
    <row r="18" spans="1:20">
      <c r="B18" t="s">
        <v>26</v>
      </c>
      <c r="H18" s="75">
        <f>H6</f>
        <v>200000000</v>
      </c>
      <c r="J18" s="75">
        <f>H18*D47</f>
        <v>200000000</v>
      </c>
      <c r="K18" s="121"/>
      <c r="L18" s="75">
        <f>J18*D48</f>
        <v>200000000</v>
      </c>
      <c r="M18" s="121"/>
      <c r="N18" s="75">
        <f>L18*D49</f>
        <v>200000000</v>
      </c>
      <c r="O18" s="75"/>
      <c r="P18" s="75">
        <f>N18*D50</f>
        <v>200000000</v>
      </c>
      <c r="Q18" s="75"/>
      <c r="R18" s="75">
        <f>P18*D51</f>
        <v>200000000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200000000</v>
      </c>
      <c r="I20" s="116"/>
      <c r="J20" s="115">
        <f>J18+J19</f>
        <v>200000000</v>
      </c>
      <c r="K20" s="116"/>
      <c r="L20" s="115">
        <f>L18+L19</f>
        <v>200000000</v>
      </c>
      <c r="M20" s="116"/>
      <c r="N20" s="115">
        <f>N18+N19</f>
        <v>200000000</v>
      </c>
      <c r="O20" s="116"/>
      <c r="P20" s="115">
        <f>P18+P19</f>
        <v>200000000</v>
      </c>
      <c r="Q20" s="116"/>
      <c r="R20" s="115">
        <f>R18+R19</f>
        <v>200000000</v>
      </c>
      <c r="T20" s="4">
        <f>(R20/J20)^(1/4)-1</f>
        <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200000000</v>
      </c>
      <c r="I22" s="119"/>
      <c r="J22" s="118">
        <f>SUM(J20:J21)</f>
        <v>200000000</v>
      </c>
      <c r="K22" s="119"/>
      <c r="L22" s="118">
        <f>SUM(L20:L21)</f>
        <v>200000000</v>
      </c>
      <c r="M22" s="119"/>
      <c r="N22" s="118">
        <f>SUM(N20:N21)</f>
        <v>200000000</v>
      </c>
      <c r="O22" s="119"/>
      <c r="P22" s="118">
        <f>SUM(P20:P21)</f>
        <v>200000000</v>
      </c>
      <c r="Q22" s="119"/>
      <c r="R22" s="118">
        <f>SUM(R20:R21)</f>
        <v>200000000</v>
      </c>
      <c r="S22" s="2"/>
      <c r="T22" s="4">
        <f>(R22/J22)^(1/4)-1</f>
        <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200000000</v>
      </c>
      <c r="I25" s="114"/>
      <c r="J25" s="120">
        <f>SUM(J22:J24)</f>
        <v>200000000</v>
      </c>
      <c r="K25" s="114"/>
      <c r="L25" s="120">
        <f>SUM(L22:L24)</f>
        <v>200000000</v>
      </c>
      <c r="M25" s="114"/>
      <c r="N25" s="120">
        <f>SUM(N22:N24)</f>
        <v>200000000</v>
      </c>
      <c r="O25" s="114"/>
      <c r="P25" s="120">
        <f>SUM(P22:P24)</f>
        <v>200000000</v>
      </c>
      <c r="Q25" s="114"/>
      <c r="R25" s="120">
        <f>SUM(R22:R24)</f>
        <v>200000000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f>H4</f>
        <v>2019</v>
      </c>
      <c r="J29" s="27">
        <f>H29+1</f>
        <v>2020</v>
      </c>
      <c r="K29" s="20"/>
      <c r="L29" s="27">
        <f>J29+1</f>
        <v>2021</v>
      </c>
      <c r="M29" s="20"/>
      <c r="N29" s="60">
        <f>L29+1</f>
        <v>2022</v>
      </c>
      <c r="O29" s="21"/>
      <c r="P29" s="60">
        <f>N29+1</f>
        <v>2023</v>
      </c>
      <c r="Q29" s="21"/>
      <c r="R29" s="60">
        <f>P29+1</f>
        <v>2024</v>
      </c>
      <c r="T29" s="28" t="s">
        <v>33</v>
      </c>
    </row>
    <row r="31" spans="1:20">
      <c r="B31" t="s">
        <v>26</v>
      </c>
      <c r="H31" s="75">
        <f>H6</f>
        <v>200000000</v>
      </c>
      <c r="J31" s="75">
        <f>H31*E47</f>
        <v>260000000</v>
      </c>
      <c r="K31" s="121"/>
      <c r="L31" s="75">
        <f>J31*E48</f>
        <v>338000000</v>
      </c>
      <c r="M31" s="121"/>
      <c r="N31" s="75">
        <f>L31*E49</f>
        <v>439400000</v>
      </c>
      <c r="O31" s="75"/>
      <c r="P31" s="75">
        <f>N31*E50</f>
        <v>571220000</v>
      </c>
      <c r="Q31" s="75"/>
      <c r="R31" s="75">
        <f>P31*E51</f>
        <v>742586000</v>
      </c>
      <c r="T31" s="4">
        <f>(R31/J31)^(1/4)-1</f>
        <v>0.30000000000000004</v>
      </c>
    </row>
    <row r="32" spans="1:20">
      <c r="B32" s="23" t="s">
        <v>22</v>
      </c>
      <c r="H32" s="71">
        <f>H7</f>
        <v>0</v>
      </c>
      <c r="J32" s="71">
        <f>J7</f>
        <v>0</v>
      </c>
      <c r="L32" s="71">
        <f>L7</f>
        <v>0</v>
      </c>
      <c r="N32" s="71">
        <f>N7</f>
        <v>0</v>
      </c>
      <c r="P32" s="71">
        <f>P7</f>
        <v>0</v>
      </c>
      <c r="R32" s="71">
        <f>R7</f>
        <v>0</v>
      </c>
      <c r="T32" s="4"/>
    </row>
    <row r="33" spans="1:24">
      <c r="B33" t="s">
        <v>27</v>
      </c>
      <c r="H33" s="115">
        <f>H31+H32</f>
        <v>200000000</v>
      </c>
      <c r="I33" s="116"/>
      <c r="J33" s="115">
        <f>J31+J32</f>
        <v>260000000</v>
      </c>
      <c r="K33" s="116"/>
      <c r="L33" s="115">
        <f>L31+L32</f>
        <v>338000000</v>
      </c>
      <c r="M33" s="116"/>
      <c r="N33" s="115">
        <f>N31+N32</f>
        <v>439400000</v>
      </c>
      <c r="O33" s="116"/>
      <c r="P33" s="115">
        <f>P31+P32</f>
        <v>571220000</v>
      </c>
      <c r="Q33" s="116"/>
      <c r="R33" s="115">
        <f>R31+R32</f>
        <v>742586000</v>
      </c>
      <c r="T33" s="4">
        <f>(R33/J33)^(1/4)-1</f>
        <v>0.30000000000000004</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200000000</v>
      </c>
      <c r="I35" s="119"/>
      <c r="J35" s="118">
        <f>SUM(J33:J34)</f>
        <v>260000000</v>
      </c>
      <c r="K35" s="119"/>
      <c r="L35" s="118">
        <f>SUM(L33:L34)</f>
        <v>338000000</v>
      </c>
      <c r="M35" s="119"/>
      <c r="N35" s="118">
        <f>SUM(N33:N34)</f>
        <v>439400000</v>
      </c>
      <c r="O35" s="119"/>
      <c r="P35" s="118">
        <f>SUM(P33:P34)</f>
        <v>571220000</v>
      </c>
      <c r="Q35" s="119"/>
      <c r="R35" s="118">
        <f>SUM(R33:R34)</f>
        <v>742586000</v>
      </c>
      <c r="S35" s="2"/>
      <c r="T35" s="4">
        <f>(R35/J35)^(1/4)-1</f>
        <v>0.30000000000000004</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200000000</v>
      </c>
      <c r="I38" s="153"/>
      <c r="J38" s="120">
        <f>SUM(J35:J37)</f>
        <v>260000000</v>
      </c>
      <c r="K38" s="114"/>
      <c r="L38" s="120">
        <f>SUM(L35:L37)</f>
        <v>338000000</v>
      </c>
      <c r="M38" s="114"/>
      <c r="N38" s="120">
        <f>SUM(N35:N37)</f>
        <v>439400000</v>
      </c>
      <c r="O38" s="114"/>
      <c r="P38" s="120">
        <f>SUM(P35:P37)</f>
        <v>571220000</v>
      </c>
      <c r="Q38" s="114"/>
      <c r="R38" s="120">
        <f>SUM(R35:R37)</f>
        <v>742586000</v>
      </c>
      <c r="T38" s="4">
        <f>(R38/J38)^(1/4)-1</f>
        <v>0.30000000000000004</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ht="15.75">
      <c r="B46" s="88" t="s">
        <v>32</v>
      </c>
      <c r="C46" s="89" t="s">
        <v>29</v>
      </c>
      <c r="D46" s="89" t="s">
        <v>31</v>
      </c>
      <c r="E46" s="152" t="s">
        <v>188</v>
      </c>
      <c r="H46" s="294" t="s">
        <v>181</v>
      </c>
      <c r="I46" s="294"/>
      <c r="J46" s="294"/>
      <c r="K46" s="135"/>
      <c r="L46" s="135"/>
      <c r="M46" s="2" t="s">
        <v>57</v>
      </c>
      <c r="P46" s="2"/>
      <c r="R46" s="147" t="s">
        <v>136</v>
      </c>
      <c r="X46" s="127"/>
    </row>
    <row r="47" spans="1:24" ht="15.75">
      <c r="B47" s="90">
        <v>2020</v>
      </c>
      <c r="C47" s="88">
        <v>0.99</v>
      </c>
      <c r="D47" s="88">
        <v>1</v>
      </c>
      <c r="E47" s="88">
        <v>1.3</v>
      </c>
      <c r="H47" s="156" t="s">
        <v>15</v>
      </c>
      <c r="I47" s="156"/>
      <c r="J47" s="161">
        <v>392293554</v>
      </c>
      <c r="K47" s="140"/>
      <c r="L47" s="221"/>
      <c r="M47" t="s">
        <v>55</v>
      </c>
      <c r="P47" s="2"/>
      <c r="R47" s="147" t="s">
        <v>137</v>
      </c>
      <c r="X47" s="127"/>
    </row>
    <row r="48" spans="1:24">
      <c r="B48" s="90">
        <f>B47+1</f>
        <v>2021</v>
      </c>
      <c r="C48" s="88">
        <v>0.98</v>
      </c>
      <c r="D48" s="88">
        <v>1</v>
      </c>
      <c r="E48" s="88">
        <v>1.3</v>
      </c>
      <c r="H48" s="156" t="s">
        <v>99</v>
      </c>
      <c r="I48" s="156"/>
      <c r="J48" s="157">
        <v>1019000000</v>
      </c>
      <c r="L48" s="163"/>
      <c r="M48" t="s">
        <v>56</v>
      </c>
      <c r="P48" s="2"/>
      <c r="X48" s="127"/>
    </row>
    <row r="49" spans="2:24">
      <c r="B49" s="90">
        <f>B48+1</f>
        <v>2022</v>
      </c>
      <c r="C49" s="88">
        <v>0.97</v>
      </c>
      <c r="D49" s="88">
        <v>1</v>
      </c>
      <c r="E49" s="88">
        <v>1.3</v>
      </c>
      <c r="H49" s="156" t="s">
        <v>14</v>
      </c>
      <c r="I49" s="156"/>
      <c r="J49" s="157">
        <v>8561000000</v>
      </c>
      <c r="M49" t="s">
        <v>58</v>
      </c>
      <c r="P49" s="2"/>
      <c r="X49" s="127"/>
    </row>
    <row r="50" spans="2:24">
      <c r="B50" s="90">
        <f>B49+1</f>
        <v>2023</v>
      </c>
      <c r="C50" s="88">
        <v>0.96</v>
      </c>
      <c r="D50" s="88">
        <v>1</v>
      </c>
      <c r="E50" s="88">
        <v>1.3</v>
      </c>
      <c r="H50" s="155" t="s">
        <v>16</v>
      </c>
      <c r="I50" s="156"/>
      <c r="J50" s="158">
        <v>0.02</v>
      </c>
      <c r="M50" t="s">
        <v>59</v>
      </c>
      <c r="P50" s="2"/>
      <c r="X50" s="127"/>
    </row>
    <row r="51" spans="2:24">
      <c r="B51" s="90">
        <f>B50+1</f>
        <v>2024</v>
      </c>
      <c r="C51" s="88">
        <v>0.95</v>
      </c>
      <c r="D51" s="88">
        <v>1</v>
      </c>
      <c r="E51" s="88">
        <v>1.3</v>
      </c>
      <c r="H51" s="156" t="s">
        <v>2</v>
      </c>
      <c r="I51" s="156"/>
      <c r="J51" s="158">
        <v>0</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f>((NPV($C56,$J$13:$P$13,$R$13+$R$13*(1+$J$50)/($C56-$J$50)))-$J$49+J48)/$J$47</f>
        <v>-12.254129647390476</v>
      </c>
      <c r="E56" s="93"/>
      <c r="F56" s="94">
        <f>((NPV($C56,$J$25:$P$25,$R$25+$R$25*(1+$J$50)/($C56-$J$50)))-$J$49+J48)/$J$47</f>
        <v>-11.291225862634548</v>
      </c>
      <c r="G56" s="93"/>
      <c r="H56" s="123">
        <f>((NPV($C56,$J$38:$P$38,$R$38+$R$38*(1+$J$50)/($C56-$J$50)))-$J$49+J48)/$J$47</f>
        <v>7.2757832578776256</v>
      </c>
      <c r="I56" s="10"/>
      <c r="J56" s="11"/>
      <c r="M56" s="135" t="s">
        <v>186</v>
      </c>
      <c r="Q56" s="87"/>
      <c r="R56" s="91"/>
      <c r="S56" s="87"/>
      <c r="T56" s="91"/>
    </row>
    <row r="57" spans="2:24">
      <c r="B57" s="84" t="s">
        <v>28</v>
      </c>
      <c r="C57" s="4">
        <v>0.11</v>
      </c>
      <c r="D57" s="96">
        <f>((NPV($C57,$J$13:$P$13,$R$13+$R$13*(1+$J$50)/($C57-$J$50)))-$J$49+J48)/$J$47</f>
        <v>-14.512339825712701</v>
      </c>
      <c r="E57" s="97"/>
      <c r="F57" s="98">
        <f>((NPV($C57,$J$25:$P$25,$R$25+$R$25*(1+$J$50)/($C57-$J$50)))-$J$49+J48)/$J$47</f>
        <v>-13.912194572717112</v>
      </c>
      <c r="G57" s="97"/>
      <c r="H57" s="99">
        <f>((NPV($C57,$J$38:$P$38,$R$38+$R$38*(1+$J$50)/($C57-$J$50)))-$J$49+J48)/$J$47</f>
        <v>-2.2960142561922372</v>
      </c>
      <c r="I57" s="44"/>
      <c r="J57" s="43"/>
      <c r="Q57" s="87"/>
      <c r="R57" s="91"/>
      <c r="S57" s="87"/>
      <c r="T57" s="91"/>
    </row>
    <row r="58" spans="2:24">
      <c r="B58" s="174" t="s">
        <v>407</v>
      </c>
      <c r="C58" s="4">
        <v>0.15</v>
      </c>
      <c r="D58" s="100">
        <f>((NPV($C58,$J$13:$P$13,$R$13+$R$13*(1+$J$50)/($C58-$J$50)))-$J$49+J48)/$J$47</f>
        <v>-15.909204444190085</v>
      </c>
      <c r="E58" s="101"/>
      <c r="F58" s="102">
        <f>((NPV($C58,$J$25:$P$25,$R$25+$R$25*(1+$J$50)/($C58-$J$50)))-$J$49+J48)/$J$47</f>
        <v>-15.527616723526233</v>
      </c>
      <c r="G58" s="101"/>
      <c r="H58" s="103">
        <f>((NPV($C58,$J$38:$P$38,$R$38+$R$38*(1+$J$50)/($C58-$J$50)))-$J$49+J48)/$J$47</f>
        <v>-8.1032635906557715</v>
      </c>
      <c r="I58" s="44"/>
      <c r="J58" s="43"/>
      <c r="Q58" s="87"/>
      <c r="R58" s="91"/>
      <c r="S58" s="87"/>
      <c r="T58" s="91"/>
    </row>
    <row r="59" spans="2:24">
      <c r="C59" s="4"/>
      <c r="D59" s="23"/>
      <c r="I59" s="23"/>
      <c r="J59" s="136"/>
      <c r="Q59" s="23"/>
      <c r="R59" s="23"/>
      <c r="S59" s="23"/>
      <c r="T59" s="23"/>
    </row>
    <row r="60" spans="2:24">
      <c r="D60" s="2"/>
      <c r="M60" s="140"/>
      <c r="N60" s="23"/>
      <c r="O60" s="23"/>
      <c r="P60" s="107"/>
      <c r="Q60" s="23"/>
      <c r="R60" s="190"/>
      <c r="S60" s="23"/>
      <c r="T60" s="23"/>
    </row>
    <row r="61" spans="2:24">
      <c r="D61" s="30"/>
      <c r="E61" s="30"/>
      <c r="F61" s="109" t="s">
        <v>6</v>
      </c>
      <c r="G61" s="30"/>
      <c r="H61" s="30"/>
      <c r="I61" s="104"/>
      <c r="J61" s="137"/>
      <c r="L61" s="23"/>
      <c r="M61" s="200"/>
      <c r="N61" s="128"/>
      <c r="O61" s="23"/>
      <c r="P61" s="104"/>
      <c r="Q61" s="104"/>
      <c r="R61" s="104"/>
      <c r="S61" s="104"/>
      <c r="T61" s="104"/>
    </row>
    <row r="62" spans="2:24">
      <c r="D62" s="85" t="s">
        <v>29</v>
      </c>
      <c r="E62" s="85"/>
      <c r="F62" s="166" t="s">
        <v>31</v>
      </c>
      <c r="G62" s="85"/>
      <c r="H62" s="85" t="s">
        <v>188</v>
      </c>
      <c r="I62" s="62"/>
      <c r="J62" s="61"/>
      <c r="L62" s="23"/>
      <c r="M62" s="160"/>
      <c r="N62" s="129"/>
      <c r="O62" s="23"/>
      <c r="P62" s="87"/>
      <c r="Q62" s="87"/>
      <c r="R62" s="87"/>
      <c r="S62" s="87"/>
      <c r="T62" s="87"/>
    </row>
    <row r="63" spans="2:24">
      <c r="B63" s="84" t="s">
        <v>8</v>
      </c>
      <c r="C63" s="4">
        <f>C56</f>
        <v>0.08</v>
      </c>
      <c r="D63" s="92">
        <f>((NPV($C63,$J$13:$P$13,$R$13+$R$13*(1+$J$50)/($C63-$J$50)))-$J$49+J48)</f>
        <v>-4807216070.5515766</v>
      </c>
      <c r="E63" s="93"/>
      <c r="F63" s="94">
        <f>((NPV($C63,$J$25:$P$25,$R$25+$R$25*(1+$J$50)/($C63-$J$50)))-$J$49+J48)</f>
        <v>-4429475122.6696224</v>
      </c>
      <c r="G63" s="93"/>
      <c r="H63" s="95">
        <f>((NPV($C63,$J$38:$P$38,$R$38+$R$38*(1+$J$50)/($C63-$J$50)))-$J$49+J48)</f>
        <v>2854242872.3665123</v>
      </c>
      <c r="I63" s="17"/>
      <c r="J63" s="18"/>
      <c r="L63" s="23"/>
      <c r="M63" s="167"/>
      <c r="N63" s="23"/>
      <c r="O63" s="23"/>
      <c r="P63" s="98"/>
      <c r="Q63" s="97"/>
      <c r="R63" s="98"/>
      <c r="S63" s="97"/>
      <c r="T63" s="98"/>
    </row>
    <row r="64" spans="2:24">
      <c r="B64" s="84" t="s">
        <v>28</v>
      </c>
      <c r="C64" s="4">
        <f>C57</f>
        <v>0.11</v>
      </c>
      <c r="D64" s="96">
        <f>((NPV($C64,$J$13:$P$13,$R$13+$R$13*(1+$J$50)/($C64-$J$50)))-$J$49+J48)</f>
        <v>-5693097367.0845757</v>
      </c>
      <c r="E64" s="97"/>
      <c r="F64" s="98">
        <f>((NPV($C64,$J$25:$P$25,$R$25+$R$25*(1+$J$50)/($C64-$J$50)))-$J$49+J48)</f>
        <v>-5457664252.8707075</v>
      </c>
      <c r="G64" s="97"/>
      <c r="H64" s="122">
        <f>((NPV($C64,$J$38:$P$38,$R$38+$R$38*(1+$J$50)/($C64-$J$50)))-$J$49+J48)</f>
        <v>-900711592.5963192</v>
      </c>
      <c r="I64" s="17"/>
      <c r="J64" s="18"/>
      <c r="L64" s="23"/>
      <c r="M64" s="167"/>
      <c r="N64" s="23"/>
      <c r="O64" s="23"/>
      <c r="P64" s="98"/>
      <c r="Q64" s="97"/>
      <c r="R64" s="98"/>
      <c r="S64" s="97"/>
      <c r="T64" s="98"/>
    </row>
    <row r="65" spans="1:20">
      <c r="B65" s="174" t="s">
        <v>407</v>
      </c>
      <c r="C65" s="4">
        <f>C58</f>
        <v>0.15</v>
      </c>
      <c r="D65" s="100">
        <f>((NPV($C65,$J$13:$P$13,$R$13+$R$13*(1+$J$50)/($C65-$J$50)))-$J$49+J48)</f>
        <v>-6241078352.7239227</v>
      </c>
      <c r="E65" s="101"/>
      <c r="F65" s="102">
        <f>((NPV($C65,$J$25:$P$25,$R$25+$R$25*(1+$J$50)/($C65-$J$50)))-$J$49+J48)</f>
        <v>-6091383949.6219416</v>
      </c>
      <c r="G65" s="101"/>
      <c r="H65" s="103">
        <f>((NPV($C65,$J$38:$P$38,$R$38+$R$38*(1+$J$50)/($C65-$J$50)))-$J$49+J48)</f>
        <v>-3178858072.9771538</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$8561000000.0mm as of 5/16/08.</v>
      </c>
      <c r="F69" s="87"/>
      <c r="G69" s="87"/>
      <c r="H69" s="87"/>
      <c r="I69" s="87"/>
      <c r="J69" s="87"/>
      <c r="L69" s="82"/>
      <c r="M69" s="165"/>
      <c r="N69" s="82"/>
    </row>
    <row r="70" spans="1:20">
      <c r="A70" s="1" t="str">
        <f>"(2)  Assumes outstanding diluted shares of "&amp;TEXT(J47,"0.000")&amp;" million."</f>
        <v>(2)  Assumes outstanding diluted shares of 392293554.000 million.</v>
      </c>
      <c r="C70" s="8"/>
      <c r="D70" s="4"/>
      <c r="E70" s="23"/>
      <c r="F70" s="91"/>
      <c r="G70" s="87"/>
      <c r="H70" s="91"/>
      <c r="I70" s="87"/>
      <c r="J70" s="91"/>
      <c r="M70" s="146"/>
    </row>
    <row r="71" spans="1:20">
      <c r="B71" s="2"/>
      <c r="C71" s="8"/>
      <c r="D71" s="4"/>
      <c r="E71" s="23"/>
      <c r="F71" s="91"/>
      <c r="G71" s="87"/>
      <c r="H71" s="91"/>
      <c r="I71" s="87"/>
      <c r="J71" s="91"/>
      <c r="M71" s="146"/>
    </row>
    <row r="72" spans="1:20">
      <c r="C72" s="8"/>
      <c r="D72" s="4"/>
      <c r="E72" s="23"/>
      <c r="F72" s="91"/>
      <c r="G72" s="87"/>
      <c r="H72" s="91"/>
      <c r="I72" s="87"/>
      <c r="J72" s="91"/>
      <c r="M72" s="146"/>
    </row>
    <row r="73" spans="1:20">
      <c r="C73" s="8"/>
      <c r="D73" s="4"/>
      <c r="E73" s="23"/>
      <c r="F73" s="91"/>
      <c r="G73" s="87"/>
      <c r="H73" s="91"/>
      <c r="I73" s="87"/>
      <c r="J73" s="91"/>
      <c r="M73" s="146"/>
    </row>
    <row r="74" spans="1:20" ht="15.75">
      <c r="B74" s="147"/>
      <c r="C74" s="8"/>
      <c r="D74" s="4"/>
      <c r="E74" s="23"/>
      <c r="F74" s="91"/>
      <c r="G74" s="87"/>
      <c r="H74" s="91"/>
      <c r="I74" s="87"/>
      <c r="J74" s="91"/>
      <c r="M74" s="146"/>
    </row>
    <row r="75" spans="1:20">
      <c r="E75" s="23"/>
      <c r="F75" s="91"/>
      <c r="G75" s="87"/>
      <c r="H75" s="91"/>
      <c r="I75" s="87"/>
      <c r="J75" s="91"/>
      <c r="M75" s="146"/>
    </row>
    <row r="76" spans="1:20" ht="12.75" customHeight="1">
      <c r="E76" s="177"/>
      <c r="F76" s="191"/>
      <c r="G76" s="87"/>
      <c r="H76" s="91"/>
      <c r="I76" s="87"/>
      <c r="J76" s="91"/>
      <c r="M76" s="146"/>
      <c r="P76" s="79"/>
    </row>
    <row r="77" spans="1:20" ht="12.75" customHeight="1">
      <c r="E77" s="205"/>
      <c r="F77" s="160"/>
      <c r="G77" s="23"/>
      <c r="H77" s="23"/>
      <c r="I77" s="23"/>
      <c r="J77" s="23"/>
      <c r="M77" s="146"/>
    </row>
    <row r="78" spans="1:20" ht="12.75" customHeight="1">
      <c r="E78" s="135"/>
      <c r="F78" s="160"/>
      <c r="G78" s="87"/>
      <c r="H78" s="87"/>
      <c r="I78" s="87"/>
      <c r="J78" s="87"/>
      <c r="M78" s="146"/>
    </row>
    <row r="79" spans="1:20" ht="12.75" customHeight="1">
      <c r="F79" s="160"/>
      <c r="G79" s="87"/>
      <c r="H79" s="87"/>
      <c r="I79" s="87"/>
      <c r="J79" s="87"/>
      <c r="M79" s="146"/>
    </row>
    <row r="80" spans="1:20" ht="12.75" customHeight="1">
      <c r="F80" s="160"/>
      <c r="G80" s="87"/>
      <c r="H80" s="87"/>
      <c r="I80" s="87"/>
      <c r="J80" s="87"/>
      <c r="M80" s="146"/>
    </row>
    <row r="81" spans="5:13" ht="12.75" customHeight="1">
      <c r="E81" s="135"/>
      <c r="F81" s="160"/>
      <c r="G81" s="87"/>
      <c r="H81" s="87"/>
      <c r="I81" s="87"/>
      <c r="J81" s="87"/>
      <c r="M81" s="146"/>
    </row>
    <row r="82" spans="5:13" ht="12.75" customHeight="1">
      <c r="F82" s="160"/>
      <c r="G82" s="87"/>
      <c r="H82" s="87"/>
      <c r="I82" s="87"/>
      <c r="J82" s="87"/>
      <c r="M82" s="146"/>
    </row>
    <row r="83" spans="5:13" ht="12.75" customHeight="1">
      <c r="E83" s="135"/>
      <c r="F83" s="160"/>
      <c r="G83" s="87"/>
      <c r="H83" s="87"/>
      <c r="I83" s="87"/>
      <c r="J83" s="87"/>
      <c r="M83" s="146"/>
    </row>
    <row r="84" spans="5:13" ht="12.75" customHeight="1">
      <c r="F84" s="160"/>
      <c r="G84" s="87"/>
      <c r="H84" s="87"/>
      <c r="I84" s="87"/>
      <c r="J84" s="87"/>
      <c r="M84" s="146"/>
    </row>
    <row r="85" spans="5:13" ht="12.75" customHeight="1">
      <c r="F85" s="160"/>
      <c r="G85" s="87"/>
      <c r="H85" s="87"/>
      <c r="I85" s="87"/>
      <c r="J85" s="87"/>
      <c r="M85" s="146"/>
    </row>
    <row r="86" spans="5:13" ht="12.75" customHeight="1">
      <c r="E86" s="23"/>
      <c r="F86" s="141"/>
      <c r="G86" s="97"/>
      <c r="H86" s="98"/>
      <c r="I86" s="97"/>
      <c r="J86" s="98"/>
      <c r="M86" s="146"/>
    </row>
    <row r="87" spans="5:13" ht="12.75" customHeight="1">
      <c r="E87" s="23"/>
      <c r="F87" s="141"/>
      <c r="G87" s="97"/>
      <c r="H87" s="98"/>
      <c r="I87" s="97"/>
      <c r="J87" s="98"/>
      <c r="M87" s="146"/>
    </row>
    <row r="88" spans="5:13" ht="12.75" customHeight="1">
      <c r="E88" s="23"/>
      <c r="F88" s="141"/>
      <c r="G88" s="97"/>
      <c r="H88" s="98"/>
      <c r="I88" s="97"/>
      <c r="J88" s="98"/>
      <c r="M88" s="146"/>
    </row>
    <row r="89" spans="5:13" ht="12.75" customHeight="1">
      <c r="F89" s="142"/>
      <c r="J89" s="142"/>
      <c r="M89" s="146"/>
    </row>
    <row r="90" spans="5:13" ht="12.75" customHeight="1">
      <c r="F90" s="146"/>
      <c r="J90" s="142"/>
      <c r="M90" s="146"/>
    </row>
    <row r="91" spans="5:13" ht="12.75" customHeight="1">
      <c r="F91" s="146"/>
      <c r="J91" s="146"/>
      <c r="M91" s="146"/>
    </row>
    <row r="92" spans="5:13" ht="12.75" customHeight="1">
      <c r="F92" s="146"/>
      <c r="J92" s="146"/>
      <c r="M92" s="146"/>
    </row>
    <row r="93" spans="5:13" ht="12.75" customHeight="1">
      <c r="F93" s="146"/>
      <c r="J93" s="146"/>
      <c r="M93" s="146"/>
    </row>
    <row r="94" spans="5:13" ht="12.75" customHeight="1">
      <c r="F94" s="146"/>
      <c r="J94" s="146"/>
    </row>
    <row r="95" spans="5:13" ht="12.75" customHeight="1">
      <c r="F95" s="146"/>
      <c r="J95" s="146"/>
    </row>
    <row r="96" spans="5:13">
      <c r="F96" s="146"/>
    </row>
    <row r="97" spans="6:6">
      <c r="F97" s="146"/>
    </row>
    <row r="98" spans="6:6">
      <c r="F98" s="146"/>
    </row>
    <row r="99" spans="6:6">
      <c r="F99" s="146"/>
    </row>
    <row r="100" spans="6:6">
      <c r="F100" s="146"/>
    </row>
    <row r="101" spans="6:6">
      <c r="F101" s="146"/>
    </row>
    <row r="102" spans="6:6">
      <c r="F102" s="146"/>
    </row>
    <row r="103" spans="6:6">
      <c r="F103" s="146"/>
    </row>
    <row r="104" spans="6:6">
      <c r="F104" s="146"/>
    </row>
    <row r="105" spans="6:6">
      <c r="F105" s="146"/>
    </row>
    <row r="106" spans="6:6">
      <c r="F106" s="146"/>
    </row>
    <row r="107" spans="6:6">
      <c r="F107" s="146"/>
    </row>
    <row r="108" spans="6:6">
      <c r="F108" s="146"/>
    </row>
    <row r="109" spans="6:6">
      <c r="F109" s="146"/>
    </row>
    <row r="110" spans="6:6">
      <c r="F110" s="146"/>
    </row>
    <row r="111" spans="6:6">
      <c r="F111" s="146"/>
    </row>
    <row r="112" spans="6:6">
      <c r="F112" s="146"/>
    </row>
    <row r="113" spans="2:6">
      <c r="F113" s="146"/>
    </row>
    <row r="114" spans="2:6">
      <c r="F114" s="146"/>
    </row>
    <row r="115" spans="2:6">
      <c r="F115" s="146"/>
    </row>
    <row r="122" spans="2:6">
      <c r="B122" s="182"/>
    </row>
  </sheetData>
  <mergeCells count="1">
    <mergeCell ref="H46:J46"/>
  </mergeCells>
  <conditionalFormatting sqref="B6:T13">
    <cfRule type="expression" dxfId="161" priority="6">
      <formula>MOD(ROW(),2)=0</formula>
    </cfRule>
  </conditionalFormatting>
  <conditionalFormatting sqref="B18:T25">
    <cfRule type="expression" dxfId="160" priority="5">
      <formula>MOD(ROW(),2)=0</formula>
    </cfRule>
  </conditionalFormatting>
  <conditionalFormatting sqref="B31:T39">
    <cfRule type="expression" dxfId="159" priority="4">
      <formula>MOD(ROW(),2)=0</formula>
    </cfRule>
  </conditionalFormatting>
  <conditionalFormatting sqref="D56:H58">
    <cfRule type="expression" dxfId="158" priority="3">
      <formula>MOD(ROW(),2)=0</formula>
    </cfRule>
  </conditionalFormatting>
  <conditionalFormatting sqref="D63:H65">
    <cfRule type="expression" dxfId="157" priority="2">
      <formula>MOD(ROW(),2)=0</formula>
    </cfRule>
  </conditionalFormatting>
  <conditionalFormatting sqref="C47:E51">
    <cfRule type="expression" dxfId="156" priority="1">
      <formula>MOD(ROW(),2)=0</formula>
    </cfRule>
  </conditionalFormatting>
  <pageMargins left="0.75" right="0.75" top="1" bottom="1" header="0.5" footer="0.5"/>
  <pageSetup paperSize="119"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122"/>
  <sheetViews>
    <sheetView showGridLines="0" topLeftCell="A33" zoomScaleNormal="100" workbookViewId="0">
      <selection activeCell="R66" sqref="R66"/>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 bestFit="1"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2019</v>
      </c>
      <c r="J4" s="27">
        <f>H4+1</f>
        <v>2020</v>
      </c>
      <c r="K4" s="20"/>
      <c r="L4" s="27">
        <f>J4+1</f>
        <v>2021</v>
      </c>
      <c r="M4" s="20"/>
      <c r="N4" s="60">
        <f>L4+1</f>
        <v>2022</v>
      </c>
      <c r="O4" s="21"/>
      <c r="P4" s="60">
        <f>N4+1</f>
        <v>2023</v>
      </c>
      <c r="Q4" s="21"/>
      <c r="R4" s="60">
        <f>P4+1</f>
        <v>2024</v>
      </c>
      <c r="T4" s="28" t="s">
        <v>33</v>
      </c>
    </row>
    <row r="5" spans="1:24" ht="5.0999999999999996" customHeight="1"/>
    <row r="6" spans="1:24">
      <c r="B6" t="s">
        <v>26</v>
      </c>
      <c r="H6" s="75">
        <v>200000000</v>
      </c>
      <c r="J6" s="75">
        <f>H6*C47</f>
        <v>198000000</v>
      </c>
      <c r="K6" s="121"/>
      <c r="L6" s="75">
        <f>J6*C48</f>
        <v>194040000</v>
      </c>
      <c r="M6" s="121"/>
      <c r="N6" s="75">
        <f>L6*C49</f>
        <v>188218800</v>
      </c>
      <c r="O6" s="75"/>
      <c r="P6" s="75">
        <f>N6*C50</f>
        <v>180690048</v>
      </c>
      <c r="Q6" s="75"/>
      <c r="R6" s="75">
        <f>P6*C51</f>
        <v>171655545.59999999</v>
      </c>
      <c r="T6" s="4">
        <f>(R6/J6)^(1/4)-1</f>
        <v>-3.506477179553269E-2</v>
      </c>
    </row>
    <row r="7" spans="1:24">
      <c r="B7" s="23" t="s">
        <v>22</v>
      </c>
      <c r="H7" s="71">
        <v>0</v>
      </c>
      <c r="J7" s="71">
        <v>0</v>
      </c>
      <c r="L7" s="71">
        <v>0</v>
      </c>
      <c r="N7" s="71">
        <v>0</v>
      </c>
      <c r="P7" s="71">
        <v>0</v>
      </c>
      <c r="R7" s="71">
        <v>0</v>
      </c>
      <c r="T7" s="4"/>
    </row>
    <row r="8" spans="1:24">
      <c r="B8" t="s">
        <v>27</v>
      </c>
      <c r="H8" s="115">
        <f>H6+H7</f>
        <v>200000000</v>
      </c>
      <c r="I8" s="73"/>
      <c r="J8" s="115">
        <f>J6+J7</f>
        <v>198000000</v>
      </c>
      <c r="K8" s="116"/>
      <c r="L8" s="115">
        <f>L6+L7</f>
        <v>194040000</v>
      </c>
      <c r="M8" s="116"/>
      <c r="N8" s="115">
        <f>N6+N7</f>
        <v>188218800</v>
      </c>
      <c r="O8" s="116"/>
      <c r="P8" s="115">
        <f>P6+P7</f>
        <v>180690048</v>
      </c>
      <c r="Q8" s="116"/>
      <c r="R8" s="115">
        <f>R6+R7</f>
        <v>171655545.59999999</v>
      </c>
      <c r="T8" s="4">
        <f>(R8/J8)^(1/4)-1</f>
        <v>-3.506477179553269E-2</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200000000</v>
      </c>
      <c r="J10" s="118">
        <f>SUM(J8:J9)</f>
        <v>198000000</v>
      </c>
      <c r="K10" s="119"/>
      <c r="L10" s="118">
        <f>SUM(L8:L9)</f>
        <v>194040000</v>
      </c>
      <c r="M10" s="119"/>
      <c r="N10" s="118">
        <f>SUM(N8:N9)</f>
        <v>188218800</v>
      </c>
      <c r="O10" s="119"/>
      <c r="P10" s="118">
        <f>SUM(P8:P9)</f>
        <v>180690048</v>
      </c>
      <c r="Q10" s="119"/>
      <c r="R10" s="118">
        <f>SUM(R8:R9)</f>
        <v>171655545.59999999</v>
      </c>
      <c r="T10" s="4">
        <f>(R10/J10)^(1/4)-1</f>
        <v>-3.506477179553269E-2</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v>-100000000</v>
      </c>
      <c r="K12" s="112"/>
      <c r="L12" s="112">
        <f>J12</f>
        <v>-100000000</v>
      </c>
      <c r="M12" s="112"/>
      <c r="N12" s="112">
        <f>L12</f>
        <v>-100000000</v>
      </c>
      <c r="O12" s="112"/>
      <c r="P12" s="112">
        <f>N12</f>
        <v>-100000000</v>
      </c>
      <c r="Q12" s="112"/>
      <c r="R12" s="112">
        <f>P12</f>
        <v>-100000000</v>
      </c>
      <c r="X12" s="81"/>
    </row>
    <row r="13" spans="1:24">
      <c r="B13" s="2" t="s">
        <v>19</v>
      </c>
      <c r="H13" s="120">
        <f>SUM(H10:H12)</f>
        <v>200000000</v>
      </c>
      <c r="J13" s="120">
        <f>SUM(J10:J12)</f>
        <v>98000000</v>
      </c>
      <c r="K13" s="114"/>
      <c r="L13" s="120">
        <f>SUM(L10:L12)</f>
        <v>94040000</v>
      </c>
      <c r="M13" s="114"/>
      <c r="N13" s="120">
        <f>SUM(N10:N12)</f>
        <v>88218800</v>
      </c>
      <c r="O13" s="114"/>
      <c r="P13" s="120">
        <f>SUM(P10:P12)</f>
        <v>80690048</v>
      </c>
      <c r="Q13" s="114"/>
      <c r="R13" s="120">
        <f>SUM(R10:R12)</f>
        <v>71655545.599999994</v>
      </c>
      <c r="T13" s="4">
        <f>(R13/J13)^(1/4)-1</f>
        <v>-7.5289193738363291E-2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f>H4</f>
        <v>2019</v>
      </c>
      <c r="J16" s="27">
        <f>H16+1</f>
        <v>2020</v>
      </c>
      <c r="K16" s="20"/>
      <c r="L16" s="27">
        <f>J16+1</f>
        <v>2021</v>
      </c>
      <c r="M16" s="20"/>
      <c r="N16" s="60">
        <f>L16+1</f>
        <v>2022</v>
      </c>
      <c r="O16" s="21"/>
      <c r="P16" s="60">
        <f>N16+1</f>
        <v>2023</v>
      </c>
      <c r="Q16" s="21"/>
      <c r="R16" s="60">
        <f>P16+1</f>
        <v>2024</v>
      </c>
      <c r="T16" s="28" t="s">
        <v>33</v>
      </c>
    </row>
    <row r="18" spans="1:20">
      <c r="B18" t="s">
        <v>26</v>
      </c>
      <c r="H18" s="75">
        <f>H6</f>
        <v>200000000</v>
      </c>
      <c r="J18" s="75">
        <f>H18*D47</f>
        <v>200000000</v>
      </c>
      <c r="K18" s="121"/>
      <c r="L18" s="75">
        <f>J18*D48</f>
        <v>200000000</v>
      </c>
      <c r="M18" s="121"/>
      <c r="N18" s="75">
        <f>L18*D49</f>
        <v>200000000</v>
      </c>
      <c r="O18" s="75"/>
      <c r="P18" s="75">
        <f>N18*D50</f>
        <v>200000000</v>
      </c>
      <c r="Q18" s="75"/>
      <c r="R18" s="75">
        <f>P18*D51</f>
        <v>200000000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200000000</v>
      </c>
      <c r="I20" s="116"/>
      <c r="J20" s="115">
        <f>J18+J19</f>
        <v>200000000</v>
      </c>
      <c r="K20" s="116"/>
      <c r="L20" s="115">
        <f>L18+L19</f>
        <v>200000000</v>
      </c>
      <c r="M20" s="116"/>
      <c r="N20" s="115">
        <f>N18+N19</f>
        <v>200000000</v>
      </c>
      <c r="O20" s="116"/>
      <c r="P20" s="115">
        <f>P18+P19</f>
        <v>200000000</v>
      </c>
      <c r="Q20" s="116"/>
      <c r="R20" s="115">
        <f>R18+R19</f>
        <v>200000000</v>
      </c>
      <c r="T20" s="4">
        <f>(R20/J20)^(1/4)-1</f>
        <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200000000</v>
      </c>
      <c r="I22" s="119"/>
      <c r="J22" s="118">
        <f>SUM(J20:J21)</f>
        <v>200000000</v>
      </c>
      <c r="K22" s="119"/>
      <c r="L22" s="118">
        <f>SUM(L20:L21)</f>
        <v>200000000</v>
      </c>
      <c r="M22" s="119"/>
      <c r="N22" s="118">
        <f>SUM(N20:N21)</f>
        <v>200000000</v>
      </c>
      <c r="O22" s="119"/>
      <c r="P22" s="118">
        <f>SUM(P20:P21)</f>
        <v>200000000</v>
      </c>
      <c r="Q22" s="119"/>
      <c r="R22" s="118">
        <f>SUM(R20:R21)</f>
        <v>200000000</v>
      </c>
      <c r="S22" s="2"/>
      <c r="T22" s="4">
        <f>(R22/J22)^(1/4)-1</f>
        <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-100000000</v>
      </c>
      <c r="K24" s="112"/>
      <c r="L24" s="112">
        <f>L12</f>
        <v>-100000000</v>
      </c>
      <c r="M24" s="112"/>
      <c r="N24" s="112">
        <f>N12</f>
        <v>-100000000</v>
      </c>
      <c r="O24" s="112"/>
      <c r="P24" s="112">
        <f>P12</f>
        <v>-100000000</v>
      </c>
      <c r="Q24" s="112"/>
      <c r="R24" s="112">
        <f>R12</f>
        <v>-100000000</v>
      </c>
    </row>
    <row r="25" spans="1:20">
      <c r="B25" s="2" t="s">
        <v>19</v>
      </c>
      <c r="H25" s="120">
        <f>SUM(H22:H24)</f>
        <v>200000000</v>
      </c>
      <c r="I25" s="114"/>
      <c r="J25" s="120">
        <f>SUM(J22:J24)</f>
        <v>100000000</v>
      </c>
      <c r="K25" s="114"/>
      <c r="L25" s="120">
        <f>SUM(L22:L24)</f>
        <v>100000000</v>
      </c>
      <c r="M25" s="114"/>
      <c r="N25" s="120">
        <f>SUM(N22:N24)</f>
        <v>100000000</v>
      </c>
      <c r="O25" s="114"/>
      <c r="P25" s="120">
        <f>SUM(P22:P24)</f>
        <v>100000000</v>
      </c>
      <c r="Q25" s="114"/>
      <c r="R25" s="120">
        <f>SUM(R22:R24)</f>
        <v>100000000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f>H4</f>
        <v>2019</v>
      </c>
      <c r="J29" s="27">
        <f>H29+1</f>
        <v>2020</v>
      </c>
      <c r="K29" s="20"/>
      <c r="L29" s="27">
        <f>J29+1</f>
        <v>2021</v>
      </c>
      <c r="M29" s="20"/>
      <c r="N29" s="60">
        <f>L29+1</f>
        <v>2022</v>
      </c>
      <c r="O29" s="21"/>
      <c r="P29" s="60">
        <f>N29+1</f>
        <v>2023</v>
      </c>
      <c r="Q29" s="21"/>
      <c r="R29" s="60">
        <f>P29+1</f>
        <v>2024</v>
      </c>
      <c r="T29" s="28" t="s">
        <v>33</v>
      </c>
    </row>
    <row r="31" spans="1:20">
      <c r="B31" t="s">
        <v>26</v>
      </c>
      <c r="H31" s="75">
        <f>H6</f>
        <v>200000000</v>
      </c>
      <c r="J31" s="75">
        <f>H31*E47</f>
        <v>260000000</v>
      </c>
      <c r="K31" s="121"/>
      <c r="L31" s="75">
        <f>J31*E48</f>
        <v>338000000</v>
      </c>
      <c r="M31" s="121"/>
      <c r="N31" s="75">
        <f>L31*E49</f>
        <v>439400000</v>
      </c>
      <c r="O31" s="75"/>
      <c r="P31" s="75">
        <f>N31*E50</f>
        <v>571220000</v>
      </c>
      <c r="Q31" s="75"/>
      <c r="R31" s="75">
        <f>P31*E51</f>
        <v>742586000</v>
      </c>
      <c r="T31" s="4">
        <f>(R31/J31)^(1/4)-1</f>
        <v>0.30000000000000004</v>
      </c>
    </row>
    <row r="32" spans="1:20">
      <c r="B32" s="23" t="s">
        <v>22</v>
      </c>
      <c r="H32" s="71">
        <f>H7</f>
        <v>0</v>
      </c>
      <c r="J32" s="71">
        <f>J7</f>
        <v>0</v>
      </c>
      <c r="L32" s="71">
        <f>L7</f>
        <v>0</v>
      </c>
      <c r="N32" s="71">
        <f>N7</f>
        <v>0</v>
      </c>
      <c r="P32" s="71">
        <f>P7</f>
        <v>0</v>
      </c>
      <c r="R32" s="71">
        <f>R7</f>
        <v>0</v>
      </c>
      <c r="T32" s="4"/>
    </row>
    <row r="33" spans="1:24">
      <c r="B33" t="s">
        <v>27</v>
      </c>
      <c r="H33" s="115">
        <f>H31+H32</f>
        <v>200000000</v>
      </c>
      <c r="I33" s="116"/>
      <c r="J33" s="115">
        <f>J31+J32</f>
        <v>260000000</v>
      </c>
      <c r="K33" s="116"/>
      <c r="L33" s="115">
        <f>L31+L32</f>
        <v>338000000</v>
      </c>
      <c r="M33" s="116"/>
      <c r="N33" s="115">
        <f>N31+N32</f>
        <v>439400000</v>
      </c>
      <c r="O33" s="116"/>
      <c r="P33" s="115">
        <f>P31+P32</f>
        <v>571220000</v>
      </c>
      <c r="Q33" s="116"/>
      <c r="R33" s="115">
        <f>R31+R32</f>
        <v>742586000</v>
      </c>
      <c r="T33" s="4">
        <f>(R33/J33)^(1/4)-1</f>
        <v>0.30000000000000004</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200000000</v>
      </c>
      <c r="I35" s="119"/>
      <c r="J35" s="118">
        <f>SUM(J33:J34)</f>
        <v>260000000</v>
      </c>
      <c r="K35" s="119"/>
      <c r="L35" s="118">
        <f>SUM(L33:L34)</f>
        <v>338000000</v>
      </c>
      <c r="M35" s="119"/>
      <c r="N35" s="118">
        <f>SUM(N33:N34)</f>
        <v>439400000</v>
      </c>
      <c r="O35" s="119"/>
      <c r="P35" s="118">
        <f>SUM(P33:P34)</f>
        <v>571220000</v>
      </c>
      <c r="Q35" s="119"/>
      <c r="R35" s="118">
        <f>SUM(R33:R34)</f>
        <v>742586000</v>
      </c>
      <c r="S35" s="2"/>
      <c r="T35" s="4">
        <f>(R35/J35)^(1/4)-1</f>
        <v>0.30000000000000004</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-100000000</v>
      </c>
      <c r="K37" s="112"/>
      <c r="L37" s="112">
        <f>L12</f>
        <v>-100000000</v>
      </c>
      <c r="M37" s="112"/>
      <c r="N37" s="112">
        <f>N12</f>
        <v>-100000000</v>
      </c>
      <c r="O37" s="112"/>
      <c r="P37" s="112">
        <f>P12</f>
        <v>-100000000</v>
      </c>
      <c r="Q37" s="112"/>
      <c r="R37" s="112">
        <f>R12</f>
        <v>-100000000</v>
      </c>
    </row>
    <row r="38" spans="1:24">
      <c r="B38" s="2" t="s">
        <v>19</v>
      </c>
      <c r="H38" s="120">
        <f>SUM(H35:H37)</f>
        <v>200000000</v>
      </c>
      <c r="I38" s="153"/>
      <c r="J38" s="120">
        <f>SUM(J35:J37)</f>
        <v>160000000</v>
      </c>
      <c r="K38" s="114"/>
      <c r="L38" s="120">
        <f>SUM(L35:L37)</f>
        <v>238000000</v>
      </c>
      <c r="M38" s="114"/>
      <c r="N38" s="120">
        <f>SUM(N35:N37)</f>
        <v>339400000</v>
      </c>
      <c r="O38" s="114"/>
      <c r="P38" s="120">
        <f>SUM(P35:P37)</f>
        <v>471220000</v>
      </c>
      <c r="Q38" s="114"/>
      <c r="R38" s="120">
        <f>SUM(R35:R37)</f>
        <v>642586000</v>
      </c>
      <c r="T38" s="4">
        <f>(R38/J38)^(1/4)-1</f>
        <v>0.4156399795014516</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ht="15.75">
      <c r="B46" s="88" t="s">
        <v>32</v>
      </c>
      <c r="C46" s="89" t="s">
        <v>29</v>
      </c>
      <c r="D46" s="89" t="s">
        <v>31</v>
      </c>
      <c r="E46" s="152" t="s">
        <v>188</v>
      </c>
      <c r="H46" s="294" t="s">
        <v>181</v>
      </c>
      <c r="I46" s="294"/>
      <c r="J46" s="294"/>
      <c r="K46" s="135"/>
      <c r="L46" s="135"/>
      <c r="M46" s="2" t="s">
        <v>57</v>
      </c>
      <c r="P46" s="2"/>
      <c r="R46" s="147" t="s">
        <v>136</v>
      </c>
      <c r="X46" s="127"/>
    </row>
    <row r="47" spans="1:24" ht="15.75">
      <c r="B47" s="90">
        <v>2020</v>
      </c>
      <c r="C47" s="88">
        <v>0.99</v>
      </c>
      <c r="D47" s="88">
        <v>1</v>
      </c>
      <c r="E47" s="88">
        <v>1.3</v>
      </c>
      <c r="H47" s="156" t="s">
        <v>15</v>
      </c>
      <c r="I47" s="156"/>
      <c r="J47" s="161">
        <v>765050488</v>
      </c>
      <c r="K47" s="223">
        <f>J47*6.21</f>
        <v>4750963530.4799995</v>
      </c>
      <c r="L47" s="221"/>
      <c r="M47" t="s">
        <v>55</v>
      </c>
      <c r="P47" s="2"/>
      <c r="R47" s="147" t="s">
        <v>137</v>
      </c>
      <c r="X47" s="127"/>
    </row>
    <row r="48" spans="1:24">
      <c r="B48" s="90">
        <f>B47+1</f>
        <v>2021</v>
      </c>
      <c r="C48" s="88">
        <v>0.98</v>
      </c>
      <c r="D48" s="88">
        <v>1</v>
      </c>
      <c r="E48" s="88">
        <v>1.3</v>
      </c>
      <c r="H48" s="156" t="s">
        <v>99</v>
      </c>
      <c r="I48" s="156"/>
      <c r="J48" s="157">
        <v>180000000</v>
      </c>
      <c r="K48" s="224"/>
      <c r="L48" s="163"/>
      <c r="M48" t="s">
        <v>56</v>
      </c>
      <c r="P48" s="2"/>
      <c r="X48" s="127"/>
    </row>
    <row r="49" spans="2:24">
      <c r="B49" s="90">
        <f>B48+1</f>
        <v>2022</v>
      </c>
      <c r="C49" s="88">
        <v>0.97</v>
      </c>
      <c r="D49" s="88">
        <v>1</v>
      </c>
      <c r="E49" s="88">
        <v>1.3</v>
      </c>
      <c r="H49" s="156" t="s">
        <v>14</v>
      </c>
      <c r="I49" s="156"/>
      <c r="J49" s="157">
        <v>515000000</v>
      </c>
      <c r="K49" s="163"/>
      <c r="M49" t="s">
        <v>58</v>
      </c>
      <c r="P49" s="2"/>
      <c r="X49" s="127"/>
    </row>
    <row r="50" spans="2:24">
      <c r="B50" s="90">
        <f>B49+1</f>
        <v>2023</v>
      </c>
      <c r="C50" s="88">
        <v>0.96</v>
      </c>
      <c r="D50" s="88">
        <v>1</v>
      </c>
      <c r="E50" s="88">
        <v>1.3</v>
      </c>
      <c r="H50" s="155" t="s">
        <v>16</v>
      </c>
      <c r="I50" s="156"/>
      <c r="J50" s="158">
        <v>0.02</v>
      </c>
      <c r="K50" s="223"/>
      <c r="M50" t="s">
        <v>59</v>
      </c>
      <c r="P50" s="2"/>
      <c r="X50" s="127"/>
    </row>
    <row r="51" spans="2:24">
      <c r="B51" s="90">
        <f>B50+1</f>
        <v>2024</v>
      </c>
      <c r="C51" s="88">
        <v>0.95</v>
      </c>
      <c r="D51" s="88">
        <v>1</v>
      </c>
      <c r="E51" s="88">
        <v>1.3</v>
      </c>
      <c r="H51" s="156" t="s">
        <v>2</v>
      </c>
      <c r="I51" s="156"/>
      <c r="J51" s="158">
        <v>0</v>
      </c>
      <c r="K51" s="223"/>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K55" s="218"/>
      <c r="M55" s="135" t="s">
        <v>176</v>
      </c>
      <c r="Q55" s="87"/>
      <c r="R55" s="87"/>
      <c r="S55" s="87"/>
      <c r="T55" s="87"/>
    </row>
    <row r="56" spans="2:24">
      <c r="B56" s="84" t="s">
        <v>8</v>
      </c>
      <c r="C56" s="4">
        <v>0.08</v>
      </c>
      <c r="D56" s="92">
        <f>((NPV($C56,$J$13:$P$13,$R$13+$R$13*(1+$J$50)/($C56-$J$50)))-$J$49+J48)/$J$47</f>
        <v>1.1025697048940839</v>
      </c>
      <c r="E56" s="93"/>
      <c r="F56" s="94">
        <f>((NPV($C56,$J$25:$P$25,$R$25+$R$25*(1+$J$50)/($C56-$J$50)))-$J$49+J48)/$J$47</f>
        <v>1.5963161357596423</v>
      </c>
      <c r="G56" s="93"/>
      <c r="H56" s="123">
        <f>((NPV($C56,$J$38:$P$38,$R$38+$R$38*(1+$J$50)/($C56-$J$50)))-$J$49+J48)/$J$47</f>
        <v>11.11688779643171</v>
      </c>
      <c r="I56" s="10"/>
      <c r="J56" s="11"/>
      <c r="M56" s="135" t="s">
        <v>186</v>
      </c>
      <c r="Q56" s="87"/>
      <c r="R56" s="91"/>
      <c r="S56" s="87"/>
      <c r="T56" s="91"/>
    </row>
    <row r="57" spans="2:24">
      <c r="B57" s="84" t="s">
        <v>28</v>
      </c>
      <c r="C57" s="4">
        <v>0.11</v>
      </c>
      <c r="D57" s="96">
        <f>((NPV($C57,$J$13:$P$13,$R$13+$R$13*(1+$J$50)/($C57-$J$50)))-$J$49+J48)/$J$47</f>
        <v>0.61660604986213541</v>
      </c>
      <c r="E57" s="97"/>
      <c r="F57" s="98">
        <f>((NPV($C57,$J$25:$P$25,$R$25+$R$25*(1+$J$50)/($C57-$J$50)))-$J$49+J48)/$J$47</f>
        <v>0.92434144498532245</v>
      </c>
      <c r="G57" s="97"/>
      <c r="H57" s="99">
        <f>((NPV($C57,$J$38:$P$38,$R$38+$R$38*(1+$J$50)/($C57-$J$50)))-$J$49+J48)/$J$47</f>
        <v>6.8807492007495252</v>
      </c>
      <c r="I57" s="44"/>
      <c r="J57" s="43"/>
      <c r="Q57" s="87"/>
      <c r="R57" s="91"/>
      <c r="S57" s="87"/>
      <c r="T57" s="91"/>
    </row>
    <row r="58" spans="2:24">
      <c r="B58" s="174" t="s">
        <v>407</v>
      </c>
      <c r="C58" s="4">
        <v>0.15</v>
      </c>
      <c r="D58" s="100">
        <f>((NPV($C58,$J$13:$P$13,$R$13+$R$13*(1+$J$50)/($C58-$J$50)))-$J$49+J48)/$J$47</f>
        <v>0.31450685394118438</v>
      </c>
      <c r="E58" s="101"/>
      <c r="F58" s="102">
        <f>((NPV($C58,$J$25:$P$25,$R$25+$R$25*(1+$J$50)/($C58-$J$50)))-$J$49+J48)/$J$47</f>
        <v>0.51017289879701289</v>
      </c>
      <c r="G58" s="101"/>
      <c r="H58" s="103">
        <f>((NPV($C58,$J$38:$P$38,$R$38+$R$38*(1+$J$50)/($C58-$J$50)))-$J$49+J48)/$J$47</f>
        <v>4.3171450167532175</v>
      </c>
      <c r="I58" s="44"/>
      <c r="J58" s="43"/>
      <c r="Q58" s="87"/>
      <c r="R58" s="91"/>
      <c r="S58" s="87"/>
      <c r="T58" s="91"/>
    </row>
    <row r="59" spans="2:24">
      <c r="C59" s="4"/>
      <c r="D59" s="23"/>
      <c r="I59" s="23"/>
      <c r="J59" s="136"/>
      <c r="Q59" s="23"/>
      <c r="R59" s="23"/>
      <c r="S59" s="23"/>
      <c r="T59" s="23"/>
    </row>
    <row r="60" spans="2:24">
      <c r="D60" s="2"/>
      <c r="M60" s="140"/>
      <c r="N60" s="23"/>
      <c r="O60" s="23"/>
      <c r="P60" s="107"/>
      <c r="Q60" s="23"/>
      <c r="R60" s="190"/>
      <c r="S60" s="23"/>
      <c r="T60" s="23"/>
    </row>
    <row r="61" spans="2:24">
      <c r="D61" s="30"/>
      <c r="E61" s="30"/>
      <c r="F61" s="109" t="s">
        <v>6</v>
      </c>
      <c r="G61" s="30"/>
      <c r="H61" s="30"/>
      <c r="I61" s="104"/>
      <c r="J61" s="137"/>
      <c r="L61" s="23"/>
      <c r="M61" s="200"/>
      <c r="N61" s="128"/>
      <c r="O61" s="23"/>
      <c r="P61" s="104"/>
      <c r="Q61" s="104"/>
      <c r="R61" s="104"/>
      <c r="S61" s="104"/>
      <c r="T61" s="104"/>
    </row>
    <row r="62" spans="2:24">
      <c r="D62" s="85" t="s">
        <v>29</v>
      </c>
      <c r="E62" s="85"/>
      <c r="F62" s="166" t="s">
        <v>31</v>
      </c>
      <c r="G62" s="85"/>
      <c r="H62" s="85" t="s">
        <v>188</v>
      </c>
      <c r="I62" s="62"/>
      <c r="J62" s="61"/>
      <c r="L62" s="23"/>
      <c r="M62" s="160"/>
      <c r="N62" s="129"/>
      <c r="O62" s="23"/>
      <c r="P62" s="87"/>
      <c r="Q62" s="87"/>
      <c r="R62" s="87"/>
      <c r="S62" s="87"/>
      <c r="T62" s="87"/>
    </row>
    <row r="63" spans="2:24">
      <c r="B63" s="84" t="s">
        <v>8</v>
      </c>
      <c r="C63" s="4">
        <f>C56</f>
        <v>0.08</v>
      </c>
      <c r="D63" s="92">
        <f>((NPV($C63,$J$13:$P$13,$R$13+$R$13*(1+$J$50)/($C63-$J$50)))-$J$49+J48)</f>
        <v>843521490.78323483</v>
      </c>
      <c r="E63" s="93"/>
      <c r="F63" s="94">
        <f>((NPV($C63,$J$25:$P$25,$R$25+$R$25*(1+$J$50)/($C63-$J$50)))-$J$49+J48)</f>
        <v>1221262438.6651886</v>
      </c>
      <c r="G63" s="93"/>
      <c r="H63" s="95">
        <f>((NPV($C63,$J$38:$P$38,$R$38+$R$38*(1+$J$50)/($C63-$J$50)))-$J$49+J48)</f>
        <v>8504980433.7013245</v>
      </c>
      <c r="I63" s="17"/>
      <c r="J63" s="18"/>
      <c r="L63" s="23"/>
      <c r="M63" s="167"/>
      <c r="N63" s="23"/>
      <c r="O63" s="23"/>
      <c r="P63" s="98"/>
      <c r="Q63" s="97"/>
      <c r="R63" s="98"/>
      <c r="S63" s="97"/>
      <c r="T63" s="98"/>
    </row>
    <row r="64" spans="2:24">
      <c r="B64" s="84" t="s">
        <v>28</v>
      </c>
      <c r="C64" s="4">
        <f>C57</f>
        <v>0.11</v>
      </c>
      <c r="D64" s="96">
        <f>((NPV($C64,$J$13:$P$13,$R$13+$R$13*(1+$J$50)/($C64-$J$50)))-$J$49+J48)</f>
        <v>471734759.35077906</v>
      </c>
      <c r="E64" s="97"/>
      <c r="F64" s="98">
        <f>((NPV($C64,$J$25:$P$25,$R$25+$R$25*(1+$J$50)/($C64-$J$50)))-$J$49+J48)</f>
        <v>707167873.56464612</v>
      </c>
      <c r="G64" s="97"/>
      <c r="H64" s="122">
        <f>((NPV($C64,$J$38:$P$38,$R$38+$R$38*(1+$J$50)/($C64-$J$50)))-$J$49+J48)</f>
        <v>5264120533.8390341</v>
      </c>
      <c r="I64" s="17"/>
      <c r="J64" s="18"/>
      <c r="L64" s="23"/>
      <c r="M64" s="167"/>
      <c r="N64" s="23"/>
      <c r="O64" s="23"/>
      <c r="P64" s="98"/>
      <c r="Q64" s="97"/>
      <c r="R64" s="98"/>
      <c r="S64" s="97"/>
      <c r="T64" s="98"/>
    </row>
    <row r="65" spans="1:20">
      <c r="B65" s="174" t="s">
        <v>407</v>
      </c>
      <c r="C65" s="4">
        <f>C58</f>
        <v>0.15</v>
      </c>
      <c r="D65" s="100">
        <f>((NPV($C65,$J$13:$P$13,$R$13+$R$13*(1+$J$50)/($C65-$J$50)))-$J$49+J48)</f>
        <v>240613622.08704782</v>
      </c>
      <c r="E65" s="101"/>
      <c r="F65" s="102">
        <f>((NPV($C65,$J$25:$P$25,$R$25+$R$25*(1+$J$50)/($C65-$J$50)))-$J$49+J48)</f>
        <v>390308025.18902934</v>
      </c>
      <c r="G65" s="101"/>
      <c r="H65" s="103">
        <f>((NPV($C65,$J$38:$P$38,$R$38+$R$38*(1+$J$50)/($C65-$J$50)))-$J$49+J48)</f>
        <v>3302833901.8338175</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$515000000.0mm as of 5/16/08.</v>
      </c>
      <c r="F69" s="87"/>
      <c r="G69" s="87"/>
      <c r="H69" s="87"/>
      <c r="I69" s="87"/>
      <c r="J69" s="87"/>
      <c r="L69" s="82"/>
      <c r="M69" s="165"/>
      <c r="N69" s="82"/>
    </row>
    <row r="70" spans="1:20">
      <c r="A70" s="1" t="str">
        <f>"(2)  Assumes outstanding diluted shares of "&amp;TEXT(J47,"0.000")&amp;" million."</f>
        <v>(2)  Assumes outstanding diluted shares of 765050488.000 million.</v>
      </c>
      <c r="C70" s="8"/>
      <c r="D70" s="4"/>
      <c r="E70" s="23"/>
      <c r="F70" s="91"/>
      <c r="G70" s="87"/>
      <c r="H70" s="91"/>
      <c r="I70" s="87"/>
      <c r="J70" s="91"/>
      <c r="M70" s="146"/>
    </row>
    <row r="71" spans="1:20">
      <c r="B71" s="2"/>
      <c r="C71" s="8"/>
      <c r="D71" s="4"/>
      <c r="E71" s="23"/>
      <c r="F71" s="91"/>
      <c r="G71" s="87"/>
      <c r="H71" s="91"/>
      <c r="I71" s="87"/>
      <c r="J71" s="91"/>
      <c r="M71" s="146"/>
    </row>
    <row r="72" spans="1:20">
      <c r="C72" s="8"/>
      <c r="D72" s="4"/>
      <c r="E72" s="23"/>
      <c r="F72" s="91"/>
      <c r="G72" s="87"/>
      <c r="H72" s="91"/>
      <c r="I72" s="87"/>
      <c r="J72" s="91"/>
      <c r="M72" s="146"/>
    </row>
    <row r="73" spans="1:20">
      <c r="C73" s="8"/>
      <c r="D73" s="4"/>
      <c r="E73" s="23"/>
      <c r="F73" s="91"/>
      <c r="G73" s="87"/>
      <c r="H73" s="91"/>
      <c r="I73" s="87"/>
      <c r="J73" s="91"/>
      <c r="M73" s="146"/>
    </row>
    <row r="74" spans="1:20" ht="15.75">
      <c r="B74" s="147"/>
      <c r="C74" s="8"/>
      <c r="D74" s="4"/>
      <c r="E74" s="23"/>
      <c r="F74" s="91"/>
      <c r="G74" s="87"/>
      <c r="H74" s="91"/>
      <c r="I74" s="87"/>
      <c r="J74" s="91"/>
      <c r="M74" s="146"/>
    </row>
    <row r="75" spans="1:20">
      <c r="E75" s="23"/>
      <c r="F75" s="91"/>
      <c r="G75" s="87"/>
      <c r="H75" s="91"/>
      <c r="I75" s="87"/>
      <c r="J75" s="91"/>
      <c r="M75" s="146"/>
    </row>
    <row r="76" spans="1:20" ht="12.75" customHeight="1">
      <c r="E76" s="177"/>
      <c r="F76" s="191"/>
      <c r="G76" s="87"/>
      <c r="H76" s="91"/>
      <c r="I76" s="87"/>
      <c r="J76" s="91"/>
      <c r="M76" s="146"/>
      <c r="P76" s="79"/>
    </row>
    <row r="77" spans="1:20" ht="12.75" customHeight="1">
      <c r="E77" s="205"/>
      <c r="F77" s="160"/>
      <c r="G77" s="23"/>
      <c r="H77" s="23"/>
      <c r="I77" s="23"/>
      <c r="J77" s="23"/>
      <c r="M77" s="146"/>
    </row>
    <row r="78" spans="1:20" ht="12.75" customHeight="1">
      <c r="E78" s="135"/>
      <c r="F78" s="160"/>
      <c r="G78" s="87"/>
      <c r="H78" s="87"/>
      <c r="I78" s="87"/>
      <c r="J78" s="87"/>
      <c r="M78" s="146"/>
    </row>
    <row r="79" spans="1:20" ht="12.75" customHeight="1">
      <c r="F79" s="160"/>
      <c r="G79" s="87"/>
      <c r="H79" s="87"/>
      <c r="I79" s="87"/>
      <c r="J79" s="87"/>
      <c r="M79" s="146"/>
    </row>
    <row r="80" spans="1:20" ht="12.75" customHeight="1">
      <c r="F80" s="160"/>
      <c r="G80" s="87"/>
      <c r="H80" s="87"/>
      <c r="I80" s="87"/>
      <c r="J80" s="87"/>
      <c r="M80" s="146"/>
    </row>
    <row r="81" spans="5:13" ht="12.75" customHeight="1">
      <c r="E81" s="135"/>
      <c r="F81" s="160"/>
      <c r="G81" s="87"/>
      <c r="H81" s="87"/>
      <c r="I81" s="87"/>
      <c r="J81" s="87"/>
      <c r="M81" s="146"/>
    </row>
    <row r="82" spans="5:13" ht="12.75" customHeight="1">
      <c r="F82" s="160"/>
      <c r="G82" s="87"/>
      <c r="H82" s="87"/>
      <c r="I82" s="87"/>
      <c r="J82" s="87"/>
      <c r="M82" s="146"/>
    </row>
    <row r="83" spans="5:13" ht="12.75" customHeight="1">
      <c r="E83" s="135"/>
      <c r="F83" s="160"/>
      <c r="G83" s="87"/>
      <c r="H83" s="87"/>
      <c r="I83" s="87"/>
      <c r="J83" s="87"/>
      <c r="M83" s="146"/>
    </row>
    <row r="84" spans="5:13" ht="12.75" customHeight="1">
      <c r="F84" s="160"/>
      <c r="G84" s="87"/>
      <c r="H84" s="87"/>
      <c r="I84" s="87"/>
      <c r="J84" s="87"/>
      <c r="M84" s="146"/>
    </row>
    <row r="85" spans="5:13" ht="12.75" customHeight="1">
      <c r="F85" s="160"/>
      <c r="G85" s="87"/>
      <c r="H85" s="87"/>
      <c r="I85" s="87"/>
      <c r="J85" s="87"/>
      <c r="M85" s="146"/>
    </row>
    <row r="86" spans="5:13" ht="12.75" customHeight="1">
      <c r="E86" s="23"/>
      <c r="F86" s="141"/>
      <c r="G86" s="97"/>
      <c r="H86" s="98"/>
      <c r="I86" s="97"/>
      <c r="J86" s="98"/>
      <c r="M86" s="146"/>
    </row>
    <row r="87" spans="5:13" ht="12.75" customHeight="1">
      <c r="E87" s="23"/>
      <c r="F87" s="141"/>
      <c r="G87" s="97"/>
      <c r="H87" s="98"/>
      <c r="I87" s="97"/>
      <c r="J87" s="98"/>
      <c r="M87" s="146"/>
    </row>
    <row r="88" spans="5:13" ht="12.75" customHeight="1">
      <c r="E88" s="23"/>
      <c r="F88" s="141"/>
      <c r="G88" s="97"/>
      <c r="H88" s="98"/>
      <c r="I88" s="97"/>
      <c r="J88" s="98"/>
      <c r="M88" s="146"/>
    </row>
    <row r="89" spans="5:13" ht="12.75" customHeight="1">
      <c r="F89" s="142"/>
      <c r="J89" s="142"/>
      <c r="M89" s="146"/>
    </row>
    <row r="90" spans="5:13" ht="12.75" customHeight="1">
      <c r="F90" s="146"/>
      <c r="J90" s="142"/>
      <c r="M90" s="146"/>
    </row>
    <row r="91" spans="5:13" ht="12.75" customHeight="1">
      <c r="F91" s="146"/>
      <c r="J91" s="146"/>
      <c r="M91" s="146"/>
    </row>
    <row r="92" spans="5:13" ht="12.75" customHeight="1">
      <c r="F92" s="146"/>
      <c r="J92" s="146"/>
      <c r="M92" s="146"/>
    </row>
    <row r="93" spans="5:13" ht="12.75" customHeight="1">
      <c r="F93" s="146"/>
      <c r="J93" s="146"/>
      <c r="M93" s="146"/>
    </row>
    <row r="94" spans="5:13" ht="12.75" customHeight="1">
      <c r="F94" s="146"/>
      <c r="J94" s="146"/>
    </row>
    <row r="95" spans="5:13" ht="12.75" customHeight="1">
      <c r="F95" s="146"/>
      <c r="J95" s="146"/>
    </row>
    <row r="96" spans="5:13">
      <c r="F96" s="146"/>
    </row>
    <row r="97" spans="6:6">
      <c r="F97" s="146"/>
    </row>
    <row r="98" spans="6:6">
      <c r="F98" s="146"/>
    </row>
    <row r="99" spans="6:6">
      <c r="F99" s="146"/>
    </row>
    <row r="100" spans="6:6">
      <c r="F100" s="146"/>
    </row>
    <row r="101" spans="6:6">
      <c r="F101" s="146"/>
    </row>
    <row r="102" spans="6:6">
      <c r="F102" s="146"/>
    </row>
    <row r="103" spans="6:6">
      <c r="F103" s="146"/>
    </row>
    <row r="104" spans="6:6">
      <c r="F104" s="146"/>
    </row>
    <row r="105" spans="6:6">
      <c r="F105" s="146"/>
    </row>
    <row r="106" spans="6:6">
      <c r="F106" s="146"/>
    </row>
    <row r="107" spans="6:6">
      <c r="F107" s="146"/>
    </row>
    <row r="108" spans="6:6">
      <c r="F108" s="146"/>
    </row>
    <row r="109" spans="6:6">
      <c r="F109" s="146"/>
    </row>
    <row r="110" spans="6:6">
      <c r="F110" s="146"/>
    </row>
    <row r="111" spans="6:6">
      <c r="F111" s="146"/>
    </row>
    <row r="112" spans="6:6">
      <c r="F112" s="146"/>
    </row>
    <row r="113" spans="2:6">
      <c r="F113" s="146"/>
    </row>
    <row r="114" spans="2:6">
      <c r="F114" s="146"/>
    </row>
    <row r="115" spans="2:6">
      <c r="F115" s="146"/>
    </row>
    <row r="122" spans="2:6">
      <c r="B122" s="182"/>
    </row>
  </sheetData>
  <mergeCells count="1">
    <mergeCell ref="H46:J46"/>
  </mergeCells>
  <conditionalFormatting sqref="B6:T13">
    <cfRule type="expression" dxfId="155" priority="6">
      <formula>MOD(ROW(),2)=0</formula>
    </cfRule>
  </conditionalFormatting>
  <conditionalFormatting sqref="B18:T25">
    <cfRule type="expression" dxfId="154" priority="5">
      <formula>MOD(ROW(),2)=0</formula>
    </cfRule>
  </conditionalFormatting>
  <conditionalFormatting sqref="B31:T39">
    <cfRule type="expression" dxfId="153" priority="4">
      <formula>MOD(ROW(),2)=0</formula>
    </cfRule>
  </conditionalFormatting>
  <conditionalFormatting sqref="D56:H58">
    <cfRule type="expression" dxfId="152" priority="3">
      <formula>MOD(ROW(),2)=0</formula>
    </cfRule>
  </conditionalFormatting>
  <conditionalFormatting sqref="D63:H65">
    <cfRule type="expression" dxfId="151" priority="2">
      <formula>MOD(ROW(),2)=0</formula>
    </cfRule>
  </conditionalFormatting>
  <conditionalFormatting sqref="C47:E51">
    <cfRule type="expression" dxfId="150" priority="1">
      <formula>MOD(ROW(),2)=0</formula>
    </cfRule>
  </conditionalFormatting>
  <pageMargins left="0.75" right="0.75" top="1" bottom="1" header="0.5" footer="0.5"/>
  <pageSetup paperSize="119"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123"/>
  <sheetViews>
    <sheetView showGridLines="0" topLeftCell="A25" zoomScaleNormal="100" workbookViewId="0">
      <selection activeCell="E49" sqref="E49"/>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2018</v>
      </c>
      <c r="J4" s="27">
        <f>H4+1</f>
        <v>2019</v>
      </c>
      <c r="K4" s="20"/>
      <c r="L4" s="27">
        <f>J4+1</f>
        <v>2020</v>
      </c>
      <c r="M4" s="20"/>
      <c r="N4" s="60">
        <f>L4+1</f>
        <v>2021</v>
      </c>
      <c r="O4" s="21"/>
      <c r="P4" s="60">
        <f>N4+1</f>
        <v>2022</v>
      </c>
      <c r="Q4" s="21"/>
      <c r="R4" s="60">
        <f>P4+1</f>
        <v>2023</v>
      </c>
      <c r="T4" s="28" t="s">
        <v>33</v>
      </c>
    </row>
    <row r="5" spans="1:24" ht="5.0999999999999996" customHeight="1"/>
    <row r="6" spans="1:24">
      <c r="B6" t="s">
        <v>26</v>
      </c>
      <c r="H6" s="75">
        <v>6742000000</v>
      </c>
      <c r="J6" s="75">
        <f>H6*C47</f>
        <v>6674580000</v>
      </c>
      <c r="K6" s="121"/>
      <c r="L6" s="75">
        <f>J6*C48</f>
        <v>6541088400</v>
      </c>
      <c r="M6" s="121"/>
      <c r="N6" s="75">
        <f>L6*C49</f>
        <v>6344855748</v>
      </c>
      <c r="O6" s="75"/>
      <c r="P6" s="75">
        <f>N6*C50</f>
        <v>6091061518.0799999</v>
      </c>
      <c r="Q6" s="75"/>
      <c r="R6" s="75">
        <f>P6*C51</f>
        <v>5786508442.1759996</v>
      </c>
      <c r="T6" s="4">
        <f>(R6/J6)^(1/4)-1</f>
        <v>-3.506477179553269E-2</v>
      </c>
    </row>
    <row r="7" spans="1:24">
      <c r="B7" s="23" t="s">
        <v>22</v>
      </c>
      <c r="H7" s="71">
        <v>0</v>
      </c>
      <c r="J7" s="71">
        <v>0</v>
      </c>
      <c r="L7" s="71">
        <v>0</v>
      </c>
      <c r="N7" s="71">
        <v>0</v>
      </c>
      <c r="P7" s="71">
        <v>0</v>
      </c>
      <c r="R7" s="71">
        <v>0</v>
      </c>
      <c r="T7" s="4"/>
    </row>
    <row r="8" spans="1:24">
      <c r="B8" t="s">
        <v>27</v>
      </c>
      <c r="H8" s="115">
        <f>H6+H7</f>
        <v>6742000000</v>
      </c>
      <c r="I8" s="73"/>
      <c r="J8" s="115">
        <f>J6+J7</f>
        <v>6674580000</v>
      </c>
      <c r="K8" s="116"/>
      <c r="L8" s="115">
        <f>L6+L7</f>
        <v>6541088400</v>
      </c>
      <c r="M8" s="116"/>
      <c r="N8" s="115">
        <f>N6+N7</f>
        <v>6344855748</v>
      </c>
      <c r="O8" s="116"/>
      <c r="P8" s="115">
        <f>P6+P7</f>
        <v>6091061518.0799999</v>
      </c>
      <c r="Q8" s="116"/>
      <c r="R8" s="115">
        <f>R6+R7</f>
        <v>5786508442.1759996</v>
      </c>
      <c r="T8" s="4">
        <f>(R8/J8)^(1/4)-1</f>
        <v>-3.506477179553269E-2</v>
      </c>
    </row>
    <row r="9" spans="1:24" s="39" customFormat="1">
      <c r="B9" s="39" t="s">
        <v>21</v>
      </c>
      <c r="H9" s="117">
        <f>-$J$51*H8</f>
        <v>-1011300000</v>
      </c>
      <c r="I9"/>
      <c r="J9" s="117">
        <f>-$J$51*J8</f>
        <v>-1001187000</v>
      </c>
      <c r="K9" s="114"/>
      <c r="L9" s="117">
        <f>-$J$51*L8</f>
        <v>-981163260</v>
      </c>
      <c r="M9" s="114"/>
      <c r="N9" s="117">
        <f>-$J$51*N8</f>
        <v>-951728362.19999993</v>
      </c>
      <c r="O9" s="114"/>
      <c r="P9" s="117">
        <f>-$J$51*P8</f>
        <v>-913659227.71200001</v>
      </c>
      <c r="Q9" s="114"/>
      <c r="R9" s="117">
        <f>-$J$51*R8</f>
        <v>-867976266.32639992</v>
      </c>
    </row>
    <row r="10" spans="1:24" s="2" customFormat="1">
      <c r="B10" s="2" t="s">
        <v>3</v>
      </c>
      <c r="H10" s="118">
        <f>SUM(H8:H9)</f>
        <v>5730700000</v>
      </c>
      <c r="J10" s="118">
        <f>SUM(J8:J9)</f>
        <v>5673393000</v>
      </c>
      <c r="K10" s="119"/>
      <c r="L10" s="118">
        <f>SUM(L8:L9)</f>
        <v>5559925140</v>
      </c>
      <c r="M10" s="119"/>
      <c r="N10" s="118">
        <f>SUM(N8:N9)</f>
        <v>5393127385.8000002</v>
      </c>
      <c r="O10" s="119"/>
      <c r="P10" s="118">
        <f>SUM(P8:P9)</f>
        <v>5177402290.368</v>
      </c>
      <c r="Q10" s="119"/>
      <c r="R10" s="118">
        <f>SUM(R8:R9)</f>
        <v>4918532175.8495998</v>
      </c>
      <c r="T10" s="4">
        <f>(R10/J10)^(1/4)-1</f>
        <v>-3.506477179553269E-2</v>
      </c>
    </row>
    <row r="11" spans="1:24">
      <c r="B11" s="10" t="s">
        <v>25</v>
      </c>
      <c r="H11" s="112">
        <f>4400000000+4254000000</f>
        <v>8654000000</v>
      </c>
      <c r="I11" s="112"/>
      <c r="J11" s="112">
        <f>H11</f>
        <v>8654000000</v>
      </c>
      <c r="K11" s="112"/>
      <c r="L11" s="112">
        <f>J11</f>
        <v>8654000000</v>
      </c>
      <c r="M11" s="112"/>
      <c r="N11" s="112">
        <f>L11</f>
        <v>8654000000</v>
      </c>
      <c r="O11" s="112"/>
      <c r="P11" s="112">
        <f>N11</f>
        <v>8654000000</v>
      </c>
      <c r="Q11" s="112"/>
      <c r="R11" s="112">
        <f>P11</f>
        <v>8654000000</v>
      </c>
    </row>
    <row r="12" spans="1:24">
      <c r="B12" t="s">
        <v>23</v>
      </c>
      <c r="H12" s="112">
        <f>-5100000000-5100000000</f>
        <v>-10200000000</v>
      </c>
      <c r="I12" s="112"/>
      <c r="J12" s="112">
        <f>H12</f>
        <v>-10200000000</v>
      </c>
      <c r="K12" s="112"/>
      <c r="L12" s="112">
        <f>J12</f>
        <v>-10200000000</v>
      </c>
      <c r="M12" s="112"/>
      <c r="N12" s="112">
        <f>L12</f>
        <v>-10200000000</v>
      </c>
      <c r="O12" s="112"/>
      <c r="P12" s="112">
        <f>N12</f>
        <v>-10200000000</v>
      </c>
      <c r="Q12" s="112"/>
      <c r="R12" s="112">
        <f>P12</f>
        <v>-10200000000</v>
      </c>
      <c r="X12" s="81"/>
    </row>
    <row r="13" spans="1:24">
      <c r="B13" s="2" t="s">
        <v>19</v>
      </c>
      <c r="H13" s="120">
        <f>SUM(H10:H12)</f>
        <v>4184700000</v>
      </c>
      <c r="J13" s="120">
        <f>SUM(J10:J12)</f>
        <v>4127393000</v>
      </c>
      <c r="K13" s="114"/>
      <c r="L13" s="120">
        <f>SUM(L10:L12)</f>
        <v>4013925140</v>
      </c>
      <c r="M13" s="114"/>
      <c r="N13" s="120">
        <f>SUM(N10:N12)</f>
        <v>3847127385.7999992</v>
      </c>
      <c r="O13" s="114"/>
      <c r="P13" s="120">
        <f>SUM(P10:P12)</f>
        <v>3631402290.368</v>
      </c>
      <c r="Q13" s="114"/>
      <c r="R13" s="120">
        <f>SUM(R10:R12)</f>
        <v>3372532175.8495998</v>
      </c>
      <c r="T13" s="4">
        <f>(R13/J13)^(1/4)-1</f>
        <v>-4.9241822181867345E-2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2018</v>
      </c>
      <c r="J16" s="27">
        <f>H16+1</f>
        <v>2019</v>
      </c>
      <c r="K16" s="20"/>
      <c r="L16" s="27">
        <f>J16+1</f>
        <v>2020</v>
      </c>
      <c r="M16" s="20"/>
      <c r="N16" s="60">
        <f>L16+1</f>
        <v>2021</v>
      </c>
      <c r="O16" s="21"/>
      <c r="P16" s="60">
        <f>N16+1</f>
        <v>2022</v>
      </c>
      <c r="Q16" s="21"/>
      <c r="R16" s="60">
        <f>P16+1</f>
        <v>2023</v>
      </c>
      <c r="T16" s="28" t="s">
        <v>33</v>
      </c>
    </row>
    <row r="18" spans="1:20">
      <c r="B18" t="s">
        <v>26</v>
      </c>
      <c r="H18" s="75">
        <f>H6</f>
        <v>6742000000</v>
      </c>
      <c r="J18" s="75">
        <f>H18*D47</f>
        <v>6742000000</v>
      </c>
      <c r="K18" s="121"/>
      <c r="L18" s="75">
        <f>J18*D48</f>
        <v>6742000000</v>
      </c>
      <c r="M18" s="121"/>
      <c r="N18" s="75">
        <f>L18*D49</f>
        <v>6742000000</v>
      </c>
      <c r="O18" s="75"/>
      <c r="P18" s="75">
        <f>N18*D50</f>
        <v>6742000000</v>
      </c>
      <c r="Q18" s="75"/>
      <c r="R18" s="75">
        <f>P18*D51</f>
        <v>6742000000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6742000000</v>
      </c>
      <c r="I20" s="116"/>
      <c r="J20" s="115">
        <f>J18+J19</f>
        <v>6742000000</v>
      </c>
      <c r="K20" s="116"/>
      <c r="L20" s="115">
        <f>L18+L19</f>
        <v>6742000000</v>
      </c>
      <c r="M20" s="116"/>
      <c r="N20" s="115">
        <f>N18+N19</f>
        <v>6742000000</v>
      </c>
      <c r="O20" s="116"/>
      <c r="P20" s="115">
        <f>P18+P19</f>
        <v>6742000000</v>
      </c>
      <c r="Q20" s="116"/>
      <c r="R20" s="115">
        <f>R18+R19</f>
        <v>6742000000</v>
      </c>
      <c r="T20" s="4">
        <f>(R20/J20)^(1/4)-1</f>
        <v>0</v>
      </c>
    </row>
    <row r="21" spans="1:20">
      <c r="B21" s="39" t="s">
        <v>21</v>
      </c>
      <c r="C21" s="39"/>
      <c r="D21" s="39"/>
      <c r="E21" s="39"/>
      <c r="F21" s="39"/>
      <c r="G21" s="39"/>
      <c r="H21" s="117">
        <f>-$J$51*H20</f>
        <v>-1011300000</v>
      </c>
      <c r="I21" s="114"/>
      <c r="J21" s="117">
        <f>-$J$51*J20</f>
        <v>-1011300000</v>
      </c>
      <c r="K21" s="114"/>
      <c r="L21" s="117">
        <f>-$J$51*L20</f>
        <v>-1011300000</v>
      </c>
      <c r="M21" s="114"/>
      <c r="N21" s="117">
        <f>-$J$51*N20</f>
        <v>-1011300000</v>
      </c>
      <c r="O21" s="114"/>
      <c r="P21" s="117">
        <f>-$J$51*P20</f>
        <v>-1011300000</v>
      </c>
      <c r="Q21" s="114"/>
      <c r="R21" s="117">
        <f>-$J$51*R20</f>
        <v>-1011300000</v>
      </c>
      <c r="S21" s="39"/>
      <c r="T21" s="39"/>
    </row>
    <row r="22" spans="1:20">
      <c r="A22" s="2"/>
      <c r="B22" s="2" t="s">
        <v>3</v>
      </c>
      <c r="C22" s="2"/>
      <c r="D22" s="2"/>
      <c r="E22" s="2"/>
      <c r="F22" s="2"/>
      <c r="G22" s="2"/>
      <c r="H22" s="118">
        <f>SUM(H20:H21)</f>
        <v>5730700000</v>
      </c>
      <c r="I22" s="119"/>
      <c r="J22" s="118">
        <f>SUM(J20:J21)</f>
        <v>5730700000</v>
      </c>
      <c r="K22" s="119"/>
      <c r="L22" s="118">
        <f>SUM(L20:L21)</f>
        <v>5730700000</v>
      </c>
      <c r="M22" s="119"/>
      <c r="N22" s="118">
        <f>SUM(N20:N21)</f>
        <v>5730700000</v>
      </c>
      <c r="O22" s="119"/>
      <c r="P22" s="118">
        <f>SUM(P20:P21)</f>
        <v>5730700000</v>
      </c>
      <c r="Q22" s="119"/>
      <c r="R22" s="118">
        <f>SUM(R20:R21)</f>
        <v>5730700000</v>
      </c>
      <c r="S22" s="2"/>
      <c r="T22" s="4">
        <f>(R22/J22)^(1/4)-1</f>
        <v>0</v>
      </c>
    </row>
    <row r="23" spans="1:20">
      <c r="B23" s="10" t="s">
        <v>25</v>
      </c>
      <c r="H23" s="112">
        <f>H11</f>
        <v>8654000000</v>
      </c>
      <c r="I23" s="112"/>
      <c r="J23" s="112">
        <f>J11</f>
        <v>8654000000</v>
      </c>
      <c r="K23" s="112"/>
      <c r="L23" s="112">
        <f>L11</f>
        <v>8654000000</v>
      </c>
      <c r="M23" s="112"/>
      <c r="N23" s="112">
        <f>N11</f>
        <v>8654000000</v>
      </c>
      <c r="O23" s="112"/>
      <c r="P23" s="112">
        <f>P11</f>
        <v>8654000000</v>
      </c>
      <c r="Q23" s="112"/>
      <c r="R23" s="112">
        <f>R11</f>
        <v>8654000000</v>
      </c>
    </row>
    <row r="24" spans="1:20">
      <c r="B24" t="s">
        <v>23</v>
      </c>
      <c r="H24" s="112">
        <f>H12</f>
        <v>-10200000000</v>
      </c>
      <c r="I24" s="112"/>
      <c r="J24" s="112">
        <f>J12</f>
        <v>-10200000000</v>
      </c>
      <c r="K24" s="112"/>
      <c r="L24" s="112">
        <f>L12</f>
        <v>-10200000000</v>
      </c>
      <c r="M24" s="112"/>
      <c r="N24" s="112">
        <f>N12</f>
        <v>-10200000000</v>
      </c>
      <c r="O24" s="112"/>
      <c r="P24" s="112">
        <f>P12</f>
        <v>-10200000000</v>
      </c>
      <c r="Q24" s="112"/>
      <c r="R24" s="112">
        <f>R12</f>
        <v>-10200000000</v>
      </c>
    </row>
    <row r="25" spans="1:20">
      <c r="B25" s="2" t="s">
        <v>19</v>
      </c>
      <c r="H25" s="120">
        <f>SUM(H22:H24)</f>
        <v>4184700000</v>
      </c>
      <c r="I25" s="114"/>
      <c r="J25" s="120">
        <f>SUM(J22:J24)</f>
        <v>4184700000</v>
      </c>
      <c r="K25" s="114"/>
      <c r="L25" s="120">
        <f>SUM(L22:L24)</f>
        <v>4184700000</v>
      </c>
      <c r="M25" s="114"/>
      <c r="N25" s="120">
        <f>SUM(N22:N24)</f>
        <v>4184700000</v>
      </c>
      <c r="O25" s="114"/>
      <c r="P25" s="120">
        <f>SUM(P22:P24)</f>
        <v>4184700000</v>
      </c>
      <c r="Q25" s="114"/>
      <c r="R25" s="120">
        <f>SUM(R22:R24)</f>
        <v>4184700000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2018</v>
      </c>
      <c r="J29" s="27">
        <f>H29+1</f>
        <v>2019</v>
      </c>
      <c r="K29" s="20"/>
      <c r="L29" s="27">
        <f>J29+1</f>
        <v>2020</v>
      </c>
      <c r="M29" s="20"/>
      <c r="N29" s="60">
        <f>L29+1</f>
        <v>2021</v>
      </c>
      <c r="O29" s="21"/>
      <c r="P29" s="60">
        <f>N29+1</f>
        <v>2022</v>
      </c>
      <c r="Q29" s="21"/>
      <c r="R29" s="60">
        <f>P29+1</f>
        <v>2023</v>
      </c>
      <c r="T29" s="28" t="s">
        <v>33</v>
      </c>
    </row>
    <row r="31" spans="1:20">
      <c r="B31" t="s">
        <v>26</v>
      </c>
      <c r="H31" s="75">
        <f>H6</f>
        <v>6742000000</v>
      </c>
      <c r="J31" s="75">
        <f>H31*E47</f>
        <v>6809420000</v>
      </c>
      <c r="K31" s="121"/>
      <c r="L31" s="75">
        <f>J31*E48</f>
        <v>9533188000</v>
      </c>
      <c r="M31" s="121"/>
      <c r="N31" s="75">
        <f>L31*E49</f>
        <v>12393144400</v>
      </c>
      <c r="O31" s="75"/>
      <c r="P31" s="75">
        <f>N31*E50</f>
        <v>12888870176</v>
      </c>
      <c r="Q31" s="75"/>
      <c r="R31" s="75">
        <f>P31*E51</f>
        <v>13533313684.800001</v>
      </c>
      <c r="T31" s="4">
        <f>(R31/J31)^(1/4)-1</f>
        <v>0.18733564674000247</v>
      </c>
    </row>
    <row r="32" spans="1:20">
      <c r="B32" s="23" t="s">
        <v>22</v>
      </c>
      <c r="H32" s="71">
        <f>H7</f>
        <v>0</v>
      </c>
      <c r="J32" s="71">
        <f>J7</f>
        <v>0</v>
      </c>
      <c r="L32" s="71">
        <f>L7</f>
        <v>0</v>
      </c>
      <c r="N32" s="71">
        <f>N7</f>
        <v>0</v>
      </c>
      <c r="P32" s="71">
        <f>P7</f>
        <v>0</v>
      </c>
      <c r="R32" s="71">
        <f>R7</f>
        <v>0</v>
      </c>
      <c r="T32" s="4"/>
    </row>
    <row r="33" spans="1:24">
      <c r="B33" t="s">
        <v>27</v>
      </c>
      <c r="H33" s="115">
        <f>H31+H32</f>
        <v>6742000000</v>
      </c>
      <c r="I33" s="116"/>
      <c r="J33" s="115">
        <f>J31+J32</f>
        <v>6809420000</v>
      </c>
      <c r="K33" s="116"/>
      <c r="L33" s="115">
        <f>L31+L32</f>
        <v>9533188000</v>
      </c>
      <c r="M33" s="116"/>
      <c r="N33" s="115">
        <f>N31+N32</f>
        <v>12393144400</v>
      </c>
      <c r="O33" s="116"/>
      <c r="P33" s="115">
        <f>P31+P32</f>
        <v>12888870176</v>
      </c>
      <c r="Q33" s="116"/>
      <c r="R33" s="115">
        <f>R31+R32</f>
        <v>13533313684.800001</v>
      </c>
      <c r="T33" s="4">
        <f>(R33/J33)^(1/4)-1</f>
        <v>0.18733564674000247</v>
      </c>
    </row>
    <row r="34" spans="1:24">
      <c r="B34" s="39" t="s">
        <v>21</v>
      </c>
      <c r="C34" s="39"/>
      <c r="D34" s="39"/>
      <c r="E34" s="39"/>
      <c r="F34" s="39"/>
      <c r="G34" s="39"/>
      <c r="H34" s="117">
        <f>-$J$51*H33</f>
        <v>-1011300000</v>
      </c>
      <c r="I34" s="114"/>
      <c r="J34" s="117">
        <f>-$J$51*J33</f>
        <v>-1021413000</v>
      </c>
      <c r="K34" s="114"/>
      <c r="L34" s="117">
        <f>-$J$51*L33</f>
        <v>-1429978200</v>
      </c>
      <c r="M34" s="114"/>
      <c r="N34" s="117">
        <f>-$J$51*N33</f>
        <v>-1858971660</v>
      </c>
      <c r="O34" s="114"/>
      <c r="P34" s="117">
        <f>-$J$51*P33</f>
        <v>-1933330526.3999999</v>
      </c>
      <c r="Q34" s="114"/>
      <c r="R34" s="117">
        <f>-$J$51*R33</f>
        <v>-2029997052.72</v>
      </c>
      <c r="S34" s="39"/>
      <c r="T34" s="39"/>
    </row>
    <row r="35" spans="1:24">
      <c r="A35" s="2"/>
      <c r="B35" s="2" t="s">
        <v>3</v>
      </c>
      <c r="C35" s="2"/>
      <c r="D35" s="2"/>
      <c r="E35" s="2"/>
      <c r="F35" s="2"/>
      <c r="G35" s="2"/>
      <c r="H35" s="118">
        <f>SUM(H33:H34)</f>
        <v>5730700000</v>
      </c>
      <c r="I35" s="119"/>
      <c r="J35" s="118">
        <f>SUM(J33:J34)</f>
        <v>5788007000</v>
      </c>
      <c r="K35" s="119"/>
      <c r="L35" s="118">
        <f>SUM(L33:L34)</f>
        <v>8103209800</v>
      </c>
      <c r="M35" s="119"/>
      <c r="N35" s="118">
        <f>SUM(N33:N34)</f>
        <v>10534172740</v>
      </c>
      <c r="O35" s="119"/>
      <c r="P35" s="118">
        <f>SUM(P33:P34)</f>
        <v>10955539649.6</v>
      </c>
      <c r="Q35" s="119"/>
      <c r="R35" s="118">
        <f>SUM(R33:R34)</f>
        <v>11503316632.080002</v>
      </c>
      <c r="S35" s="2"/>
      <c r="T35" s="4">
        <f>(R35/J35)^(1/4)-1</f>
        <v>0.18733564674000247</v>
      </c>
    </row>
    <row r="36" spans="1:24">
      <c r="B36" s="10" t="s">
        <v>25</v>
      </c>
      <c r="H36" s="112">
        <f>H11</f>
        <v>8654000000</v>
      </c>
      <c r="I36" s="112"/>
      <c r="J36" s="112">
        <f>J11</f>
        <v>8654000000</v>
      </c>
      <c r="K36" s="112"/>
      <c r="L36" s="112">
        <f>L11</f>
        <v>8654000000</v>
      </c>
      <c r="M36" s="112"/>
      <c r="N36" s="112">
        <f>N11</f>
        <v>8654000000</v>
      </c>
      <c r="O36" s="112"/>
      <c r="P36" s="112">
        <f>P11</f>
        <v>8654000000</v>
      </c>
      <c r="Q36" s="112"/>
      <c r="R36" s="112">
        <f>R11</f>
        <v>8654000000</v>
      </c>
    </row>
    <row r="37" spans="1:24">
      <c r="B37" t="s">
        <v>23</v>
      </c>
      <c r="H37" s="112">
        <f>H12</f>
        <v>-10200000000</v>
      </c>
      <c r="I37" s="112"/>
      <c r="J37" s="112">
        <f>J12</f>
        <v>-10200000000</v>
      </c>
      <c r="K37" s="112"/>
      <c r="L37" s="112">
        <f>L12</f>
        <v>-10200000000</v>
      </c>
      <c r="M37" s="112"/>
      <c r="N37" s="112">
        <f>N12</f>
        <v>-10200000000</v>
      </c>
      <c r="O37" s="112"/>
      <c r="P37" s="112">
        <f>P12</f>
        <v>-10200000000</v>
      </c>
      <c r="Q37" s="112"/>
      <c r="R37" s="112">
        <f>R12</f>
        <v>-10200000000</v>
      </c>
    </row>
    <row r="38" spans="1:24">
      <c r="B38" s="2" t="s">
        <v>19</v>
      </c>
      <c r="H38" s="120">
        <f>SUM(H35:H37)</f>
        <v>4184700000</v>
      </c>
      <c r="I38" s="153"/>
      <c r="J38" s="120">
        <f>SUM(J35:J37)</f>
        <v>4242007000</v>
      </c>
      <c r="K38" s="114"/>
      <c r="L38" s="120">
        <f>SUM(L35:L37)</f>
        <v>6557209800</v>
      </c>
      <c r="M38" s="114"/>
      <c r="N38" s="120">
        <f>SUM(N35:N37)</f>
        <v>8988172740</v>
      </c>
      <c r="O38" s="114"/>
      <c r="P38" s="120">
        <f>SUM(P35:P37)</f>
        <v>9409539649.5999985</v>
      </c>
      <c r="Q38" s="114"/>
      <c r="R38" s="120">
        <f>SUM(R35:R37)</f>
        <v>9957316632.0800018</v>
      </c>
      <c r="T38" s="4">
        <f>(R38/J38)^(1/4)-1</f>
        <v>0.23777792813383947</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2019</v>
      </c>
      <c r="C47" s="88">
        <v>0.99</v>
      </c>
      <c r="D47" s="88">
        <v>1</v>
      </c>
      <c r="E47" s="88">
        <v>1.01</v>
      </c>
      <c r="H47" s="156" t="s">
        <v>15</v>
      </c>
      <c r="I47" s="156"/>
      <c r="J47" s="161">
        <v>911000000</v>
      </c>
      <c r="M47" t="s">
        <v>55</v>
      </c>
      <c r="P47" s="2"/>
      <c r="X47" s="127"/>
    </row>
    <row r="48" spans="1:24">
      <c r="B48" s="90">
        <f>B47+1</f>
        <v>2020</v>
      </c>
      <c r="C48" s="88">
        <v>0.98</v>
      </c>
      <c r="D48" s="88">
        <v>1</v>
      </c>
      <c r="E48" s="88">
        <v>1.4</v>
      </c>
      <c r="H48" s="156" t="s">
        <v>99</v>
      </c>
      <c r="I48" s="156"/>
      <c r="J48" s="157">
        <f>1751000000+1394000000</f>
        <v>3145000000</v>
      </c>
      <c r="M48" t="s">
        <v>56</v>
      </c>
      <c r="P48" s="2"/>
      <c r="X48" s="127"/>
    </row>
    <row r="49" spans="2:24">
      <c r="B49" s="90">
        <f>B48+1</f>
        <v>2021</v>
      </c>
      <c r="C49" s="88">
        <v>0.97</v>
      </c>
      <c r="D49" s="88">
        <v>1</v>
      </c>
      <c r="E49" s="88">
        <v>1.3</v>
      </c>
      <c r="H49" s="156" t="s">
        <v>14</v>
      </c>
      <c r="I49" s="156"/>
      <c r="J49" s="157">
        <f>10155000000+40000000000</f>
        <v>50155000000</v>
      </c>
      <c r="M49" t="s">
        <v>58</v>
      </c>
      <c r="P49" s="2"/>
      <c r="X49" s="127"/>
    </row>
    <row r="50" spans="2:24">
      <c r="B50" s="90">
        <f>B49+1</f>
        <v>2022</v>
      </c>
      <c r="C50" s="88">
        <v>0.96</v>
      </c>
      <c r="D50" s="88">
        <v>1</v>
      </c>
      <c r="E50" s="88">
        <v>1.04</v>
      </c>
      <c r="H50" s="155" t="s">
        <v>16</v>
      </c>
      <c r="I50" s="156"/>
      <c r="J50" s="158">
        <v>0.02</v>
      </c>
      <c r="M50" t="s">
        <v>59</v>
      </c>
      <c r="P50" s="2"/>
      <c r="X50" s="127"/>
    </row>
    <row r="51" spans="2:24">
      <c r="B51" s="90">
        <f>B50+1</f>
        <v>2023</v>
      </c>
      <c r="C51" s="88">
        <v>0.95</v>
      </c>
      <c r="D51" s="88">
        <v>1</v>
      </c>
      <c r="E51" s="88">
        <v>1.05</v>
      </c>
      <c r="H51" s="156" t="s">
        <v>2</v>
      </c>
      <c r="I51" s="156"/>
      <c r="J51" s="158">
        <v>0.15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f>((NPV($C56,$J$13:$P$13,$R$13+$R$13*(1+$J$50)/($C56-$J$50)))-$J$49+J48)/$J$47</f>
        <v>8.00363778341009</v>
      </c>
      <c r="E56" s="93"/>
      <c r="F56" s="94">
        <f>((NPV($C56,$J$25:$P$25,$R$25+$R$25*(1+$J$50)/($C56-$J$50)))-$J$49+J48)/$J$47</f>
        <v>19.884647937236153</v>
      </c>
      <c r="G56" s="93"/>
      <c r="H56" s="123">
        <f>((NPV($C56,$J$38:$P$38,$R$38+$R$38*(1+$J$50)/($C56-$J$50)))-$J$49+J48)/$J$47</f>
        <v>108.20308627678556</v>
      </c>
      <c r="I56" s="10"/>
      <c r="J56" s="11"/>
      <c r="M56" s="135" t="s">
        <v>186</v>
      </c>
      <c r="Q56" s="87"/>
      <c r="R56" s="91"/>
      <c r="S56" s="87"/>
      <c r="T56" s="91"/>
    </row>
    <row r="57" spans="2:24">
      <c r="B57" s="84" t="s">
        <v>28</v>
      </c>
      <c r="C57" s="4">
        <v>0.11</v>
      </c>
      <c r="D57" s="96">
        <f>((NPV($C57,$J$13:$P$13,$R$13+$R$13*(1+$J$50)/($C57-$J$50)))-$J$49+J48)/$J$47</f>
        <v>-11.135437687230835</v>
      </c>
      <c r="E57" s="97"/>
      <c r="F57" s="98">
        <f>((NPV($C57,$J$25:$P$25,$R$25+$R$25*(1+$J$50)/($C57-$J$50)))-$J$49+J48)/$J$47</f>
        <v>-3.7304072392318925</v>
      </c>
      <c r="G57" s="97"/>
      <c r="H57" s="99">
        <f>((NPV($C57,$J$38:$P$38,$R$38+$R$38*(1+$J$50)/($C57-$J$50)))-$J$49+J48)/$J$47</f>
        <v>52.452203189268296</v>
      </c>
      <c r="I57" s="44"/>
      <c r="J57" s="43"/>
      <c r="Q57" s="87"/>
      <c r="R57" s="91"/>
      <c r="S57" s="87"/>
      <c r="T57" s="91"/>
    </row>
    <row r="58" spans="2:24">
      <c r="B58" s="8" t="s">
        <v>10</v>
      </c>
      <c r="C58" s="4">
        <v>0.15</v>
      </c>
      <c r="D58" s="100">
        <f>((NPV($C58,$J$13:$P$13,$R$13+$R$13*(1+$J$50)/($C58-$J$50)))-$J$49+J48)/$J$47</f>
        <v>-22.993747145112305</v>
      </c>
      <c r="E58" s="101"/>
      <c r="F58" s="102">
        <f>((NPV($C58,$J$25:$P$25,$R$25+$R$25*(1+$J$50)/($C58-$J$50)))-$J$49+J48)/$J$47</f>
        <v>-18.285439154681335</v>
      </c>
      <c r="G58" s="101"/>
      <c r="H58" s="103">
        <f>((NPV($C58,$J$38:$P$38,$R$38+$R$38*(1+$J$50)/($C58-$J$50)))-$J$49+J48)/$J$47</f>
        <v>18.353448744095619</v>
      </c>
      <c r="I58" s="44"/>
      <c r="J58" s="43"/>
      <c r="L58" t="s">
        <v>196</v>
      </c>
      <c r="Q58" s="87"/>
      <c r="R58" s="91"/>
      <c r="S58" s="87"/>
      <c r="T58" s="91"/>
    </row>
    <row r="59" spans="2:24">
      <c r="C59" s="4"/>
      <c r="D59" s="23"/>
      <c r="I59" s="23"/>
      <c r="J59" s="136"/>
      <c r="L59" t="s">
        <v>187</v>
      </c>
      <c r="M59" s="146"/>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188</v>
      </c>
      <c r="I62" s="62"/>
      <c r="J62" s="61"/>
      <c r="L62" s="23"/>
      <c r="M62" s="160"/>
      <c r="N62" s="129"/>
      <c r="O62" s="23"/>
      <c r="P62" s="87"/>
      <c r="Q62" s="87"/>
      <c r="R62" s="87"/>
      <c r="S62" s="87"/>
      <c r="T62" s="87"/>
    </row>
    <row r="63" spans="2:24">
      <c r="B63" s="84" t="s">
        <v>8</v>
      </c>
      <c r="C63" s="4">
        <f>C56</f>
        <v>0.08</v>
      </c>
      <c r="D63" s="92">
        <f>((NPV($C63,$J$13:$P$13,$R$13+$R$13*(1+$J$50)/($C63-$J$50)))-$J$49+J48)</f>
        <v>7291314020.6865921</v>
      </c>
      <c r="E63" s="93"/>
      <c r="F63" s="94">
        <f>((NPV($C63,$J$25:$P$25,$R$25+$R$25*(1+$J$50)/($C63-$J$50)))-$J$49+J48)</f>
        <v>18114914270.822136</v>
      </c>
      <c r="G63" s="93"/>
      <c r="H63" s="95">
        <f>((NPV($C63,$J$38:$P$38,$R$38+$R$38*(1+$J$50)/($C63-$J$50)))-$J$49+J48)</f>
        <v>98573011598.151642</v>
      </c>
      <c r="I63" s="17"/>
      <c r="J63" s="18"/>
      <c r="L63" s="23"/>
      <c r="M63" s="167"/>
      <c r="N63" s="23"/>
      <c r="O63" s="23"/>
      <c r="P63" s="98"/>
      <c r="Q63" s="97"/>
      <c r="R63" s="98"/>
      <c r="S63" s="97"/>
      <c r="T63" s="98"/>
    </row>
    <row r="64" spans="2:24">
      <c r="B64" s="84" t="s">
        <v>28</v>
      </c>
      <c r="C64" s="4">
        <f>C57</f>
        <v>0.11</v>
      </c>
      <c r="D64" s="96">
        <f>((NPV($C64,$J$13:$P$13,$R$13+$R$13*(1+$J$50)/($C64-$J$50)))-$J$49+J48)</f>
        <v>-10144383733.067291</v>
      </c>
      <c r="E64" s="97"/>
      <c r="F64" s="98">
        <f>((NPV($C64,$J$25:$P$25,$R$25+$R$25*(1+$J$50)/($C64-$J$50)))-$J$49+J48)</f>
        <v>-3398400994.9402542</v>
      </c>
      <c r="G64" s="97"/>
      <c r="H64" s="122">
        <f>((NPV($C64,$J$38:$P$38,$R$38+$R$38*(1+$J$50)/($C64-$J$50)))-$J$49+J48)</f>
        <v>47783957105.423416</v>
      </c>
      <c r="I64" s="17"/>
      <c r="J64" s="18"/>
      <c r="L64" s="23"/>
      <c r="M64" s="167"/>
      <c r="N64" s="23"/>
      <c r="O64" s="23"/>
      <c r="P64" s="98"/>
      <c r="Q64" s="97"/>
      <c r="R64" s="98"/>
      <c r="S64" s="97"/>
      <c r="T64" s="98"/>
    </row>
    <row r="65" spans="1:20">
      <c r="B65" s="8" t="s">
        <v>10</v>
      </c>
      <c r="C65" s="4">
        <f>C58</f>
        <v>0.15</v>
      </c>
      <c r="D65" s="100">
        <f>((NPV($C65,$J$13:$P$13,$R$13+$R$13*(1+$J$50)/($C65-$J$50)))-$J$49+J48)</f>
        <v>-20947303649.197311</v>
      </c>
      <c r="E65" s="101"/>
      <c r="F65" s="102">
        <f>((NPV($C65,$J$25:$P$25,$R$25+$R$25*(1+$J$50)/($C65-$J$50)))-$J$49+J48)</f>
        <v>-16658035069.914696</v>
      </c>
      <c r="G65" s="101"/>
      <c r="H65" s="103">
        <f>((NPV($C65,$J$38:$P$38,$R$38+$R$38*(1+$J$50)/($C65-$J$50)))-$J$49+J48)</f>
        <v>16719991805.871109</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$50155000000.0mm as of 5/16/08.</v>
      </c>
      <c r="F69" s="87"/>
      <c r="G69" s="87"/>
      <c r="H69" s="87"/>
      <c r="I69" s="87"/>
      <c r="J69" s="87"/>
      <c r="L69" s="82"/>
      <c r="M69" s="165"/>
      <c r="N69" s="82"/>
    </row>
    <row r="70" spans="1:20">
      <c r="A70" s="1" t="str">
        <f>"(2)  Assumes outstanding diluted shares of "&amp;TEXT(J47,"0.000")&amp;" million."</f>
        <v>(2)  Assumes outstanding diluted shares of 911000000.000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A107">
        <v>22</v>
      </c>
      <c r="B107" s="135" t="s">
        <v>363</v>
      </c>
      <c r="F107" s="146"/>
    </row>
    <row r="108" spans="1:6">
      <c r="A108">
        <v>23</v>
      </c>
      <c r="B108" s="135" t="s">
        <v>364</v>
      </c>
      <c r="F108" s="146"/>
    </row>
    <row r="109" spans="1:6">
      <c r="A109">
        <v>24</v>
      </c>
      <c r="B109" s="135" t="s">
        <v>365</v>
      </c>
      <c r="F109" s="146"/>
    </row>
    <row r="110" spans="1:6">
      <c r="A110">
        <v>25</v>
      </c>
      <c r="B110" s="135" t="s">
        <v>366</v>
      </c>
      <c r="F110" s="146"/>
    </row>
    <row r="111" spans="1:6">
      <c r="A111">
        <v>26</v>
      </c>
      <c r="B111" s="135" t="s">
        <v>367</v>
      </c>
      <c r="F111" s="146"/>
    </row>
    <row r="112" spans="1:6">
      <c r="A112">
        <v>27</v>
      </c>
      <c r="B112" s="135" t="s">
        <v>368</v>
      </c>
      <c r="F112" s="146"/>
    </row>
    <row r="113" spans="2:6">
      <c r="B113" s="135"/>
      <c r="F113" s="146"/>
    </row>
    <row r="114" spans="2:6">
      <c r="B114" s="168" t="s">
        <v>192</v>
      </c>
      <c r="F114" s="146"/>
    </row>
    <row r="115" spans="2:6">
      <c r="B115" s="135" t="s">
        <v>193</v>
      </c>
      <c r="F115" s="146"/>
    </row>
    <row r="122" spans="2:6">
      <c r="B122" t="s">
        <v>194</v>
      </c>
    </row>
    <row r="123" spans="2:6">
      <c r="B123" t="s">
        <v>195</v>
      </c>
    </row>
  </sheetData>
  <mergeCells count="1">
    <mergeCell ref="H46:J46"/>
  </mergeCells>
  <conditionalFormatting sqref="B6:T13">
    <cfRule type="expression" dxfId="149" priority="6">
      <formula>MOD(ROW(),2)=0</formula>
    </cfRule>
  </conditionalFormatting>
  <conditionalFormatting sqref="B18:T25">
    <cfRule type="expression" dxfId="148" priority="5">
      <formula>MOD(ROW(),2)=0</formula>
    </cfRule>
  </conditionalFormatting>
  <conditionalFormatting sqref="B31:T39">
    <cfRule type="expression" dxfId="147" priority="4">
      <formula>MOD(ROW(),2)=0</formula>
    </cfRule>
  </conditionalFormatting>
  <conditionalFormatting sqref="D56:H58">
    <cfRule type="expression" dxfId="146" priority="3">
      <formula>MOD(ROW(),2)=0</formula>
    </cfRule>
  </conditionalFormatting>
  <conditionalFormatting sqref="D63:H65">
    <cfRule type="expression" dxfId="145" priority="2">
      <formula>MOD(ROW(),2)=0</formula>
    </cfRule>
  </conditionalFormatting>
  <conditionalFormatting sqref="C47:E51">
    <cfRule type="expression" dxfId="144" priority="1">
      <formula>MOD(ROW(),2)=0</formula>
    </cfRule>
  </conditionalFormatting>
  <pageMargins left="0.75" right="0.75" top="1" bottom="1" header="0.5" footer="0.5"/>
  <pageSetup paperSize="119"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123"/>
  <sheetViews>
    <sheetView showGridLines="0" topLeftCell="A5" zoomScaleNormal="100" workbookViewId="0">
      <selection activeCell="H13" sqref="H13"/>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2018</v>
      </c>
      <c r="J4" s="27">
        <f>H4+1</f>
        <v>2019</v>
      </c>
      <c r="K4" s="20"/>
      <c r="L4" s="27">
        <f>J4+1</f>
        <v>2020</v>
      </c>
      <c r="M4" s="20"/>
      <c r="N4" s="60">
        <f>L4+1</f>
        <v>2021</v>
      </c>
      <c r="O4" s="21"/>
      <c r="P4" s="60">
        <f>N4+1</f>
        <v>2022</v>
      </c>
      <c r="Q4" s="21"/>
      <c r="R4" s="60">
        <f>P4+1</f>
        <v>2023</v>
      </c>
      <c r="T4" s="28" t="s">
        <v>33</v>
      </c>
    </row>
    <row r="5" spans="1:24" ht="5.0999999999999996" customHeight="1"/>
    <row r="6" spans="1:24">
      <c r="B6" t="s">
        <v>26</v>
      </c>
      <c r="H6" s="75">
        <v>811475000</v>
      </c>
      <c r="J6" s="75">
        <f>H6*C47</f>
        <v>803360250</v>
      </c>
      <c r="K6" s="121"/>
      <c r="L6" s="75">
        <f>J6*C48</f>
        <v>787293045</v>
      </c>
      <c r="M6" s="121"/>
      <c r="N6" s="75">
        <f>L6*C49</f>
        <v>763674253.64999998</v>
      </c>
      <c r="O6" s="75"/>
      <c r="P6" s="75">
        <f>N6*C50</f>
        <v>733127283.50399995</v>
      </c>
      <c r="Q6" s="75"/>
      <c r="R6" s="75">
        <f>P6*C51</f>
        <v>696470919.32879996</v>
      </c>
      <c r="T6" s="4">
        <f>(R6/J6)^(1/4)-1</f>
        <v>-3.506477179553269E-2</v>
      </c>
    </row>
    <row r="7" spans="1:24">
      <c r="B7" s="23" t="s">
        <v>22</v>
      </c>
      <c r="H7" s="71">
        <v>0</v>
      </c>
      <c r="J7" s="71">
        <v>0</v>
      </c>
      <c r="L7" s="71">
        <v>0</v>
      </c>
      <c r="N7" s="71">
        <v>0</v>
      </c>
      <c r="P7" s="71">
        <v>0</v>
      </c>
      <c r="R7" s="71">
        <v>0</v>
      </c>
      <c r="T7" s="4"/>
    </row>
    <row r="8" spans="1:24">
      <c r="B8" t="s">
        <v>27</v>
      </c>
      <c r="H8" s="115">
        <f>H6+H7</f>
        <v>811475000</v>
      </c>
      <c r="I8" s="73"/>
      <c r="J8" s="115">
        <f>J6+J7</f>
        <v>803360250</v>
      </c>
      <c r="K8" s="116"/>
      <c r="L8" s="115">
        <f>L6+L7</f>
        <v>787293045</v>
      </c>
      <c r="M8" s="116"/>
      <c r="N8" s="115">
        <f>N6+N7</f>
        <v>763674253.64999998</v>
      </c>
      <c r="O8" s="116"/>
      <c r="P8" s="115">
        <f>P6+P7</f>
        <v>733127283.50399995</v>
      </c>
      <c r="Q8" s="116"/>
      <c r="R8" s="115">
        <f>R6+R7</f>
        <v>696470919.32879996</v>
      </c>
      <c r="T8" s="4">
        <f>(R8/J8)^(1/4)-1</f>
        <v>-3.506477179553269E-2</v>
      </c>
    </row>
    <row r="9" spans="1:24" s="39" customFormat="1">
      <c r="B9" s="39" t="s">
        <v>21</v>
      </c>
      <c r="H9" s="117">
        <f>-$J$51*H8</f>
        <v>-121721250</v>
      </c>
      <c r="I9"/>
      <c r="J9" s="117">
        <f>-$J$51*J8</f>
        <v>-120504037.5</v>
      </c>
      <c r="K9" s="114"/>
      <c r="L9" s="117">
        <f>-$J$51*L8</f>
        <v>-118093956.75</v>
      </c>
      <c r="M9" s="114"/>
      <c r="N9" s="117">
        <f>-$J$51*N8</f>
        <v>-114551138.0475</v>
      </c>
      <c r="O9" s="114"/>
      <c r="P9" s="117">
        <f>-$J$51*P8</f>
        <v>-109969092.52559999</v>
      </c>
      <c r="Q9" s="114"/>
      <c r="R9" s="117">
        <f>-$J$51*R8</f>
        <v>-104470637.89931999</v>
      </c>
    </row>
    <row r="10" spans="1:24" s="2" customFormat="1">
      <c r="B10" s="2" t="s">
        <v>3</v>
      </c>
      <c r="H10" s="118">
        <f>SUM(H8:H9)</f>
        <v>689753750</v>
      </c>
      <c r="J10" s="118">
        <f>SUM(J8:J9)</f>
        <v>682856212.5</v>
      </c>
      <c r="K10" s="119"/>
      <c r="L10" s="118">
        <f>SUM(L8:L9)</f>
        <v>669199088.25</v>
      </c>
      <c r="M10" s="119"/>
      <c r="N10" s="118">
        <f>SUM(N8:N9)</f>
        <v>649123115.60249996</v>
      </c>
      <c r="O10" s="119"/>
      <c r="P10" s="118">
        <f>SUM(P8:P9)</f>
        <v>623158190.97839999</v>
      </c>
      <c r="Q10" s="119"/>
      <c r="R10" s="118">
        <f>SUM(R8:R9)</f>
        <v>592000281.42947996</v>
      </c>
      <c r="T10" s="4">
        <f>(R10/J10)^(1/4)-1</f>
        <v>-3.506477179553269E-2</v>
      </c>
    </row>
    <row r="11" spans="1:24">
      <c r="B11" s="10" t="s">
        <v>25</v>
      </c>
      <c r="H11" s="112">
        <v>-130000000</v>
      </c>
      <c r="I11" s="112"/>
      <c r="J11" s="112">
        <f>H11</f>
        <v>-130000000</v>
      </c>
      <c r="K11" s="112"/>
      <c r="L11" s="112">
        <f>J11</f>
        <v>-130000000</v>
      </c>
      <c r="M11" s="112"/>
      <c r="N11" s="112">
        <f>L11</f>
        <v>-130000000</v>
      </c>
      <c r="O11" s="112"/>
      <c r="P11" s="112">
        <f>N11</f>
        <v>-130000000</v>
      </c>
      <c r="Q11" s="112"/>
      <c r="R11" s="112">
        <f>P11</f>
        <v>-130000000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559753750</v>
      </c>
      <c r="J13" s="120">
        <f>SUM(J10:J12)</f>
        <v>552856212.5</v>
      </c>
      <c r="K13" s="114"/>
      <c r="L13" s="120">
        <f>SUM(L10:L12)</f>
        <v>539199088.25</v>
      </c>
      <c r="M13" s="114"/>
      <c r="N13" s="120">
        <f>SUM(N10:N12)</f>
        <v>519123115.60249996</v>
      </c>
      <c r="O13" s="114"/>
      <c r="P13" s="120">
        <f>SUM(P10:P12)</f>
        <v>493158190.97839999</v>
      </c>
      <c r="Q13" s="114"/>
      <c r="R13" s="120">
        <f>SUM(R10:R12)</f>
        <v>462000281.42947996</v>
      </c>
      <c r="T13" s="4">
        <f>(R13/J13)^(1/4)-1</f>
        <v>-4.3890768415862369E-2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811475000</v>
      </c>
      <c r="J18" s="75">
        <f>H18*D47</f>
        <v>811475000</v>
      </c>
      <c r="K18" s="121"/>
      <c r="L18" s="75">
        <f>J18*D48</f>
        <v>811475000</v>
      </c>
      <c r="M18" s="121"/>
      <c r="N18" s="75">
        <f>L18*D49</f>
        <v>811475000</v>
      </c>
      <c r="O18" s="75"/>
      <c r="P18" s="75">
        <f>N18*D50</f>
        <v>811475000</v>
      </c>
      <c r="Q18" s="75"/>
      <c r="R18" s="75">
        <f>P18*D51</f>
        <v>811475000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811475000</v>
      </c>
      <c r="I20" s="116"/>
      <c r="J20" s="115">
        <f>J18+J19</f>
        <v>811475000</v>
      </c>
      <c r="K20" s="116"/>
      <c r="L20" s="115">
        <f>L18+L19</f>
        <v>811475000</v>
      </c>
      <c r="M20" s="116"/>
      <c r="N20" s="115">
        <f>N18+N19</f>
        <v>811475000</v>
      </c>
      <c r="O20" s="116"/>
      <c r="P20" s="115">
        <f>P18+P19</f>
        <v>811475000</v>
      </c>
      <c r="Q20" s="116"/>
      <c r="R20" s="115">
        <f>R18+R19</f>
        <v>811475000</v>
      </c>
      <c r="T20" s="4">
        <f>(R20/J20)^(1/4)-1</f>
        <v>0</v>
      </c>
    </row>
    <row r="21" spans="1:20">
      <c r="B21" s="39" t="s">
        <v>21</v>
      </c>
      <c r="C21" s="39"/>
      <c r="D21" s="39"/>
      <c r="E21" s="39"/>
      <c r="F21" s="39"/>
      <c r="G21" s="39"/>
      <c r="H21" s="117">
        <f>-$J$51*H20</f>
        <v>-121721250</v>
      </c>
      <c r="I21" s="114"/>
      <c r="J21" s="117">
        <f>-$J$51*J20</f>
        <v>-121721250</v>
      </c>
      <c r="K21" s="114"/>
      <c r="L21" s="117">
        <f>-$J$51*L20</f>
        <v>-121721250</v>
      </c>
      <c r="M21" s="114"/>
      <c r="N21" s="117">
        <f>-$J$51*N20</f>
        <v>-121721250</v>
      </c>
      <c r="O21" s="114"/>
      <c r="P21" s="117">
        <f>-$J$51*P20</f>
        <v>-121721250</v>
      </c>
      <c r="Q21" s="114"/>
      <c r="R21" s="117">
        <f>-$J$51*R20</f>
        <v>-121721250</v>
      </c>
      <c r="S21" s="39"/>
      <c r="T21" s="39"/>
    </row>
    <row r="22" spans="1:20">
      <c r="A22" s="2"/>
      <c r="B22" s="2" t="s">
        <v>3</v>
      </c>
      <c r="C22" s="2"/>
      <c r="D22" s="2"/>
      <c r="E22" s="2"/>
      <c r="F22" s="2"/>
      <c r="G22" s="2"/>
      <c r="H22" s="118">
        <f>SUM(H20:H21)</f>
        <v>689753750</v>
      </c>
      <c r="I22" s="119"/>
      <c r="J22" s="118">
        <f>SUM(J20:J21)</f>
        <v>689753750</v>
      </c>
      <c r="K22" s="119"/>
      <c r="L22" s="118">
        <f>SUM(L20:L21)</f>
        <v>689753750</v>
      </c>
      <c r="M22" s="119"/>
      <c r="N22" s="118">
        <f>SUM(N20:N21)</f>
        <v>689753750</v>
      </c>
      <c r="O22" s="119"/>
      <c r="P22" s="118">
        <f>SUM(P20:P21)</f>
        <v>689753750</v>
      </c>
      <c r="Q22" s="119"/>
      <c r="R22" s="118">
        <f>SUM(R20:R21)</f>
        <v>689753750</v>
      </c>
      <c r="S22" s="2"/>
      <c r="T22" s="4">
        <f>(R22/J22)^(1/4)-1</f>
        <v>0</v>
      </c>
    </row>
    <row r="23" spans="1:20">
      <c r="B23" s="10" t="s">
        <v>25</v>
      </c>
      <c r="H23" s="112">
        <f>H11</f>
        <v>-130000000</v>
      </c>
      <c r="I23" s="112"/>
      <c r="J23" s="112">
        <f>J11</f>
        <v>-130000000</v>
      </c>
      <c r="K23" s="112"/>
      <c r="L23" s="112">
        <f>L11</f>
        <v>-130000000</v>
      </c>
      <c r="M23" s="112"/>
      <c r="N23" s="112">
        <f>N11</f>
        <v>-130000000</v>
      </c>
      <c r="O23" s="112"/>
      <c r="P23" s="112">
        <f>P11</f>
        <v>-130000000</v>
      </c>
      <c r="Q23" s="112"/>
      <c r="R23" s="112">
        <f>R11</f>
        <v>-130000000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559753750</v>
      </c>
      <c r="I25" s="114"/>
      <c r="J25" s="120">
        <f>SUM(J22:J24)</f>
        <v>559753750</v>
      </c>
      <c r="K25" s="114"/>
      <c r="L25" s="120">
        <f>SUM(L22:L24)</f>
        <v>559753750</v>
      </c>
      <c r="M25" s="114"/>
      <c r="N25" s="120">
        <f>SUM(N22:N24)</f>
        <v>559753750</v>
      </c>
      <c r="O25" s="114"/>
      <c r="P25" s="120">
        <f>SUM(P22:P24)</f>
        <v>559753750</v>
      </c>
      <c r="Q25" s="114"/>
      <c r="R25" s="120">
        <f>SUM(R22:R24)</f>
        <v>559753750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811475000</v>
      </c>
      <c r="J31" s="75">
        <f>H31*E47</f>
        <v>819589750</v>
      </c>
      <c r="K31" s="121"/>
      <c r="L31" s="75">
        <f>J31*E48</f>
        <v>835981545</v>
      </c>
      <c r="M31" s="121"/>
      <c r="N31" s="75">
        <f>L31*E49</f>
        <v>861060991.35000002</v>
      </c>
      <c r="O31" s="75"/>
      <c r="P31" s="75">
        <f>N31*E50</f>
        <v>895503431.00400007</v>
      </c>
      <c r="Q31" s="75"/>
      <c r="R31" s="75">
        <f>P31*E51</f>
        <v>940278602.55420005</v>
      </c>
      <c r="T31" s="4">
        <f>(R31/J31)^(1/4)-1</f>
        <v>3.4939609509608838E-2</v>
      </c>
    </row>
    <row r="32" spans="1:20">
      <c r="B32" s="23" t="s">
        <v>22</v>
      </c>
      <c r="H32" s="71">
        <f>H7</f>
        <v>0</v>
      </c>
      <c r="J32" s="71">
        <f>J7</f>
        <v>0</v>
      </c>
      <c r="L32" s="71">
        <f>L7</f>
        <v>0</v>
      </c>
      <c r="N32" s="71">
        <f>N7</f>
        <v>0</v>
      </c>
      <c r="P32" s="71">
        <f>P7</f>
        <v>0</v>
      </c>
      <c r="R32" s="71">
        <f>R7</f>
        <v>0</v>
      </c>
      <c r="T32" s="4"/>
    </row>
    <row r="33" spans="1:24">
      <c r="B33" t="s">
        <v>27</v>
      </c>
      <c r="H33" s="115">
        <f>H31+H32</f>
        <v>811475000</v>
      </c>
      <c r="I33" s="116"/>
      <c r="J33" s="115">
        <f>J31+J32</f>
        <v>819589750</v>
      </c>
      <c r="K33" s="116"/>
      <c r="L33" s="115">
        <f>L31+L32</f>
        <v>835981545</v>
      </c>
      <c r="M33" s="116"/>
      <c r="N33" s="115">
        <f>N31+N32</f>
        <v>861060991.35000002</v>
      </c>
      <c r="O33" s="116"/>
      <c r="P33" s="115">
        <f>P31+P32</f>
        <v>895503431.00400007</v>
      </c>
      <c r="Q33" s="116"/>
      <c r="R33" s="115">
        <f>R31+R32</f>
        <v>940278602.55420005</v>
      </c>
      <c r="T33" s="4">
        <f>(R33/J33)^(1/4)-1</f>
        <v>3.4939609509608838E-2</v>
      </c>
    </row>
    <row r="34" spans="1:24">
      <c r="B34" s="39" t="s">
        <v>21</v>
      </c>
      <c r="C34" s="39"/>
      <c r="D34" s="39"/>
      <c r="E34" s="39"/>
      <c r="F34" s="39"/>
      <c r="G34" s="39"/>
      <c r="H34" s="117">
        <f>-$J$51*H33</f>
        <v>-121721250</v>
      </c>
      <c r="I34" s="114"/>
      <c r="J34" s="117">
        <f>-$J$51*J33</f>
        <v>-122938462.5</v>
      </c>
      <c r="K34" s="114"/>
      <c r="L34" s="117">
        <f>-$J$51*L33</f>
        <v>-125397231.75</v>
      </c>
      <c r="M34" s="114"/>
      <c r="N34" s="117">
        <f>-$J$51*N33</f>
        <v>-129159148.7025</v>
      </c>
      <c r="O34" s="114"/>
      <c r="P34" s="117">
        <f>-$J$51*P33</f>
        <v>-134325514.65060002</v>
      </c>
      <c r="Q34" s="114"/>
      <c r="R34" s="117">
        <f>-$J$51*R33</f>
        <v>-141041790.38313001</v>
      </c>
      <c r="S34" s="39"/>
      <c r="T34" s="39"/>
    </row>
    <row r="35" spans="1:24">
      <c r="A35" s="2"/>
      <c r="B35" s="2" t="s">
        <v>3</v>
      </c>
      <c r="C35" s="2"/>
      <c r="D35" s="2"/>
      <c r="E35" s="2"/>
      <c r="F35" s="2"/>
      <c r="G35" s="2"/>
      <c r="H35" s="118">
        <f>SUM(H33:H34)</f>
        <v>689753750</v>
      </c>
      <c r="I35" s="119"/>
      <c r="J35" s="118">
        <f>SUM(J33:J34)</f>
        <v>696651287.5</v>
      </c>
      <c r="K35" s="119"/>
      <c r="L35" s="118">
        <f>SUM(L33:L34)</f>
        <v>710584313.25</v>
      </c>
      <c r="M35" s="119"/>
      <c r="N35" s="118">
        <f>SUM(N33:N34)</f>
        <v>731901842.64750004</v>
      </c>
      <c r="O35" s="119"/>
      <c r="P35" s="118">
        <f>SUM(P33:P34)</f>
        <v>761177916.35339999</v>
      </c>
      <c r="Q35" s="119"/>
      <c r="R35" s="118">
        <f>SUM(R33:R34)</f>
        <v>799236812.1710701</v>
      </c>
      <c r="S35" s="2"/>
      <c r="T35" s="4">
        <f>(R35/J35)^(1/4)-1</f>
        <v>3.493960950960906E-2</v>
      </c>
    </row>
    <row r="36" spans="1:24">
      <c r="B36" s="10" t="s">
        <v>25</v>
      </c>
      <c r="H36" s="112">
        <f>H11</f>
        <v>-130000000</v>
      </c>
      <c r="I36" s="112"/>
      <c r="J36" s="112">
        <f>J11</f>
        <v>-130000000</v>
      </c>
      <c r="K36" s="112"/>
      <c r="L36" s="112">
        <f>L11</f>
        <v>-130000000</v>
      </c>
      <c r="M36" s="112"/>
      <c r="N36" s="112">
        <f>N11</f>
        <v>-130000000</v>
      </c>
      <c r="O36" s="112"/>
      <c r="P36" s="112">
        <f>P11</f>
        <v>-130000000</v>
      </c>
      <c r="Q36" s="112"/>
      <c r="R36" s="112">
        <f>R11</f>
        <v>-130000000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559753750</v>
      </c>
      <c r="I38" s="153"/>
      <c r="J38" s="120">
        <f>SUM(J35:J37)</f>
        <v>566651287.5</v>
      </c>
      <c r="K38" s="114"/>
      <c r="L38" s="120">
        <f>SUM(L35:L37)</f>
        <v>580584313.25</v>
      </c>
      <c r="M38" s="114"/>
      <c r="N38" s="120">
        <f>SUM(N35:N37)</f>
        <v>601901842.64750004</v>
      </c>
      <c r="O38" s="114"/>
      <c r="P38" s="120">
        <f>SUM(P35:P37)</f>
        <v>631177916.35339999</v>
      </c>
      <c r="Q38" s="114"/>
      <c r="R38" s="120">
        <f>SUM(R35:R37)</f>
        <v>669236812.1710701</v>
      </c>
      <c r="T38" s="4">
        <f>(R38/J38)^(1/4)-1</f>
        <v>4.2475808222722122E-2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2019</v>
      </c>
      <c r="C47" s="88">
        <v>0.99</v>
      </c>
      <c r="D47" s="88">
        <v>1</v>
      </c>
      <c r="E47" s="88">
        <v>1.01</v>
      </c>
      <c r="H47" s="156" t="s">
        <v>15</v>
      </c>
      <c r="I47" s="156"/>
      <c r="J47" s="161">
        <v>77287094</v>
      </c>
      <c r="M47" t="s">
        <v>55</v>
      </c>
      <c r="P47" s="2"/>
      <c r="X47" s="127"/>
    </row>
    <row r="48" spans="1:24">
      <c r="B48" s="90">
        <f>B47+1</f>
        <v>2020</v>
      </c>
      <c r="C48" s="88">
        <v>0.98</v>
      </c>
      <c r="D48" s="88">
        <v>1</v>
      </c>
      <c r="E48" s="88">
        <v>1.02</v>
      </c>
      <c r="H48" s="156" t="s">
        <v>99</v>
      </c>
      <c r="I48" s="156"/>
      <c r="J48" s="157">
        <v>285000000</v>
      </c>
      <c r="M48" t="s">
        <v>56</v>
      </c>
      <c r="P48" s="2"/>
      <c r="X48" s="127"/>
    </row>
    <row r="49" spans="2:24">
      <c r="B49" s="90">
        <f>B48+1</f>
        <v>2021</v>
      </c>
      <c r="C49" s="88">
        <v>0.97</v>
      </c>
      <c r="D49" s="88">
        <v>1</v>
      </c>
      <c r="E49" s="88">
        <v>1.03</v>
      </c>
      <c r="H49" s="156" t="s">
        <v>14</v>
      </c>
      <c r="I49" s="156"/>
      <c r="J49" s="157">
        <v>1300000000</v>
      </c>
      <c r="M49" t="s">
        <v>58</v>
      </c>
      <c r="P49" s="2"/>
      <c r="X49" s="127"/>
    </row>
    <row r="50" spans="2:24">
      <c r="B50" s="90">
        <f>B49+1</f>
        <v>2022</v>
      </c>
      <c r="C50" s="88">
        <v>0.96</v>
      </c>
      <c r="D50" s="88">
        <v>1</v>
      </c>
      <c r="E50" s="88">
        <v>1.04</v>
      </c>
      <c r="H50" s="155" t="s">
        <v>16</v>
      </c>
      <c r="I50" s="156"/>
      <c r="J50" s="158">
        <v>0.02</v>
      </c>
      <c r="M50" t="s">
        <v>59</v>
      </c>
      <c r="P50" s="2"/>
      <c r="X50" s="127"/>
    </row>
    <row r="51" spans="2:24">
      <c r="B51" s="90">
        <f>B50+1</f>
        <v>2023</v>
      </c>
      <c r="C51" s="88">
        <v>0.95</v>
      </c>
      <c r="D51" s="88">
        <v>1</v>
      </c>
      <c r="E51" s="88">
        <v>1.05</v>
      </c>
      <c r="H51" s="156" t="s">
        <v>2</v>
      </c>
      <c r="I51" s="156"/>
      <c r="J51" s="158">
        <v>0.15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f>((NPV($C56,$J$13:$P$13,$R$13+$R$13*(1+$J$50)/($C56-$J$50)))-$J$49+J48)/$J$47</f>
        <v>82.72398213884432</v>
      </c>
      <c r="E56" s="93"/>
      <c r="F56" s="94">
        <f>((NPV($C56,$J$25:$P$25,$R$25+$R$25*(1+$J$50)/($C56-$J$50)))-$J$49+J48)/$J$47</f>
        <v>99.579851718449163</v>
      </c>
      <c r="G56" s="93"/>
      <c r="H56" s="123">
        <f>((NPV($C56,$J$38:$P$38,$R$38+$R$38*(1+$J$50)/($C56-$J$50)))-$J$49+J48)/$J$47</f>
        <v>118.35950531964409</v>
      </c>
      <c r="I56" s="10"/>
      <c r="J56" s="11"/>
      <c r="M56" s="135" t="s">
        <v>186</v>
      </c>
      <c r="Q56" s="87"/>
      <c r="R56" s="91"/>
      <c r="S56" s="87"/>
      <c r="T56" s="91"/>
    </row>
    <row r="57" spans="2:24">
      <c r="B57" s="84" t="s">
        <v>28</v>
      </c>
      <c r="C57" s="4">
        <v>0.11</v>
      </c>
      <c r="D57" s="96">
        <f>((NPV($C57,$J$13:$P$13,$R$13+$R$13*(1+$J$50)/($C57-$J$50)))-$J$49+J48)/$J$47</f>
        <v>51.840730181385766</v>
      </c>
      <c r="E57" s="97"/>
      <c r="F57" s="98">
        <f>((NPV($C57,$J$25:$P$25,$R$25+$R$25*(1+$J$50)/($C57-$J$50)))-$J$49+J48)/$J$47</f>
        <v>62.34642168811996</v>
      </c>
      <c r="G57" s="97"/>
      <c r="H57" s="99">
        <f>((NPV($C57,$J$38:$P$38,$R$38+$R$38*(1+$J$50)/($C57-$J$50)))-$J$49+J48)/$J$47</f>
        <v>74.02133638430459</v>
      </c>
      <c r="I57" s="44"/>
      <c r="J57" s="43"/>
      <c r="Q57" s="87"/>
      <c r="R57" s="91"/>
      <c r="S57" s="87"/>
      <c r="T57" s="91"/>
    </row>
    <row r="58" spans="2:24">
      <c r="B58" s="8" t="s">
        <v>10</v>
      </c>
      <c r="C58" s="4">
        <v>0.15</v>
      </c>
      <c r="D58" s="100">
        <f>((NPV($C58,$J$13:$P$13,$R$13+$R$13*(1+$J$50)/($C58-$J$50)))-$J$49+J48)/$J$47</f>
        <v>32.717978639208759</v>
      </c>
      <c r="E58" s="101"/>
      <c r="F58" s="102">
        <f>((NPV($C58,$J$25:$P$25,$R$25+$R$25*(1+$J$50)/($C58-$J$50)))-$J$49+J48)/$J$47</f>
        <v>39.397766334008317</v>
      </c>
      <c r="G58" s="101"/>
      <c r="H58" s="103">
        <f>((NPV($C58,$J$38:$P$38,$R$38+$R$38*(1+$J$50)/($C58-$J$50)))-$J$49+J48)/$J$47</f>
        <v>46.796368664158834</v>
      </c>
      <c r="I58" s="44"/>
      <c r="J58" s="43"/>
      <c r="L58" t="s">
        <v>196</v>
      </c>
      <c r="Q58" s="87"/>
      <c r="R58" s="91"/>
      <c r="S58" s="87"/>
      <c r="T58" s="91"/>
    </row>
    <row r="59" spans="2:24">
      <c r="C59" s="4"/>
      <c r="D59" s="23"/>
      <c r="I59" s="23"/>
      <c r="J59" s="136"/>
      <c r="L59" t="s">
        <v>187</v>
      </c>
      <c r="M59" s="146"/>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188</v>
      </c>
      <c r="I62" s="62"/>
      <c r="J62" s="61"/>
      <c r="L62" s="23"/>
      <c r="M62" s="160"/>
      <c r="N62" s="129"/>
      <c r="O62" s="23"/>
      <c r="P62" s="87"/>
      <c r="Q62" s="87"/>
      <c r="R62" s="87"/>
      <c r="S62" s="87"/>
      <c r="T62" s="87"/>
    </row>
    <row r="63" spans="2:24">
      <c r="B63" s="84" t="s">
        <v>8</v>
      </c>
      <c r="C63" s="4">
        <f>C56</f>
        <v>0.08</v>
      </c>
      <c r="D63" s="92">
        <f>((NPV($C63,$J$13:$P$13,$R$13+$R$13*(1+$J$50)/($C63-$J$50)))-$J$49+J48)</f>
        <v>6393496183.6191816</v>
      </c>
      <c r="E63" s="93"/>
      <c r="F63" s="94">
        <f>((NPV($C63,$J$25:$P$25,$R$25+$R$25*(1+$J$50)/($C63-$J$50)))-$J$49+J48)</f>
        <v>7696237360.2698421</v>
      </c>
      <c r="G63" s="93"/>
      <c r="H63" s="95">
        <f>((NPV($C63,$J$38:$P$38,$R$38+$R$38*(1+$J$50)/($C63-$J$50)))-$J$49+J48)</f>
        <v>9147662213.4328327</v>
      </c>
      <c r="I63" s="17"/>
      <c r="J63" s="18"/>
      <c r="L63" s="23"/>
      <c r="M63" s="167"/>
      <c r="N63" s="23"/>
      <c r="O63" s="23"/>
      <c r="P63" s="98"/>
      <c r="Q63" s="97"/>
      <c r="R63" s="98"/>
      <c r="S63" s="97"/>
      <c r="T63" s="98"/>
    </row>
    <row r="64" spans="2:24">
      <c r="B64" s="84" t="s">
        <v>28</v>
      </c>
      <c r="C64" s="4">
        <f>C57</f>
        <v>0.11</v>
      </c>
      <c r="D64" s="96">
        <f>((NPV($C64,$J$13:$P$13,$R$13+$R$13*(1+$J$50)/($C64-$J$50)))-$J$49+J48)</f>
        <v>4006619386.5573988</v>
      </c>
      <c r="E64" s="97"/>
      <c r="F64" s="98">
        <f>((NPV($C64,$J$25:$P$25,$R$25+$R$25*(1+$J$50)/($C64-$J$50)))-$J$49+J48)</f>
        <v>4818573753.5733662</v>
      </c>
      <c r="G64" s="97"/>
      <c r="H64" s="122">
        <f>((NPV($C64,$J$38:$P$38,$R$38+$R$38*(1+$J$50)/($C64-$J$50)))-$J$49+J48)</f>
        <v>5720893983.139369</v>
      </c>
      <c r="I64" s="17"/>
      <c r="J64" s="18"/>
      <c r="L64" s="23"/>
      <c r="M64" s="167"/>
      <c r="N64" s="23"/>
      <c r="O64" s="23"/>
      <c r="P64" s="98"/>
      <c r="Q64" s="97"/>
      <c r="R64" s="98"/>
      <c r="S64" s="97"/>
      <c r="T64" s="98"/>
    </row>
    <row r="65" spans="1:20">
      <c r="B65" s="8" t="s">
        <v>10</v>
      </c>
      <c r="C65" s="4">
        <f>C58</f>
        <v>0.15</v>
      </c>
      <c r="D65" s="100">
        <f>((NPV($C65,$J$13:$P$13,$R$13+$R$13*(1+$J$50)/($C65-$J$50)))-$J$49+J48)</f>
        <v>2528677490.5785193</v>
      </c>
      <c r="E65" s="101"/>
      <c r="F65" s="102">
        <f>((NPV($C65,$J$25:$P$25,$R$25+$R$25*(1+$J$50)/($C65-$J$50)))-$J$49+J48)</f>
        <v>3044938870.0465364</v>
      </c>
      <c r="G65" s="101"/>
      <c r="H65" s="103">
        <f>((NPV($C65,$J$38:$P$38,$R$38+$R$38*(1+$J$50)/($C65-$J$50)))-$J$49+J48)</f>
        <v>3616755343.8054981</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$1300000000.0mm as of 5/16/08.</v>
      </c>
      <c r="F69" s="87"/>
      <c r="G69" s="87"/>
      <c r="H69" s="87"/>
      <c r="I69" s="87"/>
      <c r="J69" s="87"/>
      <c r="L69" s="82"/>
      <c r="M69" s="165"/>
      <c r="N69" s="82"/>
    </row>
    <row r="70" spans="1:20">
      <c r="A70" s="1" t="str">
        <f>"(2)  Assumes outstanding diluted shares of "&amp;TEXT(J47,"0.000")&amp;" million."</f>
        <v>(2)  Assumes outstanding diluted shares of 77287094.000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A107">
        <v>22</v>
      </c>
      <c r="B107" s="135" t="s">
        <v>363</v>
      </c>
      <c r="F107" s="146"/>
    </row>
    <row r="108" spans="1:6">
      <c r="A108">
        <v>23</v>
      </c>
      <c r="B108" s="135" t="s">
        <v>364</v>
      </c>
      <c r="F108" s="146"/>
    </row>
    <row r="109" spans="1:6">
      <c r="A109">
        <v>24</v>
      </c>
      <c r="B109" s="135" t="s">
        <v>365</v>
      </c>
      <c r="F109" s="146"/>
    </row>
    <row r="110" spans="1:6">
      <c r="A110">
        <v>25</v>
      </c>
      <c r="B110" s="135" t="s">
        <v>366</v>
      </c>
      <c r="F110" s="146"/>
    </row>
    <row r="111" spans="1:6">
      <c r="A111">
        <v>26</v>
      </c>
      <c r="B111" s="135" t="s">
        <v>367</v>
      </c>
      <c r="F111" s="146"/>
    </row>
    <row r="112" spans="1:6">
      <c r="A112">
        <v>27</v>
      </c>
      <c r="B112" s="135" t="s">
        <v>368</v>
      </c>
      <c r="F112" s="146"/>
    </row>
    <row r="113" spans="2:6">
      <c r="B113" s="135"/>
      <c r="F113" s="146"/>
    </row>
    <row r="114" spans="2:6">
      <c r="B114" s="168" t="s">
        <v>192</v>
      </c>
      <c r="F114" s="146"/>
    </row>
    <row r="115" spans="2:6">
      <c r="B115" s="135" t="s">
        <v>193</v>
      </c>
      <c r="F115" s="146"/>
    </row>
    <row r="122" spans="2:6">
      <c r="B122" t="s">
        <v>194</v>
      </c>
    </row>
    <row r="123" spans="2:6">
      <c r="B123" t="s">
        <v>195</v>
      </c>
    </row>
  </sheetData>
  <mergeCells count="1">
    <mergeCell ref="H46:J46"/>
  </mergeCells>
  <conditionalFormatting sqref="B6:T13">
    <cfRule type="expression" dxfId="137" priority="6">
      <formula>MOD(ROW(),2)=0</formula>
    </cfRule>
  </conditionalFormatting>
  <conditionalFormatting sqref="B18:T25">
    <cfRule type="expression" dxfId="136" priority="5">
      <formula>MOD(ROW(),2)=0</formula>
    </cfRule>
  </conditionalFormatting>
  <conditionalFormatting sqref="B31:T39">
    <cfRule type="expression" dxfId="135" priority="4">
      <formula>MOD(ROW(),2)=0</formula>
    </cfRule>
  </conditionalFormatting>
  <conditionalFormatting sqref="D56:H58">
    <cfRule type="expression" dxfId="134" priority="3">
      <formula>MOD(ROW(),2)=0</formula>
    </cfRule>
  </conditionalFormatting>
  <conditionalFormatting sqref="D63:H65">
    <cfRule type="expression" dxfId="133" priority="2">
      <formula>MOD(ROW(),2)=0</formula>
    </cfRule>
  </conditionalFormatting>
  <conditionalFormatting sqref="C47:E51">
    <cfRule type="expression" dxfId="132" priority="1">
      <formula>MOD(ROW(),2)=0</formula>
    </cfRule>
  </conditionalFormatting>
  <pageMargins left="0.75" right="0.75" top="1" bottom="1" header="0.5" footer="0.5"/>
  <pageSetup paperSize="119"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123"/>
  <sheetViews>
    <sheetView showGridLines="0" topLeftCell="A19" zoomScaleNormal="100" workbookViewId="0">
      <selection activeCell="H57" sqref="H5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2018</v>
      </c>
      <c r="J4" s="27">
        <f>H4+1</f>
        <v>2019</v>
      </c>
      <c r="K4" s="20"/>
      <c r="L4" s="27">
        <f>J4+1</f>
        <v>2020</v>
      </c>
      <c r="M4" s="20"/>
      <c r="N4" s="60">
        <f>L4+1</f>
        <v>2021</v>
      </c>
      <c r="O4" s="21"/>
      <c r="P4" s="60">
        <f>N4+1</f>
        <v>2022</v>
      </c>
      <c r="Q4" s="21"/>
      <c r="R4" s="60">
        <f>P4+1</f>
        <v>2023</v>
      </c>
      <c r="T4" s="28" t="s">
        <v>33</v>
      </c>
    </row>
    <row r="5" spans="1:24" ht="5.0999999999999996" customHeight="1"/>
    <row r="6" spans="1:24">
      <c r="B6" t="s">
        <v>26</v>
      </c>
      <c r="H6" s="75">
        <v>1000000000</v>
      </c>
      <c r="J6" s="75">
        <f>H6*C47</f>
        <v>990000000</v>
      </c>
      <c r="K6" s="121"/>
      <c r="L6" s="75">
        <f>J6*C48</f>
        <v>970200000</v>
      </c>
      <c r="M6" s="121"/>
      <c r="N6" s="75">
        <f>L6*C49</f>
        <v>941094000</v>
      </c>
      <c r="O6" s="75"/>
      <c r="P6" s="75">
        <f>N6*C50</f>
        <v>903450240</v>
      </c>
      <c r="Q6" s="75"/>
      <c r="R6" s="75">
        <f>P6*C51</f>
        <v>858277728</v>
      </c>
      <c r="T6" s="4">
        <f>(R6/J6)^(1/4)-1</f>
        <v>-3.5064771795532579E-2</v>
      </c>
    </row>
    <row r="7" spans="1:24">
      <c r="B7" s="23" t="s">
        <v>22</v>
      </c>
      <c r="H7" s="71">
        <v>0</v>
      </c>
      <c r="J7" s="71">
        <v>0</v>
      </c>
      <c r="L7" s="71">
        <v>0</v>
      </c>
      <c r="N7" s="71">
        <v>0</v>
      </c>
      <c r="P7" s="71">
        <v>0</v>
      </c>
      <c r="R7" s="71">
        <v>0</v>
      </c>
      <c r="T7" s="4"/>
    </row>
    <row r="8" spans="1:24">
      <c r="B8" t="s">
        <v>27</v>
      </c>
      <c r="H8" s="115">
        <f>H6+H7</f>
        <v>1000000000</v>
      </c>
      <c r="I8" s="73"/>
      <c r="J8" s="115">
        <f>J6+J7</f>
        <v>990000000</v>
      </c>
      <c r="K8" s="116"/>
      <c r="L8" s="115">
        <f>L6+L7</f>
        <v>970200000</v>
      </c>
      <c r="M8" s="116"/>
      <c r="N8" s="115">
        <f>N6+N7</f>
        <v>941094000</v>
      </c>
      <c r="O8" s="116"/>
      <c r="P8" s="115">
        <f>P6+P7</f>
        <v>903450240</v>
      </c>
      <c r="Q8" s="116"/>
      <c r="R8" s="115">
        <f>R6+R7</f>
        <v>858277728</v>
      </c>
      <c r="T8" s="4">
        <f>(R8/J8)^(1/4)-1</f>
        <v>-3.5064771795532579E-2</v>
      </c>
    </row>
    <row r="9" spans="1:24" s="39" customFormat="1">
      <c r="B9" s="39" t="s">
        <v>21</v>
      </c>
      <c r="H9" s="117">
        <f>-$J$51*H8</f>
        <v>-180000000</v>
      </c>
      <c r="I9"/>
      <c r="J9" s="117">
        <f>-$J$51*J8</f>
        <v>-178200000</v>
      </c>
      <c r="K9" s="114"/>
      <c r="L9" s="117">
        <f>-$J$51*L8</f>
        <v>-174636000</v>
      </c>
      <c r="M9" s="114"/>
      <c r="N9" s="117">
        <f>-$J$51*N8</f>
        <v>-169396920</v>
      </c>
      <c r="O9" s="114"/>
      <c r="P9" s="117">
        <f>-$J$51*P8</f>
        <v>-162621043.19999999</v>
      </c>
      <c r="Q9" s="114"/>
      <c r="R9" s="117">
        <f>-$J$51*R8</f>
        <v>-154489991.03999999</v>
      </c>
    </row>
    <row r="10" spans="1:24" s="2" customFormat="1">
      <c r="B10" s="2" t="s">
        <v>3</v>
      </c>
      <c r="H10" s="118">
        <f>SUM(H8:H9)</f>
        <v>820000000</v>
      </c>
      <c r="J10" s="118">
        <f>SUM(J8:J9)</f>
        <v>811800000</v>
      </c>
      <c r="K10" s="119"/>
      <c r="L10" s="118">
        <f>SUM(L8:L9)</f>
        <v>795564000</v>
      </c>
      <c r="M10" s="119"/>
      <c r="N10" s="118">
        <f>SUM(N8:N9)</f>
        <v>771697080</v>
      </c>
      <c r="O10" s="119"/>
      <c r="P10" s="118">
        <f>SUM(P8:P9)</f>
        <v>740829196.79999995</v>
      </c>
      <c r="Q10" s="119"/>
      <c r="R10" s="118">
        <f>SUM(R8:R9)</f>
        <v>703787736.96000004</v>
      </c>
      <c r="T10" s="4">
        <f>(R10/J10)^(1/4)-1</f>
        <v>-3.5064771795532579E-2</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-400000000</v>
      </c>
      <c r="I12" s="112"/>
      <c r="J12" s="112">
        <f>H12</f>
        <v>-400000000</v>
      </c>
      <c r="K12" s="112"/>
      <c r="L12" s="112">
        <f>J12</f>
        <v>-400000000</v>
      </c>
      <c r="M12" s="112"/>
      <c r="N12" s="112">
        <f>L12</f>
        <v>-400000000</v>
      </c>
      <c r="O12" s="112"/>
      <c r="P12" s="112">
        <f>N12</f>
        <v>-400000000</v>
      </c>
      <c r="Q12" s="112"/>
      <c r="R12" s="112">
        <f>P12</f>
        <v>-400000000</v>
      </c>
      <c r="X12" s="81"/>
    </row>
    <row r="13" spans="1:24">
      <c r="B13" s="2" t="s">
        <v>19</v>
      </c>
      <c r="H13" s="120">
        <f>SUM(H10:H12)</f>
        <v>420000000</v>
      </c>
      <c r="J13" s="120">
        <f>SUM(J10:J12)</f>
        <v>411800000</v>
      </c>
      <c r="K13" s="114"/>
      <c r="L13" s="120">
        <f>SUM(L10:L12)</f>
        <v>395564000</v>
      </c>
      <c r="M13" s="114"/>
      <c r="N13" s="120">
        <f>SUM(N10:N12)</f>
        <v>371697080</v>
      </c>
      <c r="O13" s="114"/>
      <c r="P13" s="120">
        <f>SUM(P10:P12)</f>
        <v>340829196.79999995</v>
      </c>
      <c r="Q13" s="114"/>
      <c r="R13" s="120">
        <f>SUM(R10:R12)</f>
        <v>303787736.96000004</v>
      </c>
      <c r="T13" s="4">
        <f>(R13/J13)^(1/4)-1</f>
        <v>-7.3232118868606699E-2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1000000000</v>
      </c>
      <c r="J18" s="75">
        <f>H18*D47</f>
        <v>1000000000</v>
      </c>
      <c r="K18" s="121"/>
      <c r="L18" s="75">
        <f>J18*D48</f>
        <v>1000000000</v>
      </c>
      <c r="M18" s="121"/>
      <c r="N18" s="75">
        <f>L18*D49</f>
        <v>1000000000</v>
      </c>
      <c r="O18" s="75"/>
      <c r="P18" s="75">
        <f>N18*D50</f>
        <v>1000000000</v>
      </c>
      <c r="Q18" s="75"/>
      <c r="R18" s="75">
        <f>P18*D51</f>
        <v>1000000000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1000000000</v>
      </c>
      <c r="I20" s="116"/>
      <c r="J20" s="115">
        <f>J18+J19</f>
        <v>1000000000</v>
      </c>
      <c r="K20" s="116"/>
      <c r="L20" s="115">
        <f>L18+L19</f>
        <v>1000000000</v>
      </c>
      <c r="M20" s="116"/>
      <c r="N20" s="115">
        <f>N18+N19</f>
        <v>1000000000</v>
      </c>
      <c r="O20" s="116"/>
      <c r="P20" s="115">
        <f>P18+P19</f>
        <v>1000000000</v>
      </c>
      <c r="Q20" s="116"/>
      <c r="R20" s="115">
        <f>R18+R19</f>
        <v>1000000000</v>
      </c>
      <c r="T20" s="4">
        <f>(R20/J20)^(1/4)-1</f>
        <v>0</v>
      </c>
    </row>
    <row r="21" spans="1:20">
      <c r="B21" s="39" t="s">
        <v>21</v>
      </c>
      <c r="C21" s="39"/>
      <c r="D21" s="39"/>
      <c r="E21" s="39"/>
      <c r="F21" s="39"/>
      <c r="G21" s="39"/>
      <c r="H21" s="117">
        <f>-$J$51*H20</f>
        <v>-180000000</v>
      </c>
      <c r="I21" s="114"/>
      <c r="J21" s="117">
        <f>-$J$51*J20</f>
        <v>-180000000</v>
      </c>
      <c r="K21" s="114"/>
      <c r="L21" s="117">
        <f>-$J$51*L20</f>
        <v>-180000000</v>
      </c>
      <c r="M21" s="114"/>
      <c r="N21" s="117">
        <f>-$J$51*N20</f>
        <v>-180000000</v>
      </c>
      <c r="O21" s="114"/>
      <c r="P21" s="117">
        <f>-$J$51*P20</f>
        <v>-180000000</v>
      </c>
      <c r="Q21" s="114"/>
      <c r="R21" s="117">
        <f>-$J$51*R20</f>
        <v>-180000000</v>
      </c>
      <c r="S21" s="39"/>
      <c r="T21" s="39"/>
    </row>
    <row r="22" spans="1:20">
      <c r="A22" s="2"/>
      <c r="B22" s="2" t="s">
        <v>3</v>
      </c>
      <c r="C22" s="2"/>
      <c r="D22" s="2"/>
      <c r="E22" s="2"/>
      <c r="F22" s="2"/>
      <c r="G22" s="2"/>
      <c r="H22" s="118">
        <f>SUM(H20:H21)</f>
        <v>820000000</v>
      </c>
      <c r="I22" s="119"/>
      <c r="J22" s="118">
        <f>SUM(J20:J21)</f>
        <v>820000000</v>
      </c>
      <c r="K22" s="119"/>
      <c r="L22" s="118">
        <f>SUM(L20:L21)</f>
        <v>820000000</v>
      </c>
      <c r="M22" s="119"/>
      <c r="N22" s="118">
        <f>SUM(N20:N21)</f>
        <v>820000000</v>
      </c>
      <c r="O22" s="119"/>
      <c r="P22" s="118">
        <f>SUM(P20:P21)</f>
        <v>820000000</v>
      </c>
      <c r="Q22" s="119"/>
      <c r="R22" s="118">
        <f>SUM(R20:R21)</f>
        <v>820000000</v>
      </c>
      <c r="S22" s="2"/>
      <c r="T22" s="4">
        <f>(R22/J22)^(1/4)-1</f>
        <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-400000000</v>
      </c>
      <c r="I24" s="112"/>
      <c r="J24" s="112">
        <f>J12</f>
        <v>-400000000</v>
      </c>
      <c r="K24" s="112"/>
      <c r="L24" s="112">
        <f>L12</f>
        <v>-400000000</v>
      </c>
      <c r="M24" s="112"/>
      <c r="N24" s="112">
        <f>N12</f>
        <v>-400000000</v>
      </c>
      <c r="O24" s="112"/>
      <c r="P24" s="112">
        <f>P12</f>
        <v>-400000000</v>
      </c>
      <c r="Q24" s="112"/>
      <c r="R24" s="112">
        <f>R12</f>
        <v>-400000000</v>
      </c>
    </row>
    <row r="25" spans="1:20">
      <c r="B25" s="2" t="s">
        <v>19</v>
      </c>
      <c r="H25" s="120">
        <f>SUM(H22:H24)</f>
        <v>420000000</v>
      </c>
      <c r="I25" s="114"/>
      <c r="J25" s="120">
        <f>SUM(J22:J24)</f>
        <v>420000000</v>
      </c>
      <c r="K25" s="114"/>
      <c r="L25" s="120">
        <f>SUM(L22:L24)</f>
        <v>420000000</v>
      </c>
      <c r="M25" s="114"/>
      <c r="N25" s="120">
        <f>SUM(N22:N24)</f>
        <v>420000000</v>
      </c>
      <c r="O25" s="114"/>
      <c r="P25" s="120">
        <f>SUM(P22:P24)</f>
        <v>420000000</v>
      </c>
      <c r="Q25" s="114"/>
      <c r="R25" s="120">
        <f>SUM(R22:R24)</f>
        <v>420000000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1000000000</v>
      </c>
      <c r="J31" s="75">
        <f>H31*E47</f>
        <v>1010000000</v>
      </c>
      <c r="K31" s="121"/>
      <c r="L31" s="75">
        <f>J31*E48</f>
        <v>1030200000</v>
      </c>
      <c r="M31" s="121"/>
      <c r="N31" s="75">
        <f>L31*E49</f>
        <v>1061106000</v>
      </c>
      <c r="O31" s="75"/>
      <c r="P31" s="75">
        <f>N31*E50</f>
        <v>1103550240</v>
      </c>
      <c r="Q31" s="75"/>
      <c r="R31" s="75">
        <f>P31*E51</f>
        <v>1158727752</v>
      </c>
      <c r="T31" s="4">
        <f>(R31/J31)^(1/4)-1</f>
        <v>3.4939609509608838E-2</v>
      </c>
    </row>
    <row r="32" spans="1:20">
      <c r="B32" s="23" t="s">
        <v>22</v>
      </c>
      <c r="H32" s="71">
        <f>H7</f>
        <v>0</v>
      </c>
      <c r="J32" s="71">
        <f>J7</f>
        <v>0</v>
      </c>
      <c r="L32" s="71">
        <f>L7</f>
        <v>0</v>
      </c>
      <c r="N32" s="71">
        <f>N7</f>
        <v>0</v>
      </c>
      <c r="P32" s="71">
        <f>P7</f>
        <v>0</v>
      </c>
      <c r="R32" s="71">
        <f>R7</f>
        <v>0</v>
      </c>
      <c r="T32" s="4"/>
    </row>
    <row r="33" spans="1:24">
      <c r="B33" t="s">
        <v>27</v>
      </c>
      <c r="H33" s="115">
        <f>H31+H32</f>
        <v>1000000000</v>
      </c>
      <c r="I33" s="116"/>
      <c r="J33" s="115">
        <f>J31+J32</f>
        <v>1010000000</v>
      </c>
      <c r="K33" s="116"/>
      <c r="L33" s="115">
        <f>L31+L32</f>
        <v>1030200000</v>
      </c>
      <c r="M33" s="116"/>
      <c r="N33" s="115">
        <f>N31+N32</f>
        <v>1061106000</v>
      </c>
      <c r="O33" s="116"/>
      <c r="P33" s="115">
        <f>P31+P32</f>
        <v>1103550240</v>
      </c>
      <c r="Q33" s="116"/>
      <c r="R33" s="115">
        <f>R31+R32</f>
        <v>1158727752</v>
      </c>
      <c r="T33" s="4">
        <f>(R33/J33)^(1/4)-1</f>
        <v>3.4939609509608838E-2</v>
      </c>
    </row>
    <row r="34" spans="1:24">
      <c r="B34" s="39" t="s">
        <v>21</v>
      </c>
      <c r="C34" s="39"/>
      <c r="D34" s="39"/>
      <c r="E34" s="39"/>
      <c r="F34" s="39"/>
      <c r="G34" s="39"/>
      <c r="H34" s="117">
        <f>-$J$51*H33</f>
        <v>-180000000</v>
      </c>
      <c r="I34" s="114"/>
      <c r="J34" s="117">
        <f>-$J$51*J33</f>
        <v>-181800000</v>
      </c>
      <c r="K34" s="114"/>
      <c r="L34" s="117">
        <f>-$J$51*L33</f>
        <v>-185436000</v>
      </c>
      <c r="M34" s="114"/>
      <c r="N34" s="117">
        <f>-$J$51*N33</f>
        <v>-190999080</v>
      </c>
      <c r="O34" s="114"/>
      <c r="P34" s="117">
        <f>-$J$51*P33</f>
        <v>-198639043.19999999</v>
      </c>
      <c r="Q34" s="114"/>
      <c r="R34" s="117">
        <f>-$J$51*R33</f>
        <v>-208570995.35999998</v>
      </c>
      <c r="S34" s="39"/>
      <c r="T34" s="39"/>
    </row>
    <row r="35" spans="1:24">
      <c r="A35" s="2"/>
      <c r="B35" s="2" t="s">
        <v>3</v>
      </c>
      <c r="C35" s="2"/>
      <c r="D35" s="2"/>
      <c r="E35" s="2"/>
      <c r="F35" s="2"/>
      <c r="G35" s="2"/>
      <c r="H35" s="118">
        <f>SUM(H33:H34)</f>
        <v>820000000</v>
      </c>
      <c r="I35" s="119"/>
      <c r="J35" s="118">
        <f>SUM(J33:J34)</f>
        <v>828200000</v>
      </c>
      <c r="K35" s="119"/>
      <c r="L35" s="118">
        <f>SUM(L33:L34)</f>
        <v>844764000</v>
      </c>
      <c r="M35" s="119"/>
      <c r="N35" s="118">
        <f>SUM(N33:N34)</f>
        <v>870106920</v>
      </c>
      <c r="O35" s="119"/>
      <c r="P35" s="118">
        <f>SUM(P33:P34)</f>
        <v>904911196.79999995</v>
      </c>
      <c r="Q35" s="119"/>
      <c r="R35" s="118">
        <f>SUM(R33:R34)</f>
        <v>950156756.63999999</v>
      </c>
      <c r="S35" s="2"/>
      <c r="T35" s="4">
        <f>(R35/J35)^(1/4)-1</f>
        <v>3.4939609509608838E-2</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-400000000</v>
      </c>
      <c r="I37" s="112"/>
      <c r="J37" s="112">
        <f>J12</f>
        <v>-400000000</v>
      </c>
      <c r="K37" s="112"/>
      <c r="L37" s="112">
        <f>L12</f>
        <v>-400000000</v>
      </c>
      <c r="M37" s="112"/>
      <c r="N37" s="112">
        <f>N12</f>
        <v>-400000000</v>
      </c>
      <c r="O37" s="112"/>
      <c r="P37" s="112">
        <f>P12</f>
        <v>-400000000</v>
      </c>
      <c r="Q37" s="112"/>
      <c r="R37" s="112">
        <f>R12</f>
        <v>-400000000</v>
      </c>
    </row>
    <row r="38" spans="1:24">
      <c r="B38" s="2" t="s">
        <v>19</v>
      </c>
      <c r="H38" s="120">
        <f>SUM(H35:H37)</f>
        <v>420000000</v>
      </c>
      <c r="I38" s="153"/>
      <c r="J38" s="120">
        <f>SUM(J35:J37)</f>
        <v>428200000</v>
      </c>
      <c r="K38" s="114"/>
      <c r="L38" s="120">
        <f>SUM(L35:L37)</f>
        <v>444764000</v>
      </c>
      <c r="M38" s="114"/>
      <c r="N38" s="120">
        <f>SUM(N35:N37)</f>
        <v>470106920</v>
      </c>
      <c r="O38" s="114"/>
      <c r="P38" s="120">
        <f>SUM(P35:P37)</f>
        <v>504911196.79999995</v>
      </c>
      <c r="Q38" s="114"/>
      <c r="R38" s="120">
        <f>SUM(R35:R37)</f>
        <v>550156756.63999999</v>
      </c>
      <c r="T38" s="4">
        <f>(R38/J38)^(1/4)-1</f>
        <v>6.4657571534088465E-2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2019</v>
      </c>
      <c r="C47" s="88">
        <v>0.99</v>
      </c>
      <c r="D47" s="88">
        <v>1</v>
      </c>
      <c r="E47" s="88">
        <v>1.01</v>
      </c>
      <c r="H47" s="156" t="s">
        <v>15</v>
      </c>
      <c r="I47" s="156"/>
      <c r="J47" s="161">
        <v>167037003</v>
      </c>
      <c r="M47" t="s">
        <v>55</v>
      </c>
      <c r="P47" s="2"/>
      <c r="X47" s="127"/>
    </row>
    <row r="48" spans="1:24">
      <c r="B48" s="90">
        <f>B47+1</f>
        <v>2020</v>
      </c>
      <c r="C48" s="88">
        <v>0.98</v>
      </c>
      <c r="D48" s="88">
        <v>1</v>
      </c>
      <c r="E48" s="88">
        <v>1.02</v>
      </c>
      <c r="H48" s="156" t="s">
        <v>99</v>
      </c>
      <c r="I48" s="156"/>
      <c r="J48" s="157">
        <v>1201000000</v>
      </c>
      <c r="M48" t="s">
        <v>56</v>
      </c>
      <c r="P48" s="2"/>
      <c r="X48" s="127"/>
    </row>
    <row r="49" spans="2:24">
      <c r="B49" s="90">
        <f>B48+1</f>
        <v>2021</v>
      </c>
      <c r="C49" s="88">
        <v>0.97</v>
      </c>
      <c r="D49" s="88">
        <v>1</v>
      </c>
      <c r="E49" s="88">
        <v>1.03</v>
      </c>
      <c r="H49" s="156" t="s">
        <v>14</v>
      </c>
      <c r="I49" s="156"/>
      <c r="J49" s="157">
        <v>3959000000</v>
      </c>
      <c r="M49" t="s">
        <v>58</v>
      </c>
      <c r="P49" s="2"/>
      <c r="X49" s="127"/>
    </row>
    <row r="50" spans="2:24">
      <c r="B50" s="90">
        <f>B49+1</f>
        <v>2022</v>
      </c>
      <c r="C50" s="88">
        <v>0.96</v>
      </c>
      <c r="D50" s="88">
        <v>1</v>
      </c>
      <c r="E50" s="88">
        <v>1.04</v>
      </c>
      <c r="H50" s="155" t="s">
        <v>16</v>
      </c>
      <c r="I50" s="156"/>
      <c r="J50" s="158">
        <v>0.02</v>
      </c>
      <c r="M50" t="s">
        <v>59</v>
      </c>
      <c r="P50" s="2"/>
      <c r="X50" s="127"/>
    </row>
    <row r="51" spans="2:24">
      <c r="B51" s="90">
        <f>B50+1</f>
        <v>2023</v>
      </c>
      <c r="C51" s="88">
        <v>0.95</v>
      </c>
      <c r="D51" s="88">
        <v>1</v>
      </c>
      <c r="E51" s="88">
        <v>1.05</v>
      </c>
      <c r="H51" s="156" t="s">
        <v>2</v>
      </c>
      <c r="I51" s="156"/>
      <c r="J51" s="158">
        <v>0.18</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f>((NPV($C56,$J$13:$P$13,$R$13+$R$13*(1+$J$50)/($C56-$J$50)))-$J$49+J48)/$J$47</f>
        <v>13.347727246266402</v>
      </c>
      <c r="E56" s="93"/>
      <c r="F56" s="94">
        <f>((NPV($C56,$J$25:$P$25,$R$25+$R$25*(1+$J$50)/($C56-$J$50)))-$J$49+J48)/$J$47</f>
        <v>22.619552401774069</v>
      </c>
      <c r="G56" s="93"/>
      <c r="H56" s="123">
        <f>((NPV($C56,$J$38:$P$38,$R$38+$R$38*(1+$J$50)/($C56-$J$50)))-$J$49+J48)/$J$47</f>
        <v>32.949583958375648</v>
      </c>
      <c r="I56" s="10"/>
      <c r="J56" s="11"/>
      <c r="M56" s="135" t="s">
        <v>186</v>
      </c>
      <c r="Q56" s="87"/>
      <c r="R56" s="91"/>
      <c r="S56" s="87"/>
      <c r="T56" s="91"/>
    </row>
    <row r="57" spans="2:24">
      <c r="B57" s="84" t="s">
        <v>28</v>
      </c>
      <c r="C57" s="4">
        <v>0.11</v>
      </c>
      <c r="D57" s="96">
        <f>((NPV($C57,$J$13:$P$13,$R$13+$R$13*(1+$J$50)/($C57-$J$50)))-$J$49+J48)/$J$47</f>
        <v>3.9142782075338105</v>
      </c>
      <c r="E57" s="97"/>
      <c r="F57" s="98">
        <f>((NPV($C57,$J$25:$P$25,$R$25+$R$25*(1+$J$50)/($C57-$J$50)))-$J$49+J48)/$J$47</f>
        <v>9.693092188510553</v>
      </c>
      <c r="G57" s="97"/>
      <c r="H57" s="99">
        <f>((NPV($C57,$J$38:$P$38,$R$38+$R$38*(1+$J$50)/($C57-$J$50)))-$J$49+J48)/$J$47</f>
        <v>16.115055010260654</v>
      </c>
      <c r="I57" s="44"/>
      <c r="J57" s="43"/>
      <c r="Q57" s="87"/>
      <c r="R57" s="91"/>
      <c r="S57" s="87"/>
      <c r="T57" s="91"/>
    </row>
    <row r="58" spans="2:24">
      <c r="B58" s="8" t="s">
        <v>10</v>
      </c>
      <c r="C58" s="4">
        <v>0.15</v>
      </c>
      <c r="D58" s="100">
        <f>((NPV($C58,$J$13:$P$13,$R$13+$R$13*(1+$J$50)/($C58-$J$50)))-$J$49+J48)/$J$47</f>
        <v>-1.9483907222892407</v>
      </c>
      <c r="E58" s="101"/>
      <c r="F58" s="102">
        <f>((NPV($C58,$J$25:$P$25,$R$25+$R$25*(1+$J$50)/($C58-$J$50)))-$J$49+J48)/$J$47</f>
        <v>1.7259271934729539</v>
      </c>
      <c r="G58" s="101"/>
      <c r="H58" s="103">
        <f>((NPV($C58,$J$38:$P$38,$R$38+$R$38*(1+$J$50)/($C58-$J$50)))-$J$49+J48)/$J$47</f>
        <v>5.7956399351572863</v>
      </c>
      <c r="I58" s="44"/>
      <c r="J58" s="43"/>
      <c r="L58" t="s">
        <v>196</v>
      </c>
      <c r="Q58" s="87"/>
      <c r="R58" s="91"/>
      <c r="S58" s="87"/>
      <c r="T58" s="91"/>
    </row>
    <row r="59" spans="2:24">
      <c r="C59" s="4"/>
      <c r="D59" s="23"/>
      <c r="I59" s="23"/>
      <c r="J59" s="136"/>
      <c r="L59" t="s">
        <v>187</v>
      </c>
      <c r="M59" s="146"/>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188</v>
      </c>
      <c r="I62" s="62"/>
      <c r="J62" s="61"/>
      <c r="L62" s="23"/>
      <c r="M62" s="160"/>
      <c r="N62" s="129"/>
      <c r="O62" s="23"/>
      <c r="P62" s="87"/>
      <c r="Q62" s="87"/>
      <c r="R62" s="87"/>
      <c r="S62" s="87"/>
      <c r="T62" s="87"/>
    </row>
    <row r="63" spans="2:24">
      <c r="B63" s="84" t="s">
        <v>8</v>
      </c>
      <c r="C63" s="4">
        <f>C56</f>
        <v>0.08</v>
      </c>
      <c r="D63" s="92">
        <f>((NPV($C63,$J$13:$P$13,$R$13+$R$13*(1+$J$50)/($C63-$J$50)))-$J$49+J48)</f>
        <v>2229564356.0777826</v>
      </c>
      <c r="E63" s="93"/>
      <c r="F63" s="94">
        <f>((NPV($C63,$J$25:$P$25,$R$25+$R$25*(1+$J$50)/($C63-$J$50)))-$J$49+J48)</f>
        <v>3778302242.3937922</v>
      </c>
      <c r="G63" s="93"/>
      <c r="H63" s="95">
        <f>((NPV($C63,$J$38:$P$38,$R$38+$R$38*(1+$J$50)/($C63-$J$50)))-$J$49+J48)</f>
        <v>5503799754.5039454</v>
      </c>
      <c r="I63" s="17"/>
      <c r="J63" s="18"/>
      <c r="L63" s="23"/>
      <c r="M63" s="167"/>
      <c r="N63" s="23"/>
      <c r="O63" s="23"/>
      <c r="P63" s="98"/>
      <c r="Q63" s="97"/>
      <c r="R63" s="98"/>
      <c r="S63" s="97"/>
      <c r="T63" s="98"/>
    </row>
    <row r="64" spans="2:24">
      <c r="B64" s="84" t="s">
        <v>28</v>
      </c>
      <c r="C64" s="4">
        <f>C57</f>
        <v>0.11</v>
      </c>
      <c r="D64" s="96">
        <f>((NPV($C64,$J$13:$P$13,$R$13+$R$13*(1+$J$50)/($C64-$J$50)))-$J$49+J48)</f>
        <v>653829300.69465971</v>
      </c>
      <c r="E64" s="97"/>
      <c r="F64" s="98">
        <f>((NPV($C64,$J$25:$P$25,$R$25+$R$25*(1+$J$50)/($C64-$J$50)))-$J$49+J48)</f>
        <v>1619105068.9715137</v>
      </c>
      <c r="G64" s="97"/>
      <c r="H64" s="122">
        <f>((NPV($C64,$J$38:$P$38,$R$38+$R$38*(1+$J$50)/($C64-$J$50)))-$J$49+J48)</f>
        <v>2691810492.0940742</v>
      </c>
      <c r="I64" s="17"/>
      <c r="J64" s="18"/>
      <c r="L64" s="23"/>
      <c r="M64" s="167"/>
      <c r="N64" s="23"/>
      <c r="O64" s="23"/>
      <c r="P64" s="98"/>
      <c r="Q64" s="97"/>
      <c r="R64" s="98"/>
      <c r="S64" s="97"/>
      <c r="T64" s="98"/>
    </row>
    <row r="65" spans="1:20">
      <c r="B65" s="8" t="s">
        <v>10</v>
      </c>
      <c r="C65" s="4">
        <f>C58</f>
        <v>0.15</v>
      </c>
      <c r="D65" s="100">
        <f>((NPV($C65,$J$13:$P$13,$R$13+$R$13*(1+$J$50)/($C65-$J$50)))-$J$49+J48)</f>
        <v>-325453346.92420006</v>
      </c>
      <c r="E65" s="101"/>
      <c r="F65" s="102">
        <f>((NPV($C65,$J$25:$P$25,$R$25+$R$25*(1+$J$50)/($C65-$J$50)))-$J$49+J48)</f>
        <v>288293705.79392338</v>
      </c>
      <c r="G65" s="101"/>
      <c r="H65" s="103">
        <f>((NPV($C65,$J$38:$P$38,$R$38+$R$38*(1+$J$50)/($C65-$J$50)))-$J$49+J48)</f>
        <v>968086325.23578739</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$3959000000.0mm as of 5/16/08.</v>
      </c>
      <c r="F69" s="87"/>
      <c r="G69" s="87"/>
      <c r="H69" s="87"/>
      <c r="I69" s="87"/>
      <c r="J69" s="87"/>
      <c r="L69" s="82"/>
      <c r="M69" s="165"/>
      <c r="N69" s="82"/>
    </row>
    <row r="70" spans="1:20">
      <c r="A70" s="1" t="str">
        <f>"(2)  Assumes outstanding diluted shares of "&amp;TEXT(J47,"0.000")&amp;" million."</f>
        <v>(2)  Assumes outstanding diluted shares of 167037003.000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A107">
        <v>22</v>
      </c>
      <c r="B107" s="135" t="s">
        <v>363</v>
      </c>
      <c r="F107" s="146"/>
    </row>
    <row r="108" spans="1:6">
      <c r="A108">
        <v>23</v>
      </c>
      <c r="B108" s="135" t="s">
        <v>364</v>
      </c>
      <c r="F108" s="146"/>
    </row>
    <row r="109" spans="1:6">
      <c r="A109">
        <v>24</v>
      </c>
      <c r="B109" s="135" t="s">
        <v>365</v>
      </c>
      <c r="F109" s="146"/>
    </row>
    <row r="110" spans="1:6">
      <c r="A110">
        <v>25</v>
      </c>
      <c r="B110" s="135" t="s">
        <v>366</v>
      </c>
      <c r="F110" s="146"/>
    </row>
    <row r="111" spans="1:6">
      <c r="A111">
        <v>26</v>
      </c>
      <c r="B111" s="135" t="s">
        <v>367</v>
      </c>
      <c r="F111" s="146"/>
    </row>
    <row r="112" spans="1:6">
      <c r="A112">
        <v>27</v>
      </c>
      <c r="B112" s="135" t="s">
        <v>368</v>
      </c>
      <c r="F112" s="146"/>
    </row>
    <row r="113" spans="2:6">
      <c r="B113" s="135"/>
      <c r="F113" s="146"/>
    </row>
    <row r="114" spans="2:6">
      <c r="B114" s="168" t="s">
        <v>192</v>
      </c>
      <c r="F114" s="146"/>
    </row>
    <row r="115" spans="2:6">
      <c r="B115" s="135" t="s">
        <v>193</v>
      </c>
      <c r="F115" s="146"/>
    </row>
    <row r="122" spans="2:6">
      <c r="B122" t="s">
        <v>194</v>
      </c>
    </row>
    <row r="123" spans="2:6">
      <c r="B123" t="s">
        <v>195</v>
      </c>
    </row>
  </sheetData>
  <mergeCells count="1">
    <mergeCell ref="H46:J46"/>
  </mergeCells>
  <conditionalFormatting sqref="B6:T13">
    <cfRule type="expression" dxfId="143" priority="6">
      <formula>MOD(ROW(),2)=0</formula>
    </cfRule>
  </conditionalFormatting>
  <conditionalFormatting sqref="B18:T25">
    <cfRule type="expression" dxfId="142" priority="5">
      <formula>MOD(ROW(),2)=0</formula>
    </cfRule>
  </conditionalFormatting>
  <conditionalFormatting sqref="B31:T39">
    <cfRule type="expression" dxfId="141" priority="4">
      <formula>MOD(ROW(),2)=0</formula>
    </cfRule>
  </conditionalFormatting>
  <conditionalFormatting sqref="D56:H58">
    <cfRule type="expression" dxfId="140" priority="3">
      <formula>MOD(ROW(),2)=0</formula>
    </cfRule>
  </conditionalFormatting>
  <conditionalFormatting sqref="D63:H65">
    <cfRule type="expression" dxfId="139" priority="2">
      <formula>MOD(ROW(),2)=0</formula>
    </cfRule>
  </conditionalFormatting>
  <conditionalFormatting sqref="C47:E51">
    <cfRule type="expression" dxfId="138" priority="1">
      <formula>MOD(ROW(),2)=0</formula>
    </cfRule>
  </conditionalFormatting>
  <pageMargins left="0.75" right="0.75" top="1" bottom="1" header="0.5" footer="0.5"/>
  <pageSetup paperSize="119"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X123"/>
  <sheetViews>
    <sheetView showGridLines="0" topLeftCell="C1" zoomScaleNormal="100" workbookViewId="0">
      <selection activeCell="E2" sqref="E2"/>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2018</v>
      </c>
      <c r="J4" s="27">
        <f>H4+1</f>
        <v>2019</v>
      </c>
      <c r="K4" s="20"/>
      <c r="L4" s="27">
        <f>J4+1</f>
        <v>2020</v>
      </c>
      <c r="M4" s="20"/>
      <c r="N4" s="60">
        <f>L4+1</f>
        <v>2021</v>
      </c>
      <c r="O4" s="21"/>
      <c r="P4" s="60">
        <f>N4+1</f>
        <v>2022</v>
      </c>
      <c r="Q4" s="21"/>
      <c r="R4" s="60">
        <f>P4+1</f>
        <v>2023</v>
      </c>
      <c r="T4" s="28" t="s">
        <v>33</v>
      </c>
    </row>
    <row r="5" spans="1:24" ht="5.0999999999999996" customHeight="1"/>
    <row r="6" spans="1:24">
      <c r="B6" t="s">
        <v>26</v>
      </c>
      <c r="H6" s="75">
        <v>8000000000</v>
      </c>
      <c r="J6" s="75">
        <f>H6*C47</f>
        <v>7920000000</v>
      </c>
      <c r="K6" s="121"/>
      <c r="L6" s="75">
        <f>J6*C48</f>
        <v>7761600000</v>
      </c>
      <c r="M6" s="121"/>
      <c r="N6" s="75">
        <f>L6*C49</f>
        <v>7528752000</v>
      </c>
      <c r="O6" s="75"/>
      <c r="P6" s="75">
        <f>N6*C50</f>
        <v>7227601920</v>
      </c>
      <c r="Q6" s="75"/>
      <c r="R6" s="75">
        <f>P6*C51</f>
        <v>6866221824</v>
      </c>
      <c r="T6" s="4">
        <f>(R6/J6)^(1/4)-1</f>
        <v>-3.5064771795532579E-2</v>
      </c>
    </row>
    <row r="7" spans="1:24">
      <c r="B7" s="23" t="s">
        <v>22</v>
      </c>
      <c r="H7" s="71">
        <v>0</v>
      </c>
      <c r="J7" s="71">
        <v>0</v>
      </c>
      <c r="L7" s="71">
        <v>0</v>
      </c>
      <c r="N7" s="71">
        <v>0</v>
      </c>
      <c r="P7" s="71">
        <v>0</v>
      </c>
      <c r="R7" s="71">
        <v>0</v>
      </c>
      <c r="T7" s="4"/>
    </row>
    <row r="8" spans="1:24">
      <c r="B8" t="s">
        <v>27</v>
      </c>
      <c r="H8" s="115">
        <f>H6+H7</f>
        <v>8000000000</v>
      </c>
      <c r="I8" s="73"/>
      <c r="J8" s="115">
        <f>J6+J7</f>
        <v>7920000000</v>
      </c>
      <c r="K8" s="116"/>
      <c r="L8" s="115">
        <f>L6+L7</f>
        <v>7761600000</v>
      </c>
      <c r="M8" s="116"/>
      <c r="N8" s="115">
        <f>N6+N7</f>
        <v>7528752000</v>
      </c>
      <c r="O8" s="116"/>
      <c r="P8" s="115">
        <f>P6+P7</f>
        <v>7227601920</v>
      </c>
      <c r="Q8" s="116"/>
      <c r="R8" s="115">
        <f>R6+R7</f>
        <v>6866221824</v>
      </c>
      <c r="T8" s="4">
        <f>(R8/J8)^(1/4)-1</f>
        <v>-3.5064771795532579E-2</v>
      </c>
    </row>
    <row r="9" spans="1:24" s="39" customFormat="1">
      <c r="B9" s="39" t="s">
        <v>21</v>
      </c>
      <c r="H9" s="117">
        <f>-$J$51*H8</f>
        <v>-2240000000</v>
      </c>
      <c r="I9"/>
      <c r="J9" s="117">
        <f>-$J$51*J8</f>
        <v>-2217600000</v>
      </c>
      <c r="K9" s="114"/>
      <c r="L9" s="117">
        <f>-$J$51*L8</f>
        <v>-2173248000</v>
      </c>
      <c r="M9" s="114"/>
      <c r="N9" s="117">
        <f>-$J$51*N8</f>
        <v>-2108050560.0000002</v>
      </c>
      <c r="O9" s="114"/>
      <c r="P9" s="117">
        <f>-$J$51*P8</f>
        <v>-2023728537.6000001</v>
      </c>
      <c r="Q9" s="114"/>
      <c r="R9" s="117">
        <f>-$J$51*R8</f>
        <v>-1922542110.7200003</v>
      </c>
    </row>
    <row r="10" spans="1:24" s="2" customFormat="1">
      <c r="B10" s="2" t="s">
        <v>3</v>
      </c>
      <c r="H10" s="118">
        <f>SUM(H8:H9)</f>
        <v>5760000000</v>
      </c>
      <c r="J10" s="118">
        <f>SUM(J8:J9)</f>
        <v>5702400000</v>
      </c>
      <c r="K10" s="119"/>
      <c r="L10" s="118">
        <f>SUM(L8:L9)</f>
        <v>5588352000</v>
      </c>
      <c r="M10" s="119"/>
      <c r="N10" s="118">
        <f>SUM(N8:N9)</f>
        <v>5420701440</v>
      </c>
      <c r="O10" s="119"/>
      <c r="P10" s="118">
        <f>SUM(P8:P9)</f>
        <v>5203873382.3999996</v>
      </c>
      <c r="Q10" s="119"/>
      <c r="R10" s="118">
        <f>SUM(R8:R9)</f>
        <v>4943679713.2799997</v>
      </c>
      <c r="T10" s="4">
        <f>(R10/J10)^(1/4)-1</f>
        <v>-3.506477179553269E-2</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5760000000</v>
      </c>
      <c r="J13" s="120">
        <f>SUM(J10:J12)</f>
        <v>5702400000</v>
      </c>
      <c r="K13" s="114"/>
      <c r="L13" s="120">
        <f>SUM(L10:L12)</f>
        <v>5588352000</v>
      </c>
      <c r="M13" s="114"/>
      <c r="N13" s="120">
        <f>SUM(N10:N12)</f>
        <v>5420701440</v>
      </c>
      <c r="O13" s="114"/>
      <c r="P13" s="120">
        <f>SUM(P10:P12)</f>
        <v>5203873382.3999996</v>
      </c>
      <c r="Q13" s="114"/>
      <c r="R13" s="120">
        <f>SUM(R10:R12)</f>
        <v>4943679713.2799997</v>
      </c>
      <c r="T13" s="4">
        <f>(R13/J13)^(1/4)-1</f>
        <v>-3.506477179553269E-2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8000000000</v>
      </c>
      <c r="J18" s="75">
        <f>H18*D47</f>
        <v>8000000000</v>
      </c>
      <c r="K18" s="121"/>
      <c r="L18" s="75">
        <f>J18*D48</f>
        <v>8000000000</v>
      </c>
      <c r="M18" s="121"/>
      <c r="N18" s="75">
        <f>L18*D49</f>
        <v>8000000000</v>
      </c>
      <c r="O18" s="75"/>
      <c r="P18" s="75">
        <f>N18*D50</f>
        <v>8000000000</v>
      </c>
      <c r="Q18" s="75"/>
      <c r="R18" s="75">
        <f>P18*D51</f>
        <v>8000000000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8000000000</v>
      </c>
      <c r="I20" s="116"/>
      <c r="J20" s="115">
        <f>J18+J19</f>
        <v>8000000000</v>
      </c>
      <c r="K20" s="116"/>
      <c r="L20" s="115">
        <f>L18+L19</f>
        <v>8000000000</v>
      </c>
      <c r="M20" s="116"/>
      <c r="N20" s="115">
        <f>N18+N19</f>
        <v>8000000000</v>
      </c>
      <c r="O20" s="116"/>
      <c r="P20" s="115">
        <f>P18+P19</f>
        <v>8000000000</v>
      </c>
      <c r="Q20" s="116"/>
      <c r="R20" s="115">
        <f>R18+R19</f>
        <v>8000000000</v>
      </c>
      <c r="T20" s="4">
        <f>(R20/J20)^(1/4)-1</f>
        <v>0</v>
      </c>
    </row>
    <row r="21" spans="1:20">
      <c r="B21" s="39" t="s">
        <v>21</v>
      </c>
      <c r="C21" s="39"/>
      <c r="D21" s="39"/>
      <c r="E21" s="39"/>
      <c r="F21" s="39"/>
      <c r="G21" s="39"/>
      <c r="H21" s="117">
        <f>-$J$51*H20</f>
        <v>-2240000000</v>
      </c>
      <c r="I21" s="114"/>
      <c r="J21" s="117">
        <f>-$J$51*J20</f>
        <v>-2240000000</v>
      </c>
      <c r="K21" s="114"/>
      <c r="L21" s="117">
        <f>-$J$51*L20</f>
        <v>-2240000000</v>
      </c>
      <c r="M21" s="114"/>
      <c r="N21" s="117">
        <f>-$J$51*N20</f>
        <v>-2240000000</v>
      </c>
      <c r="O21" s="114"/>
      <c r="P21" s="117">
        <f>-$J$51*P20</f>
        <v>-2240000000</v>
      </c>
      <c r="Q21" s="114"/>
      <c r="R21" s="117">
        <f>-$J$51*R20</f>
        <v>-2240000000</v>
      </c>
      <c r="S21" s="39"/>
      <c r="T21" s="39"/>
    </row>
    <row r="22" spans="1:20">
      <c r="A22" s="2"/>
      <c r="B22" s="2" t="s">
        <v>3</v>
      </c>
      <c r="C22" s="2"/>
      <c r="D22" s="2"/>
      <c r="E22" s="2"/>
      <c r="F22" s="2"/>
      <c r="G22" s="2"/>
      <c r="H22" s="118">
        <f>SUM(H20:H21)</f>
        <v>5760000000</v>
      </c>
      <c r="I22" s="119"/>
      <c r="J22" s="118">
        <f>SUM(J20:J21)</f>
        <v>5760000000</v>
      </c>
      <c r="K22" s="119"/>
      <c r="L22" s="118">
        <f>SUM(L20:L21)</f>
        <v>5760000000</v>
      </c>
      <c r="M22" s="119"/>
      <c r="N22" s="118">
        <f>SUM(N20:N21)</f>
        <v>5760000000</v>
      </c>
      <c r="O22" s="119"/>
      <c r="P22" s="118">
        <f>SUM(P20:P21)</f>
        <v>5760000000</v>
      </c>
      <c r="Q22" s="119"/>
      <c r="R22" s="118">
        <f>SUM(R20:R21)</f>
        <v>5760000000</v>
      </c>
      <c r="S22" s="2"/>
      <c r="T22" s="4">
        <f>(R22/J22)^(1/4)-1</f>
        <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5760000000</v>
      </c>
      <c r="I25" s="114"/>
      <c r="J25" s="120">
        <f>SUM(J22:J24)</f>
        <v>5760000000</v>
      </c>
      <c r="K25" s="114"/>
      <c r="L25" s="120">
        <f>SUM(L22:L24)</f>
        <v>5760000000</v>
      </c>
      <c r="M25" s="114"/>
      <c r="N25" s="120">
        <f>SUM(N22:N24)</f>
        <v>5760000000</v>
      </c>
      <c r="O25" s="114"/>
      <c r="P25" s="120">
        <f>SUM(P22:P24)</f>
        <v>5760000000</v>
      </c>
      <c r="Q25" s="114"/>
      <c r="R25" s="120">
        <f>SUM(R22:R24)</f>
        <v>5760000000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8000000000</v>
      </c>
      <c r="J31" s="75">
        <f>H31*E47</f>
        <v>8800000000</v>
      </c>
      <c r="K31" s="121"/>
      <c r="L31" s="75">
        <f>J31*E48</f>
        <v>9680000000</v>
      </c>
      <c r="M31" s="121"/>
      <c r="N31" s="75">
        <f>L31*E49</f>
        <v>10648000000</v>
      </c>
      <c r="O31" s="75"/>
      <c r="P31" s="75">
        <f>N31*E50</f>
        <v>11712800000</v>
      </c>
      <c r="Q31" s="75"/>
      <c r="R31" s="75">
        <f>P31*E51</f>
        <v>12884080000.000002</v>
      </c>
      <c r="T31" s="4">
        <f>(R31/J31)^(1/4)-1</f>
        <v>0.10000000000000009</v>
      </c>
    </row>
    <row r="32" spans="1:20">
      <c r="B32" s="23" t="s">
        <v>22</v>
      </c>
      <c r="H32" s="71">
        <f>H7</f>
        <v>0</v>
      </c>
      <c r="J32" s="71">
        <f>J7</f>
        <v>0</v>
      </c>
      <c r="L32" s="71">
        <f>L7</f>
        <v>0</v>
      </c>
      <c r="N32" s="71">
        <f>N7</f>
        <v>0</v>
      </c>
      <c r="P32" s="71">
        <f>P7</f>
        <v>0</v>
      </c>
      <c r="R32" s="71">
        <f>R7</f>
        <v>0</v>
      </c>
      <c r="T32" s="4"/>
    </row>
    <row r="33" spans="1:24">
      <c r="B33" t="s">
        <v>27</v>
      </c>
      <c r="H33" s="115">
        <f>H31+H32</f>
        <v>8000000000</v>
      </c>
      <c r="I33" s="116"/>
      <c r="J33" s="115">
        <f>J31+J32</f>
        <v>8800000000</v>
      </c>
      <c r="K33" s="116"/>
      <c r="L33" s="115">
        <f>L31+L32</f>
        <v>9680000000</v>
      </c>
      <c r="M33" s="116"/>
      <c r="N33" s="115">
        <f>N31+N32</f>
        <v>10648000000</v>
      </c>
      <c r="O33" s="116"/>
      <c r="P33" s="115">
        <f>P31+P32</f>
        <v>11712800000</v>
      </c>
      <c r="Q33" s="116"/>
      <c r="R33" s="115">
        <f>R31+R32</f>
        <v>12884080000.000002</v>
      </c>
      <c r="T33" s="4">
        <f>(R33/J33)^(1/4)-1</f>
        <v>0.10000000000000009</v>
      </c>
    </row>
    <row r="34" spans="1:24">
      <c r="B34" s="39" t="s">
        <v>21</v>
      </c>
      <c r="C34" s="39"/>
      <c r="D34" s="39"/>
      <c r="E34" s="39"/>
      <c r="F34" s="39"/>
      <c r="G34" s="39"/>
      <c r="H34" s="117">
        <f>-$J$51*H33</f>
        <v>-2240000000</v>
      </c>
      <c r="I34" s="114"/>
      <c r="J34" s="117">
        <f>-$J$51*J33</f>
        <v>-2464000000</v>
      </c>
      <c r="K34" s="114"/>
      <c r="L34" s="117">
        <f>-$J$51*L33</f>
        <v>-2710400000.0000005</v>
      </c>
      <c r="M34" s="114"/>
      <c r="N34" s="117">
        <f>-$J$51*N33</f>
        <v>-2981440000.0000005</v>
      </c>
      <c r="O34" s="114"/>
      <c r="P34" s="117">
        <f>-$J$51*P33</f>
        <v>-3279584000.0000005</v>
      </c>
      <c r="Q34" s="114"/>
      <c r="R34" s="117">
        <f>-$J$51*R33</f>
        <v>-3607542400.000001</v>
      </c>
      <c r="S34" s="39"/>
      <c r="T34" s="39"/>
    </row>
    <row r="35" spans="1:24">
      <c r="A35" s="2"/>
      <c r="B35" s="2" t="s">
        <v>3</v>
      </c>
      <c r="C35" s="2"/>
      <c r="D35" s="2"/>
      <c r="E35" s="2"/>
      <c r="F35" s="2"/>
      <c r="G35" s="2"/>
      <c r="H35" s="118">
        <f>SUM(H33:H34)</f>
        <v>5760000000</v>
      </c>
      <c r="I35" s="119"/>
      <c r="J35" s="118">
        <f>SUM(J33:J34)</f>
        <v>6336000000</v>
      </c>
      <c r="K35" s="119"/>
      <c r="L35" s="118">
        <f>SUM(L33:L34)</f>
        <v>6969600000</v>
      </c>
      <c r="M35" s="119"/>
      <c r="N35" s="118">
        <f>SUM(N33:N34)</f>
        <v>7666560000</v>
      </c>
      <c r="O35" s="119"/>
      <c r="P35" s="118">
        <f>SUM(P33:P34)</f>
        <v>8433216000</v>
      </c>
      <c r="Q35" s="119"/>
      <c r="R35" s="118">
        <f>SUM(R33:R34)</f>
        <v>9276537600</v>
      </c>
      <c r="S35" s="2"/>
      <c r="T35" s="4">
        <f>(R35/J35)^(1/4)-1</f>
        <v>0.10000000000000009</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5760000000</v>
      </c>
      <c r="I38" s="153"/>
      <c r="J38" s="120">
        <f>SUM(J35:J37)</f>
        <v>6336000000</v>
      </c>
      <c r="K38" s="114"/>
      <c r="L38" s="120">
        <f>SUM(L35:L37)</f>
        <v>6969600000</v>
      </c>
      <c r="M38" s="114"/>
      <c r="N38" s="120">
        <f>SUM(N35:N37)</f>
        <v>7666560000</v>
      </c>
      <c r="O38" s="114"/>
      <c r="P38" s="120">
        <f>SUM(P35:P37)</f>
        <v>8433216000</v>
      </c>
      <c r="Q38" s="114"/>
      <c r="R38" s="120">
        <f>SUM(R35:R37)</f>
        <v>9276537600</v>
      </c>
      <c r="T38" s="4">
        <f>(R38/J38)^(1/4)-1</f>
        <v>0.10000000000000009</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2019</v>
      </c>
      <c r="C47" s="88">
        <v>0.99</v>
      </c>
      <c r="D47" s="88">
        <v>1</v>
      </c>
      <c r="E47" s="88">
        <v>1.1000000000000001</v>
      </c>
      <c r="H47" s="156" t="s">
        <v>15</v>
      </c>
      <c r="I47" s="156"/>
      <c r="J47" s="161">
        <v>1299092100</v>
      </c>
      <c r="M47" t="s">
        <v>55</v>
      </c>
      <c r="P47" s="2"/>
      <c r="X47" s="127"/>
    </row>
    <row r="48" spans="1:24">
      <c r="B48" s="90">
        <f>B47+1</f>
        <v>2020</v>
      </c>
      <c r="C48" s="88">
        <v>0.98</v>
      </c>
      <c r="D48" s="88">
        <v>1</v>
      </c>
      <c r="E48" s="88">
        <v>1.1000000000000001</v>
      </c>
      <c r="H48" s="156" t="s">
        <v>99</v>
      </c>
      <c r="I48" s="156"/>
      <c r="J48" s="161">
        <v>7000000000</v>
      </c>
      <c r="M48" t="s">
        <v>56</v>
      </c>
      <c r="P48" s="2"/>
      <c r="X48" s="127"/>
    </row>
    <row r="49" spans="2:24">
      <c r="B49" s="90">
        <f>B48+1</f>
        <v>2021</v>
      </c>
      <c r="C49" s="88">
        <v>0.97</v>
      </c>
      <c r="D49" s="88">
        <v>1</v>
      </c>
      <c r="E49" s="88">
        <v>1.1000000000000001</v>
      </c>
      <c r="H49" s="156" t="s">
        <v>14</v>
      </c>
      <c r="I49" s="156"/>
      <c r="J49" s="157">
        <v>72000000000</v>
      </c>
      <c r="M49" t="s">
        <v>58</v>
      </c>
      <c r="P49" s="2"/>
      <c r="X49" s="127"/>
    </row>
    <row r="50" spans="2:24">
      <c r="B50" s="90">
        <f>B49+1</f>
        <v>2022</v>
      </c>
      <c r="C50" s="88">
        <v>0.96</v>
      </c>
      <c r="D50" s="88">
        <v>1</v>
      </c>
      <c r="E50" s="88">
        <v>1.1000000000000001</v>
      </c>
      <c r="H50" s="155" t="s">
        <v>16</v>
      </c>
      <c r="I50" s="156"/>
      <c r="J50" s="158">
        <v>0.02</v>
      </c>
      <c r="M50" t="s">
        <v>59</v>
      </c>
      <c r="P50" s="2"/>
      <c r="X50" s="127"/>
    </row>
    <row r="51" spans="2:24">
      <c r="B51" s="90">
        <f>B50+1</f>
        <v>2023</v>
      </c>
      <c r="C51" s="88">
        <v>0.95</v>
      </c>
      <c r="D51" s="88">
        <v>1</v>
      </c>
      <c r="E51" s="88">
        <v>1.1000000000000001</v>
      </c>
      <c r="H51" s="156" t="s">
        <v>2</v>
      </c>
      <c r="I51" s="156"/>
      <c r="J51" s="158">
        <v>0.28000000000000003</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f>((NPV($C56,$J$13:$P$13,$R$13+$R$13*(1+$J$50)/($C56-$J$50)))-$J$49+J48)/$J$47</f>
        <v>10.593380691110809</v>
      </c>
      <c r="E56" s="93"/>
      <c r="F56" s="94">
        <f>((NPV($C56,$J$25:$P$25,$R$25+$R$25*(1+$J$50)/($C56-$J$50)))-$J$49+J48)/$J$47</f>
        <v>18.967643993150951</v>
      </c>
      <c r="G56" s="93"/>
      <c r="H56" s="123">
        <f>((NPV($C56,$J$38:$P$38,$R$38+$R$38*(1+$J$50)/($C56-$J$50)))-$J$49+J48)/$J$47</f>
        <v>56.015123515300424</v>
      </c>
      <c r="I56" s="10"/>
      <c r="J56" s="11"/>
      <c r="M56" s="135" t="s">
        <v>186</v>
      </c>
      <c r="Q56" s="87"/>
      <c r="R56" s="91"/>
      <c r="S56" s="87"/>
      <c r="T56" s="91"/>
    </row>
    <row r="57" spans="2:24">
      <c r="B57" s="84" t="s">
        <v>28</v>
      </c>
      <c r="C57" s="4">
        <v>0.11</v>
      </c>
      <c r="D57" s="96">
        <f>((NPV($C57,$J$13:$P$13,$R$13+$R$13*(1+$J$50)/($C57-$J$50)))-$J$49+J48)/$J$47</f>
        <v>-9.0460131133394963</v>
      </c>
      <c r="E57" s="97"/>
      <c r="F57" s="98">
        <f>((NPV($C57,$J$25:$P$25,$R$25+$R$25*(1+$J$50)/($C57-$J$50)))-$J$49+J48)/$J$47</f>
        <v>-3.8266189769581147</v>
      </c>
      <c r="G57" s="97"/>
      <c r="H57" s="99">
        <f>((NPV($C57,$J$38:$P$38,$R$38+$R$38*(1+$J$50)/($C57-$J$50)))-$J$49+J48)/$J$47</f>
        <v>19.569725318801162</v>
      </c>
      <c r="I57" s="44"/>
      <c r="J57" s="43"/>
      <c r="Q57" s="87"/>
      <c r="R57" s="91"/>
      <c r="S57" s="87"/>
      <c r="T57" s="91"/>
    </row>
    <row r="58" spans="2:24">
      <c r="B58" s="8" t="s">
        <v>10</v>
      </c>
      <c r="C58" s="4">
        <v>0.15</v>
      </c>
      <c r="D58" s="100">
        <f>((NPV($C58,$J$13:$P$13,$R$13+$R$13*(1+$J$50)/($C58-$J$50)))-$J$49+J48)/$J$47</f>
        <v>-21.194383799615881</v>
      </c>
      <c r="E58" s="101"/>
      <c r="F58" s="102">
        <f>((NPV($C58,$J$25:$P$25,$R$25+$R$25*(1+$J$50)/($C58-$J$50)))-$J$49+J48)/$J$47</f>
        <v>-17.875759346940772</v>
      </c>
      <c r="G58" s="101"/>
      <c r="H58" s="103">
        <f>((NPV($C58,$J$38:$P$38,$R$38+$R$38*(1+$J$50)/($C58-$J$50)))-$J$49+J48)/$J$47</f>
        <v>-2.7393377803875327</v>
      </c>
      <c r="I58" s="44"/>
      <c r="J58" s="43"/>
      <c r="L58" t="s">
        <v>196</v>
      </c>
      <c r="Q58" s="87"/>
      <c r="R58" s="91"/>
      <c r="S58" s="87"/>
      <c r="T58" s="91"/>
    </row>
    <row r="59" spans="2:24">
      <c r="C59" s="4"/>
      <c r="D59" s="23"/>
      <c r="I59" s="23"/>
      <c r="J59" s="136"/>
      <c r="L59" t="s">
        <v>187</v>
      </c>
      <c r="M59" s="146"/>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188</v>
      </c>
      <c r="I62" s="62"/>
      <c r="J62" s="61"/>
      <c r="L62" s="23"/>
      <c r="M62" s="160"/>
      <c r="N62" s="129"/>
      <c r="O62" s="23"/>
      <c r="P62" s="87"/>
      <c r="Q62" s="87"/>
      <c r="R62" s="87"/>
      <c r="S62" s="87"/>
      <c r="T62" s="87"/>
    </row>
    <row r="63" spans="2:24">
      <c r="B63" s="84" t="s">
        <v>8</v>
      </c>
      <c r="C63" s="4">
        <f>C56</f>
        <v>0.08</v>
      </c>
      <c r="D63" s="92">
        <f>((NPV($C63,$J$13:$P$13,$R$13+$R$13*(1+$J$50)/($C63-$J$50)))-$J$49+J48)</f>
        <v>13761777168.114594</v>
      </c>
      <c r="E63" s="93"/>
      <c r="F63" s="94">
        <f>((NPV($C63,$J$25:$P$25,$R$25+$R$25*(1+$J$50)/($C63-$J$50)))-$J$49+J48)</f>
        <v>24640716467.114853</v>
      </c>
      <c r="G63" s="93"/>
      <c r="H63" s="95">
        <f>((NPV($C63,$J$38:$P$38,$R$38+$R$38*(1+$J$50)/($C63-$J$50)))-$J$49+J48)</f>
        <v>72768804439.251007</v>
      </c>
      <c r="I63" s="17"/>
      <c r="J63" s="18"/>
      <c r="L63" s="23"/>
      <c r="M63" s="167"/>
      <c r="N63" s="23"/>
      <c r="O63" s="23"/>
      <c r="P63" s="98"/>
      <c r="Q63" s="97"/>
      <c r="R63" s="98"/>
      <c r="S63" s="97"/>
      <c r="T63" s="98"/>
    </row>
    <row r="64" spans="2:24">
      <c r="B64" s="84" t="s">
        <v>28</v>
      </c>
      <c r="C64" s="4">
        <f>C57</f>
        <v>0.11</v>
      </c>
      <c r="D64" s="96">
        <f>((NPV($C64,$J$13:$P$13,$R$13+$R$13*(1+$J$50)/($C64-$J$50)))-$J$49+J48)</f>
        <v>-11751604172.035744</v>
      </c>
      <c r="E64" s="97"/>
      <c r="F64" s="98">
        <f>((NPV($C64,$J$25:$P$25,$R$25+$R$25*(1+$J$50)/($C64-$J$50)))-$J$49+J48)</f>
        <v>-4971130482.6763687</v>
      </c>
      <c r="G64" s="97"/>
      <c r="H64" s="122">
        <f>((NPV($C64,$J$38:$P$38,$R$38+$R$38*(1+$J$50)/($C64-$J$50)))-$J$49+J48)</f>
        <v>25422875560.82457</v>
      </c>
      <c r="I64" s="17"/>
      <c r="J64" s="18"/>
      <c r="L64" s="23"/>
      <c r="M64" s="167"/>
      <c r="N64" s="23"/>
      <c r="O64" s="23"/>
      <c r="P64" s="98"/>
      <c r="Q64" s="97"/>
      <c r="R64" s="98"/>
      <c r="S64" s="97"/>
      <c r="T64" s="98"/>
    </row>
    <row r="65" spans="1:20">
      <c r="B65" s="8" t="s">
        <v>10</v>
      </c>
      <c r="C65" s="4">
        <f>C58</f>
        <v>0.15</v>
      </c>
      <c r="D65" s="100">
        <f>((NPV($C65,$J$13:$P$13,$R$13+$R$13*(1+$J$50)/($C65-$J$50)))-$J$49+J48)</f>
        <v>-27533456558.448975</v>
      </c>
      <c r="E65" s="101"/>
      <c r="F65" s="102">
        <f>((NPV($C65,$J$25:$P$25,$R$25+$R$25*(1+$J$50)/($C65-$J$50)))-$J$49+J48)</f>
        <v>-23222257749.111916</v>
      </c>
      <c r="G65" s="101"/>
      <c r="H65" s="103">
        <f>((NPV($C65,$J$38:$P$38,$R$38+$R$38*(1+$J$50)/($C65-$J$50)))-$J$49+J48)</f>
        <v>-3558652069.7329788</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$72000000000.0mm as of 5/16/08.</v>
      </c>
      <c r="F69" s="87"/>
      <c r="G69" s="87"/>
      <c r="H69" s="87"/>
      <c r="I69" s="87"/>
      <c r="J69" s="87"/>
      <c r="L69" s="82"/>
      <c r="M69" s="165"/>
      <c r="N69" s="82"/>
    </row>
    <row r="70" spans="1:20">
      <c r="A70" s="1" t="str">
        <f>"(2)  Assumes outstanding diluted shares of "&amp;TEXT(J47,"0.000")&amp;" million."</f>
        <v>(2)  Assumes outstanding diluted shares of 1299092100.000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A107">
        <v>22</v>
      </c>
      <c r="B107" s="135" t="s">
        <v>363</v>
      </c>
      <c r="F107" s="146"/>
    </row>
    <row r="108" spans="1:6">
      <c r="A108">
        <v>23</v>
      </c>
      <c r="B108" s="135" t="s">
        <v>364</v>
      </c>
      <c r="F108" s="146"/>
    </row>
    <row r="109" spans="1:6">
      <c r="A109">
        <v>24</v>
      </c>
      <c r="B109" s="135" t="s">
        <v>365</v>
      </c>
      <c r="F109" s="146"/>
    </row>
    <row r="110" spans="1:6">
      <c r="A110">
        <v>25</v>
      </c>
      <c r="B110" s="135" t="s">
        <v>366</v>
      </c>
      <c r="F110" s="146"/>
    </row>
    <row r="111" spans="1:6">
      <c r="A111">
        <v>26</v>
      </c>
      <c r="B111" s="135" t="s">
        <v>367</v>
      </c>
      <c r="F111" s="146"/>
    </row>
    <row r="112" spans="1:6">
      <c r="A112">
        <v>27</v>
      </c>
      <c r="B112" s="135" t="s">
        <v>368</v>
      </c>
      <c r="F112" s="146"/>
    </row>
    <row r="113" spans="2:6">
      <c r="B113" s="135"/>
      <c r="F113" s="146"/>
    </row>
    <row r="114" spans="2:6">
      <c r="B114" s="168" t="s">
        <v>192</v>
      </c>
      <c r="F114" s="146"/>
    </row>
    <row r="115" spans="2:6">
      <c r="B115" s="135" t="s">
        <v>193</v>
      </c>
      <c r="F115" s="146"/>
    </row>
    <row r="122" spans="2:6">
      <c r="B122" t="s">
        <v>194</v>
      </c>
    </row>
    <row r="123" spans="2:6">
      <c r="B123" t="s">
        <v>195</v>
      </c>
    </row>
  </sheetData>
  <mergeCells count="1">
    <mergeCell ref="H46:J46"/>
  </mergeCells>
  <conditionalFormatting sqref="B6:T13">
    <cfRule type="expression" dxfId="131" priority="6">
      <formula>MOD(ROW(),2)=0</formula>
    </cfRule>
  </conditionalFormatting>
  <conditionalFormatting sqref="B18:T25">
    <cfRule type="expression" dxfId="130" priority="5">
      <formula>MOD(ROW(),2)=0</formula>
    </cfRule>
  </conditionalFormatting>
  <conditionalFormatting sqref="B31:T39">
    <cfRule type="expression" dxfId="129" priority="4">
      <formula>MOD(ROW(),2)=0</formula>
    </cfRule>
  </conditionalFormatting>
  <conditionalFormatting sqref="D56:H58">
    <cfRule type="expression" dxfId="128" priority="3">
      <formula>MOD(ROW(),2)=0</formula>
    </cfRule>
  </conditionalFormatting>
  <conditionalFormatting sqref="D63:H65">
    <cfRule type="expression" dxfId="127" priority="2">
      <formula>MOD(ROW(),2)=0</formula>
    </cfRule>
  </conditionalFormatting>
  <conditionalFormatting sqref="C47:E51">
    <cfRule type="expression" dxfId="126" priority="1">
      <formula>MOD(ROW(),2)=0</formula>
    </cfRule>
  </conditionalFormatting>
  <pageMargins left="0.75" right="0.75" top="1" bottom="1" header="0.5" footer="0.5"/>
  <pageSetup paperSize="119"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X119"/>
  <sheetViews>
    <sheetView showGridLines="0" topLeftCell="A28" zoomScaleNormal="100" workbookViewId="0">
      <selection activeCell="M67" sqref="M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9.570312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2018</v>
      </c>
      <c r="C47" s="88">
        <v>0.99</v>
      </c>
      <c r="D47" s="88">
        <v>1</v>
      </c>
      <c r="E47" s="88">
        <v>1.01</v>
      </c>
      <c r="H47" s="156" t="s">
        <v>15</v>
      </c>
      <c r="I47" s="156"/>
      <c r="J47" s="161"/>
      <c r="M47" t="s">
        <v>55</v>
      </c>
      <c r="P47" s="2"/>
      <c r="X47" s="127"/>
    </row>
    <row r="48" spans="1:24">
      <c r="B48" s="90">
        <f>B47+1</f>
        <v>2019</v>
      </c>
      <c r="C48" s="88">
        <v>0.98</v>
      </c>
      <c r="D48" s="88">
        <v>1</v>
      </c>
      <c r="E48" s="88">
        <v>1.02</v>
      </c>
      <c r="H48" s="156" t="s">
        <v>99</v>
      </c>
      <c r="I48" s="156"/>
      <c r="J48" s="157"/>
      <c r="M48" t="s">
        <v>56</v>
      </c>
      <c r="P48" s="2"/>
      <c r="X48" s="127"/>
    </row>
    <row r="49" spans="2:24">
      <c r="B49" s="90">
        <f>B48+1</f>
        <v>2020</v>
      </c>
      <c r="C49" s="88">
        <v>0.97</v>
      </c>
      <c r="D49" s="88">
        <v>1</v>
      </c>
      <c r="E49" s="88">
        <v>1.03</v>
      </c>
      <c r="H49" s="156" t="s">
        <v>14</v>
      </c>
      <c r="I49" s="156"/>
      <c r="J49" s="157"/>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t="e">
        <f>((NPV($C56,$J$13:$P$13,$R$13+$R$13*(1+$J$50)/($C56-$J$50)))-$J$49+J48)/$J$47</f>
        <v>#DIV/0!</v>
      </c>
      <c r="E56" s="93"/>
      <c r="F56" s="94" t="e">
        <f>((NPV($C56,$J$25:$P$25,$R$25+$R$25*(1+$J$50)/($C56-$J$50)))-$J$49+J48)/$J$47</f>
        <v>#DIV/0!</v>
      </c>
      <c r="G56" s="93"/>
      <c r="H56" s="123" t="e">
        <f>((NPV($C56,$J$38:$P$38,$R$38+$R$38*(1+$J$50)/($C56-$J$50)))-$J$49+J48)/$J$47</f>
        <v>#DIV/0!</v>
      </c>
      <c r="I56" s="10"/>
      <c r="J56" s="11"/>
      <c r="M56" s="135" t="s">
        <v>186</v>
      </c>
      <c r="Q56" s="87"/>
      <c r="R56" s="91"/>
      <c r="S56" s="87"/>
      <c r="T56" s="91"/>
    </row>
    <row r="57" spans="2:24">
      <c r="B57" s="84" t="s">
        <v>28</v>
      </c>
      <c r="C57" s="4">
        <v>0.11</v>
      </c>
      <c r="D57" s="96" t="e">
        <f>((NPV($C57,$J$13:$P$13,$R$13+$R$13*(1+$J$50)/($C57-$J$50)))-$J$49+J48)/$J$47</f>
        <v>#DIV/0!</v>
      </c>
      <c r="E57" s="97"/>
      <c r="F57" s="98" t="e">
        <f>((NPV($C57,$J$25:$P$25,$R$25+$R$25*(1+$J$50)/($C57-$J$50)))-$J$49+J48)/$J$47</f>
        <v>#DIV/0!</v>
      </c>
      <c r="G57" s="97"/>
      <c r="H57" s="99" t="e">
        <f>((NPV($C57,$J$38:$P$38,$R$38+$R$38*(1+$J$50)/($C57-$J$50)))-$J$49+J48)/$J$47</f>
        <v>#DIV/0!</v>
      </c>
      <c r="I57" s="44"/>
      <c r="J57" s="43"/>
      <c r="Q57" s="87"/>
      <c r="R57" s="91"/>
      <c r="S57" s="87"/>
      <c r="T57" s="91"/>
    </row>
    <row r="58" spans="2:24">
      <c r="B58" s="8" t="s">
        <v>10</v>
      </c>
      <c r="C58" s="4">
        <v>0.15</v>
      </c>
      <c r="D58" s="100" t="e">
        <f>((NPV($C58,$J$13:$P$13,$R$13+$R$13*(1+$J$50)/($C58-$J$50)))-$J$49+J48)/$J$47</f>
        <v>#DIV/0!</v>
      </c>
      <c r="E58" s="101"/>
      <c r="F58" s="102" t="e">
        <f>((NPV($C58,$J$25:$P$25,$R$25+$R$25*(1+$J$50)/($C58-$J$50)))-$J$49+J48)/$J$47</f>
        <v>#DIV/0!</v>
      </c>
      <c r="G58" s="101"/>
      <c r="H58" s="103" t="e">
        <f>((NPV($C58,$J$38:$P$38,$R$38+$R$38*(1+$J$50)/($C58-$J$50)))-$J$49+J48)/$J$47</f>
        <v>#DIV/0!</v>
      </c>
      <c r="I58" s="44"/>
      <c r="J58" s="43"/>
      <c r="L58" t="s">
        <v>196</v>
      </c>
      <c r="M58" s="178">
        <v>43395</v>
      </c>
      <c r="Q58" s="87"/>
      <c r="R58" s="91"/>
      <c r="S58" s="87"/>
      <c r="T58" s="91"/>
    </row>
    <row r="59" spans="2:24">
      <c r="C59" s="4"/>
      <c r="D59" s="23"/>
      <c r="I59" s="23"/>
      <c r="J59" s="136"/>
      <c r="L59" t="s">
        <v>187</v>
      </c>
      <c r="M59" t="s">
        <v>204</v>
      </c>
      <c r="Q59" s="23"/>
      <c r="R59" s="23"/>
      <c r="S59" s="23"/>
      <c r="T59" s="23"/>
    </row>
    <row r="60" spans="2:24">
      <c r="D60" s="2"/>
      <c r="M60" s="182" t="s">
        <v>205</v>
      </c>
      <c r="N60" s="23"/>
      <c r="O60" s="23"/>
      <c r="P60" s="107"/>
      <c r="Q60" s="23"/>
      <c r="R60" s="23"/>
      <c r="S60" s="23"/>
      <c r="T60" s="23"/>
    </row>
    <row r="61" spans="2:24">
      <c r="D61" s="30"/>
      <c r="E61" s="30"/>
      <c r="F61" s="109" t="s">
        <v>6</v>
      </c>
      <c r="G61" s="30"/>
      <c r="H61" s="30"/>
      <c r="I61" s="104"/>
      <c r="J61" s="137"/>
      <c r="L61" s="23"/>
      <c r="M61" s="159" t="s">
        <v>206</v>
      </c>
      <c r="N61" s="128"/>
      <c r="O61" s="23"/>
      <c r="P61" s="104"/>
      <c r="Q61" s="104"/>
      <c r="R61" s="104"/>
      <c r="S61" s="104"/>
      <c r="T61" s="104"/>
    </row>
    <row r="62" spans="2:24">
      <c r="D62" s="85" t="s">
        <v>29</v>
      </c>
      <c r="E62" s="85"/>
      <c r="F62" s="166" t="s">
        <v>31</v>
      </c>
      <c r="G62" s="85"/>
      <c r="H62" s="85" t="s">
        <v>188</v>
      </c>
      <c r="I62" s="62"/>
      <c r="J62" s="61"/>
      <c r="L62" s="23"/>
      <c r="M62" s="160" t="s">
        <v>207</v>
      </c>
      <c r="N62" s="129"/>
      <c r="O62" s="23"/>
      <c r="P62" s="87"/>
      <c r="Q62" s="87"/>
      <c r="R62" s="87"/>
      <c r="S62" s="87"/>
      <c r="T62" s="87"/>
    </row>
    <row r="63" spans="2:24">
      <c r="B63" s="84" t="s">
        <v>8</v>
      </c>
      <c r="C63" s="4">
        <f>C56</f>
        <v>0.08</v>
      </c>
      <c r="D63" s="92">
        <f>((NPV($C63,$J$13:$P$13,$R$13+$R$13*(1+$J$50)/($C63-$J$50)))-$J$49+J48)</f>
        <v>0</v>
      </c>
      <c r="E63" s="93"/>
      <c r="F63" s="94">
        <f>((NPV($C63,$J$25:$P$25,$R$25+$R$25*(1+$J$50)/($C63-$J$50)))-$J$49+J48)</f>
        <v>0</v>
      </c>
      <c r="G63" s="93"/>
      <c r="H63" s="95">
        <f>((NPV($C63,$J$38:$P$38,$R$38+$R$38*(1+$J$50)/($C63-$J$50)))-$J$49+J48)</f>
        <v>0</v>
      </c>
      <c r="I63" s="17"/>
      <c r="J63" s="18"/>
      <c r="L63" s="23"/>
      <c r="M63" s="167" t="s">
        <v>208</v>
      </c>
      <c r="N63" s="23"/>
      <c r="O63" s="23"/>
      <c r="P63" s="98"/>
      <c r="Q63" s="97"/>
      <c r="R63" s="98"/>
      <c r="S63" s="97"/>
      <c r="T63" s="98"/>
    </row>
    <row r="64" spans="2:24">
      <c r="B64" s="84" t="s">
        <v>28</v>
      </c>
      <c r="C64" s="4">
        <f>C57</f>
        <v>0.11</v>
      </c>
      <c r="D64" s="96">
        <f>((NPV($C64,$J$13:$P$13,$R$13+$R$13*(1+$J$50)/($C64-$J$50)))-$J$49+J48)</f>
        <v>0</v>
      </c>
      <c r="E64" s="97"/>
      <c r="F64" s="98">
        <f>((NPV($C64,$J$25:$P$25,$R$25+$R$25*(1+$J$50)/($C64-$J$50)))-$J$49+J48)</f>
        <v>0</v>
      </c>
      <c r="G64" s="97"/>
      <c r="H64" s="122">
        <f>((NPV($C64,$J$38:$P$38,$R$38+$R$38*(1+$J$50)/($C64-$J$50)))-$J$49+J48)</f>
        <v>0</v>
      </c>
      <c r="I64" s="17"/>
      <c r="J64" s="18"/>
      <c r="L64" s="23"/>
      <c r="M64" s="167" t="s">
        <v>209</v>
      </c>
      <c r="N64" s="23"/>
      <c r="O64" s="23"/>
      <c r="P64" s="98"/>
      <c r="Q64" s="97"/>
      <c r="R64" s="98"/>
      <c r="S64" s="97"/>
      <c r="T64" s="98"/>
    </row>
    <row r="65" spans="1:20">
      <c r="B65" s="8" t="s">
        <v>10</v>
      </c>
      <c r="C65" s="4">
        <f>C58</f>
        <v>0.15</v>
      </c>
      <c r="D65" s="100">
        <f>((NPV($C65,$J$13:$P$13,$R$13+$R$13*(1+$J$50)/($C65-$J$50)))-$J$49+J48)</f>
        <v>0</v>
      </c>
      <c r="E65" s="101"/>
      <c r="F65" s="102">
        <f>((NPV($C65,$J$25:$P$25,$R$25+$R$25*(1+$J$50)/($C65-$J$50)))-$J$49+J48)</f>
        <v>0</v>
      </c>
      <c r="G65" s="101"/>
      <c r="H65" s="103">
        <f>((NPV($C65,$J$38:$P$38,$R$38+$R$38*(1+$J$50)/($C65-$J$50)))-$J$49+J48)</f>
        <v>0</v>
      </c>
      <c r="I65" s="17"/>
      <c r="J65" s="18"/>
      <c r="L65" s="23"/>
      <c r="M65" s="159" t="s">
        <v>210</v>
      </c>
      <c r="N65" s="23"/>
      <c r="O65" s="23"/>
      <c r="P65" s="98"/>
      <c r="Q65" s="97"/>
      <c r="R65" s="98"/>
      <c r="S65" s="97"/>
      <c r="T65" s="98"/>
    </row>
    <row r="66" spans="1:20" ht="15.75">
      <c r="E66" s="23"/>
      <c r="F66" s="23"/>
      <c r="G66" s="23"/>
      <c r="H66" s="23"/>
      <c r="I66" s="23"/>
      <c r="J66" s="23"/>
      <c r="L66" s="132"/>
      <c r="M66" s="160" t="s">
        <v>211</v>
      </c>
      <c r="N66" s="111"/>
      <c r="O66" s="23"/>
      <c r="P66" s="23"/>
      <c r="Q66" s="23"/>
      <c r="R66" s="23"/>
      <c r="S66" s="23"/>
      <c r="T66" s="23"/>
    </row>
    <row r="67" spans="1:20">
      <c r="F67" s="23"/>
      <c r="G67" s="23"/>
      <c r="H67" s="125"/>
      <c r="I67" s="23"/>
      <c r="J67" s="23"/>
      <c r="L67" s="110"/>
      <c r="M67" s="179" t="s">
        <v>212</v>
      </c>
    </row>
    <row r="68" spans="1:20">
      <c r="F68" s="124" t="s">
        <v>40</v>
      </c>
      <c r="G68" s="23"/>
      <c r="H68" s="23"/>
      <c r="I68" s="23"/>
      <c r="J68" s="23"/>
      <c r="M68" s="179" t="s">
        <v>213</v>
      </c>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94"/>
    </row>
    <row r="75" spans="1:20">
      <c r="B75" s="149" t="s">
        <v>138</v>
      </c>
      <c r="C75" s="8"/>
      <c r="D75" s="4"/>
      <c r="E75" s="23"/>
      <c r="F75" s="91"/>
      <c r="G75" s="87"/>
      <c r="H75" s="91"/>
      <c r="I75" s="87"/>
      <c r="J75" s="91"/>
      <c r="M75" s="146"/>
    </row>
    <row r="76" spans="1:20" ht="12.75" customHeight="1">
      <c r="B76" s="135" t="s">
        <v>139</v>
      </c>
      <c r="C76" s="8"/>
      <c r="D76" s="4"/>
      <c r="E76" s="23"/>
      <c r="F76" s="91"/>
      <c r="G76" s="87"/>
      <c r="H76" s="91"/>
      <c r="I76" s="87"/>
      <c r="J76" s="91"/>
      <c r="M76" s="146"/>
      <c r="P76" s="79"/>
    </row>
    <row r="77" spans="1:20" ht="12.75" customHeight="1">
      <c r="B77" s="135" t="s">
        <v>140</v>
      </c>
      <c r="F77" s="23"/>
      <c r="G77" s="23"/>
      <c r="H77" s="23"/>
      <c r="I77" s="23"/>
      <c r="J77" s="23"/>
      <c r="M77" s="146"/>
    </row>
    <row r="78" spans="1:20" ht="12.75" customHeight="1">
      <c r="B78" s="135" t="s">
        <v>141</v>
      </c>
      <c r="C78" s="83"/>
      <c r="F78" s="87"/>
      <c r="G78" s="87"/>
      <c r="H78" s="87"/>
      <c r="I78" s="87"/>
      <c r="J78" s="87"/>
      <c r="M78" s="193"/>
    </row>
    <row r="79" spans="1:20" ht="12.75" customHeight="1">
      <c r="B79" s="135"/>
      <c r="C79" s="83"/>
      <c r="F79" s="87"/>
      <c r="G79" s="87"/>
      <c r="H79" s="87"/>
      <c r="I79" s="87"/>
      <c r="J79" s="87"/>
      <c r="M79" s="146"/>
    </row>
    <row r="80" spans="1:20" ht="12.75" customHeight="1">
      <c r="B80" s="148" t="s">
        <v>174</v>
      </c>
      <c r="C80" s="83"/>
      <c r="F80" s="87"/>
      <c r="G80" s="87"/>
      <c r="H80" s="87"/>
      <c r="I80" s="87"/>
      <c r="J80" s="87"/>
      <c r="M80" s="146"/>
    </row>
    <row r="81" spans="1:13" ht="12.75" customHeight="1">
      <c r="B81" s="135" t="s">
        <v>175</v>
      </c>
      <c r="C81" s="83"/>
      <c r="F81" s="87"/>
      <c r="G81" s="87"/>
      <c r="H81" s="87"/>
      <c r="I81" s="87"/>
      <c r="J81" s="87"/>
      <c r="M81" s="146"/>
    </row>
    <row r="82" spans="1:13" ht="12.75" customHeight="1">
      <c r="B82" s="135" t="s">
        <v>39</v>
      </c>
      <c r="C82" s="83"/>
      <c r="F82" s="87"/>
      <c r="G82" s="87"/>
      <c r="H82" s="87"/>
      <c r="I82" s="87"/>
      <c r="J82" s="87"/>
      <c r="M82" s="146"/>
    </row>
    <row r="83" spans="1:13" ht="12.75" customHeight="1">
      <c r="B83" s="135" t="s">
        <v>203</v>
      </c>
      <c r="C83" s="83"/>
      <c r="F83" s="87"/>
      <c r="G83" s="87"/>
      <c r="H83" s="87"/>
      <c r="I83" s="87"/>
      <c r="J83" s="87"/>
      <c r="M83" s="146"/>
    </row>
    <row r="84" spans="1:13" ht="12.75" customHeight="1">
      <c r="B84" s="135"/>
      <c r="C84" s="83"/>
      <c r="F84" s="87"/>
      <c r="G84" s="87"/>
      <c r="H84" s="87"/>
      <c r="I84" s="87"/>
      <c r="J84" s="87"/>
      <c r="M84" s="146"/>
    </row>
    <row r="85" spans="1:13" ht="12.75" customHeight="1">
      <c r="B85" s="150" t="s">
        <v>142</v>
      </c>
      <c r="C85" s="83"/>
      <c r="F85" s="87"/>
      <c r="G85" s="87"/>
      <c r="H85" s="87"/>
      <c r="I85" s="87"/>
      <c r="J85" s="87"/>
      <c r="M85" s="146"/>
    </row>
    <row r="86" spans="1:13" ht="12.75" customHeight="1">
      <c r="A86" s="151" t="s">
        <v>149</v>
      </c>
      <c r="B86" s="135" t="s">
        <v>100</v>
      </c>
      <c r="C86" s="8"/>
      <c r="D86" s="4"/>
      <c r="E86" s="23"/>
      <c r="F86" s="98"/>
      <c r="G86" s="97"/>
      <c r="H86" s="98"/>
      <c r="I86" s="97"/>
      <c r="J86" s="98"/>
      <c r="M86" s="146"/>
    </row>
    <row r="87" spans="1:13" ht="12.75" customHeight="1">
      <c r="A87" s="151" t="s">
        <v>155</v>
      </c>
      <c r="B87" s="135" t="s">
        <v>101</v>
      </c>
      <c r="C87" s="8"/>
      <c r="D87" s="4"/>
      <c r="E87" s="23"/>
      <c r="F87" s="98"/>
      <c r="G87" s="97"/>
      <c r="H87" s="98"/>
      <c r="I87" s="97"/>
      <c r="J87" s="98"/>
      <c r="M87" s="146"/>
    </row>
    <row r="88" spans="1:13" ht="12.75" customHeight="1">
      <c r="A88" s="151" t="s">
        <v>156</v>
      </c>
      <c r="B88" s="135" t="s">
        <v>143</v>
      </c>
      <c r="C88" s="8"/>
      <c r="D88" s="4"/>
      <c r="E88" s="23"/>
      <c r="F88" s="98"/>
      <c r="G88" s="97"/>
      <c r="H88" s="98"/>
      <c r="I88" s="97"/>
      <c r="J88" s="98"/>
      <c r="M88" s="146"/>
    </row>
    <row r="89" spans="1:13" ht="12.75" customHeight="1">
      <c r="A89" s="151" t="s">
        <v>157</v>
      </c>
      <c r="B89" s="135" t="s">
        <v>144</v>
      </c>
      <c r="F89" s="145"/>
      <c r="J89" s="142"/>
      <c r="M89" s="146"/>
    </row>
    <row r="90" spans="1:13" ht="12.75" customHeight="1">
      <c r="A90" s="151" t="s">
        <v>158</v>
      </c>
      <c r="B90" s="135" t="s">
        <v>145</v>
      </c>
      <c r="J90" s="142"/>
      <c r="M90" s="146"/>
    </row>
    <row r="91" spans="1:13" ht="12.75" customHeight="1">
      <c r="A91" s="151" t="s">
        <v>159</v>
      </c>
      <c r="B91" s="135" t="s">
        <v>154</v>
      </c>
      <c r="J91" s="146"/>
      <c r="M91" s="146"/>
    </row>
    <row r="92" spans="1:13" ht="12.75" customHeight="1">
      <c r="A92" s="151" t="s">
        <v>160</v>
      </c>
      <c r="B92" s="135" t="s">
        <v>41</v>
      </c>
      <c r="J92" s="146"/>
      <c r="M92" s="146"/>
    </row>
    <row r="93" spans="1:13" ht="12.75" customHeight="1">
      <c r="A93" s="151" t="s">
        <v>161</v>
      </c>
      <c r="B93" s="135" t="s">
        <v>146</v>
      </c>
      <c r="J93" s="146"/>
      <c r="M93" s="146"/>
    </row>
    <row r="94" spans="1:13" ht="12.75" customHeight="1">
      <c r="A94" s="151" t="s">
        <v>162</v>
      </c>
      <c r="B94" s="135" t="s">
        <v>148</v>
      </c>
      <c r="J94" s="146"/>
    </row>
    <row r="95" spans="1:13" ht="12.75" customHeight="1">
      <c r="A95" s="151" t="s">
        <v>163</v>
      </c>
      <c r="B95" s="135" t="s">
        <v>147</v>
      </c>
      <c r="J95" s="146"/>
    </row>
    <row r="96" spans="1:13">
      <c r="A96" s="151" t="s">
        <v>164</v>
      </c>
      <c r="B96" s="135" t="s">
        <v>150</v>
      </c>
    </row>
    <row r="97" spans="1:2">
      <c r="A97" s="151" t="s">
        <v>165</v>
      </c>
      <c r="B97" s="135" t="s">
        <v>151</v>
      </c>
    </row>
    <row r="98" spans="1:2">
      <c r="A98" s="151" t="s">
        <v>166</v>
      </c>
      <c r="B98" s="135" t="s">
        <v>152</v>
      </c>
    </row>
    <row r="99" spans="1:2">
      <c r="A99" s="151" t="s">
        <v>167</v>
      </c>
      <c r="B99" s="135" t="s">
        <v>153</v>
      </c>
    </row>
    <row r="100" spans="1:2">
      <c r="A100" s="151" t="s">
        <v>171</v>
      </c>
      <c r="B100" s="135" t="s">
        <v>168</v>
      </c>
    </row>
    <row r="101" spans="1:2">
      <c r="A101" s="151" t="s">
        <v>172</v>
      </c>
      <c r="B101" s="135" t="s">
        <v>170</v>
      </c>
    </row>
    <row r="102" spans="1:2">
      <c r="A102" s="151" t="s">
        <v>173</v>
      </c>
      <c r="B102" s="135" t="s">
        <v>169</v>
      </c>
    </row>
    <row r="103" spans="1:2">
      <c r="A103" s="151" t="s">
        <v>177</v>
      </c>
      <c r="B103" s="135" t="s">
        <v>178</v>
      </c>
    </row>
    <row r="104" spans="1:2">
      <c r="A104">
        <v>19</v>
      </c>
      <c r="B104" s="135" t="s">
        <v>189</v>
      </c>
    </row>
    <row r="105" spans="1:2">
      <c r="A105">
        <v>20</v>
      </c>
      <c r="B105" s="135" t="s">
        <v>190</v>
      </c>
    </row>
    <row r="106" spans="1:2">
      <c r="A106">
        <v>21</v>
      </c>
      <c r="B106" s="135" t="s">
        <v>191</v>
      </c>
    </row>
    <row r="110" spans="1:2">
      <c r="B110" s="168" t="s">
        <v>192</v>
      </c>
    </row>
    <row r="111" spans="1:2">
      <c r="B111" s="135" t="s">
        <v>193</v>
      </c>
    </row>
    <row r="118" spans="2:2">
      <c r="B118" t="s">
        <v>194</v>
      </c>
    </row>
    <row r="119" spans="2:2">
      <c r="B119" t="s">
        <v>195</v>
      </c>
    </row>
  </sheetData>
  <mergeCells count="1">
    <mergeCell ref="H46:J46"/>
  </mergeCells>
  <conditionalFormatting sqref="B6:T13">
    <cfRule type="expression" dxfId="125" priority="6">
      <formula>MOD(ROW(),2)=0</formula>
    </cfRule>
  </conditionalFormatting>
  <conditionalFormatting sqref="B18:T25">
    <cfRule type="expression" dxfId="124" priority="5">
      <formula>MOD(ROW(),2)=0</formula>
    </cfRule>
  </conditionalFormatting>
  <conditionalFormatting sqref="B31:T39">
    <cfRule type="expression" dxfId="123" priority="4">
      <formula>MOD(ROW(),2)=0</formula>
    </cfRule>
  </conditionalFormatting>
  <conditionalFormatting sqref="D56:H58">
    <cfRule type="expression" dxfId="122" priority="3">
      <formula>MOD(ROW(),2)=0</formula>
    </cfRule>
  </conditionalFormatting>
  <conditionalFormatting sqref="D63:H65">
    <cfRule type="expression" dxfId="121" priority="2">
      <formula>MOD(ROW(),2)=0</formula>
    </cfRule>
  </conditionalFormatting>
  <conditionalFormatting sqref="C47:E51">
    <cfRule type="expression" dxfId="120" priority="1">
      <formula>MOD(ROW(),2)=0</formula>
    </cfRule>
  </conditionalFormatting>
  <pageMargins left="0.75" right="0.75" top="1" bottom="1" header="0.5" footer="0.5"/>
  <pageSetup paperSize="119"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119"/>
  <sheetViews>
    <sheetView showGridLines="0" topLeftCell="A25" zoomScaleNormal="100" workbookViewId="0">
      <selection activeCell="M67" sqref="M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600000000</v>
      </c>
      <c r="J6" s="75">
        <f>H6*C47</f>
        <v>594000000</v>
      </c>
      <c r="K6" s="121"/>
      <c r="L6" s="75">
        <f>J6*C48</f>
        <v>582120000</v>
      </c>
      <c r="M6" s="121"/>
      <c r="N6" s="75">
        <f>L6*C49</f>
        <v>564656400</v>
      </c>
      <c r="O6" s="75"/>
      <c r="P6" s="75">
        <f>N6*C50</f>
        <v>542070144</v>
      </c>
      <c r="Q6" s="75"/>
      <c r="R6" s="75">
        <f>P6*C51</f>
        <v>514966636.79999995</v>
      </c>
      <c r="T6" s="4">
        <f>(R6/J6)^(1/4)-1</f>
        <v>-3.506477179553269E-2</v>
      </c>
    </row>
    <row r="7" spans="1:24">
      <c r="B7" s="23" t="s">
        <v>22</v>
      </c>
      <c r="H7" s="71">
        <v>0</v>
      </c>
      <c r="J7" s="71">
        <v>0</v>
      </c>
      <c r="L7" s="71">
        <v>0</v>
      </c>
      <c r="N7" s="71">
        <v>0</v>
      </c>
      <c r="P7" s="71">
        <v>0</v>
      </c>
      <c r="R7" s="71">
        <v>0</v>
      </c>
      <c r="T7" s="4"/>
    </row>
    <row r="8" spans="1:24">
      <c r="B8" t="s">
        <v>27</v>
      </c>
      <c r="H8" s="115">
        <f>H6+H7</f>
        <v>600000000</v>
      </c>
      <c r="I8" s="73"/>
      <c r="J8" s="115">
        <f>J6+J7</f>
        <v>594000000</v>
      </c>
      <c r="K8" s="116"/>
      <c r="L8" s="115">
        <f>L6+L7</f>
        <v>582120000</v>
      </c>
      <c r="M8" s="116"/>
      <c r="N8" s="115">
        <f>N6+N7</f>
        <v>564656400</v>
      </c>
      <c r="O8" s="116"/>
      <c r="P8" s="115">
        <f>P6+P7</f>
        <v>542070144</v>
      </c>
      <c r="Q8" s="116"/>
      <c r="R8" s="115">
        <f>R6+R7</f>
        <v>514966636.79999995</v>
      </c>
      <c r="T8" s="4">
        <f>(R8/J8)^(1/4)-1</f>
        <v>-3.506477179553269E-2</v>
      </c>
    </row>
    <row r="9" spans="1:24" s="39" customFormat="1">
      <c r="B9" s="39" t="s">
        <v>21</v>
      </c>
      <c r="H9" s="117">
        <f>-$J$51*H8</f>
        <v>-150000000</v>
      </c>
      <c r="I9"/>
      <c r="J9" s="117">
        <f>-$J$51*J8</f>
        <v>-148500000</v>
      </c>
      <c r="K9" s="114"/>
      <c r="L9" s="117">
        <f>-$J$51*L8</f>
        <v>-145530000</v>
      </c>
      <c r="M9" s="114"/>
      <c r="N9" s="117">
        <f>-$J$51*N8</f>
        <v>-141164100</v>
      </c>
      <c r="O9" s="114"/>
      <c r="P9" s="117">
        <f>-$J$51*P8</f>
        <v>-135517536</v>
      </c>
      <c r="Q9" s="114"/>
      <c r="R9" s="117">
        <f>-$J$51*R8</f>
        <v>-128741659.19999999</v>
      </c>
    </row>
    <row r="10" spans="1:24" s="2" customFormat="1">
      <c r="B10" s="2" t="s">
        <v>3</v>
      </c>
      <c r="H10" s="118">
        <f>SUM(H8:H9)</f>
        <v>450000000</v>
      </c>
      <c r="J10" s="118">
        <f>SUM(J8:J9)</f>
        <v>445500000</v>
      </c>
      <c r="K10" s="119"/>
      <c r="L10" s="118">
        <f>SUM(L8:L9)</f>
        <v>436590000</v>
      </c>
      <c r="M10" s="119"/>
      <c r="N10" s="118">
        <f>SUM(N8:N9)</f>
        <v>423492300</v>
      </c>
      <c r="O10" s="119"/>
      <c r="P10" s="118">
        <f>SUM(P8:P9)</f>
        <v>406552608</v>
      </c>
      <c r="Q10" s="119"/>
      <c r="R10" s="118">
        <f>SUM(R8:R9)</f>
        <v>386224977.59999996</v>
      </c>
      <c r="T10" s="4">
        <f>(R10/J10)^(1/4)-1</f>
        <v>-3.506477179553269E-2</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450000000</v>
      </c>
      <c r="J13" s="120">
        <f>SUM(J10:J12)</f>
        <v>445500000</v>
      </c>
      <c r="K13" s="114"/>
      <c r="L13" s="120">
        <f>SUM(L10:L12)</f>
        <v>436590000</v>
      </c>
      <c r="M13" s="114"/>
      <c r="N13" s="120">
        <f>SUM(N10:N12)</f>
        <v>423492300</v>
      </c>
      <c r="O13" s="114"/>
      <c r="P13" s="120">
        <f>SUM(P10:P12)</f>
        <v>406552608</v>
      </c>
      <c r="Q13" s="114"/>
      <c r="R13" s="120">
        <f>SUM(R10:R12)</f>
        <v>386224977.59999996</v>
      </c>
      <c r="T13" s="4">
        <f>(R13/J13)^(1/4)-1</f>
        <v>-3.506477179553269E-2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600000000</v>
      </c>
      <c r="J18" s="75">
        <f>H18*D47</f>
        <v>600000000</v>
      </c>
      <c r="K18" s="121"/>
      <c r="L18" s="75">
        <f>J18*D48</f>
        <v>600000000</v>
      </c>
      <c r="M18" s="121"/>
      <c r="N18" s="75">
        <f>L18*D49</f>
        <v>600000000</v>
      </c>
      <c r="O18" s="75"/>
      <c r="P18" s="75">
        <f>N18*D50</f>
        <v>600000000</v>
      </c>
      <c r="Q18" s="75"/>
      <c r="R18" s="75">
        <f>P18*D51</f>
        <v>600000000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600000000</v>
      </c>
      <c r="I20" s="116"/>
      <c r="J20" s="115">
        <f>J18+J19</f>
        <v>600000000</v>
      </c>
      <c r="K20" s="116"/>
      <c r="L20" s="115">
        <f>L18+L19</f>
        <v>600000000</v>
      </c>
      <c r="M20" s="116"/>
      <c r="N20" s="115">
        <f>N18+N19</f>
        <v>600000000</v>
      </c>
      <c r="O20" s="116"/>
      <c r="P20" s="115">
        <f>P18+P19</f>
        <v>600000000</v>
      </c>
      <c r="Q20" s="116"/>
      <c r="R20" s="115">
        <f>R18+R19</f>
        <v>600000000</v>
      </c>
      <c r="T20" s="4">
        <f>(R20/J20)^(1/4)-1</f>
        <v>0</v>
      </c>
    </row>
    <row r="21" spans="1:20">
      <c r="B21" s="39" t="s">
        <v>21</v>
      </c>
      <c r="C21" s="39"/>
      <c r="D21" s="39"/>
      <c r="E21" s="39"/>
      <c r="F21" s="39"/>
      <c r="G21" s="39"/>
      <c r="H21" s="117">
        <f>-$J$51*H20</f>
        <v>-150000000</v>
      </c>
      <c r="I21" s="114"/>
      <c r="J21" s="117">
        <f>-$J$51*J20</f>
        <v>-150000000</v>
      </c>
      <c r="K21" s="114"/>
      <c r="L21" s="117">
        <f>-$J$51*L20</f>
        <v>-150000000</v>
      </c>
      <c r="M21" s="114"/>
      <c r="N21" s="117">
        <f>-$J$51*N20</f>
        <v>-150000000</v>
      </c>
      <c r="O21" s="114"/>
      <c r="P21" s="117">
        <f>-$J$51*P20</f>
        <v>-150000000</v>
      </c>
      <c r="Q21" s="114"/>
      <c r="R21" s="117">
        <f>-$J$51*R20</f>
        <v>-150000000</v>
      </c>
      <c r="S21" s="39"/>
      <c r="T21" s="39"/>
    </row>
    <row r="22" spans="1:20">
      <c r="A22" s="2"/>
      <c r="B22" s="2" t="s">
        <v>3</v>
      </c>
      <c r="C22" s="2"/>
      <c r="D22" s="2"/>
      <c r="E22" s="2"/>
      <c r="F22" s="2"/>
      <c r="G22" s="2"/>
      <c r="H22" s="118">
        <f>SUM(H20:H21)</f>
        <v>450000000</v>
      </c>
      <c r="I22" s="119"/>
      <c r="J22" s="118">
        <f>SUM(J20:J21)</f>
        <v>450000000</v>
      </c>
      <c r="K22" s="119"/>
      <c r="L22" s="118">
        <f>SUM(L20:L21)</f>
        <v>450000000</v>
      </c>
      <c r="M22" s="119"/>
      <c r="N22" s="118">
        <f>SUM(N20:N21)</f>
        <v>450000000</v>
      </c>
      <c r="O22" s="119"/>
      <c r="P22" s="118">
        <f>SUM(P20:P21)</f>
        <v>450000000</v>
      </c>
      <c r="Q22" s="119"/>
      <c r="R22" s="118">
        <f>SUM(R20:R21)</f>
        <v>450000000</v>
      </c>
      <c r="S22" s="2"/>
      <c r="T22" s="4">
        <f>(R22/J22)^(1/4)-1</f>
        <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450000000</v>
      </c>
      <c r="I25" s="114"/>
      <c r="J25" s="120">
        <f>SUM(J22:J24)</f>
        <v>450000000</v>
      </c>
      <c r="K25" s="114"/>
      <c r="L25" s="120">
        <f>SUM(L22:L24)</f>
        <v>450000000</v>
      </c>
      <c r="M25" s="114"/>
      <c r="N25" s="120">
        <f>SUM(N22:N24)</f>
        <v>450000000</v>
      </c>
      <c r="O25" s="114"/>
      <c r="P25" s="120">
        <f>SUM(P22:P24)</f>
        <v>450000000</v>
      </c>
      <c r="Q25" s="114"/>
      <c r="R25" s="120">
        <f>SUM(R22:R24)</f>
        <v>450000000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600000000</v>
      </c>
      <c r="J31" s="75">
        <f>H31*E47</f>
        <v>606000000</v>
      </c>
      <c r="K31" s="121"/>
      <c r="L31" s="75">
        <f>J31*E48</f>
        <v>618120000</v>
      </c>
      <c r="M31" s="121"/>
      <c r="N31" s="75">
        <f>L31*E49</f>
        <v>636663600</v>
      </c>
      <c r="O31" s="75"/>
      <c r="P31" s="75">
        <f>N31*E50</f>
        <v>662130144</v>
      </c>
      <c r="Q31" s="75"/>
      <c r="R31" s="75">
        <f>P31*E51</f>
        <v>695236651.20000005</v>
      </c>
      <c r="T31" s="4">
        <f>(R31/J31)^(1/4)-1</f>
        <v>3.4939609509608838E-2</v>
      </c>
    </row>
    <row r="32" spans="1:20">
      <c r="B32" s="23" t="s">
        <v>22</v>
      </c>
      <c r="H32" s="71">
        <f>H7</f>
        <v>0</v>
      </c>
      <c r="J32" s="71">
        <f>J7</f>
        <v>0</v>
      </c>
      <c r="L32" s="71">
        <f>L7</f>
        <v>0</v>
      </c>
      <c r="N32" s="71">
        <f>N7</f>
        <v>0</v>
      </c>
      <c r="P32" s="71">
        <f>P7</f>
        <v>0</v>
      </c>
      <c r="R32" s="71">
        <f>R7</f>
        <v>0</v>
      </c>
      <c r="T32" s="4"/>
    </row>
    <row r="33" spans="1:24">
      <c r="B33" t="s">
        <v>27</v>
      </c>
      <c r="H33" s="115">
        <f>H31+H32</f>
        <v>600000000</v>
      </c>
      <c r="I33" s="116"/>
      <c r="J33" s="115">
        <f>J31+J32</f>
        <v>606000000</v>
      </c>
      <c r="K33" s="116"/>
      <c r="L33" s="115">
        <f>L31+L32</f>
        <v>618120000</v>
      </c>
      <c r="M33" s="116"/>
      <c r="N33" s="115">
        <f>N31+N32</f>
        <v>636663600</v>
      </c>
      <c r="O33" s="116"/>
      <c r="P33" s="115">
        <f>P31+P32</f>
        <v>662130144</v>
      </c>
      <c r="Q33" s="116"/>
      <c r="R33" s="115">
        <f>R31+R32</f>
        <v>695236651.20000005</v>
      </c>
      <c r="T33" s="4">
        <f>(R33/J33)^(1/4)-1</f>
        <v>3.4939609509608838E-2</v>
      </c>
    </row>
    <row r="34" spans="1:24">
      <c r="B34" s="39" t="s">
        <v>21</v>
      </c>
      <c r="C34" s="39"/>
      <c r="D34" s="39"/>
      <c r="E34" s="39"/>
      <c r="F34" s="39"/>
      <c r="G34" s="39"/>
      <c r="H34" s="117">
        <f>-$J$51*H33</f>
        <v>-150000000</v>
      </c>
      <c r="I34" s="114"/>
      <c r="J34" s="117">
        <f>-$J$51*J33</f>
        <v>-151500000</v>
      </c>
      <c r="K34" s="114"/>
      <c r="L34" s="117">
        <f>-$J$51*L33</f>
        <v>-154530000</v>
      </c>
      <c r="M34" s="114"/>
      <c r="N34" s="117">
        <f>-$J$51*N33</f>
        <v>-159165900</v>
      </c>
      <c r="O34" s="114"/>
      <c r="P34" s="117">
        <f>-$J$51*P33</f>
        <v>-165532536</v>
      </c>
      <c r="Q34" s="114"/>
      <c r="R34" s="117">
        <f>-$J$51*R33</f>
        <v>-173809162.80000001</v>
      </c>
      <c r="S34" s="39"/>
      <c r="T34" s="39"/>
    </row>
    <row r="35" spans="1:24">
      <c r="A35" s="2"/>
      <c r="B35" s="2" t="s">
        <v>3</v>
      </c>
      <c r="C35" s="2"/>
      <c r="D35" s="2"/>
      <c r="E35" s="2"/>
      <c r="F35" s="2"/>
      <c r="G35" s="2"/>
      <c r="H35" s="118">
        <f>SUM(H33:H34)</f>
        <v>450000000</v>
      </c>
      <c r="I35" s="119"/>
      <c r="J35" s="118">
        <f>SUM(J33:J34)</f>
        <v>454500000</v>
      </c>
      <c r="K35" s="119"/>
      <c r="L35" s="118">
        <f>SUM(L33:L34)</f>
        <v>463590000</v>
      </c>
      <c r="M35" s="119"/>
      <c r="N35" s="118">
        <f>SUM(N33:N34)</f>
        <v>477497700</v>
      </c>
      <c r="O35" s="119"/>
      <c r="P35" s="118">
        <f>SUM(P33:P34)</f>
        <v>496597608</v>
      </c>
      <c r="Q35" s="119"/>
      <c r="R35" s="118">
        <f>SUM(R33:R34)</f>
        <v>521427488.40000004</v>
      </c>
      <c r="S35" s="2"/>
      <c r="T35" s="4">
        <f>(R35/J35)^(1/4)-1</f>
        <v>3.4939609509608838E-2</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450000000</v>
      </c>
      <c r="I38" s="153"/>
      <c r="J38" s="120">
        <f>SUM(J35:J37)</f>
        <v>454500000</v>
      </c>
      <c r="K38" s="114"/>
      <c r="L38" s="120">
        <f>SUM(L35:L37)</f>
        <v>463590000</v>
      </c>
      <c r="M38" s="114"/>
      <c r="N38" s="120">
        <f>SUM(N35:N37)</f>
        <v>477497700</v>
      </c>
      <c r="O38" s="114"/>
      <c r="P38" s="120">
        <f>SUM(P35:P37)</f>
        <v>496597608</v>
      </c>
      <c r="Q38" s="114"/>
      <c r="R38" s="120">
        <f>SUM(R35:R37)</f>
        <v>521427488.40000004</v>
      </c>
      <c r="T38" s="4">
        <f>(R38/J38)^(1/4)-1</f>
        <v>3.4939609509608838E-2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2018</v>
      </c>
      <c r="C47" s="88">
        <v>0.99</v>
      </c>
      <c r="D47" s="88">
        <v>1</v>
      </c>
      <c r="E47" s="88">
        <v>1.01</v>
      </c>
      <c r="H47" s="156" t="s">
        <v>15</v>
      </c>
      <c r="I47" s="156"/>
      <c r="J47" s="161">
        <v>119773106</v>
      </c>
      <c r="M47" t="s">
        <v>55</v>
      </c>
      <c r="P47" s="2"/>
      <c r="X47" s="127"/>
    </row>
    <row r="48" spans="1:24">
      <c r="B48" s="90">
        <f>B47+1</f>
        <v>2019</v>
      </c>
      <c r="C48" s="88">
        <v>0.98</v>
      </c>
      <c r="D48" s="88">
        <v>1</v>
      </c>
      <c r="E48" s="88">
        <v>1.02</v>
      </c>
      <c r="H48" s="156" t="s">
        <v>99</v>
      </c>
      <c r="I48" s="156"/>
      <c r="J48" s="157">
        <v>2144000000</v>
      </c>
      <c r="L48">
        <f>J38/J47</f>
        <v>3.7946749080715998</v>
      </c>
      <c r="M48" t="s">
        <v>56</v>
      </c>
      <c r="P48" s="2"/>
      <c r="X48" s="127"/>
    </row>
    <row r="49" spans="2:24">
      <c r="B49" s="90">
        <f>B48+1</f>
        <v>2020</v>
      </c>
      <c r="C49" s="88">
        <v>0.97</v>
      </c>
      <c r="D49" s="88">
        <v>1</v>
      </c>
      <c r="E49" s="88">
        <v>1.03</v>
      </c>
      <c r="H49" s="156" t="s">
        <v>14</v>
      </c>
      <c r="I49" s="156"/>
      <c r="J49" s="157">
        <v>3966000000</v>
      </c>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f>((NPV($C56,$J$13:$P$13,$R$13+$R$13*(1+$J$50)/($C56-$J$50)))-$J$49+J48)/$J$47</f>
        <v>36.162240305089469</v>
      </c>
      <c r="E56" s="93"/>
      <c r="F56" s="94">
        <f>((NPV($C56,$J$25:$P$25,$R$25+$R$25*(1+$J$50)/($C56-$J$50)))-$J$49+J48)/$J$47</f>
        <v>43.258300189638142</v>
      </c>
      <c r="G56" s="93"/>
      <c r="H56" s="123">
        <f>((NPV($C56,$J$38:$P$38,$R$38+$R$38*(1+$J$50)/($C56-$J$50)))-$J$49+J48)/$J$47</f>
        <v>51.164243335187976</v>
      </c>
      <c r="I56" s="10"/>
      <c r="J56" s="11"/>
      <c r="M56" s="135" t="s">
        <v>186</v>
      </c>
      <c r="Q56" s="87"/>
      <c r="R56" s="91"/>
      <c r="S56" s="87"/>
      <c r="T56" s="91"/>
    </row>
    <row r="57" spans="2:24">
      <c r="B57" s="84" t="s">
        <v>28</v>
      </c>
      <c r="C57" s="4">
        <v>0.11</v>
      </c>
      <c r="D57" s="96">
        <f>((NPV($C57,$J$13:$P$13,$R$13+$R$13*(1+$J$50)/($C57-$J$50)))-$J$49+J48)/$J$47</f>
        <v>19.520500070021619</v>
      </c>
      <c r="E57" s="97"/>
      <c r="F57" s="98">
        <f>((NPV($C57,$J$25:$P$25,$R$25+$R$25*(1+$J$50)/($C57-$J$50)))-$J$49+J48)/$J$47</f>
        <v>23.943233391984574</v>
      </c>
      <c r="G57" s="97"/>
      <c r="H57" s="99">
        <f>((NPV($C57,$J$38:$P$38,$R$38+$R$38*(1+$J$50)/($C57-$J$50)))-$J$49+J48)/$J$47</f>
        <v>28.858191557736216</v>
      </c>
      <c r="I57" s="44"/>
      <c r="J57" s="43"/>
      <c r="Q57" s="87"/>
      <c r="R57" s="91"/>
      <c r="S57" s="87"/>
      <c r="T57" s="91"/>
    </row>
    <row r="58" spans="2:24">
      <c r="B58" s="8" t="s">
        <v>10</v>
      </c>
      <c r="C58" s="4">
        <v>0.15</v>
      </c>
      <c r="D58" s="100">
        <f>((NPV($C58,$J$13:$P$13,$R$13+$R$13*(1+$J$50)/($C58-$J$50)))-$J$49+J48)/$J$47</f>
        <v>9.2263926625662815</v>
      </c>
      <c r="E58" s="101"/>
      <c r="F58" s="102">
        <f>((NPV($C58,$J$25:$P$25,$R$25+$R$25*(1+$J$50)/($C58-$J$50)))-$J$49+J48)/$J$47</f>
        <v>12.03847976815957</v>
      </c>
      <c r="G58" s="101"/>
      <c r="H58" s="103">
        <f>((NPV($C58,$J$38:$P$38,$R$38+$R$38*(1+$J$50)/($C58-$J$50)))-$J$49+J48)/$J$47</f>
        <v>15.15317669606142</v>
      </c>
      <c r="I58" s="44"/>
      <c r="J58" s="43"/>
      <c r="L58" t="s">
        <v>196</v>
      </c>
      <c r="M58" s="178">
        <v>43439</v>
      </c>
      <c r="Q58" s="87"/>
      <c r="R58" s="91"/>
      <c r="S58" s="87"/>
      <c r="T58" s="91"/>
    </row>
    <row r="59" spans="2:24">
      <c r="C59" s="4"/>
      <c r="D59" s="23"/>
      <c r="I59" s="23"/>
      <c r="J59" s="136"/>
      <c r="L59" t="s">
        <v>187</v>
      </c>
      <c r="M59" s="211" t="s">
        <v>360</v>
      </c>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188</v>
      </c>
      <c r="I62" s="62"/>
      <c r="J62" s="61"/>
      <c r="L62" s="23"/>
      <c r="M62" s="160"/>
      <c r="N62" s="129"/>
      <c r="O62" s="23"/>
      <c r="P62" s="87"/>
      <c r="Q62" s="87"/>
      <c r="R62" s="87"/>
      <c r="S62" s="87"/>
      <c r="T62" s="87"/>
    </row>
    <row r="63" spans="2:24">
      <c r="B63" s="84" t="s">
        <v>8</v>
      </c>
      <c r="C63" s="4">
        <f>C56</f>
        <v>0.08</v>
      </c>
      <c r="D63" s="92">
        <f>((NPV($C63,$J$13:$P$13,$R$13+$R$13*(1+$J$50)/($C63-$J$50)))-$J$49+J48)</f>
        <v>4331263841.2589531</v>
      </c>
      <c r="E63" s="93"/>
      <c r="F63" s="94">
        <f>((NPV($C63,$J$25:$P$25,$R$25+$R$25*(1+$J$50)/($C63-$J$50)))-$J$49+J48)</f>
        <v>5181180973.9933491</v>
      </c>
      <c r="G63" s="93"/>
      <c r="H63" s="95">
        <f>((NPV($C63,$J$38:$P$38,$R$38+$R$38*(1+$J$50)/($C63-$J$50)))-$J$49+J48)</f>
        <v>6128100340.3952627</v>
      </c>
      <c r="I63" s="17"/>
      <c r="J63" s="18"/>
      <c r="L63" s="23"/>
      <c r="M63" s="167"/>
      <c r="N63" s="23"/>
      <c r="O63" s="23"/>
      <c r="P63" s="98"/>
      <c r="Q63" s="97"/>
      <c r="R63" s="98"/>
      <c r="S63" s="97"/>
      <c r="T63" s="98"/>
    </row>
    <row r="64" spans="2:24">
      <c r="B64" s="84" t="s">
        <v>28</v>
      </c>
      <c r="C64" s="4">
        <f>C57</f>
        <v>0.11</v>
      </c>
      <c r="D64" s="96">
        <f>((NPV($C64,$J$13:$P$13,$R$13+$R$13*(1+$J$50)/($C64-$J$50)))-$J$49+J48)</f>
        <v>2338030924.0597067</v>
      </c>
      <c r="E64" s="97"/>
      <c r="F64" s="98">
        <f>((NPV($C64,$J$25:$P$25,$R$25+$R$25*(1+$J$50)/($C64-$J$50)))-$J$49+J48)</f>
        <v>2867755431.0409079</v>
      </c>
      <c r="G64" s="97"/>
      <c r="H64" s="122">
        <f>((NPV($C64,$J$38:$P$38,$R$38+$R$38*(1+$J$50)/($C64-$J$50)))-$J$49+J48)</f>
        <v>3456435236.4130449</v>
      </c>
      <c r="I64" s="17"/>
      <c r="J64" s="18"/>
      <c r="L64" s="23"/>
      <c r="M64" s="167"/>
      <c r="N64" s="23"/>
      <c r="O64" s="23"/>
      <c r="P64" s="98"/>
      <c r="Q64" s="97"/>
      <c r="R64" s="98"/>
      <c r="S64" s="97"/>
      <c r="T64" s="98"/>
    </row>
    <row r="65" spans="1:20">
      <c r="B65" s="8" t="s">
        <v>10</v>
      </c>
      <c r="C65" s="4">
        <f>C58</f>
        <v>0.15</v>
      </c>
      <c r="D65" s="100">
        <f>((NPV($C65,$J$13:$P$13,$R$13+$R$13*(1+$J$50)/($C65-$J$50)))-$J$49+J48)</f>
        <v>1105073706.3711734</v>
      </c>
      <c r="E65" s="101"/>
      <c r="F65" s="102">
        <f>((NPV($C65,$J$25:$P$25,$R$25+$R$25*(1+$J$50)/($C65-$J$50)))-$J$49+J48)</f>
        <v>1441886113.3506317</v>
      </c>
      <c r="G65" s="101"/>
      <c r="H65" s="103">
        <f>((NPV($C65,$J$38:$P$38,$R$38+$R$38*(1+$J$50)/($C65-$J$50)))-$J$49+J48)</f>
        <v>1814943038.6540942</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$3966000000.0mm as of 5/16/08.</v>
      </c>
      <c r="F69" s="87"/>
      <c r="G69" s="87"/>
      <c r="H69" s="87"/>
      <c r="I69" s="87"/>
      <c r="J69" s="87"/>
      <c r="L69" s="82"/>
      <c r="M69" s="165"/>
      <c r="N69" s="82"/>
    </row>
    <row r="70" spans="1:20">
      <c r="A70" s="1" t="str">
        <f>"(2)  Assumes outstanding diluted shares of "&amp;TEXT(J47,"0.000")&amp;" million."</f>
        <v>(2)  Assumes outstanding diluted shares of 119773106.000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t="s">
        <v>342</v>
      </c>
      <c r="F76" s="191"/>
      <c r="G76" s="87"/>
      <c r="H76" s="91"/>
      <c r="I76" s="87"/>
      <c r="J76" s="91"/>
      <c r="M76" s="146"/>
      <c r="P76" s="79"/>
    </row>
    <row r="77" spans="1:20" ht="12.75" customHeight="1">
      <c r="B77" s="135" t="s">
        <v>140</v>
      </c>
      <c r="E77">
        <f>90/35</f>
        <v>2.5714285714285716</v>
      </c>
      <c r="F77" s="160" t="s">
        <v>361</v>
      </c>
      <c r="G77" s="23"/>
      <c r="H77" s="23"/>
      <c r="I77" s="23"/>
      <c r="J77" s="23"/>
      <c r="M77" s="146"/>
    </row>
    <row r="78" spans="1:20" ht="12.75" customHeight="1">
      <c r="B78" s="135" t="s">
        <v>141</v>
      </c>
      <c r="C78" s="83"/>
      <c r="E78" t="s">
        <v>358</v>
      </c>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E81" t="s">
        <v>362</v>
      </c>
      <c r="F81" s="160"/>
      <c r="G81" s="87"/>
      <c r="H81" s="87"/>
      <c r="I81" s="87"/>
      <c r="J81" s="87"/>
      <c r="M81" s="146"/>
    </row>
    <row r="82" spans="1:13" ht="12.75" customHeight="1">
      <c r="B82" s="135" t="s">
        <v>39</v>
      </c>
      <c r="C82" s="83"/>
      <c r="E82">
        <v>36</v>
      </c>
      <c r="F82" s="160"/>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F107" s="146"/>
    </row>
    <row r="108" spans="1:6">
      <c r="F108" s="146"/>
    </row>
    <row r="109" spans="1:6">
      <c r="F109" s="146"/>
    </row>
    <row r="110" spans="1:6">
      <c r="B110" s="168" t="s">
        <v>192</v>
      </c>
      <c r="F110" s="146"/>
    </row>
    <row r="111" spans="1:6">
      <c r="B111" s="135" t="s">
        <v>193</v>
      </c>
      <c r="F111" s="146"/>
    </row>
    <row r="118" spans="2:2">
      <c r="B118" t="s">
        <v>194</v>
      </c>
    </row>
    <row r="119" spans="2:2">
      <c r="B119" t="s">
        <v>195</v>
      </c>
    </row>
  </sheetData>
  <mergeCells count="1">
    <mergeCell ref="H46:J46"/>
  </mergeCells>
  <conditionalFormatting sqref="B6:T13">
    <cfRule type="expression" dxfId="119" priority="6">
      <formula>MOD(ROW(),2)=0</formula>
    </cfRule>
  </conditionalFormatting>
  <conditionalFormatting sqref="B18:T25">
    <cfRule type="expression" dxfId="118" priority="5">
      <formula>MOD(ROW(),2)=0</formula>
    </cfRule>
  </conditionalFormatting>
  <conditionalFormatting sqref="B31:T39">
    <cfRule type="expression" dxfId="117" priority="4">
      <formula>MOD(ROW(),2)=0</formula>
    </cfRule>
  </conditionalFormatting>
  <conditionalFormatting sqref="D56:H58">
    <cfRule type="expression" dxfId="116" priority="3">
      <formula>MOD(ROW(),2)=0</formula>
    </cfRule>
  </conditionalFormatting>
  <conditionalFormatting sqref="D63:H65">
    <cfRule type="expression" dxfId="115" priority="2">
      <formula>MOD(ROW(),2)=0</formula>
    </cfRule>
  </conditionalFormatting>
  <conditionalFormatting sqref="C47:E51">
    <cfRule type="expression" dxfId="114" priority="1">
      <formula>MOD(ROW(),2)=0</formula>
    </cfRule>
  </conditionalFormatting>
  <pageMargins left="0.75" right="0.75" top="1" bottom="1" header="0.5" footer="0.5"/>
  <pageSetup paperSize="119"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119"/>
  <sheetViews>
    <sheetView showGridLines="0" topLeftCell="A43" zoomScaleNormal="100" workbookViewId="0">
      <selection activeCell="M62" sqref="M62"/>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100000000</v>
      </c>
      <c r="I11" s="112"/>
      <c r="J11" s="112">
        <f>H11</f>
        <v>100000000</v>
      </c>
      <c r="K11" s="112"/>
      <c r="L11" s="112">
        <f>J11</f>
        <v>100000000</v>
      </c>
      <c r="M11" s="112"/>
      <c r="N11" s="112">
        <f>L11</f>
        <v>100000000</v>
      </c>
      <c r="O11" s="112"/>
      <c r="P11" s="112">
        <f>N11</f>
        <v>100000000</v>
      </c>
      <c r="Q11" s="112"/>
      <c r="R11" s="112">
        <f>P11</f>
        <v>100000000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100000000</v>
      </c>
      <c r="J13" s="120">
        <f>SUM(J10:J12)</f>
        <v>100000000</v>
      </c>
      <c r="K13" s="114"/>
      <c r="L13" s="120">
        <f>SUM(L10:L12)</f>
        <v>100000000</v>
      </c>
      <c r="M13" s="114"/>
      <c r="N13" s="120">
        <f>SUM(N10:N12)</f>
        <v>100000000</v>
      </c>
      <c r="O13" s="114"/>
      <c r="P13" s="120">
        <f>SUM(P10:P12)</f>
        <v>100000000</v>
      </c>
      <c r="Q13" s="114"/>
      <c r="R13" s="120">
        <f>SUM(R10:R12)</f>
        <v>100000000</v>
      </c>
      <c r="T13" s="4">
        <f>(R13/J13)^(1/4)-1</f>
        <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100000000</v>
      </c>
      <c r="I23" s="112"/>
      <c r="J23" s="112">
        <f>J11</f>
        <v>100000000</v>
      </c>
      <c r="K23" s="112"/>
      <c r="L23" s="112">
        <f>L11</f>
        <v>100000000</v>
      </c>
      <c r="M23" s="112"/>
      <c r="N23" s="112">
        <f>N11</f>
        <v>100000000</v>
      </c>
      <c r="O23" s="112"/>
      <c r="P23" s="112">
        <f>P11</f>
        <v>100000000</v>
      </c>
      <c r="Q23" s="112"/>
      <c r="R23" s="112">
        <f>R11</f>
        <v>100000000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100000000</v>
      </c>
      <c r="I25" s="114"/>
      <c r="J25" s="120">
        <f>SUM(J22:J24)</f>
        <v>100000000</v>
      </c>
      <c r="K25" s="114"/>
      <c r="L25" s="120">
        <f>SUM(L22:L24)</f>
        <v>100000000</v>
      </c>
      <c r="M25" s="114"/>
      <c r="N25" s="120">
        <f>SUM(N22:N24)</f>
        <v>100000000</v>
      </c>
      <c r="O25" s="114"/>
      <c r="P25" s="120">
        <f>SUM(P22:P24)</f>
        <v>100000000</v>
      </c>
      <c r="Q25" s="114"/>
      <c r="R25" s="120">
        <f>SUM(R22:R24)</f>
        <v>100000000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100000000</v>
      </c>
      <c r="I36" s="112"/>
      <c r="J36" s="112">
        <f>J11</f>
        <v>100000000</v>
      </c>
      <c r="K36" s="112"/>
      <c r="L36" s="112">
        <f>L11</f>
        <v>100000000</v>
      </c>
      <c r="M36" s="112"/>
      <c r="N36" s="112">
        <f>N11</f>
        <v>100000000</v>
      </c>
      <c r="O36" s="112"/>
      <c r="P36" s="112">
        <f>P11</f>
        <v>100000000</v>
      </c>
      <c r="Q36" s="112"/>
      <c r="R36" s="112">
        <f>R11</f>
        <v>100000000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100000000</v>
      </c>
      <c r="I38" s="153"/>
      <c r="J38" s="120">
        <f>SUM(J35:J37)</f>
        <v>100000000</v>
      </c>
      <c r="K38" s="114"/>
      <c r="L38" s="120">
        <f>SUM(L35:L37)</f>
        <v>100000000</v>
      </c>
      <c r="M38" s="114"/>
      <c r="N38" s="120">
        <f>SUM(N35:N37)</f>
        <v>100000000</v>
      </c>
      <c r="O38" s="114"/>
      <c r="P38" s="120">
        <f>SUM(P35:P37)</f>
        <v>100000000</v>
      </c>
      <c r="Q38" s="114"/>
      <c r="R38" s="120">
        <f>SUM(R35:R37)</f>
        <v>100000000</v>
      </c>
      <c r="T38" s="4">
        <f>(R38/J38)^(1/4)-1</f>
        <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2018</v>
      </c>
      <c r="C47" s="88">
        <v>0.99</v>
      </c>
      <c r="D47" s="88">
        <v>1</v>
      </c>
      <c r="E47" s="88">
        <v>1.01</v>
      </c>
      <c r="H47" s="156" t="s">
        <v>15</v>
      </c>
      <c r="I47" s="156"/>
      <c r="J47" s="161">
        <v>115211976</v>
      </c>
      <c r="M47" t="s">
        <v>55</v>
      </c>
      <c r="P47" s="2"/>
      <c r="X47" s="127"/>
    </row>
    <row r="48" spans="1:24">
      <c r="B48" s="90">
        <f>B47+1</f>
        <v>2019</v>
      </c>
      <c r="C48" s="88">
        <v>0.98</v>
      </c>
      <c r="D48" s="88">
        <v>1</v>
      </c>
      <c r="E48" s="88">
        <v>1.02</v>
      </c>
      <c r="H48" s="156" t="s">
        <v>99</v>
      </c>
      <c r="I48" s="156"/>
      <c r="J48" s="157">
        <v>80000000</v>
      </c>
      <c r="M48" t="s">
        <v>56</v>
      </c>
      <c r="P48" s="2"/>
      <c r="X48" s="127"/>
    </row>
    <row r="49" spans="2:24">
      <c r="B49" s="90">
        <f>B48+1</f>
        <v>2020</v>
      </c>
      <c r="C49" s="88">
        <v>0.97</v>
      </c>
      <c r="D49" s="88">
        <v>1</v>
      </c>
      <c r="E49" s="88">
        <v>1.03</v>
      </c>
      <c r="H49" s="156" t="s">
        <v>14</v>
      </c>
      <c r="I49" s="156"/>
      <c r="J49" s="157">
        <f>574600000+97000000</f>
        <v>671600000</v>
      </c>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f>((NPV($C56,$J$13:$P$13,$R$13+$R$13*(1+$J$50)/($C56-$J$50)))-$J$49+J48)/$J$47</f>
        <v>8.3729354547758863</v>
      </c>
      <c r="E56" s="93"/>
      <c r="F56" s="94">
        <f>((NPV($C56,$J$25:$P$25,$R$25+$R$25*(1+$J$50)/($C56-$J$50)))-$J$49+J48)/$J$47</f>
        <v>8.3729354547758863</v>
      </c>
      <c r="G56" s="93"/>
      <c r="H56" s="123">
        <f>((NPV($C56,$J$38:$P$38,$R$38+$R$38*(1+$J$50)/($C56-$J$50)))-$J$49+J48)/$J$47</f>
        <v>8.3729354547758863</v>
      </c>
      <c r="I56" s="10"/>
      <c r="J56" s="11"/>
      <c r="M56" s="135" t="s">
        <v>186</v>
      </c>
      <c r="Q56" s="87"/>
      <c r="R56" s="91"/>
      <c r="S56" s="87"/>
      <c r="T56" s="91"/>
    </row>
    <row r="57" spans="2:24">
      <c r="B57" s="84" t="s">
        <v>28</v>
      </c>
      <c r="C57" s="4">
        <v>0.11</v>
      </c>
      <c r="D57" s="96">
        <f>((NPV($C57,$J$13:$P$13,$R$13+$R$13*(1+$J$50)/($C57-$J$50)))-$J$49+J48)/$J$47</f>
        <v>3.9107729005936513</v>
      </c>
      <c r="E57" s="97"/>
      <c r="F57" s="98">
        <f>((NPV($C57,$J$25:$P$25,$R$25+$R$25*(1+$J$50)/($C57-$J$50)))-$J$49+J48)/$J$47</f>
        <v>3.9107729005936513</v>
      </c>
      <c r="G57" s="97"/>
      <c r="H57" s="99">
        <f>((NPV($C57,$J$38:$P$38,$R$38+$R$38*(1+$J$50)/($C57-$J$50)))-$J$49+J48)/$J$47</f>
        <v>3.9107729005936513</v>
      </c>
      <c r="I57" s="44"/>
      <c r="J57" s="43"/>
      <c r="Q57" s="87"/>
      <c r="R57" s="91"/>
      <c r="S57" s="87"/>
      <c r="T57" s="91"/>
    </row>
    <row r="58" spans="2:24">
      <c r="B58" s="8" t="s">
        <v>10</v>
      </c>
      <c r="C58" s="4">
        <v>0.15</v>
      </c>
      <c r="D58" s="100">
        <f>((NPV($C58,$J$13:$P$13,$R$13+$R$13*(1+$J$50)/($C58-$J$50)))-$J$49+J48)/$J$47</f>
        <v>1.1605392931463074</v>
      </c>
      <c r="E58" s="101"/>
      <c r="F58" s="102">
        <f>((NPV($C58,$J$25:$P$25,$R$25+$R$25*(1+$J$50)/($C58-$J$50)))-$J$49+J48)/$J$47</f>
        <v>1.1605392931463074</v>
      </c>
      <c r="G58" s="101"/>
      <c r="H58" s="103">
        <f>((NPV($C58,$J$38:$P$38,$R$38+$R$38*(1+$J$50)/($C58-$J$50)))-$J$49+J48)/$J$47</f>
        <v>1.1605392931463074</v>
      </c>
      <c r="I58" s="44"/>
      <c r="J58" s="43"/>
      <c r="L58" t="s">
        <v>196</v>
      </c>
      <c r="M58" s="178">
        <v>43402</v>
      </c>
      <c r="Q58" s="87"/>
      <c r="R58" s="91"/>
      <c r="S58" s="87"/>
      <c r="T58" s="91"/>
    </row>
    <row r="59" spans="2:24">
      <c r="C59" s="4"/>
      <c r="D59" s="23"/>
      <c r="I59" s="23"/>
      <c r="J59" s="136"/>
      <c r="L59" t="s">
        <v>187</v>
      </c>
      <c r="M59" s="146" t="s">
        <v>250</v>
      </c>
      <c r="Q59" s="23"/>
      <c r="R59" s="23"/>
      <c r="S59" s="23"/>
      <c r="T59" s="23"/>
    </row>
    <row r="60" spans="2:24">
      <c r="D60" s="2"/>
      <c r="M60" s="146" t="s">
        <v>251</v>
      </c>
      <c r="N60" s="23"/>
      <c r="O60" s="23"/>
      <c r="P60" s="107"/>
      <c r="Q60" s="23"/>
      <c r="R60" s="23"/>
      <c r="S60" s="23"/>
      <c r="T60" s="23"/>
    </row>
    <row r="61" spans="2:24">
      <c r="D61" s="30"/>
      <c r="E61" s="30"/>
      <c r="F61" s="109" t="s">
        <v>6</v>
      </c>
      <c r="G61" s="30"/>
      <c r="H61" s="30"/>
      <c r="I61" s="104"/>
      <c r="J61" s="137"/>
      <c r="L61" s="23"/>
      <c r="M61" s="167" t="s">
        <v>252</v>
      </c>
      <c r="N61" s="128"/>
      <c r="O61" s="23"/>
      <c r="P61" s="104"/>
      <c r="Q61" s="104"/>
      <c r="R61" s="104"/>
      <c r="S61" s="104"/>
      <c r="T61" s="104"/>
    </row>
    <row r="62" spans="2:24">
      <c r="D62" s="85" t="s">
        <v>29</v>
      </c>
      <c r="E62" s="85"/>
      <c r="F62" s="166" t="s">
        <v>31</v>
      </c>
      <c r="G62" s="85"/>
      <c r="H62" s="85" t="s">
        <v>188</v>
      </c>
      <c r="I62" s="62"/>
      <c r="J62" s="61"/>
      <c r="L62" s="177"/>
      <c r="M62" s="160" t="s">
        <v>253</v>
      </c>
      <c r="N62" s="129"/>
      <c r="O62" s="23"/>
      <c r="P62" s="87"/>
      <c r="Q62" s="87"/>
      <c r="R62" s="87"/>
      <c r="S62" s="87"/>
      <c r="T62" s="87"/>
    </row>
    <row r="63" spans="2:24">
      <c r="B63" s="84" t="s">
        <v>8</v>
      </c>
      <c r="C63" s="4">
        <f>C56</f>
        <v>0.08</v>
      </c>
      <c r="D63" s="92">
        <f>((NPV($C63,$J$13:$P$13,$R$13+$R$13*(1+$J$50)/($C63-$J$50)))-$J$49+J48)</f>
        <v>964662438.66518855</v>
      </c>
      <c r="E63" s="93"/>
      <c r="F63" s="94">
        <f>((NPV($C63,$J$25:$P$25,$R$25+$R$25*(1+$J$50)/($C63-$J$50)))-$J$49+J48)</f>
        <v>964662438.66518855</v>
      </c>
      <c r="G63" s="93"/>
      <c r="H63" s="95">
        <f>((NPV($C63,$J$38:$P$38,$R$38+$R$38*(1+$J$50)/($C63-$J$50)))-$J$49+J48)</f>
        <v>964662438.66518855</v>
      </c>
      <c r="I63" s="17"/>
      <c r="J63" s="18"/>
      <c r="L63" s="23"/>
      <c r="M63" s="167"/>
      <c r="N63" s="23"/>
      <c r="O63" s="23"/>
      <c r="P63" s="98"/>
      <c r="Q63" s="97"/>
      <c r="R63" s="98"/>
      <c r="S63" s="97"/>
      <c r="T63" s="98"/>
    </row>
    <row r="64" spans="2:24">
      <c r="B64" s="84" t="s">
        <v>28</v>
      </c>
      <c r="C64" s="4">
        <f>C57</f>
        <v>0.11</v>
      </c>
      <c r="D64" s="96">
        <f>((NPV($C64,$J$13:$P$13,$R$13+$R$13*(1+$J$50)/($C64-$J$50)))-$J$49+J48)</f>
        <v>450567873.56464612</v>
      </c>
      <c r="E64" s="97"/>
      <c r="F64" s="98">
        <f>((NPV($C64,$J$25:$P$25,$R$25+$R$25*(1+$J$50)/($C64-$J$50)))-$J$49+J48)</f>
        <v>450567873.56464612</v>
      </c>
      <c r="G64" s="97"/>
      <c r="H64" s="122">
        <f>((NPV($C64,$J$38:$P$38,$R$38+$R$38*(1+$J$50)/($C64-$J$50)))-$J$49+J48)</f>
        <v>450567873.56464612</v>
      </c>
      <c r="I64" s="17"/>
      <c r="J64" s="18"/>
      <c r="L64" s="23"/>
      <c r="M64" s="167"/>
      <c r="N64" s="23"/>
      <c r="O64" s="23"/>
      <c r="P64" s="98"/>
      <c r="Q64" s="97"/>
      <c r="R64" s="98"/>
      <c r="S64" s="97"/>
      <c r="T64" s="98"/>
    </row>
    <row r="65" spans="1:20">
      <c r="B65" s="8" t="s">
        <v>10</v>
      </c>
      <c r="C65" s="4">
        <f>C58</f>
        <v>0.15</v>
      </c>
      <c r="D65" s="100">
        <f>((NPV($C65,$J$13:$P$13,$R$13+$R$13*(1+$J$50)/($C65-$J$50)))-$J$49+J48)</f>
        <v>133708025.18902934</v>
      </c>
      <c r="E65" s="101"/>
      <c r="F65" s="102">
        <f>((NPV($C65,$J$25:$P$25,$R$25+$R$25*(1+$J$50)/($C65-$J$50)))-$J$49+J48)</f>
        <v>133708025.18902934</v>
      </c>
      <c r="G65" s="101"/>
      <c r="H65" s="103">
        <f>((NPV($C65,$J$38:$P$38,$R$38+$R$38*(1+$J$50)/($C65-$J$50)))-$J$49+J48)</f>
        <v>133708025.18902934</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$671600000.0mm as of 5/16/08.</v>
      </c>
      <c r="F69" s="87"/>
      <c r="G69" s="87"/>
      <c r="H69" s="87"/>
      <c r="I69" s="87"/>
      <c r="J69" s="87"/>
      <c r="L69" s="82"/>
      <c r="M69" s="165"/>
      <c r="N69" s="82"/>
    </row>
    <row r="70" spans="1:20">
      <c r="A70" s="1" t="str">
        <f>"(2)  Assumes outstanding diluted shares of "&amp;TEXT(J47,"0.000")&amp;" million."</f>
        <v>(2)  Assumes outstanding diluted shares of 115211976.000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177" t="s">
        <v>254</v>
      </c>
      <c r="F76" s="191"/>
      <c r="G76" s="87"/>
      <c r="H76" s="91"/>
      <c r="I76" s="87"/>
      <c r="J76" s="91"/>
      <c r="M76" s="146"/>
      <c r="P76" s="79"/>
    </row>
    <row r="77" spans="1:20" ht="12.75" customHeight="1">
      <c r="B77" s="135" t="s">
        <v>140</v>
      </c>
      <c r="E77" s="135" t="s">
        <v>255</v>
      </c>
      <c r="F77" s="160"/>
      <c r="G77" s="23"/>
      <c r="H77" s="23"/>
      <c r="I77" s="23"/>
      <c r="J77" s="177" t="s">
        <v>257</v>
      </c>
      <c r="M77" s="146"/>
    </row>
    <row r="78" spans="1:20" ht="12.75" customHeight="1">
      <c r="B78" s="135" t="s">
        <v>141</v>
      </c>
      <c r="C78" s="83"/>
      <c r="E78" s="135" t="s">
        <v>256</v>
      </c>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E81" s="135" t="s">
        <v>260</v>
      </c>
      <c r="F81" s="160"/>
      <c r="G81" s="87"/>
      <c r="H81" s="87"/>
      <c r="I81" s="87"/>
      <c r="J81" s="87"/>
      <c r="M81" s="146"/>
    </row>
    <row r="82" spans="1:13" ht="12.75" customHeight="1">
      <c r="B82" s="135" t="s">
        <v>39</v>
      </c>
      <c r="C82" s="83"/>
      <c r="E82" s="135" t="s">
        <v>258</v>
      </c>
      <c r="F82" s="160"/>
      <c r="G82" s="87"/>
      <c r="H82" s="87"/>
      <c r="I82" s="87"/>
      <c r="J82" s="87"/>
      <c r="M82" s="146"/>
    </row>
    <row r="83" spans="1:13" ht="12.75" customHeight="1">
      <c r="B83" s="135" t="s">
        <v>203</v>
      </c>
      <c r="C83" s="83"/>
      <c r="E83" s="135" t="s">
        <v>259</v>
      </c>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F107" s="146"/>
    </row>
    <row r="108" spans="1:6">
      <c r="F108" s="146"/>
    </row>
    <row r="109" spans="1:6">
      <c r="F109" s="146"/>
    </row>
    <row r="110" spans="1:6">
      <c r="B110" s="168" t="s">
        <v>192</v>
      </c>
      <c r="F110" s="146"/>
    </row>
    <row r="111" spans="1:6">
      <c r="B111" s="135" t="s">
        <v>193</v>
      </c>
      <c r="F111" s="146"/>
    </row>
    <row r="118" spans="2:2">
      <c r="B118" t="s">
        <v>194</v>
      </c>
    </row>
    <row r="119" spans="2:2">
      <c r="B119" t="s">
        <v>195</v>
      </c>
    </row>
  </sheetData>
  <mergeCells count="1">
    <mergeCell ref="H46:J46"/>
  </mergeCells>
  <conditionalFormatting sqref="B6:T13">
    <cfRule type="expression" dxfId="113" priority="6">
      <formula>MOD(ROW(),2)=0</formula>
    </cfRule>
  </conditionalFormatting>
  <conditionalFormatting sqref="B18:T25">
    <cfRule type="expression" dxfId="112" priority="5">
      <formula>MOD(ROW(),2)=0</formula>
    </cfRule>
  </conditionalFormatting>
  <conditionalFormatting sqref="B31:T39">
    <cfRule type="expression" dxfId="111" priority="4">
      <formula>MOD(ROW(),2)=0</formula>
    </cfRule>
  </conditionalFormatting>
  <conditionalFormatting sqref="D56:H58">
    <cfRule type="expression" dxfId="110" priority="3">
      <formula>MOD(ROW(),2)=0</formula>
    </cfRule>
  </conditionalFormatting>
  <conditionalFormatting sqref="D63:H65">
    <cfRule type="expression" dxfId="109" priority="2">
      <formula>MOD(ROW(),2)=0</formula>
    </cfRule>
  </conditionalFormatting>
  <conditionalFormatting sqref="C47:E51">
    <cfRule type="expression" dxfId="108" priority="1">
      <formula>MOD(ROW(),2)=0</formula>
    </cfRule>
  </conditionalFormatting>
  <pageMargins left="0.75" right="0.75" top="1" bottom="1" header="0.5" footer="0.5"/>
  <pageSetup paperSize="119"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22"/>
  <sheetViews>
    <sheetView showGridLines="0" zoomScaleNormal="100" workbookViewId="0">
      <selection activeCell="J53" sqref="J53"/>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 bestFit="1"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2020</v>
      </c>
      <c r="J4" s="27">
        <f>H4+1</f>
        <v>2021</v>
      </c>
      <c r="K4" s="20"/>
      <c r="L4" s="27">
        <f>J4+1</f>
        <v>2022</v>
      </c>
      <c r="M4" s="20"/>
      <c r="N4" s="60">
        <f>L4+1</f>
        <v>2023</v>
      </c>
      <c r="O4" s="21"/>
      <c r="P4" s="60">
        <f>N4+1</f>
        <v>2024</v>
      </c>
      <c r="Q4" s="21"/>
      <c r="R4" s="60">
        <f>P4+1</f>
        <v>2025</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f>H4</f>
        <v>2020</v>
      </c>
      <c r="J16" s="27">
        <f>H16+1</f>
        <v>2021</v>
      </c>
      <c r="K16" s="20"/>
      <c r="L16" s="27">
        <f>J16+1</f>
        <v>2022</v>
      </c>
      <c r="M16" s="20"/>
      <c r="N16" s="60">
        <f>L16+1</f>
        <v>2023</v>
      </c>
      <c r="O16" s="21"/>
      <c r="P16" s="60">
        <f>N16+1</f>
        <v>2024</v>
      </c>
      <c r="Q16" s="21"/>
      <c r="R16" s="60">
        <f>P16+1</f>
        <v>2025</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f>H4</f>
        <v>2020</v>
      </c>
      <c r="J29" s="27">
        <f>H29+1</f>
        <v>2021</v>
      </c>
      <c r="K29" s="20"/>
      <c r="L29" s="27">
        <f>J29+1</f>
        <v>2022</v>
      </c>
      <c r="M29" s="20"/>
      <c r="N29" s="60">
        <f>L29+1</f>
        <v>2023</v>
      </c>
      <c r="O29" s="21"/>
      <c r="P29" s="60">
        <f>N29+1</f>
        <v>2024</v>
      </c>
      <c r="Q29" s="21"/>
      <c r="R29" s="60">
        <f>P29+1</f>
        <v>2025</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ht="15.75">
      <c r="B46" s="88" t="s">
        <v>32</v>
      </c>
      <c r="C46" s="89" t="s">
        <v>29</v>
      </c>
      <c r="D46" s="89" t="s">
        <v>31</v>
      </c>
      <c r="E46" s="152" t="s">
        <v>188</v>
      </c>
      <c r="H46" s="294" t="s">
        <v>181</v>
      </c>
      <c r="I46" s="294"/>
      <c r="J46" s="294"/>
      <c r="K46" s="135"/>
      <c r="L46" s="135"/>
      <c r="M46" s="2" t="s">
        <v>57</v>
      </c>
      <c r="P46" s="2"/>
      <c r="R46" s="147" t="s">
        <v>136</v>
      </c>
      <c r="X46" s="127"/>
    </row>
    <row r="47" spans="1:24" ht="15.75">
      <c r="B47" s="90">
        <v>2020</v>
      </c>
      <c r="C47" s="88">
        <v>0.99</v>
      </c>
      <c r="D47" s="88">
        <v>1</v>
      </c>
      <c r="E47" s="88">
        <v>1.01</v>
      </c>
      <c r="H47" s="156" t="s">
        <v>15</v>
      </c>
      <c r="I47" s="156"/>
      <c r="J47" s="161"/>
      <c r="K47" s="140"/>
      <c r="L47" s="221"/>
      <c r="M47" t="s">
        <v>55</v>
      </c>
      <c r="P47" s="2"/>
      <c r="R47" s="147" t="s">
        <v>137</v>
      </c>
      <c r="X47" s="127"/>
    </row>
    <row r="48" spans="1:24">
      <c r="B48" s="90">
        <f>B47+1</f>
        <v>2021</v>
      </c>
      <c r="C48" s="88">
        <v>0.98</v>
      </c>
      <c r="D48" s="88">
        <v>1</v>
      </c>
      <c r="E48" s="152">
        <v>1.02</v>
      </c>
      <c r="H48" s="156" t="s">
        <v>99</v>
      </c>
      <c r="I48" s="156"/>
      <c r="J48" s="157"/>
      <c r="L48" s="163"/>
      <c r="M48" t="s">
        <v>56</v>
      </c>
      <c r="P48" s="2"/>
      <c r="X48" s="127"/>
    </row>
    <row r="49" spans="2:24">
      <c r="B49" s="90">
        <f>B48+1</f>
        <v>2022</v>
      </c>
      <c r="C49" s="88">
        <v>0.97</v>
      </c>
      <c r="D49" s="88">
        <v>1</v>
      </c>
      <c r="E49" s="88">
        <v>1.03</v>
      </c>
      <c r="H49" s="156" t="s">
        <v>14</v>
      </c>
      <c r="I49" s="156"/>
      <c r="J49" s="157"/>
      <c r="M49" t="s">
        <v>58</v>
      </c>
      <c r="P49" s="2"/>
      <c r="X49" s="127"/>
    </row>
    <row r="50" spans="2:24">
      <c r="B50" s="90">
        <f>B49+1</f>
        <v>2023</v>
      </c>
      <c r="C50" s="88">
        <v>0.96</v>
      </c>
      <c r="D50" s="88">
        <v>1</v>
      </c>
      <c r="E50" s="88">
        <v>1.04</v>
      </c>
      <c r="H50" s="155" t="s">
        <v>16</v>
      </c>
      <c r="I50" s="156"/>
      <c r="J50" s="158">
        <v>0.02</v>
      </c>
      <c r="M50" t="s">
        <v>59</v>
      </c>
      <c r="P50" s="2"/>
      <c r="X50" s="127"/>
    </row>
    <row r="51" spans="2:24">
      <c r="B51" s="90">
        <f>B50+1</f>
        <v>2024</v>
      </c>
      <c r="C51" s="88">
        <v>0.95</v>
      </c>
      <c r="D51" s="88">
        <v>1</v>
      </c>
      <c r="E51" s="88">
        <v>1.05</v>
      </c>
      <c r="H51" s="156" t="s">
        <v>2</v>
      </c>
      <c r="I51" s="156"/>
      <c r="J51" s="158">
        <v>0</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t="e">
        <f>((NPV($C56,$J$13:$P$13,$R$13+$R$13*(1+$J$50)/($C56-$J$50)))-$J$49+J48)/$J$47</f>
        <v>#DIV/0!</v>
      </c>
      <c r="E56" s="93"/>
      <c r="F56" s="94" t="e">
        <f>((NPV($C56,$J$25:$P$25,$R$25+$R$25*(1+$J$50)/($C56-$J$50)))-$J$49+J48)/$J$47</f>
        <v>#DIV/0!</v>
      </c>
      <c r="G56" s="93"/>
      <c r="H56" s="123" t="e">
        <f>((NPV($C56,$J$38:$P$38,$R$38+$R$38*(1+$J$50)/($C56-$J$50)))-$J$49+J48)/$J$47</f>
        <v>#DIV/0!</v>
      </c>
      <c r="I56" s="10"/>
      <c r="J56" s="11"/>
      <c r="M56" s="135" t="s">
        <v>186</v>
      </c>
      <c r="Q56" s="87"/>
      <c r="R56" s="91"/>
      <c r="S56" s="87"/>
      <c r="T56" s="91"/>
    </row>
    <row r="57" spans="2:24">
      <c r="B57" s="84" t="s">
        <v>28</v>
      </c>
      <c r="C57" s="4">
        <v>0.11</v>
      </c>
      <c r="D57" s="96" t="e">
        <f>((NPV($C57,$J$13:$P$13,$R$13+$R$13*(1+$J$50)/($C57-$J$50)))-$J$49+J48)/$J$47</f>
        <v>#DIV/0!</v>
      </c>
      <c r="E57" s="97"/>
      <c r="F57" s="98" t="e">
        <f>((NPV($C57,$J$25:$P$25,$R$25+$R$25*(1+$J$50)/($C57-$J$50)))-$J$49+J48)/$J$47</f>
        <v>#DIV/0!</v>
      </c>
      <c r="G57" s="97"/>
      <c r="H57" s="99" t="e">
        <f>((NPV($C57,$J$38:$P$38,$R$38+$R$38*(1+$J$50)/($C57-$J$50)))-$J$49+J48)/$J$47</f>
        <v>#DIV/0!</v>
      </c>
      <c r="I57" s="44"/>
      <c r="J57" s="43"/>
      <c r="Q57" s="87"/>
      <c r="R57" s="91"/>
      <c r="S57" s="87"/>
      <c r="T57" s="91"/>
    </row>
    <row r="58" spans="2:24">
      <c r="B58" s="174" t="s">
        <v>407</v>
      </c>
      <c r="C58" s="4">
        <v>0.15</v>
      </c>
      <c r="D58" s="100" t="e">
        <f>((NPV($C58,$J$13:$P$13,$R$13+$R$13*(1+$J$50)/($C58-$J$50)))-$J$49+J48)/$J$47</f>
        <v>#DIV/0!</v>
      </c>
      <c r="E58" s="101"/>
      <c r="F58" s="102" t="e">
        <f>((NPV($C58,$J$25:$P$25,$R$25+$R$25*(1+$J$50)/($C58-$J$50)))-$J$49+J48)/$J$47</f>
        <v>#DIV/0!</v>
      </c>
      <c r="G58" s="101"/>
      <c r="H58" s="103" t="e">
        <f>((NPV($C58,$J$38:$P$38,$R$38+$R$38*(1+$J$50)/($C58-$J$50)))-$J$49+J48)/$J$47</f>
        <v>#DIV/0!</v>
      </c>
      <c r="I58" s="44"/>
      <c r="J58" s="43"/>
      <c r="Q58" s="87"/>
      <c r="R58" s="91"/>
      <c r="S58" s="87"/>
      <c r="T58" s="91"/>
    </row>
    <row r="59" spans="2:24">
      <c r="C59" s="4"/>
      <c r="D59" s="23"/>
      <c r="I59" s="23"/>
      <c r="J59" s="136"/>
      <c r="Q59" s="23"/>
      <c r="R59" s="23"/>
      <c r="S59" s="23"/>
      <c r="T59" s="23"/>
    </row>
    <row r="60" spans="2:24">
      <c r="D60" s="2"/>
      <c r="M60" s="140"/>
      <c r="N60" s="23"/>
      <c r="O60" s="23"/>
      <c r="P60" s="107"/>
      <c r="Q60" s="23"/>
      <c r="R60" s="190"/>
      <c r="S60" s="23"/>
      <c r="T60" s="23"/>
    </row>
    <row r="61" spans="2:24">
      <c r="D61" s="30"/>
      <c r="E61" s="30"/>
      <c r="F61" s="109" t="s">
        <v>6</v>
      </c>
      <c r="G61" s="30"/>
      <c r="H61" s="30"/>
      <c r="I61" s="104"/>
      <c r="J61" s="137"/>
      <c r="L61" s="23"/>
      <c r="M61" s="200"/>
      <c r="N61" s="128"/>
      <c r="O61" s="23"/>
      <c r="P61" s="104"/>
      <c r="Q61" s="104"/>
      <c r="R61" s="104"/>
      <c r="S61" s="104"/>
      <c r="T61" s="104"/>
    </row>
    <row r="62" spans="2:24">
      <c r="D62" s="85" t="s">
        <v>29</v>
      </c>
      <c r="E62" s="85"/>
      <c r="F62" s="166" t="s">
        <v>31</v>
      </c>
      <c r="G62" s="85"/>
      <c r="H62" s="85" t="s">
        <v>188</v>
      </c>
      <c r="I62" s="62"/>
      <c r="J62" s="61"/>
      <c r="L62" s="23"/>
      <c r="M62" s="160"/>
      <c r="N62" s="129"/>
      <c r="O62" s="23"/>
      <c r="P62" s="87"/>
      <c r="Q62" s="87"/>
      <c r="R62" s="87"/>
      <c r="S62" s="87"/>
      <c r="T62" s="87"/>
    </row>
    <row r="63" spans="2:24">
      <c r="B63" s="84" t="s">
        <v>8</v>
      </c>
      <c r="C63" s="4">
        <f>C56</f>
        <v>0.08</v>
      </c>
      <c r="D63" s="92">
        <f>((NPV($C63,$J$13:$P$13,$R$13+$R$13*(1+$J$50)/($C63-$J$50)))-$J$49+J48)</f>
        <v>0</v>
      </c>
      <c r="E63" s="93"/>
      <c r="F63" s="94">
        <f>((NPV($C63,$J$25:$P$25,$R$25+$R$25*(1+$J$50)/($C63-$J$50)))-$J$49+J48)</f>
        <v>0</v>
      </c>
      <c r="G63" s="93"/>
      <c r="H63" s="95">
        <f>((NPV($C63,$J$38:$P$38,$R$38+$R$38*(1+$J$50)/($C63-$J$50)))-$J$49+J48)</f>
        <v>0</v>
      </c>
      <c r="I63" s="17"/>
      <c r="J63" s="18"/>
      <c r="L63" s="23"/>
      <c r="M63" s="167"/>
      <c r="N63" s="23"/>
      <c r="O63" s="23"/>
      <c r="P63" s="98"/>
      <c r="Q63" s="97"/>
      <c r="R63" s="98"/>
      <c r="S63" s="97"/>
      <c r="T63" s="98"/>
    </row>
    <row r="64" spans="2:24">
      <c r="B64" s="84" t="s">
        <v>28</v>
      </c>
      <c r="C64" s="4">
        <f>C57</f>
        <v>0.11</v>
      </c>
      <c r="D64" s="96">
        <f>((NPV($C64,$J$13:$P$13,$R$13+$R$13*(1+$J$50)/($C64-$J$50)))-$J$49+J48)</f>
        <v>0</v>
      </c>
      <c r="E64" s="97"/>
      <c r="F64" s="98">
        <f>((NPV($C64,$J$25:$P$25,$R$25+$R$25*(1+$J$50)/($C64-$J$50)))-$J$49+J48)</f>
        <v>0</v>
      </c>
      <c r="G64" s="97"/>
      <c r="H64" s="122">
        <f>((NPV($C64,$J$38:$P$38,$R$38+$R$38*(1+$J$50)/($C64-$J$50)))-$J$49+J48)</f>
        <v>0</v>
      </c>
      <c r="I64" s="17"/>
      <c r="J64" s="18"/>
      <c r="L64" s="23"/>
      <c r="M64" s="167"/>
      <c r="N64" s="23"/>
      <c r="O64" s="23"/>
      <c r="P64" s="98"/>
      <c r="Q64" s="97"/>
      <c r="R64" s="98"/>
      <c r="S64" s="97"/>
      <c r="T64" s="98"/>
    </row>
    <row r="65" spans="1:20">
      <c r="B65" s="174" t="s">
        <v>407</v>
      </c>
      <c r="C65" s="4">
        <f>C58</f>
        <v>0.15</v>
      </c>
      <c r="D65" s="100">
        <f>((NPV($C65,$J$13:$P$13,$R$13+$R$13*(1+$J$50)/($C65-$J$50)))-$J$49+J48)</f>
        <v>0</v>
      </c>
      <c r="E65" s="101"/>
      <c r="F65" s="102">
        <f>((NPV($C65,$J$25:$P$25,$R$25+$R$25*(1+$J$50)/($C65-$J$50)))-$J$49+J48)</f>
        <v>0</v>
      </c>
      <c r="G65" s="101"/>
      <c r="H65" s="103">
        <f>((NPV($C65,$J$38:$P$38,$R$38+$R$38*(1+$J$50)/($C65-$J$50)))-$J$49+J48)</f>
        <v>0</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0.000 million.</v>
      </c>
      <c r="C70" s="8"/>
      <c r="D70" s="4"/>
      <c r="E70" s="23"/>
      <c r="F70" s="91"/>
      <c r="G70" s="87"/>
      <c r="H70" s="91"/>
      <c r="I70" s="87"/>
      <c r="J70" s="91"/>
      <c r="M70" s="146"/>
    </row>
    <row r="71" spans="1:20">
      <c r="B71" s="2"/>
      <c r="C71" s="8"/>
      <c r="D71" s="4"/>
      <c r="E71" s="23"/>
      <c r="F71" s="91"/>
      <c r="G71" s="87"/>
      <c r="H71" s="91"/>
      <c r="I71" s="87"/>
      <c r="J71" s="91"/>
      <c r="M71" s="146"/>
    </row>
    <row r="72" spans="1:20">
      <c r="C72" s="8"/>
      <c r="D72" s="4"/>
      <c r="E72" s="23"/>
      <c r="F72" s="91"/>
      <c r="G72" s="87"/>
      <c r="H72" s="91"/>
      <c r="I72" s="87"/>
      <c r="J72" s="91"/>
      <c r="M72" s="146"/>
    </row>
    <row r="73" spans="1:20">
      <c r="C73" s="8"/>
      <c r="D73" s="4"/>
      <c r="E73" s="23"/>
      <c r="F73" s="91"/>
      <c r="G73" s="87"/>
      <c r="H73" s="91"/>
      <c r="I73" s="87"/>
      <c r="J73" s="91"/>
      <c r="M73" s="146"/>
    </row>
    <row r="74" spans="1:20" ht="15.75">
      <c r="B74" s="147"/>
      <c r="C74" s="8"/>
      <c r="D74" s="4"/>
      <c r="E74" s="23"/>
      <c r="F74" s="91"/>
      <c r="G74" s="87"/>
      <c r="H74" s="91"/>
      <c r="I74" s="87"/>
      <c r="J74" s="91"/>
      <c r="M74" s="146"/>
    </row>
    <row r="75" spans="1:20">
      <c r="E75" s="23"/>
      <c r="F75" s="91"/>
      <c r="G75" s="87"/>
      <c r="H75" s="91"/>
      <c r="I75" s="87"/>
      <c r="J75" s="91"/>
      <c r="M75" s="146"/>
    </row>
    <row r="76" spans="1:20" ht="12.75" customHeight="1">
      <c r="E76" s="177"/>
      <c r="F76" s="191"/>
      <c r="G76" s="87"/>
      <c r="H76" s="91"/>
      <c r="I76" s="87"/>
      <c r="J76" s="91"/>
      <c r="M76" s="146"/>
      <c r="P76" s="79"/>
    </row>
    <row r="77" spans="1:20" ht="12.75" customHeight="1">
      <c r="E77" s="205"/>
      <c r="F77" s="160"/>
      <c r="G77" s="23"/>
      <c r="H77" s="23"/>
      <c r="I77" s="23"/>
      <c r="J77" s="23"/>
      <c r="M77" s="146"/>
    </row>
    <row r="78" spans="1:20" ht="12.75" customHeight="1">
      <c r="E78" s="135"/>
      <c r="F78" s="160"/>
      <c r="G78" s="87"/>
      <c r="H78" s="87"/>
      <c r="I78" s="87"/>
      <c r="J78" s="87"/>
      <c r="M78" s="146"/>
    </row>
    <row r="79" spans="1:20" ht="12.75" customHeight="1">
      <c r="F79" s="160"/>
      <c r="G79" s="87"/>
      <c r="H79" s="87"/>
      <c r="I79" s="87"/>
      <c r="J79" s="87"/>
      <c r="M79" s="146"/>
    </row>
    <row r="80" spans="1:20" ht="12.75" customHeight="1">
      <c r="F80" s="160"/>
      <c r="G80" s="87"/>
      <c r="H80" s="87"/>
      <c r="I80" s="87"/>
      <c r="J80" s="87"/>
      <c r="M80" s="146"/>
    </row>
    <row r="81" spans="5:13" ht="12.75" customHeight="1">
      <c r="E81" s="135"/>
      <c r="F81" s="160"/>
      <c r="G81" s="87"/>
      <c r="H81" s="87"/>
      <c r="I81" s="87"/>
      <c r="J81" s="87"/>
      <c r="M81" s="146"/>
    </row>
    <row r="82" spans="5:13" ht="12.75" customHeight="1">
      <c r="F82" s="160"/>
      <c r="G82" s="87"/>
      <c r="H82" s="87"/>
      <c r="I82" s="87"/>
      <c r="J82" s="87"/>
      <c r="M82" s="146"/>
    </row>
    <row r="83" spans="5:13" ht="12.75" customHeight="1">
      <c r="E83" s="135"/>
      <c r="F83" s="160"/>
      <c r="G83" s="87"/>
      <c r="H83" s="87"/>
      <c r="I83" s="87"/>
      <c r="J83" s="87"/>
      <c r="M83" s="146"/>
    </row>
    <row r="84" spans="5:13" ht="12.75" customHeight="1">
      <c r="F84" s="160"/>
      <c r="G84" s="87"/>
      <c r="H84" s="87"/>
      <c r="I84" s="87"/>
      <c r="J84" s="87"/>
      <c r="M84" s="146"/>
    </row>
    <row r="85" spans="5:13" ht="12.75" customHeight="1">
      <c r="F85" s="160"/>
      <c r="G85" s="87"/>
      <c r="H85" s="87"/>
      <c r="I85" s="87"/>
      <c r="J85" s="87"/>
      <c r="M85" s="146"/>
    </row>
    <row r="86" spans="5:13" ht="12.75" customHeight="1">
      <c r="E86" s="23"/>
      <c r="F86" s="141"/>
      <c r="G86" s="97"/>
      <c r="H86" s="98"/>
      <c r="I86" s="97"/>
      <c r="J86" s="98"/>
      <c r="M86" s="146"/>
    </row>
    <row r="87" spans="5:13" ht="12.75" customHeight="1">
      <c r="E87" s="23"/>
      <c r="F87" s="141"/>
      <c r="G87" s="97"/>
      <c r="H87" s="98"/>
      <c r="I87" s="97"/>
      <c r="J87" s="98"/>
      <c r="M87" s="146"/>
    </row>
    <row r="88" spans="5:13" ht="12.75" customHeight="1">
      <c r="E88" s="23"/>
      <c r="F88" s="141"/>
      <c r="G88" s="97"/>
      <c r="H88" s="98"/>
      <c r="I88" s="97"/>
      <c r="J88" s="98"/>
      <c r="M88" s="146"/>
    </row>
    <row r="89" spans="5:13" ht="12.75" customHeight="1">
      <c r="F89" s="142"/>
      <c r="J89" s="142"/>
      <c r="M89" s="146"/>
    </row>
    <row r="90" spans="5:13" ht="12.75" customHeight="1">
      <c r="F90" s="146"/>
      <c r="J90" s="142"/>
      <c r="M90" s="146"/>
    </row>
    <row r="91" spans="5:13" ht="12.75" customHeight="1">
      <c r="F91" s="146"/>
      <c r="J91" s="146"/>
      <c r="M91" s="146"/>
    </row>
    <row r="92" spans="5:13" ht="12.75" customHeight="1">
      <c r="F92" s="146"/>
      <c r="J92" s="146"/>
      <c r="M92" s="146"/>
    </row>
    <row r="93" spans="5:13" ht="12.75" customHeight="1">
      <c r="F93" s="146"/>
      <c r="J93" s="146"/>
      <c r="M93" s="146"/>
    </row>
    <row r="94" spans="5:13" ht="12.75" customHeight="1">
      <c r="F94" s="146"/>
      <c r="J94" s="146"/>
    </row>
    <row r="95" spans="5:13" ht="12.75" customHeight="1">
      <c r="F95" s="146"/>
      <c r="J95" s="146"/>
    </row>
    <row r="96" spans="5:13">
      <c r="F96" s="146"/>
    </row>
    <row r="97" spans="6:6">
      <c r="F97" s="146"/>
    </row>
    <row r="98" spans="6:6">
      <c r="F98" s="146"/>
    </row>
    <row r="99" spans="6:6">
      <c r="F99" s="146"/>
    </row>
    <row r="100" spans="6:6">
      <c r="F100" s="146"/>
    </row>
    <row r="101" spans="6:6">
      <c r="F101" s="146"/>
    </row>
    <row r="102" spans="6:6">
      <c r="F102" s="146"/>
    </row>
    <row r="103" spans="6:6">
      <c r="F103" s="146"/>
    </row>
    <row r="104" spans="6:6">
      <c r="F104" s="146"/>
    </row>
    <row r="105" spans="6:6">
      <c r="F105" s="146"/>
    </row>
    <row r="106" spans="6:6">
      <c r="F106" s="146"/>
    </row>
    <row r="107" spans="6:6">
      <c r="F107" s="146"/>
    </row>
    <row r="108" spans="6:6">
      <c r="F108" s="146"/>
    </row>
    <row r="109" spans="6:6">
      <c r="F109" s="146"/>
    </row>
    <row r="110" spans="6:6">
      <c r="F110" s="146"/>
    </row>
    <row r="111" spans="6:6">
      <c r="F111" s="146"/>
    </row>
    <row r="112" spans="6:6">
      <c r="F112" s="146"/>
    </row>
    <row r="113" spans="2:6">
      <c r="F113" s="146"/>
    </row>
    <row r="114" spans="2:6">
      <c r="F114" s="146"/>
    </row>
    <row r="115" spans="2:6">
      <c r="F115" s="146"/>
    </row>
    <row r="122" spans="2:6">
      <c r="B122" s="182"/>
    </row>
  </sheetData>
  <mergeCells count="1">
    <mergeCell ref="H46:J46"/>
  </mergeCells>
  <conditionalFormatting sqref="B6:T13">
    <cfRule type="expression" dxfId="215" priority="6">
      <formula>MOD(ROW(),2)=0</formula>
    </cfRule>
  </conditionalFormatting>
  <conditionalFormatting sqref="B18:T25">
    <cfRule type="expression" dxfId="214" priority="5">
      <formula>MOD(ROW(),2)=0</formula>
    </cfRule>
  </conditionalFormatting>
  <conditionalFormatting sqref="B31:T39">
    <cfRule type="expression" dxfId="213" priority="4">
      <formula>MOD(ROW(),2)=0</formula>
    </cfRule>
  </conditionalFormatting>
  <conditionalFormatting sqref="D56:H58">
    <cfRule type="expression" dxfId="212" priority="3">
      <formula>MOD(ROW(),2)=0</formula>
    </cfRule>
  </conditionalFormatting>
  <conditionalFormatting sqref="D63:H65">
    <cfRule type="expression" dxfId="211" priority="2">
      <formula>MOD(ROW(),2)=0</formula>
    </cfRule>
  </conditionalFormatting>
  <conditionalFormatting sqref="C47:E51">
    <cfRule type="expression" dxfId="210" priority="1">
      <formula>MOD(ROW(),2)=0</formula>
    </cfRule>
  </conditionalFormatting>
  <pageMargins left="0.75" right="0.75" top="1" bottom="1" header="0.5" footer="0.5"/>
  <pageSetup paperSize="119" orientation="portrait" horizontalDpi="300" verticalDpi="300"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X118"/>
  <sheetViews>
    <sheetView showGridLines="0" zoomScaleNormal="100" workbookViewId="0">
      <selection activeCell="F119" sqref="F119"/>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2018</v>
      </c>
      <c r="C47" s="88">
        <v>0.99</v>
      </c>
      <c r="D47" s="88">
        <v>1</v>
      </c>
      <c r="E47" s="88">
        <v>1.01</v>
      </c>
      <c r="H47" s="156" t="s">
        <v>15</v>
      </c>
      <c r="I47" s="156"/>
      <c r="J47" s="161">
        <v>231863931</v>
      </c>
      <c r="M47" t="s">
        <v>55</v>
      </c>
      <c r="P47" s="2"/>
      <c r="X47" s="127"/>
    </row>
    <row r="48" spans="1:24">
      <c r="B48" s="90">
        <f>B47+1</f>
        <v>2019</v>
      </c>
      <c r="C48" s="88">
        <v>0.98</v>
      </c>
      <c r="D48" s="88">
        <v>1</v>
      </c>
      <c r="E48" s="88">
        <v>1.02</v>
      </c>
      <c r="H48" s="156" t="s">
        <v>99</v>
      </c>
      <c r="I48" s="156"/>
      <c r="J48" s="157">
        <v>773000000</v>
      </c>
      <c r="M48" t="s">
        <v>56</v>
      </c>
      <c r="P48" s="2"/>
      <c r="X48" s="127"/>
    </row>
    <row r="49" spans="2:24">
      <c r="B49" s="90">
        <f>B48+1</f>
        <v>2020</v>
      </c>
      <c r="C49" s="88">
        <v>0.97</v>
      </c>
      <c r="D49" s="88">
        <v>1</v>
      </c>
      <c r="E49" s="88">
        <v>1.03</v>
      </c>
      <c r="H49" s="156" t="s">
        <v>14</v>
      </c>
      <c r="I49" s="156"/>
      <c r="J49" s="157">
        <v>72117000000</v>
      </c>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f>((NPV($C56,$J$13:$P$13,$R$13+$R$13*(1+$J$50)/($C56-$J$50)))-$J$49+J48)/$J$47</f>
        <v>-307.69770741099012</v>
      </c>
      <c r="E56" s="93"/>
      <c r="F56" s="94">
        <f>((NPV($C56,$J$25:$P$25,$R$25+$R$25*(1+$J$50)/($C56-$J$50)))-$J$49+J48)/$J$47</f>
        <v>-307.69770741099012</v>
      </c>
      <c r="G56" s="93"/>
      <c r="H56" s="123">
        <f>((NPV($C56,$J$38:$P$38,$R$38+$R$38*(1+$J$50)/($C56-$J$50)))-$J$49+J48)/$J$47</f>
        <v>-307.69770741099012</v>
      </c>
      <c r="I56" s="10"/>
      <c r="J56" s="11"/>
      <c r="M56" s="135" t="s">
        <v>186</v>
      </c>
      <c r="Q56" s="87"/>
      <c r="R56" s="91"/>
      <c r="S56" s="87"/>
      <c r="T56" s="91"/>
    </row>
    <row r="57" spans="2:24">
      <c r="B57" s="84" t="s">
        <v>28</v>
      </c>
      <c r="C57" s="4">
        <v>0.11</v>
      </c>
      <c r="D57" s="96">
        <f>((NPV($C57,$J$13:$P$13,$R$13+$R$13*(1+$J$50)/($C57-$J$50)))-$J$49+J48)/$J$47</f>
        <v>-307.69770741099012</v>
      </c>
      <c r="E57" s="97"/>
      <c r="F57" s="98">
        <f>((NPV($C57,$J$25:$P$25,$R$25+$R$25*(1+$J$50)/($C57-$J$50)))-$J$49+J48)/$J$47</f>
        <v>-307.69770741099012</v>
      </c>
      <c r="G57" s="97"/>
      <c r="H57" s="99">
        <f>((NPV($C57,$J$38:$P$38,$R$38+$R$38*(1+$J$50)/($C57-$J$50)))-$J$49+J48)/$J$47</f>
        <v>-307.69770741099012</v>
      </c>
      <c r="I57" s="44"/>
      <c r="J57" s="43"/>
      <c r="Q57" s="87"/>
      <c r="R57" s="91"/>
      <c r="S57" s="87"/>
      <c r="T57" s="91"/>
    </row>
    <row r="58" spans="2:24">
      <c r="B58" s="8" t="s">
        <v>10</v>
      </c>
      <c r="C58" s="4">
        <v>0.15</v>
      </c>
      <c r="D58" s="100">
        <f>((NPV($C58,$J$13:$P$13,$R$13+$R$13*(1+$J$50)/($C58-$J$50)))-$J$49+J48)/$J$47</f>
        <v>-307.69770741099012</v>
      </c>
      <c r="E58" s="101"/>
      <c r="F58" s="102">
        <f>((NPV($C58,$J$25:$P$25,$R$25+$R$25*(1+$J$50)/($C58-$J$50)))-$J$49+J48)/$J$47</f>
        <v>-307.69770741099012</v>
      </c>
      <c r="G58" s="101"/>
      <c r="H58" s="103">
        <f>((NPV($C58,$J$38:$P$38,$R$38+$R$38*(1+$J$50)/($C58-$J$50)))-$J$49+J48)/$J$47</f>
        <v>-307.69770741099012</v>
      </c>
      <c r="I58" s="44"/>
      <c r="J58" s="43"/>
      <c r="L58" t="s">
        <v>196</v>
      </c>
      <c r="M58" s="178">
        <v>43336</v>
      </c>
      <c r="Q58" s="87"/>
      <c r="R58" s="91"/>
      <c r="S58" s="87"/>
      <c r="T58" s="91"/>
    </row>
    <row r="59" spans="2:24">
      <c r="C59" s="4"/>
      <c r="D59" s="23"/>
      <c r="I59" s="23"/>
      <c r="J59" s="136"/>
      <c r="L59" t="s">
        <v>187</v>
      </c>
      <c r="M59" s="146" t="s">
        <v>202</v>
      </c>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188</v>
      </c>
      <c r="I62" s="62"/>
      <c r="J62" s="61"/>
      <c r="L62" s="23"/>
      <c r="M62" s="160"/>
      <c r="N62" s="129"/>
      <c r="O62" s="23"/>
      <c r="P62" s="87"/>
      <c r="Q62" s="87"/>
      <c r="R62" s="87"/>
      <c r="S62" s="87"/>
      <c r="T62" s="87"/>
    </row>
    <row r="63" spans="2:24">
      <c r="B63" s="84" t="s">
        <v>8</v>
      </c>
      <c r="C63" s="4">
        <f>C56</f>
        <v>0.08</v>
      </c>
      <c r="D63" s="92">
        <f>((NPV($C63,$J$13:$P$13,$R$13+$R$13*(1+$J$50)/($C63-$J$50)))-$J$49+J48)</f>
        <v>-71344000000</v>
      </c>
      <c r="E63" s="93"/>
      <c r="F63" s="94">
        <f>((NPV($C63,$J$25:$P$25,$R$25+$R$25*(1+$J$50)/($C63-$J$50)))-$J$49+J48)</f>
        <v>-71344000000</v>
      </c>
      <c r="G63" s="93"/>
      <c r="H63" s="95">
        <f>((NPV($C63,$J$38:$P$38,$R$38+$R$38*(1+$J$50)/($C63-$J$50)))-$J$49+J48)</f>
        <v>-71344000000</v>
      </c>
      <c r="I63" s="17"/>
      <c r="J63" s="18"/>
      <c r="L63" s="23"/>
      <c r="M63" s="167"/>
      <c r="N63" s="23"/>
      <c r="O63" s="23"/>
      <c r="P63" s="98"/>
      <c r="Q63" s="97"/>
      <c r="R63" s="98"/>
      <c r="S63" s="97"/>
      <c r="T63" s="98"/>
    </row>
    <row r="64" spans="2:24">
      <c r="B64" s="84" t="s">
        <v>28</v>
      </c>
      <c r="C64" s="4">
        <f>C57</f>
        <v>0.11</v>
      </c>
      <c r="D64" s="96">
        <f>((NPV($C64,$J$13:$P$13,$R$13+$R$13*(1+$J$50)/($C64-$J$50)))-$J$49+J48)</f>
        <v>-71344000000</v>
      </c>
      <c r="E64" s="97"/>
      <c r="F64" s="98">
        <f>((NPV($C64,$J$25:$P$25,$R$25+$R$25*(1+$J$50)/($C64-$J$50)))-$J$49+J48)</f>
        <v>-71344000000</v>
      </c>
      <c r="G64" s="97"/>
      <c r="H64" s="122">
        <f>((NPV($C64,$J$38:$P$38,$R$38+$R$38*(1+$J$50)/($C64-$J$50)))-$J$49+J48)</f>
        <v>-71344000000</v>
      </c>
      <c r="I64" s="17"/>
      <c r="J64" s="18"/>
      <c r="L64" s="23"/>
      <c r="M64" s="167"/>
      <c r="N64" s="23"/>
      <c r="O64" s="23"/>
      <c r="P64" s="98"/>
      <c r="Q64" s="97"/>
      <c r="R64" s="98"/>
      <c r="S64" s="97"/>
      <c r="T64" s="98"/>
    </row>
    <row r="65" spans="1:20">
      <c r="B65" s="8" t="s">
        <v>10</v>
      </c>
      <c r="C65" s="4">
        <f>C58</f>
        <v>0.15</v>
      </c>
      <c r="D65" s="100">
        <f>((NPV($C65,$J$13:$P$13,$R$13+$R$13*(1+$J$50)/($C65-$J$50)))-$J$49+J48)</f>
        <v>-71344000000</v>
      </c>
      <c r="E65" s="101"/>
      <c r="F65" s="102">
        <f>((NPV($C65,$J$25:$P$25,$R$25+$R$25*(1+$J$50)/($C65-$J$50)))-$J$49+J48)</f>
        <v>-71344000000</v>
      </c>
      <c r="G65" s="101"/>
      <c r="H65" s="103">
        <f>((NPV($C65,$J$38:$P$38,$R$38+$R$38*(1+$J$50)/($C65-$J$50)))-$J$49+J48)</f>
        <v>-71344000000</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$72117000000.0mm as of 5/16/08.</v>
      </c>
      <c r="F69" s="87"/>
      <c r="G69" s="87"/>
      <c r="H69" s="87"/>
      <c r="I69" s="87"/>
      <c r="J69" s="87"/>
      <c r="L69" s="82"/>
      <c r="M69" s="165"/>
      <c r="N69" s="82"/>
    </row>
    <row r="70" spans="1:20">
      <c r="A70" s="1" t="str">
        <f>"(2)  Assumes outstanding diluted shares of "&amp;TEXT(J47,"0.000")&amp;" million."</f>
        <v>(2)  Assumes outstanding diluted shares of 231863931.000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91"/>
      <c r="G76" s="87"/>
      <c r="H76" s="91"/>
      <c r="I76" s="87"/>
      <c r="J76" s="91"/>
      <c r="M76" s="146"/>
      <c r="P76" s="79"/>
    </row>
    <row r="77" spans="1:20" ht="12.75" customHeight="1">
      <c r="B77" s="135" t="s">
        <v>140</v>
      </c>
      <c r="F77" s="23"/>
      <c r="G77" s="23"/>
      <c r="H77" s="23"/>
      <c r="I77" s="23"/>
      <c r="J77" s="23"/>
      <c r="M77" s="146"/>
    </row>
    <row r="78" spans="1:20" ht="12.75" customHeight="1">
      <c r="B78" s="135" t="s">
        <v>141</v>
      </c>
      <c r="C78" s="83"/>
      <c r="F78" s="87"/>
      <c r="G78" s="87"/>
      <c r="H78" s="87"/>
      <c r="I78" s="87"/>
      <c r="J78" s="87"/>
      <c r="M78" s="146"/>
    </row>
    <row r="79" spans="1:20" ht="12.75" customHeight="1">
      <c r="B79" s="135"/>
      <c r="C79" s="83"/>
      <c r="F79" s="87"/>
      <c r="G79" s="87"/>
      <c r="H79" s="87"/>
      <c r="I79" s="87"/>
      <c r="J79" s="87"/>
      <c r="M79" s="146"/>
    </row>
    <row r="80" spans="1:20" ht="12.75" customHeight="1">
      <c r="B80" s="148" t="s">
        <v>174</v>
      </c>
      <c r="C80" s="83"/>
      <c r="F80" s="87"/>
      <c r="G80" s="87"/>
      <c r="H80" s="87"/>
      <c r="I80" s="87"/>
      <c r="J80" s="87"/>
      <c r="M80" s="146"/>
    </row>
    <row r="81" spans="1:13" ht="12.75" customHeight="1">
      <c r="B81" s="135" t="s">
        <v>175</v>
      </c>
      <c r="C81" s="83"/>
      <c r="F81" s="87"/>
      <c r="G81" s="87"/>
      <c r="H81" s="87"/>
      <c r="I81" s="87"/>
      <c r="J81" s="87"/>
      <c r="M81" s="146"/>
    </row>
    <row r="82" spans="1:13" ht="12.75" customHeight="1">
      <c r="B82" s="135" t="s">
        <v>39</v>
      </c>
      <c r="C82" s="83"/>
      <c r="F82" s="87"/>
      <c r="G82" s="87"/>
      <c r="H82" s="87"/>
      <c r="I82" s="87"/>
      <c r="J82" s="87"/>
      <c r="M82" s="146"/>
    </row>
    <row r="83" spans="1:13" ht="12.75" customHeight="1">
      <c r="B83" s="135"/>
      <c r="C83" s="83"/>
      <c r="F83" s="87"/>
      <c r="G83" s="87"/>
      <c r="H83" s="87"/>
      <c r="I83" s="87"/>
      <c r="J83" s="87"/>
      <c r="M83" s="146"/>
    </row>
    <row r="84" spans="1:13" ht="12.75" customHeight="1">
      <c r="B84" s="150" t="s">
        <v>142</v>
      </c>
      <c r="C84" s="83"/>
      <c r="F84" s="87"/>
      <c r="G84" s="87"/>
      <c r="H84" s="87"/>
      <c r="I84" s="87"/>
      <c r="J84" s="87"/>
      <c r="M84" s="146"/>
    </row>
    <row r="85" spans="1:13" ht="12.75" customHeight="1">
      <c r="A85" s="151" t="s">
        <v>149</v>
      </c>
      <c r="B85" s="135" t="s">
        <v>100</v>
      </c>
      <c r="C85" s="8"/>
      <c r="D85" s="4"/>
      <c r="E85" s="23"/>
      <c r="F85" s="98"/>
      <c r="G85" s="97"/>
      <c r="H85" s="98"/>
      <c r="I85" s="97"/>
      <c r="J85" s="98"/>
      <c r="M85" s="146"/>
    </row>
    <row r="86" spans="1:13" ht="12.75" customHeight="1">
      <c r="A86" s="151" t="s">
        <v>155</v>
      </c>
      <c r="B86" s="135" t="s">
        <v>101</v>
      </c>
      <c r="C86" s="8"/>
      <c r="D86" s="4"/>
      <c r="E86" s="23"/>
      <c r="F86" s="98"/>
      <c r="G86" s="97"/>
      <c r="H86" s="98"/>
      <c r="I86" s="97"/>
      <c r="J86" s="98"/>
      <c r="M86" s="146"/>
    </row>
    <row r="87" spans="1:13" ht="12.75" customHeight="1">
      <c r="A87" s="151" t="s">
        <v>156</v>
      </c>
      <c r="B87" s="135" t="s">
        <v>143</v>
      </c>
      <c r="C87" s="8"/>
      <c r="D87" s="4"/>
      <c r="E87" s="23"/>
      <c r="F87" s="98"/>
      <c r="G87" s="97"/>
      <c r="H87" s="98"/>
      <c r="I87" s="97"/>
      <c r="J87" s="98"/>
      <c r="M87" s="146"/>
    </row>
    <row r="88" spans="1:13" ht="12.75" customHeight="1">
      <c r="A88" s="151" t="s">
        <v>157</v>
      </c>
      <c r="B88" s="135" t="s">
        <v>144</v>
      </c>
      <c r="F88" s="145"/>
      <c r="J88" s="142"/>
      <c r="M88" s="146"/>
    </row>
    <row r="89" spans="1:13" ht="12.75" customHeight="1">
      <c r="A89" s="151" t="s">
        <v>158</v>
      </c>
      <c r="B89" s="135" t="s">
        <v>145</v>
      </c>
      <c r="J89" s="142"/>
      <c r="M89" s="146"/>
    </row>
    <row r="90" spans="1:13" ht="12.75" customHeight="1">
      <c r="A90" s="151" t="s">
        <v>159</v>
      </c>
      <c r="B90" s="135" t="s">
        <v>154</v>
      </c>
      <c r="J90" s="146"/>
      <c r="M90" s="146"/>
    </row>
    <row r="91" spans="1:13" ht="12.75" customHeight="1">
      <c r="A91" s="151" t="s">
        <v>160</v>
      </c>
      <c r="B91" s="135" t="s">
        <v>41</v>
      </c>
      <c r="J91" s="146"/>
      <c r="M91" s="146"/>
    </row>
    <row r="92" spans="1:13" ht="12.75" customHeight="1">
      <c r="A92" s="151" t="s">
        <v>161</v>
      </c>
      <c r="B92" s="135" t="s">
        <v>146</v>
      </c>
      <c r="J92" s="146"/>
      <c r="M92" s="146"/>
    </row>
    <row r="93" spans="1:13" ht="12.75" customHeight="1">
      <c r="A93" s="151" t="s">
        <v>162</v>
      </c>
      <c r="B93" s="135" t="s">
        <v>148</v>
      </c>
      <c r="J93" s="146"/>
    </row>
    <row r="94" spans="1:13" ht="12.75" customHeight="1">
      <c r="A94" s="151" t="s">
        <v>163</v>
      </c>
      <c r="B94" s="135" t="s">
        <v>147</v>
      </c>
      <c r="J94" s="146"/>
    </row>
    <row r="95" spans="1:13">
      <c r="A95" s="151" t="s">
        <v>164</v>
      </c>
      <c r="B95" s="135" t="s">
        <v>150</v>
      </c>
    </row>
    <row r="96" spans="1:13">
      <c r="A96" s="151" t="s">
        <v>165</v>
      </c>
      <c r="B96" s="135" t="s">
        <v>151</v>
      </c>
    </row>
    <row r="97" spans="1:2">
      <c r="A97" s="151" t="s">
        <v>166</v>
      </c>
      <c r="B97" s="135" t="s">
        <v>152</v>
      </c>
    </row>
    <row r="98" spans="1:2">
      <c r="A98" s="151" t="s">
        <v>167</v>
      </c>
      <c r="B98" s="135" t="s">
        <v>153</v>
      </c>
    </row>
    <row r="99" spans="1:2">
      <c r="A99" s="151" t="s">
        <v>171</v>
      </c>
      <c r="B99" s="135" t="s">
        <v>168</v>
      </c>
    </row>
    <row r="100" spans="1:2">
      <c r="A100" s="151" t="s">
        <v>172</v>
      </c>
      <c r="B100" s="135" t="s">
        <v>170</v>
      </c>
    </row>
    <row r="101" spans="1:2">
      <c r="A101" s="151" t="s">
        <v>173</v>
      </c>
      <c r="B101" s="135" t="s">
        <v>169</v>
      </c>
    </row>
    <row r="102" spans="1:2">
      <c r="A102" s="151" t="s">
        <v>177</v>
      </c>
      <c r="B102" s="135" t="s">
        <v>178</v>
      </c>
    </row>
    <row r="103" spans="1:2">
      <c r="A103">
        <v>19</v>
      </c>
      <c r="B103" s="135" t="s">
        <v>189</v>
      </c>
    </row>
    <row r="104" spans="1:2">
      <c r="A104">
        <v>20</v>
      </c>
      <c r="B104" s="135" t="s">
        <v>190</v>
      </c>
    </row>
    <row r="105" spans="1:2">
      <c r="A105">
        <v>21</v>
      </c>
      <c r="B105" s="135" t="s">
        <v>191</v>
      </c>
    </row>
    <row r="109" spans="1:2">
      <c r="B109" s="168" t="s">
        <v>192</v>
      </c>
    </row>
    <row r="110" spans="1:2">
      <c r="B110" s="135" t="s">
        <v>193</v>
      </c>
    </row>
    <row r="117" spans="2:2">
      <c r="B117" t="s">
        <v>194</v>
      </c>
    </row>
    <row r="118" spans="2:2">
      <c r="B118" t="s">
        <v>195</v>
      </c>
    </row>
  </sheetData>
  <mergeCells count="1">
    <mergeCell ref="H46:J46"/>
  </mergeCells>
  <conditionalFormatting sqref="B6:T13">
    <cfRule type="expression" dxfId="107" priority="6">
      <formula>MOD(ROW(),2)=0</formula>
    </cfRule>
  </conditionalFormatting>
  <conditionalFormatting sqref="B18:T25">
    <cfRule type="expression" dxfId="106" priority="5">
      <formula>MOD(ROW(),2)=0</formula>
    </cfRule>
  </conditionalFormatting>
  <conditionalFormatting sqref="B31:T39">
    <cfRule type="expression" dxfId="105" priority="4">
      <formula>MOD(ROW(),2)=0</formula>
    </cfRule>
  </conditionalFormatting>
  <conditionalFormatting sqref="D56:H58">
    <cfRule type="expression" dxfId="104" priority="3">
      <formula>MOD(ROW(),2)=0</formula>
    </cfRule>
  </conditionalFormatting>
  <conditionalFormatting sqref="D63:H65">
    <cfRule type="expression" dxfId="103" priority="2">
      <formula>MOD(ROW(),2)=0</formula>
    </cfRule>
  </conditionalFormatting>
  <conditionalFormatting sqref="C47:E51">
    <cfRule type="expression" dxfId="102" priority="1">
      <formula>MOD(ROW(),2)=0</formula>
    </cfRule>
  </conditionalFormatting>
  <pageMargins left="0.75" right="0.75" top="1" bottom="1" header="0.5" footer="0.5"/>
  <pageSetup paperSize="119" orientation="portrait"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X118"/>
  <sheetViews>
    <sheetView showGridLines="0" topLeftCell="A25" zoomScaleNormal="100" workbookViewId="0">
      <selection activeCell="M75" sqref="M75"/>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9.85546875" customWidth="1"/>
    <col min="14" max="14" width="18.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169"/>
      <c r="C1" s="169"/>
      <c r="D1" s="169"/>
      <c r="E1" s="169"/>
      <c r="F1" s="169"/>
      <c r="G1" s="169"/>
      <c r="H1" s="170"/>
      <c r="I1" s="169"/>
      <c r="J1" s="169"/>
      <c r="K1" s="169"/>
      <c r="L1" s="169"/>
      <c r="M1" s="169"/>
      <c r="N1" s="169"/>
      <c r="O1" s="169"/>
      <c r="P1" s="169"/>
      <c r="Q1" s="169"/>
      <c r="R1" s="169"/>
      <c r="S1" s="169"/>
      <c r="T1" s="169"/>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112">
        <v>5427000000</v>
      </c>
      <c r="I6" s="112"/>
      <c r="J6" s="112">
        <f>H6</f>
        <v>5427000000</v>
      </c>
      <c r="K6" s="112"/>
      <c r="L6" s="112">
        <f>J6</f>
        <v>5427000000</v>
      </c>
      <c r="M6" s="112"/>
      <c r="N6" s="112">
        <f>L6</f>
        <v>5427000000</v>
      </c>
      <c r="O6" s="112"/>
      <c r="P6" s="112">
        <f>N6</f>
        <v>5427000000</v>
      </c>
      <c r="Q6" s="112"/>
      <c r="R6" s="112">
        <f>P6</f>
        <v>5427000000</v>
      </c>
      <c r="T6" s="4">
        <f>(R6/J6)^(1/4)-1</f>
        <v>0</v>
      </c>
    </row>
    <row r="7" spans="1:24">
      <c r="B7" s="23" t="s">
        <v>22</v>
      </c>
      <c r="H7" s="71">
        <v>0</v>
      </c>
      <c r="J7" s="71">
        <v>0</v>
      </c>
      <c r="L7" s="71">
        <v>0</v>
      </c>
      <c r="N7" s="71">
        <v>0</v>
      </c>
      <c r="P7" s="71">
        <v>0</v>
      </c>
      <c r="R7" s="71">
        <v>0</v>
      </c>
      <c r="T7" s="4"/>
    </row>
    <row r="8" spans="1:24">
      <c r="B8" t="s">
        <v>27</v>
      </c>
      <c r="H8" s="115">
        <f>H6+H7</f>
        <v>5427000000</v>
      </c>
      <c r="I8" s="73"/>
      <c r="J8" s="115">
        <f>J6+J7</f>
        <v>5427000000</v>
      </c>
      <c r="K8" s="116"/>
      <c r="L8" s="115">
        <f>L6+L7</f>
        <v>5427000000</v>
      </c>
      <c r="M8" s="116"/>
      <c r="N8" s="115">
        <f>N6+N7</f>
        <v>5427000000</v>
      </c>
      <c r="O8" s="116"/>
      <c r="P8" s="115">
        <f>P6+P7</f>
        <v>5427000000</v>
      </c>
      <c r="Q8" s="116"/>
      <c r="R8" s="115">
        <f>R6+R7</f>
        <v>5427000000</v>
      </c>
      <c r="T8" s="4">
        <f>(R8/J8)^(1/4)-1</f>
        <v>0</v>
      </c>
    </row>
    <row r="9" spans="1:24" s="171" customFormat="1">
      <c r="B9" s="171"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5427000000</v>
      </c>
      <c r="J10" s="118">
        <f>SUM(J8:J9)</f>
        <v>5427000000</v>
      </c>
      <c r="K10" s="119"/>
      <c r="L10" s="118">
        <f>SUM(L8:L9)</f>
        <v>5427000000</v>
      </c>
      <c r="M10" s="119"/>
      <c r="N10" s="118">
        <f>SUM(N8:N9)</f>
        <v>5427000000</v>
      </c>
      <c r="O10" s="119"/>
      <c r="P10" s="118">
        <f>SUM(P8:P9)</f>
        <v>5427000000</v>
      </c>
      <c r="Q10" s="119"/>
      <c r="R10" s="118">
        <f>SUM(R8:R9)</f>
        <v>5427000000</v>
      </c>
      <c r="T10" s="4">
        <f>(R10/J10)^(1/4)-1</f>
        <v>0</v>
      </c>
    </row>
    <row r="11" spans="1:24">
      <c r="B11" s="10" t="s">
        <v>25</v>
      </c>
      <c r="H11" s="112"/>
      <c r="I11" s="112"/>
      <c r="J11" s="112"/>
      <c r="K11" s="112"/>
      <c r="L11" s="112"/>
      <c r="M11" s="112"/>
      <c r="N11" s="112"/>
      <c r="O11" s="112"/>
      <c r="P11" s="112"/>
      <c r="Q11" s="112"/>
      <c r="R11" s="112"/>
    </row>
    <row r="12" spans="1:24">
      <c r="B12" t="s">
        <v>23</v>
      </c>
      <c r="H12" s="112">
        <v>-1300000000</v>
      </c>
      <c r="I12" s="112"/>
      <c r="J12" s="112">
        <f>H12</f>
        <v>-1300000000</v>
      </c>
      <c r="K12" s="112"/>
      <c r="L12" s="112">
        <f>J12</f>
        <v>-1300000000</v>
      </c>
      <c r="M12" s="112"/>
      <c r="N12" s="112">
        <f>L12</f>
        <v>-1300000000</v>
      </c>
      <c r="O12" s="112"/>
      <c r="P12" s="112">
        <f>N12</f>
        <v>-1300000000</v>
      </c>
      <c r="Q12" s="112"/>
      <c r="R12" s="112">
        <f>P12</f>
        <v>-1300000000</v>
      </c>
      <c r="X12" s="81"/>
    </row>
    <row r="13" spans="1:24">
      <c r="B13" s="2" t="s">
        <v>19</v>
      </c>
      <c r="H13" s="120">
        <f>SUM(H10:H12)</f>
        <v>4127000000</v>
      </c>
      <c r="J13" s="120">
        <f>SUM(J10:J12)</f>
        <v>4127000000</v>
      </c>
      <c r="K13" s="114"/>
      <c r="L13" s="120">
        <f>SUM(L10:L12)</f>
        <v>4127000000</v>
      </c>
      <c r="M13" s="114"/>
      <c r="N13" s="120">
        <f>SUM(N10:N12)</f>
        <v>4127000000</v>
      </c>
      <c r="O13" s="114"/>
      <c r="P13" s="120">
        <f>SUM(P10:P12)</f>
        <v>4127000000</v>
      </c>
      <c r="Q13" s="114"/>
      <c r="R13" s="120">
        <f>SUM(R10:R12)</f>
        <v>4127000000</v>
      </c>
      <c r="T13" s="4">
        <f>(R13/J13)^(1/4)-1</f>
        <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5427000000</v>
      </c>
      <c r="J18" s="75">
        <f>H18*D47</f>
        <v>5427000000</v>
      </c>
      <c r="K18" s="121"/>
      <c r="L18" s="75">
        <f>J18*D48</f>
        <v>5427000000</v>
      </c>
      <c r="M18" s="121"/>
      <c r="N18" s="75">
        <f>L18*D49</f>
        <v>5427000000</v>
      </c>
      <c r="O18" s="75"/>
      <c r="P18" s="75">
        <f>N18*D50</f>
        <v>5427000000</v>
      </c>
      <c r="Q18" s="75"/>
      <c r="R18" s="75">
        <f>P18*D51</f>
        <v>5427000000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5427000000</v>
      </c>
      <c r="I20" s="116"/>
      <c r="J20" s="115">
        <f>J18+J19</f>
        <v>5427000000</v>
      </c>
      <c r="K20" s="116"/>
      <c r="L20" s="115">
        <f>L18+L19</f>
        <v>5427000000</v>
      </c>
      <c r="M20" s="116"/>
      <c r="N20" s="115">
        <f>N18+N19</f>
        <v>5427000000</v>
      </c>
      <c r="O20" s="116"/>
      <c r="P20" s="115">
        <f>P18+P19</f>
        <v>5427000000</v>
      </c>
      <c r="Q20" s="116"/>
      <c r="R20" s="115">
        <f>R18+R19</f>
        <v>5427000000</v>
      </c>
      <c r="T20" s="4">
        <f>(R20/J20)^(1/4)-1</f>
        <v>0</v>
      </c>
    </row>
    <row r="21" spans="1:20">
      <c r="B21" s="171" t="s">
        <v>21</v>
      </c>
      <c r="C21" s="171"/>
      <c r="D21" s="171"/>
      <c r="E21" s="171"/>
      <c r="F21" s="171"/>
      <c r="G21" s="171"/>
      <c r="H21" s="117">
        <f>-$J$51*H20</f>
        <v>0</v>
      </c>
      <c r="I21" s="114"/>
      <c r="J21" s="117">
        <f>-$J$51*J20</f>
        <v>0</v>
      </c>
      <c r="K21" s="114"/>
      <c r="L21" s="117">
        <f>-$J$51*L20</f>
        <v>0</v>
      </c>
      <c r="M21" s="114"/>
      <c r="N21" s="117">
        <f>-$J$51*N20</f>
        <v>0</v>
      </c>
      <c r="O21" s="114"/>
      <c r="P21" s="117">
        <f>-$J$51*P20</f>
        <v>0</v>
      </c>
      <c r="Q21" s="114"/>
      <c r="R21" s="117">
        <f>-$J$51*R20</f>
        <v>0</v>
      </c>
      <c r="S21" s="171"/>
      <c r="T21" s="171"/>
    </row>
    <row r="22" spans="1:20">
      <c r="A22" s="2"/>
      <c r="B22" s="2" t="s">
        <v>3</v>
      </c>
      <c r="C22" s="2"/>
      <c r="D22" s="2"/>
      <c r="E22" s="2"/>
      <c r="F22" s="2"/>
      <c r="G22" s="2"/>
      <c r="H22" s="118">
        <f>SUM(H20:H21)</f>
        <v>5427000000</v>
      </c>
      <c r="I22" s="119"/>
      <c r="J22" s="118">
        <f>SUM(J20:J21)</f>
        <v>5427000000</v>
      </c>
      <c r="K22" s="119"/>
      <c r="L22" s="118">
        <f>SUM(L20:L21)</f>
        <v>5427000000</v>
      </c>
      <c r="M22" s="119"/>
      <c r="N22" s="118">
        <f>SUM(N20:N21)</f>
        <v>5427000000</v>
      </c>
      <c r="O22" s="119"/>
      <c r="P22" s="118">
        <f>SUM(P20:P21)</f>
        <v>5427000000</v>
      </c>
      <c r="Q22" s="119"/>
      <c r="R22" s="118">
        <f>SUM(R20:R21)</f>
        <v>5427000000</v>
      </c>
      <c r="S22" s="2"/>
      <c r="T22" s="4">
        <f>(R22/J22)^(1/4)-1</f>
        <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-1300000000</v>
      </c>
      <c r="I24" s="112"/>
      <c r="J24" s="112">
        <f>J12</f>
        <v>-1300000000</v>
      </c>
      <c r="K24" s="112"/>
      <c r="L24" s="112">
        <f>L12</f>
        <v>-1300000000</v>
      </c>
      <c r="M24" s="112"/>
      <c r="N24" s="112">
        <f>N12</f>
        <v>-1300000000</v>
      </c>
      <c r="O24" s="112"/>
      <c r="P24" s="112">
        <f>P12</f>
        <v>-1300000000</v>
      </c>
      <c r="Q24" s="112"/>
      <c r="R24" s="112">
        <f>R12</f>
        <v>-1300000000</v>
      </c>
    </row>
    <row r="25" spans="1:20">
      <c r="B25" s="2" t="s">
        <v>19</v>
      </c>
      <c r="H25" s="120">
        <f>SUM(H22:H24)</f>
        <v>4127000000</v>
      </c>
      <c r="I25" s="114"/>
      <c r="J25" s="120">
        <f>SUM(J22:J24)</f>
        <v>4127000000</v>
      </c>
      <c r="K25" s="114"/>
      <c r="L25" s="120">
        <f>SUM(L22:L24)</f>
        <v>4127000000</v>
      </c>
      <c r="M25" s="114"/>
      <c r="N25" s="120">
        <f>SUM(N22:N24)</f>
        <v>4127000000</v>
      </c>
      <c r="O25" s="114"/>
      <c r="P25" s="120">
        <f>SUM(P22:P24)</f>
        <v>4127000000</v>
      </c>
      <c r="Q25" s="114"/>
      <c r="R25" s="120">
        <f>SUM(R22:R24)</f>
        <v>4127000000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5427000000</v>
      </c>
      <c r="J31" s="75">
        <f>H31*E47</f>
        <v>5969700000.000001</v>
      </c>
      <c r="K31" s="121"/>
      <c r="L31" s="75">
        <f>J31*E48</f>
        <v>6566670000.0000019</v>
      </c>
      <c r="M31" s="121"/>
      <c r="N31" s="75">
        <f>L31*E49</f>
        <v>7223337000.0000029</v>
      </c>
      <c r="O31" s="75"/>
      <c r="P31" s="75">
        <f>N31*E50</f>
        <v>7223337000.0000029</v>
      </c>
      <c r="Q31" s="75"/>
      <c r="R31" s="75">
        <f>P31*E51</f>
        <v>7945670700.0000038</v>
      </c>
      <c r="T31" s="4">
        <f>(R31/J31)^(1/4)-1</f>
        <v>7.4099498643941608E-2</v>
      </c>
    </row>
    <row r="32" spans="1:20">
      <c r="B32" s="23" t="s">
        <v>22</v>
      </c>
      <c r="H32" s="71">
        <f>H7</f>
        <v>0</v>
      </c>
      <c r="J32" s="71">
        <f>J7</f>
        <v>0</v>
      </c>
      <c r="L32" s="71">
        <f>L7</f>
        <v>0</v>
      </c>
      <c r="N32" s="71">
        <f>N7</f>
        <v>0</v>
      </c>
      <c r="P32" s="71">
        <f>P7</f>
        <v>0</v>
      </c>
      <c r="R32" s="71">
        <f>R7</f>
        <v>0</v>
      </c>
      <c r="T32" s="4"/>
    </row>
    <row r="33" spans="1:24">
      <c r="B33" t="s">
        <v>27</v>
      </c>
      <c r="H33" s="115">
        <f>H31+H32</f>
        <v>5427000000</v>
      </c>
      <c r="I33" s="116"/>
      <c r="J33" s="115">
        <f>J31+J32</f>
        <v>5969700000.000001</v>
      </c>
      <c r="K33" s="116"/>
      <c r="L33" s="115">
        <f>L31+L32</f>
        <v>6566670000.0000019</v>
      </c>
      <c r="M33" s="116"/>
      <c r="N33" s="115">
        <f>N31+N32</f>
        <v>7223337000.0000029</v>
      </c>
      <c r="O33" s="116"/>
      <c r="P33" s="115">
        <f>P31+P32</f>
        <v>7223337000.0000029</v>
      </c>
      <c r="Q33" s="116"/>
      <c r="R33" s="115">
        <f>R31+R32</f>
        <v>7945670700.0000038</v>
      </c>
      <c r="T33" s="4">
        <f>(R33/J33)^(1/4)-1</f>
        <v>7.4099498643941608E-2</v>
      </c>
    </row>
    <row r="34" spans="1:24">
      <c r="B34" s="171" t="s">
        <v>21</v>
      </c>
      <c r="C34" s="171"/>
      <c r="D34" s="171"/>
      <c r="E34" s="171"/>
      <c r="F34" s="171"/>
      <c r="G34" s="171"/>
      <c r="H34" s="117">
        <f>-$J$51*H33</f>
        <v>0</v>
      </c>
      <c r="I34" s="114"/>
      <c r="J34" s="117">
        <f>-$J$51*J33</f>
        <v>0</v>
      </c>
      <c r="K34" s="114"/>
      <c r="L34" s="117">
        <f>-$J$51*L33</f>
        <v>0</v>
      </c>
      <c r="M34" s="114"/>
      <c r="N34" s="117">
        <f>-$J$51*N33</f>
        <v>0</v>
      </c>
      <c r="O34" s="114"/>
      <c r="P34" s="117">
        <f>-$J$51*P33</f>
        <v>0</v>
      </c>
      <c r="Q34" s="114"/>
      <c r="R34" s="117">
        <f>-$J$51*R33</f>
        <v>0</v>
      </c>
      <c r="S34" s="171"/>
      <c r="T34" s="171"/>
    </row>
    <row r="35" spans="1:24">
      <c r="A35" s="2"/>
      <c r="B35" s="2" t="s">
        <v>3</v>
      </c>
      <c r="C35" s="2"/>
      <c r="D35" s="2"/>
      <c r="E35" s="2"/>
      <c r="F35" s="2"/>
      <c r="G35" s="2"/>
      <c r="H35" s="118">
        <f>SUM(H33:H34)</f>
        <v>5427000000</v>
      </c>
      <c r="I35" s="119"/>
      <c r="J35" s="118">
        <f>SUM(J33:J34)</f>
        <v>5969700000.000001</v>
      </c>
      <c r="K35" s="119"/>
      <c r="L35" s="118">
        <f>SUM(L33:L34)</f>
        <v>6566670000.0000019</v>
      </c>
      <c r="M35" s="119"/>
      <c r="N35" s="118">
        <f>SUM(N33:N34)</f>
        <v>7223337000.0000029</v>
      </c>
      <c r="O35" s="119"/>
      <c r="P35" s="118">
        <f>SUM(P33:P34)</f>
        <v>7223337000.0000029</v>
      </c>
      <c r="Q35" s="119"/>
      <c r="R35" s="118">
        <f>SUM(R33:R34)</f>
        <v>7945670700.0000038</v>
      </c>
      <c r="S35" s="2"/>
      <c r="T35" s="4">
        <f>(R35/J35)^(1/4)-1</f>
        <v>7.4099498643941608E-2</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-1300000000</v>
      </c>
      <c r="I37" s="112"/>
      <c r="J37" s="112">
        <f>J12</f>
        <v>-1300000000</v>
      </c>
      <c r="K37" s="112"/>
      <c r="L37" s="112">
        <f>L12</f>
        <v>-1300000000</v>
      </c>
      <c r="M37" s="112"/>
      <c r="N37" s="112">
        <f>N12</f>
        <v>-1300000000</v>
      </c>
      <c r="O37" s="112"/>
      <c r="P37" s="112">
        <f>P12</f>
        <v>-1300000000</v>
      </c>
      <c r="Q37" s="112"/>
      <c r="R37" s="112">
        <f>R12</f>
        <v>-1300000000</v>
      </c>
    </row>
    <row r="38" spans="1:24">
      <c r="B38" s="2" t="s">
        <v>19</v>
      </c>
      <c r="H38" s="120">
        <f>SUM(H35:H37)</f>
        <v>4127000000</v>
      </c>
      <c r="I38" s="153"/>
      <c r="J38" s="120">
        <f>SUM(J35:J37)</f>
        <v>4669700000.000001</v>
      </c>
      <c r="K38" s="114"/>
      <c r="L38" s="120">
        <f>SUM(L35:L37)</f>
        <v>5266670000.0000019</v>
      </c>
      <c r="M38" s="114"/>
      <c r="N38" s="120">
        <f>SUM(N35:N37)</f>
        <v>5923337000.0000029</v>
      </c>
      <c r="O38" s="114"/>
      <c r="P38" s="120">
        <f>SUM(P35:P37)</f>
        <v>5923337000.0000029</v>
      </c>
      <c r="Q38" s="114"/>
      <c r="R38" s="120">
        <f>SUM(R35:R37)</f>
        <v>6645670700.0000038</v>
      </c>
      <c r="T38" s="4">
        <f>(R38/J38)^(1/4)-1</f>
        <v>9.2225871076286436E-2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169"/>
      <c r="C43" s="169"/>
      <c r="D43" s="169"/>
      <c r="E43" s="169"/>
      <c r="F43" s="169"/>
      <c r="G43" s="169"/>
      <c r="H43" s="170"/>
      <c r="I43" s="169"/>
      <c r="J43" s="169"/>
      <c r="K43" s="169"/>
      <c r="L43" s="169"/>
      <c r="M43" s="169"/>
      <c r="N43" s="169"/>
      <c r="O43" s="169"/>
      <c r="P43" s="169"/>
      <c r="Q43" s="169"/>
      <c r="R43" s="169"/>
      <c r="S43" s="169"/>
      <c r="T43" s="169"/>
    </row>
    <row r="44" spans="1:24">
      <c r="H44" s="16"/>
    </row>
    <row r="45" spans="1:24">
      <c r="B45" s="2"/>
      <c r="D45" s="2"/>
      <c r="I45" s="23"/>
      <c r="J45" s="23"/>
      <c r="M45" s="148" t="s">
        <v>182</v>
      </c>
      <c r="N45" s="2"/>
      <c r="P45" s="2"/>
    </row>
    <row r="46" spans="1:24">
      <c r="B46" s="88" t="s">
        <v>32</v>
      </c>
      <c r="C46" s="152" t="s">
        <v>29</v>
      </c>
      <c r="D46" s="152" t="s">
        <v>31</v>
      </c>
      <c r="E46" s="152" t="s">
        <v>188</v>
      </c>
      <c r="H46" s="294" t="s">
        <v>181</v>
      </c>
      <c r="I46" s="294"/>
      <c r="J46" s="294"/>
      <c r="M46" s="2" t="s">
        <v>57</v>
      </c>
      <c r="P46" s="2"/>
      <c r="X46" s="127"/>
    </row>
    <row r="47" spans="1:24">
      <c r="B47" s="172">
        <v>2018</v>
      </c>
      <c r="C47" s="88">
        <v>0.99</v>
      </c>
      <c r="D47" s="88">
        <v>1</v>
      </c>
      <c r="E47" s="88">
        <v>1.1000000000000001</v>
      </c>
      <c r="H47" s="156" t="s">
        <v>15</v>
      </c>
      <c r="I47" s="156"/>
      <c r="J47" s="161">
        <v>737643864</v>
      </c>
      <c r="M47" t="s">
        <v>55</v>
      </c>
      <c r="P47" s="2"/>
      <c r="X47" s="127"/>
    </row>
    <row r="48" spans="1:24">
      <c r="B48" s="172">
        <f>B47+1</f>
        <v>2019</v>
      </c>
      <c r="C48" s="88">
        <v>0.98</v>
      </c>
      <c r="D48" s="88">
        <v>1</v>
      </c>
      <c r="E48" s="88">
        <v>1.1000000000000001</v>
      </c>
      <c r="H48" s="156" t="s">
        <v>99</v>
      </c>
      <c r="I48" s="156"/>
      <c r="J48" s="157">
        <v>15000000000</v>
      </c>
      <c r="M48" t="s">
        <v>56</v>
      </c>
      <c r="P48" s="2"/>
      <c r="X48" s="127"/>
    </row>
    <row r="49" spans="2:24">
      <c r="B49" s="172">
        <f>B48+1</f>
        <v>2020</v>
      </c>
      <c r="C49" s="88">
        <v>0.97</v>
      </c>
      <c r="D49" s="88">
        <v>1</v>
      </c>
      <c r="E49" s="88">
        <v>1.1000000000000001</v>
      </c>
      <c r="H49" s="156" t="s">
        <v>14</v>
      </c>
      <c r="I49" s="156"/>
      <c r="J49" s="157">
        <v>20000000000</v>
      </c>
      <c r="M49" t="s">
        <v>58</v>
      </c>
      <c r="P49" s="2"/>
      <c r="X49" s="127"/>
    </row>
    <row r="50" spans="2:24">
      <c r="B50" s="172">
        <f>B49+1</f>
        <v>2021</v>
      </c>
      <c r="C50" s="88">
        <v>0.96</v>
      </c>
      <c r="D50" s="88">
        <v>1</v>
      </c>
      <c r="E50" s="88">
        <v>1</v>
      </c>
      <c r="H50" s="155" t="s">
        <v>16</v>
      </c>
      <c r="I50" s="156"/>
      <c r="J50" s="158">
        <v>0.02</v>
      </c>
      <c r="M50" t="s">
        <v>59</v>
      </c>
      <c r="P50" s="2"/>
      <c r="X50" s="127"/>
    </row>
    <row r="51" spans="2:24">
      <c r="B51" s="172">
        <f>B50+1</f>
        <v>2022</v>
      </c>
      <c r="C51" s="88">
        <v>0.95</v>
      </c>
      <c r="D51" s="88">
        <v>1</v>
      </c>
      <c r="E51" s="88">
        <v>1.1000000000000001</v>
      </c>
      <c r="H51" s="156" t="s">
        <v>2</v>
      </c>
      <c r="I51" s="156"/>
      <c r="J51" s="158">
        <v>0</v>
      </c>
      <c r="M51" t="s">
        <v>60</v>
      </c>
      <c r="P51" s="2"/>
      <c r="X51" s="127"/>
    </row>
    <row r="52" spans="2:24">
      <c r="B52" s="2"/>
      <c r="D52" s="2"/>
      <c r="M52" t="s">
        <v>61</v>
      </c>
      <c r="P52" s="2"/>
      <c r="X52" s="127"/>
    </row>
    <row r="53" spans="2:24">
      <c r="B53" s="2"/>
      <c r="D53" s="2"/>
      <c r="I53" s="23"/>
      <c r="J53" s="23"/>
      <c r="M53" t="s">
        <v>62</v>
      </c>
      <c r="P53" s="2"/>
      <c r="X53" s="127"/>
    </row>
    <row r="54" spans="2:24">
      <c r="D54" s="169"/>
      <c r="E54" s="169"/>
      <c r="F54" s="109" t="s">
        <v>12</v>
      </c>
      <c r="G54" s="169"/>
      <c r="H54" s="169"/>
      <c r="I54" s="173"/>
      <c r="J54" s="173"/>
      <c r="M54" t="s">
        <v>63</v>
      </c>
      <c r="Q54" s="173"/>
      <c r="R54" s="173"/>
      <c r="S54" s="173"/>
      <c r="T54" s="173"/>
    </row>
    <row r="55" spans="2:24">
      <c r="D55" s="85" t="s">
        <v>29</v>
      </c>
      <c r="E55" s="85"/>
      <c r="F55" s="166" t="s">
        <v>31</v>
      </c>
      <c r="G55" s="85"/>
      <c r="H55" s="85" t="s">
        <v>188</v>
      </c>
      <c r="I55" s="108"/>
      <c r="J55" s="106"/>
      <c r="M55" s="135" t="s">
        <v>176</v>
      </c>
      <c r="Q55" s="87"/>
      <c r="R55" s="87"/>
      <c r="S55" s="87"/>
      <c r="T55" s="87"/>
    </row>
    <row r="56" spans="2:24">
      <c r="B56" s="174" t="s">
        <v>8</v>
      </c>
      <c r="C56" s="4">
        <v>0.08</v>
      </c>
      <c r="D56" s="92">
        <f>((NPV($C56,$J$13:$P$13,$R$13+$R$13*(1+$J$50)/($C56-$J$50)))-$J$49+J48)/$J$47</f>
        <v>80.292067397597606</v>
      </c>
      <c r="E56" s="93"/>
      <c r="F56" s="94">
        <f>((NPV($C56,$J$25:$P$25,$R$25+$R$25*(1+$J$50)/($C56-$J$50)))-$J$49+J48)/$J$47</f>
        <v>80.292067397597606</v>
      </c>
      <c r="G56" s="93"/>
      <c r="H56" s="123">
        <f>((NPV($C56,$J$38:$P$38,$R$38+$R$38*(1+$J$50)/($C56-$J$50)))-$J$49+J48)/$J$47</f>
        <v>127.85011786545317</v>
      </c>
      <c r="I56" s="10"/>
      <c r="J56" s="11"/>
      <c r="M56" s="135" t="s">
        <v>186</v>
      </c>
      <c r="Q56" s="87"/>
      <c r="R56" s="91"/>
      <c r="S56" s="87"/>
      <c r="T56" s="91"/>
    </row>
    <row r="57" spans="2:24">
      <c r="B57" s="174" t="s">
        <v>28</v>
      </c>
      <c r="C57" s="4">
        <v>0.11</v>
      </c>
      <c r="D57" s="96">
        <f>((NPV($C57,$J$13:$P$13,$R$13+$R$13*(1+$J$50)/($C57-$J$50)))-$J$49+J48)/$J$47</f>
        <v>51.529294822430671</v>
      </c>
      <c r="E57" s="97"/>
      <c r="F57" s="98">
        <f>((NPV($C57,$J$25:$P$25,$R$25+$R$25*(1+$J$50)/($C57-$J$50)))-$J$49+J48)/$J$47</f>
        <v>51.529294822430671</v>
      </c>
      <c r="G57" s="97"/>
      <c r="H57" s="99">
        <f>((NPV($C57,$J$38:$P$38,$R$38+$R$38*(1+$J$50)/($C57-$J$50)))-$J$49+J48)/$J$47</f>
        <v>81.822243115973038</v>
      </c>
      <c r="I57" s="44"/>
      <c r="J57" s="43"/>
      <c r="Q57" s="87"/>
      <c r="R57" s="91"/>
      <c r="S57" s="87"/>
      <c r="T57" s="91"/>
    </row>
    <row r="58" spans="2:24">
      <c r="B58" s="8" t="s">
        <v>10</v>
      </c>
      <c r="C58" s="4">
        <v>0.15</v>
      </c>
      <c r="D58" s="100">
        <f>((NPV($C58,$J$13:$P$13,$R$13+$R$13*(1+$J$50)/($C58-$J$50)))-$J$49+J48)/$J$47</f>
        <v>33.801490687315251</v>
      </c>
      <c r="E58" s="101"/>
      <c r="F58" s="102">
        <f>((NPV($C58,$J$25:$P$25,$R$25+$R$25*(1+$J$50)/($C58-$J$50)))-$J$49+J48)/$J$47</f>
        <v>33.801490687315251</v>
      </c>
      <c r="G58" s="101"/>
      <c r="H58" s="103">
        <f>((NPV($C58,$J$38:$P$38,$R$38+$R$38*(1+$J$50)/($C58-$J$50)))-$J$49+J48)/$J$47</f>
        <v>53.620295696745458</v>
      </c>
      <c r="I58" s="44"/>
      <c r="J58" s="43"/>
      <c r="Q58" s="87"/>
      <c r="R58" s="91"/>
      <c r="S58" s="87"/>
      <c r="T58" s="91"/>
    </row>
    <row r="59" spans="2:24">
      <c r="C59" s="4"/>
      <c r="D59" s="23"/>
      <c r="I59" s="23"/>
      <c r="J59" s="136"/>
      <c r="L59" t="s">
        <v>187</v>
      </c>
      <c r="M59" s="146" t="s">
        <v>199</v>
      </c>
      <c r="Q59" s="23"/>
      <c r="R59" s="23"/>
      <c r="S59" s="23"/>
      <c r="T59" s="23"/>
    </row>
    <row r="60" spans="2:24">
      <c r="D60" s="2"/>
      <c r="M60" s="146" t="s">
        <v>197</v>
      </c>
      <c r="N60" s="23"/>
      <c r="O60" s="23"/>
      <c r="P60" s="107"/>
      <c r="Q60" s="23"/>
      <c r="R60" s="23"/>
      <c r="S60" s="23"/>
      <c r="T60" s="23"/>
    </row>
    <row r="61" spans="2:24">
      <c r="D61" s="169"/>
      <c r="E61" s="169"/>
      <c r="F61" s="109" t="s">
        <v>6</v>
      </c>
      <c r="G61" s="169"/>
      <c r="H61" s="169"/>
      <c r="I61" s="173"/>
      <c r="J61" s="175"/>
      <c r="L61" s="23"/>
      <c r="M61" s="159" t="s">
        <v>198</v>
      </c>
      <c r="N61" s="164"/>
      <c r="O61" s="23"/>
      <c r="P61" s="173"/>
      <c r="Q61" s="173"/>
      <c r="R61" s="173"/>
      <c r="S61" s="173"/>
      <c r="T61" s="173"/>
    </row>
    <row r="62" spans="2:24">
      <c r="D62" s="85" t="s">
        <v>29</v>
      </c>
      <c r="E62" s="85"/>
      <c r="F62" s="166" t="s">
        <v>31</v>
      </c>
      <c r="G62" s="85"/>
      <c r="H62" s="85" t="s">
        <v>188</v>
      </c>
      <c r="I62" s="62"/>
      <c r="J62" s="61"/>
      <c r="L62" s="23"/>
      <c r="M62" s="160"/>
      <c r="N62" s="176"/>
      <c r="O62" s="23"/>
      <c r="P62" s="87"/>
      <c r="Q62" s="87"/>
      <c r="R62" s="87"/>
      <c r="S62" s="87"/>
      <c r="T62" s="87"/>
    </row>
    <row r="63" spans="2:24">
      <c r="B63" s="174" t="s">
        <v>8</v>
      </c>
      <c r="C63" s="4">
        <f>C56</f>
        <v>0.08</v>
      </c>
      <c r="D63" s="92">
        <f>((NPV($C63,$J$13:$P$13,$R$13+$R$13*(1+$J$50)/($C63-$J$50)))-$J$49+J48)</f>
        <v>59226950843.712326</v>
      </c>
      <c r="E63" s="93"/>
      <c r="F63" s="94">
        <f>((NPV($C63,$J$25:$P$25,$R$25+$R$25*(1+$J$50)/($C63-$J$50)))-$J$49+J48)</f>
        <v>59226950843.712326</v>
      </c>
      <c r="G63" s="93"/>
      <c r="H63" s="95">
        <f>((NPV($C63,$J$38:$P$38,$R$38+$R$38*(1+$J$50)/($C63-$J$50)))-$J$49+J48)</f>
        <v>94307854955.128311</v>
      </c>
      <c r="I63" s="17"/>
      <c r="J63" s="18"/>
      <c r="L63" s="23"/>
      <c r="M63" s="159"/>
      <c r="N63" s="23"/>
      <c r="O63" s="23"/>
      <c r="P63" s="98"/>
      <c r="Q63" s="97"/>
      <c r="R63" s="98"/>
      <c r="S63" s="97"/>
      <c r="T63" s="98"/>
    </row>
    <row r="64" spans="2:24">
      <c r="B64" s="174" t="s">
        <v>28</v>
      </c>
      <c r="C64" s="4">
        <f>C57</f>
        <v>0.11</v>
      </c>
      <c r="D64" s="96">
        <f>((NPV($C64,$J$13:$P$13,$R$13+$R$13*(1+$J$50)/($C64-$J$50)))-$J$49+J48)</f>
        <v>38010268142.012955</v>
      </c>
      <c r="E64" s="97"/>
      <c r="F64" s="98">
        <f>((NPV($C64,$J$25:$P$25,$R$25+$R$25*(1+$J$50)/($C64-$J$50)))-$J$49+J48)</f>
        <v>38010268142.012955</v>
      </c>
      <c r="G64" s="97"/>
      <c r="H64" s="122">
        <f>((NPV($C64,$J$38:$P$38,$R$38+$R$38*(1+$J$50)/($C64-$J$50)))-$J$49+J48)</f>
        <v>60355675573.213753</v>
      </c>
      <c r="I64" s="17"/>
      <c r="J64" s="18"/>
      <c r="L64" s="23"/>
      <c r="M64" s="159">
        <f>15/20</f>
        <v>0.75</v>
      </c>
      <c r="N64" s="23"/>
      <c r="O64" s="23"/>
      <c r="P64" s="98"/>
      <c r="Q64" s="97"/>
      <c r="R64" s="98"/>
      <c r="S64" s="97"/>
      <c r="T64" s="98"/>
    </row>
    <row r="65" spans="1:20">
      <c r="B65" s="8" t="s">
        <v>10</v>
      </c>
      <c r="C65" s="4">
        <f>C58</f>
        <v>0.15</v>
      </c>
      <c r="D65" s="100">
        <f>((NPV($C65,$J$13:$P$13,$R$13+$R$13*(1+$J$50)/($C65-$J$50)))-$J$49+J48)</f>
        <v>24933462199.551235</v>
      </c>
      <c r="E65" s="101"/>
      <c r="F65" s="102">
        <f>((NPV($C65,$J$25:$P$25,$R$25+$R$25*(1+$J$50)/($C65-$J$50)))-$J$49+J48)</f>
        <v>24933462199.551235</v>
      </c>
      <c r="G65" s="101"/>
      <c r="H65" s="103">
        <f>((NPV($C65,$J$38:$P$38,$R$38+$R$38*(1+$J$50)/($C65-$J$50)))-$J$49+J48)</f>
        <v>39552682106.569893</v>
      </c>
      <c r="I65" s="17"/>
      <c r="J65" s="18"/>
      <c r="L65" s="23"/>
      <c r="M65" s="160">
        <f>M64/3</f>
        <v>0.25</v>
      </c>
      <c r="N65" s="23"/>
      <c r="O65" s="23"/>
      <c r="P65" s="98"/>
      <c r="Q65" s="97"/>
      <c r="R65" s="98"/>
      <c r="S65" s="97"/>
      <c r="T65" s="98"/>
    </row>
    <row r="66" spans="1:20" ht="15.75">
      <c r="E66" s="23"/>
      <c r="F66" s="23"/>
      <c r="G66" s="23"/>
      <c r="H66" s="23"/>
      <c r="I66" s="23"/>
      <c r="J66" s="23"/>
      <c r="L66" s="132"/>
      <c r="M66" s="160" t="s">
        <v>200</v>
      </c>
      <c r="N66" s="111"/>
      <c r="O66" s="23"/>
      <c r="P66" s="23"/>
      <c r="Q66" s="23"/>
      <c r="R66" s="23"/>
      <c r="S66" s="23"/>
      <c r="T66" s="23"/>
    </row>
    <row r="67" spans="1:20">
      <c r="F67" s="23"/>
      <c r="G67" s="23"/>
      <c r="H67" s="125"/>
      <c r="I67" s="23"/>
      <c r="J67" s="23"/>
      <c r="L67" s="110"/>
      <c r="M67" s="146"/>
    </row>
    <row r="68" spans="1:20">
      <c r="F68" s="177" t="s">
        <v>40</v>
      </c>
      <c r="G68" s="23"/>
      <c r="H68" s="23"/>
      <c r="I68" s="23"/>
      <c r="J68" s="23"/>
      <c r="M68" s="195" t="s">
        <v>243</v>
      </c>
    </row>
    <row r="69" spans="1:20">
      <c r="A69" s="1" t="str">
        <f>"(1)  Assumes net debt of "&amp;TEXT(J49,"$0.0")&amp;"mm as of 5/16/08."</f>
        <v>(1)  Assumes net debt of $20000000000.0mm as of 5/16/08.</v>
      </c>
      <c r="F69" s="87"/>
      <c r="G69" s="87"/>
      <c r="H69" s="87"/>
      <c r="I69" s="87"/>
      <c r="J69" s="87"/>
      <c r="L69" s="82"/>
      <c r="M69" s="165" t="s">
        <v>244</v>
      </c>
      <c r="N69" s="82"/>
    </row>
    <row r="70" spans="1:20">
      <c r="A70" s="1" t="str">
        <f>"(2)  Assumes outstanding diluted shares of "&amp;TEXT(J47,"0.000")&amp;" million."</f>
        <v>(2)  Assumes outstanding diluted shares of 737643864.000 million.</v>
      </c>
      <c r="C70" s="8"/>
      <c r="D70" s="4"/>
      <c r="E70" s="23"/>
      <c r="F70" s="91"/>
      <c r="G70" s="87"/>
      <c r="H70" s="91"/>
      <c r="I70" s="87"/>
      <c r="J70" s="91"/>
      <c r="M70" s="146" t="s">
        <v>245</v>
      </c>
    </row>
    <row r="71" spans="1:20">
      <c r="B71" s="2"/>
      <c r="C71" s="8"/>
      <c r="D71" s="4"/>
      <c r="E71" s="23"/>
      <c r="F71" s="91"/>
      <c r="G71" s="87"/>
      <c r="H71" s="91"/>
      <c r="I71" s="87"/>
      <c r="J71" s="91"/>
      <c r="M71" s="146" t="s">
        <v>246</v>
      </c>
    </row>
    <row r="72" spans="1:20" ht="15.75">
      <c r="B72" s="147" t="s">
        <v>136</v>
      </c>
      <c r="C72" s="8"/>
      <c r="D72" s="4"/>
      <c r="E72" s="23"/>
      <c r="F72" s="91"/>
      <c r="G72" s="87"/>
      <c r="H72" s="91"/>
      <c r="I72" s="87"/>
      <c r="J72" s="91"/>
      <c r="M72" s="146" t="s">
        <v>247</v>
      </c>
    </row>
    <row r="73" spans="1:20" ht="15.75">
      <c r="B73" s="147" t="s">
        <v>137</v>
      </c>
      <c r="C73" s="8"/>
      <c r="D73" s="4"/>
      <c r="E73" s="23"/>
      <c r="F73" s="91"/>
      <c r="G73" s="87"/>
      <c r="H73" s="91"/>
      <c r="I73" s="87"/>
      <c r="J73" s="91"/>
      <c r="M73" s="192">
        <f>5/18</f>
        <v>0.27777777777777779</v>
      </c>
      <c r="N73" t="s">
        <v>248</v>
      </c>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91"/>
      <c r="G76" s="87"/>
      <c r="H76" s="91"/>
      <c r="I76" s="87"/>
      <c r="J76" s="91"/>
      <c r="M76" s="146"/>
      <c r="P76" s="79"/>
    </row>
    <row r="77" spans="1:20" ht="12.75" customHeight="1">
      <c r="B77" s="135" t="s">
        <v>140</v>
      </c>
      <c r="F77" s="23"/>
      <c r="G77" s="23"/>
      <c r="H77" s="23"/>
      <c r="I77" s="23"/>
      <c r="J77" s="23"/>
      <c r="M77" s="146" t="s">
        <v>375</v>
      </c>
    </row>
    <row r="78" spans="1:20" ht="12.75" customHeight="1">
      <c r="B78" s="135" t="s">
        <v>141</v>
      </c>
      <c r="C78" s="135"/>
      <c r="F78" s="87"/>
      <c r="G78" s="87"/>
      <c r="H78" s="87"/>
      <c r="I78" s="87"/>
      <c r="J78" s="87"/>
      <c r="M78" s="146" t="s">
        <v>373</v>
      </c>
    </row>
    <row r="79" spans="1:20" ht="12.75" customHeight="1">
      <c r="B79" s="135"/>
      <c r="C79" s="135"/>
      <c r="F79" s="87"/>
      <c r="G79" s="87"/>
      <c r="H79" s="87"/>
      <c r="I79" s="87"/>
      <c r="J79" s="87"/>
      <c r="M79" s="146" t="s">
        <v>374</v>
      </c>
    </row>
    <row r="80" spans="1:20" ht="12.75" customHeight="1">
      <c r="B80" s="148" t="s">
        <v>174</v>
      </c>
      <c r="C80" s="135"/>
      <c r="F80" s="87"/>
      <c r="G80" s="87"/>
      <c r="H80" s="87"/>
      <c r="I80" s="87"/>
      <c r="J80" s="87"/>
      <c r="M80" s="214" t="s">
        <v>376</v>
      </c>
    </row>
    <row r="81" spans="1:13" ht="12.75" customHeight="1">
      <c r="B81" s="135" t="s">
        <v>175</v>
      </c>
      <c r="C81" s="135"/>
      <c r="F81" s="87"/>
      <c r="G81" s="87"/>
      <c r="H81" s="87"/>
      <c r="I81" s="87"/>
      <c r="J81" s="87"/>
      <c r="M81" s="146" t="s">
        <v>378</v>
      </c>
    </row>
    <row r="82" spans="1:13" ht="12.75" customHeight="1">
      <c r="B82" s="135" t="s">
        <v>39</v>
      </c>
      <c r="C82" s="135"/>
      <c r="F82" s="87"/>
      <c r="G82" s="87"/>
      <c r="H82" s="87"/>
      <c r="I82" s="87"/>
      <c r="J82" s="87"/>
      <c r="M82" s="146" t="s">
        <v>377</v>
      </c>
    </row>
    <row r="83" spans="1:13" ht="12.75" customHeight="1">
      <c r="B83" s="135"/>
      <c r="C83" s="135"/>
      <c r="F83" s="87"/>
      <c r="G83" s="87"/>
      <c r="H83" s="87"/>
      <c r="I83" s="87"/>
      <c r="J83" s="87"/>
      <c r="M83" s="146"/>
    </row>
    <row r="84" spans="1:13" ht="12.75" customHeight="1">
      <c r="B84" s="150" t="s">
        <v>142</v>
      </c>
      <c r="C84" s="135"/>
      <c r="F84" s="87"/>
      <c r="G84" s="87"/>
      <c r="H84" s="87"/>
      <c r="I84" s="87"/>
      <c r="J84" s="87"/>
      <c r="M84" s="146"/>
    </row>
    <row r="85" spans="1:13" ht="12.75" customHeight="1">
      <c r="A85" s="151" t="s">
        <v>149</v>
      </c>
      <c r="B85" s="135" t="s">
        <v>100</v>
      </c>
      <c r="C85" s="8"/>
      <c r="D85" s="4"/>
      <c r="E85" s="23"/>
      <c r="F85" s="98"/>
      <c r="G85" s="97"/>
      <c r="H85" s="98"/>
      <c r="I85" s="97"/>
      <c r="J85" s="98"/>
      <c r="M85" s="146"/>
    </row>
    <row r="86" spans="1:13" ht="12.75" customHeight="1">
      <c r="A86" s="151" t="s">
        <v>155</v>
      </c>
      <c r="B86" s="135" t="s">
        <v>101</v>
      </c>
      <c r="C86" s="8"/>
      <c r="D86" s="4"/>
      <c r="E86" s="23"/>
      <c r="F86" s="98"/>
      <c r="G86" s="97"/>
      <c r="H86" s="98"/>
      <c r="I86" s="97"/>
      <c r="J86" s="98"/>
      <c r="M86" s="146"/>
    </row>
    <row r="87" spans="1:13" ht="12.75" customHeight="1">
      <c r="A87" s="151" t="s">
        <v>156</v>
      </c>
      <c r="B87" s="135" t="s">
        <v>143</v>
      </c>
      <c r="C87" s="8"/>
      <c r="D87" s="4"/>
      <c r="E87" s="23"/>
      <c r="F87" s="98"/>
      <c r="G87" s="97"/>
      <c r="H87" s="98"/>
      <c r="I87" s="97"/>
      <c r="J87" s="98"/>
      <c r="M87" s="146"/>
    </row>
    <row r="88" spans="1:13" ht="12.75" customHeight="1">
      <c r="A88" s="151" t="s">
        <v>157</v>
      </c>
      <c r="B88" s="135" t="s">
        <v>144</v>
      </c>
      <c r="F88" s="145"/>
      <c r="J88" s="142"/>
      <c r="M88" s="146"/>
    </row>
    <row r="89" spans="1:13" ht="12.75" customHeight="1">
      <c r="A89" s="151" t="s">
        <v>158</v>
      </c>
      <c r="B89" s="135" t="s">
        <v>145</v>
      </c>
      <c r="J89" s="142"/>
      <c r="M89" s="146"/>
    </row>
    <row r="90" spans="1:13" ht="12.75" customHeight="1">
      <c r="A90" s="151" t="s">
        <v>159</v>
      </c>
      <c r="B90" s="135" t="s">
        <v>154</v>
      </c>
      <c r="J90" s="146"/>
      <c r="M90" s="146"/>
    </row>
    <row r="91" spans="1:13" ht="12.75" customHeight="1">
      <c r="A91" s="151" t="s">
        <v>160</v>
      </c>
      <c r="B91" s="135" t="s">
        <v>41</v>
      </c>
      <c r="J91" s="146"/>
      <c r="M91" s="146"/>
    </row>
    <row r="92" spans="1:13" ht="12.75" customHeight="1">
      <c r="A92" s="151" t="s">
        <v>161</v>
      </c>
      <c r="B92" s="135" t="s">
        <v>146</v>
      </c>
      <c r="J92" s="146"/>
      <c r="M92" s="146"/>
    </row>
    <row r="93" spans="1:13" ht="12.75" customHeight="1">
      <c r="A93" s="151" t="s">
        <v>162</v>
      </c>
      <c r="B93" s="135" t="s">
        <v>148</v>
      </c>
      <c r="J93" s="146"/>
    </row>
    <row r="94" spans="1:13" ht="12.75" customHeight="1">
      <c r="A94" s="151" t="s">
        <v>163</v>
      </c>
      <c r="B94" s="135" t="s">
        <v>147</v>
      </c>
      <c r="J94" s="146"/>
    </row>
    <row r="95" spans="1:13">
      <c r="A95" s="151" t="s">
        <v>164</v>
      </c>
      <c r="B95" s="135" t="s">
        <v>150</v>
      </c>
    </row>
    <row r="96" spans="1:13">
      <c r="A96" s="151" t="s">
        <v>165</v>
      </c>
      <c r="B96" s="135" t="s">
        <v>151</v>
      </c>
    </row>
    <row r="97" spans="1:2">
      <c r="A97" s="151" t="s">
        <v>166</v>
      </c>
      <c r="B97" s="135" t="s">
        <v>152</v>
      </c>
    </row>
    <row r="98" spans="1:2">
      <c r="A98" s="151" t="s">
        <v>167</v>
      </c>
      <c r="B98" s="135" t="s">
        <v>153</v>
      </c>
    </row>
    <row r="99" spans="1:2">
      <c r="A99" s="151" t="s">
        <v>171</v>
      </c>
      <c r="B99" s="135" t="s">
        <v>168</v>
      </c>
    </row>
    <row r="100" spans="1:2">
      <c r="A100" s="151" t="s">
        <v>172</v>
      </c>
      <c r="B100" s="135" t="s">
        <v>170</v>
      </c>
    </row>
    <row r="101" spans="1:2">
      <c r="A101" s="151" t="s">
        <v>173</v>
      </c>
      <c r="B101" s="135" t="s">
        <v>169</v>
      </c>
    </row>
    <row r="102" spans="1:2">
      <c r="A102" s="151" t="s">
        <v>177</v>
      </c>
      <c r="B102" s="135" t="s">
        <v>178</v>
      </c>
    </row>
    <row r="103" spans="1:2">
      <c r="A103">
        <v>19</v>
      </c>
      <c r="B103" s="135" t="s">
        <v>189</v>
      </c>
    </row>
    <row r="104" spans="1:2">
      <c r="A104">
        <v>20</v>
      </c>
      <c r="B104" s="135" t="s">
        <v>190</v>
      </c>
    </row>
    <row r="105" spans="1:2">
      <c r="A105">
        <v>21</v>
      </c>
      <c r="B105" s="135" t="s">
        <v>191</v>
      </c>
    </row>
    <row r="109" spans="1:2">
      <c r="B109" s="168" t="s">
        <v>192</v>
      </c>
    </row>
    <row r="110" spans="1:2">
      <c r="B110" s="135" t="s">
        <v>193</v>
      </c>
    </row>
    <row r="117" spans="2:2">
      <c r="B117" t="s">
        <v>194</v>
      </c>
    </row>
    <row r="118" spans="2:2">
      <c r="B118" t="s">
        <v>195</v>
      </c>
    </row>
  </sheetData>
  <mergeCells count="1">
    <mergeCell ref="H46:J46"/>
  </mergeCells>
  <conditionalFormatting sqref="B6:T13">
    <cfRule type="expression" dxfId="101" priority="6">
      <formula>MOD(ROW(),2)=0</formula>
    </cfRule>
  </conditionalFormatting>
  <conditionalFormatting sqref="B18:T25">
    <cfRule type="expression" dxfId="100" priority="5">
      <formula>MOD(ROW(),2)=0</formula>
    </cfRule>
  </conditionalFormatting>
  <conditionalFormatting sqref="B31:T39">
    <cfRule type="expression" dxfId="99" priority="4">
      <formula>MOD(ROW(),2)=0</formula>
    </cfRule>
  </conditionalFormatting>
  <conditionalFormatting sqref="D56:H58">
    <cfRule type="expression" dxfId="98" priority="3">
      <formula>MOD(ROW(),2)=0</formula>
    </cfRule>
  </conditionalFormatting>
  <conditionalFormatting sqref="D63:H65">
    <cfRule type="expression" dxfId="97" priority="2">
      <formula>MOD(ROW(),2)=0</formula>
    </cfRule>
  </conditionalFormatting>
  <conditionalFormatting sqref="C47:E51">
    <cfRule type="expression" dxfId="96" priority="1">
      <formula>MOD(ROW(),2)=0</formula>
    </cfRule>
  </conditionalFormatting>
  <pageMargins left="0.75" right="0.75" top="1" bottom="1" header="0.5" footer="0.5"/>
  <pageSetup paperSize="119"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X119"/>
  <sheetViews>
    <sheetView showGridLines="0" topLeftCell="A26" zoomScaleNormal="100" workbookViewId="0">
      <selection activeCell="M67" sqref="M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647000000</v>
      </c>
      <c r="J6" s="75">
        <f>H6*C47</f>
        <v>640530000</v>
      </c>
      <c r="K6" s="121"/>
      <c r="L6" s="75">
        <f>J6*C48</f>
        <v>576477000</v>
      </c>
      <c r="M6" s="121"/>
      <c r="N6" s="75">
        <f>L6*C49</f>
        <v>518829300</v>
      </c>
      <c r="O6" s="75"/>
      <c r="P6" s="75">
        <f>N6*C50</f>
        <v>498076128</v>
      </c>
      <c r="Q6" s="75"/>
      <c r="R6" s="75">
        <f>P6*C51</f>
        <v>473172321.59999996</v>
      </c>
      <c r="T6" s="4">
        <f>(R6/J6)^(1/4)-1</f>
        <v>-7.2914124897504928E-2</v>
      </c>
    </row>
    <row r="7" spans="1:24">
      <c r="B7" s="23" t="s">
        <v>22</v>
      </c>
      <c r="H7" s="71">
        <v>0</v>
      </c>
      <c r="J7" s="71">
        <v>0</v>
      </c>
      <c r="L7" s="71">
        <v>0</v>
      </c>
      <c r="N7" s="71">
        <v>0</v>
      </c>
      <c r="P7" s="71">
        <v>0</v>
      </c>
      <c r="R7" s="71">
        <v>0</v>
      </c>
      <c r="T7" s="4"/>
    </row>
    <row r="8" spans="1:24">
      <c r="B8" t="s">
        <v>27</v>
      </c>
      <c r="H8" s="115">
        <f>H6+H7</f>
        <v>647000000</v>
      </c>
      <c r="I8" s="73"/>
      <c r="J8" s="115">
        <f>J6+J7</f>
        <v>640530000</v>
      </c>
      <c r="K8" s="116"/>
      <c r="L8" s="115">
        <f>L6+L7</f>
        <v>576477000</v>
      </c>
      <c r="M8" s="116"/>
      <c r="N8" s="115">
        <f>N6+N7</f>
        <v>518829300</v>
      </c>
      <c r="O8" s="116"/>
      <c r="P8" s="115">
        <f>P6+P7</f>
        <v>498076128</v>
      </c>
      <c r="Q8" s="116"/>
      <c r="R8" s="115">
        <f>R6+R7</f>
        <v>473172321.59999996</v>
      </c>
      <c r="T8" s="4">
        <f>(R8/J8)^(1/4)-1</f>
        <v>-7.2914124897504928E-2</v>
      </c>
    </row>
    <row r="9" spans="1:24" s="39" customFormat="1">
      <c r="B9" s="39" t="s">
        <v>21</v>
      </c>
      <c r="H9" s="117">
        <f>-$J$51*H8</f>
        <v>-135870000</v>
      </c>
      <c r="I9"/>
      <c r="J9" s="117">
        <f>-$J$51*J8</f>
        <v>-134511300</v>
      </c>
      <c r="K9" s="114"/>
      <c r="L9" s="117">
        <f>-$J$51*L8</f>
        <v>-121060170</v>
      </c>
      <c r="M9" s="114"/>
      <c r="N9" s="117">
        <f>-$J$51*N8</f>
        <v>-108954153</v>
      </c>
      <c r="O9" s="114"/>
      <c r="P9" s="117">
        <f>-$J$51*P8</f>
        <v>-104595986.88</v>
      </c>
      <c r="Q9" s="114"/>
      <c r="R9" s="117">
        <f>-$J$51*R8</f>
        <v>-99366187.535999984</v>
      </c>
    </row>
    <row r="10" spans="1:24" s="2" customFormat="1">
      <c r="B10" s="2" t="s">
        <v>3</v>
      </c>
      <c r="H10" s="118">
        <f>SUM(H8:H9)</f>
        <v>511130000</v>
      </c>
      <c r="J10" s="118">
        <f>SUM(J8:J9)</f>
        <v>506018700</v>
      </c>
      <c r="K10" s="119"/>
      <c r="L10" s="118">
        <f>SUM(L8:L9)</f>
        <v>455416830</v>
      </c>
      <c r="M10" s="119"/>
      <c r="N10" s="118">
        <f>SUM(N8:N9)</f>
        <v>409875147</v>
      </c>
      <c r="O10" s="119"/>
      <c r="P10" s="118">
        <f>SUM(P8:P9)</f>
        <v>393480141.12</v>
      </c>
      <c r="Q10" s="119"/>
      <c r="R10" s="118">
        <f>SUM(R8:R9)</f>
        <v>373806134.06400001</v>
      </c>
      <c r="T10" s="4">
        <f>(R10/J10)^(1/4)-1</f>
        <v>-7.2914124897504817E-2</v>
      </c>
    </row>
    <row r="11" spans="1:24">
      <c r="B11" s="10" t="s">
        <v>25</v>
      </c>
      <c r="H11" s="112">
        <v>330000000</v>
      </c>
      <c r="I11" s="112"/>
      <c r="J11" s="112">
        <f>H11</f>
        <v>330000000</v>
      </c>
      <c r="K11" s="112"/>
      <c r="L11" s="112">
        <f>J11</f>
        <v>330000000</v>
      </c>
      <c r="M11" s="112"/>
      <c r="N11" s="112">
        <f>L11</f>
        <v>330000000</v>
      </c>
      <c r="O11" s="112"/>
      <c r="P11" s="112">
        <f>N11</f>
        <v>330000000</v>
      </c>
      <c r="Q11" s="112"/>
      <c r="R11" s="112">
        <f>P11</f>
        <v>330000000</v>
      </c>
    </row>
    <row r="12" spans="1:24">
      <c r="B12" t="s">
        <v>23</v>
      </c>
      <c r="H12" s="112">
        <v>-353000000</v>
      </c>
      <c r="I12" s="112"/>
      <c r="J12" s="112">
        <f>H12</f>
        <v>-353000000</v>
      </c>
      <c r="K12" s="112"/>
      <c r="L12" s="112">
        <f>J12</f>
        <v>-353000000</v>
      </c>
      <c r="M12" s="112"/>
      <c r="N12" s="112">
        <f>L12</f>
        <v>-353000000</v>
      </c>
      <c r="O12" s="112"/>
      <c r="P12" s="112">
        <f>N12</f>
        <v>-353000000</v>
      </c>
      <c r="Q12" s="112"/>
      <c r="R12" s="112">
        <f>P12</f>
        <v>-353000000</v>
      </c>
      <c r="X12" s="81"/>
    </row>
    <row r="13" spans="1:24">
      <c r="B13" s="2" t="s">
        <v>19</v>
      </c>
      <c r="H13" s="120">
        <f>SUM(H10:H12)</f>
        <v>488130000</v>
      </c>
      <c r="J13" s="120">
        <f>SUM(J10:J12)</f>
        <v>483018700</v>
      </c>
      <c r="K13" s="114"/>
      <c r="L13" s="120">
        <f>SUM(L10:L12)</f>
        <v>432416830</v>
      </c>
      <c r="M13" s="114"/>
      <c r="N13" s="120">
        <f>SUM(N10:N12)</f>
        <v>386875147</v>
      </c>
      <c r="O13" s="114"/>
      <c r="P13" s="120">
        <f>SUM(P10:P12)</f>
        <v>370480141.12</v>
      </c>
      <c r="Q13" s="114"/>
      <c r="R13" s="120">
        <f>SUM(R10:R12)</f>
        <v>350806134.06400001</v>
      </c>
      <c r="T13" s="4">
        <f>(R13/J13)^(1/4)-1</f>
        <v>-7.684248701082852E-2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647000000</v>
      </c>
      <c r="J18" s="75">
        <f>H18*D47</f>
        <v>647000000</v>
      </c>
      <c r="K18" s="121"/>
      <c r="L18" s="75">
        <f>J18*D48</f>
        <v>647000000</v>
      </c>
      <c r="M18" s="121"/>
      <c r="N18" s="75">
        <f>L18*D49</f>
        <v>647000000</v>
      </c>
      <c r="O18" s="75"/>
      <c r="P18" s="75">
        <f>N18*D50</f>
        <v>647000000</v>
      </c>
      <c r="Q18" s="75"/>
      <c r="R18" s="75">
        <f>P18*D51</f>
        <v>647000000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647000000</v>
      </c>
      <c r="I20" s="116"/>
      <c r="J20" s="115">
        <f>J18+J19</f>
        <v>647000000</v>
      </c>
      <c r="K20" s="116"/>
      <c r="L20" s="115">
        <f>L18+L19</f>
        <v>647000000</v>
      </c>
      <c r="M20" s="116"/>
      <c r="N20" s="115">
        <f>N18+N19</f>
        <v>647000000</v>
      </c>
      <c r="O20" s="116"/>
      <c r="P20" s="115">
        <f>P18+P19</f>
        <v>647000000</v>
      </c>
      <c r="Q20" s="116"/>
      <c r="R20" s="115">
        <f>R18+R19</f>
        <v>647000000</v>
      </c>
      <c r="T20" s="4">
        <f>(R20/J20)^(1/4)-1</f>
        <v>0</v>
      </c>
    </row>
    <row r="21" spans="1:20">
      <c r="B21" s="39" t="s">
        <v>21</v>
      </c>
      <c r="C21" s="39"/>
      <c r="D21" s="39"/>
      <c r="E21" s="39"/>
      <c r="F21" s="39"/>
      <c r="G21" s="39"/>
      <c r="H21" s="117">
        <f>-$J$51*H20</f>
        <v>-135870000</v>
      </c>
      <c r="I21" s="114"/>
      <c r="J21" s="117">
        <f>-$J$51*J20</f>
        <v>-135870000</v>
      </c>
      <c r="K21" s="114"/>
      <c r="L21" s="117">
        <f>-$J$51*L20</f>
        <v>-135870000</v>
      </c>
      <c r="M21" s="114"/>
      <c r="N21" s="117">
        <f>-$J$51*N20</f>
        <v>-135870000</v>
      </c>
      <c r="O21" s="114"/>
      <c r="P21" s="117">
        <f>-$J$51*P20</f>
        <v>-135870000</v>
      </c>
      <c r="Q21" s="114"/>
      <c r="R21" s="117">
        <f>-$J$51*R20</f>
        <v>-135870000</v>
      </c>
      <c r="S21" s="39"/>
      <c r="T21" s="39"/>
    </row>
    <row r="22" spans="1:20">
      <c r="A22" s="2"/>
      <c r="B22" s="2" t="s">
        <v>3</v>
      </c>
      <c r="C22" s="2"/>
      <c r="D22" s="2"/>
      <c r="E22" s="2"/>
      <c r="F22" s="2"/>
      <c r="G22" s="2"/>
      <c r="H22" s="118">
        <f>SUM(H20:H21)</f>
        <v>511130000</v>
      </c>
      <c r="I22" s="119"/>
      <c r="J22" s="118">
        <f>SUM(J20:J21)</f>
        <v>511130000</v>
      </c>
      <c r="K22" s="119"/>
      <c r="L22" s="118">
        <f>SUM(L20:L21)</f>
        <v>511130000</v>
      </c>
      <c r="M22" s="119"/>
      <c r="N22" s="118">
        <f>SUM(N20:N21)</f>
        <v>511130000</v>
      </c>
      <c r="O22" s="119"/>
      <c r="P22" s="118">
        <f>SUM(P20:P21)</f>
        <v>511130000</v>
      </c>
      <c r="Q22" s="119"/>
      <c r="R22" s="118">
        <f>SUM(R20:R21)</f>
        <v>511130000</v>
      </c>
      <c r="S22" s="2"/>
      <c r="T22" s="4">
        <f>(R22/J22)^(1/4)-1</f>
        <v>0</v>
      </c>
    </row>
    <row r="23" spans="1:20">
      <c r="B23" s="10" t="s">
        <v>25</v>
      </c>
      <c r="H23" s="112">
        <f>H11</f>
        <v>330000000</v>
      </c>
      <c r="I23" s="112"/>
      <c r="J23" s="112">
        <f>J11</f>
        <v>330000000</v>
      </c>
      <c r="K23" s="112"/>
      <c r="L23" s="112">
        <f>L11</f>
        <v>330000000</v>
      </c>
      <c r="M23" s="112"/>
      <c r="N23" s="112">
        <f>N11</f>
        <v>330000000</v>
      </c>
      <c r="O23" s="112"/>
      <c r="P23" s="112">
        <f>P11</f>
        <v>330000000</v>
      </c>
      <c r="Q23" s="112"/>
      <c r="R23" s="112">
        <f>R11</f>
        <v>330000000</v>
      </c>
    </row>
    <row r="24" spans="1:20">
      <c r="B24" t="s">
        <v>23</v>
      </c>
      <c r="H24" s="112">
        <f>H12</f>
        <v>-353000000</v>
      </c>
      <c r="I24" s="112"/>
      <c r="J24" s="112">
        <f>J12</f>
        <v>-353000000</v>
      </c>
      <c r="K24" s="112"/>
      <c r="L24" s="112">
        <f>L12</f>
        <v>-353000000</v>
      </c>
      <c r="M24" s="112"/>
      <c r="N24" s="112">
        <f>N12</f>
        <v>-353000000</v>
      </c>
      <c r="O24" s="112"/>
      <c r="P24" s="112">
        <f>P12</f>
        <v>-353000000</v>
      </c>
      <c r="Q24" s="112"/>
      <c r="R24" s="112">
        <f>R12</f>
        <v>-353000000</v>
      </c>
    </row>
    <row r="25" spans="1:20">
      <c r="B25" s="2" t="s">
        <v>19</v>
      </c>
      <c r="H25" s="120">
        <f>SUM(H22:H24)</f>
        <v>488130000</v>
      </c>
      <c r="I25" s="114"/>
      <c r="J25" s="120">
        <f>SUM(J22:J24)</f>
        <v>488130000</v>
      </c>
      <c r="K25" s="114"/>
      <c r="L25" s="120">
        <f>SUM(L22:L24)</f>
        <v>488130000</v>
      </c>
      <c r="M25" s="114"/>
      <c r="N25" s="120">
        <f>SUM(N22:N24)</f>
        <v>488130000</v>
      </c>
      <c r="O25" s="114"/>
      <c r="P25" s="120">
        <f>SUM(P22:P24)</f>
        <v>488130000</v>
      </c>
      <c r="Q25" s="114"/>
      <c r="R25" s="120">
        <f>SUM(R22:R24)</f>
        <v>488130000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647000000</v>
      </c>
      <c r="J31" s="75">
        <f>H31*E47</f>
        <v>679350000</v>
      </c>
      <c r="K31" s="121"/>
      <c r="L31" s="75">
        <f>J31*E48</f>
        <v>713317500</v>
      </c>
      <c r="M31" s="121"/>
      <c r="N31" s="75">
        <f>L31*E49</f>
        <v>748983375</v>
      </c>
      <c r="O31" s="75"/>
      <c r="P31" s="75">
        <f>N31*E50</f>
        <v>786432543.75</v>
      </c>
      <c r="Q31" s="75"/>
      <c r="R31" s="75">
        <f>P31*E51</f>
        <v>825754170.9375</v>
      </c>
      <c r="T31" s="4">
        <f>(R31/J31)^(1/4)-1</f>
        <v>5.0000000000000044E-2</v>
      </c>
    </row>
    <row r="32" spans="1:20">
      <c r="B32" s="23" t="s">
        <v>22</v>
      </c>
      <c r="H32" s="71">
        <f>H7</f>
        <v>0</v>
      </c>
      <c r="J32" s="71">
        <f>J7</f>
        <v>0</v>
      </c>
      <c r="L32" s="71">
        <f>L7</f>
        <v>0</v>
      </c>
      <c r="N32" s="71">
        <f>N7</f>
        <v>0</v>
      </c>
      <c r="P32" s="71">
        <f>P7</f>
        <v>0</v>
      </c>
      <c r="R32" s="71">
        <f>R7</f>
        <v>0</v>
      </c>
      <c r="T32" s="4"/>
    </row>
    <row r="33" spans="1:24">
      <c r="B33" t="s">
        <v>27</v>
      </c>
      <c r="H33" s="115">
        <f>H31+H32</f>
        <v>647000000</v>
      </c>
      <c r="I33" s="116"/>
      <c r="J33" s="115">
        <f>J31+J32</f>
        <v>679350000</v>
      </c>
      <c r="K33" s="116"/>
      <c r="L33" s="115">
        <f>L31+L32</f>
        <v>713317500</v>
      </c>
      <c r="M33" s="116"/>
      <c r="N33" s="115">
        <f>N31+N32</f>
        <v>748983375</v>
      </c>
      <c r="O33" s="116"/>
      <c r="P33" s="115">
        <f>P31+P32</f>
        <v>786432543.75</v>
      </c>
      <c r="Q33" s="116"/>
      <c r="R33" s="115">
        <f>R31+R32</f>
        <v>825754170.9375</v>
      </c>
      <c r="T33" s="4">
        <f>(R33/J33)^(1/4)-1</f>
        <v>5.0000000000000044E-2</v>
      </c>
    </row>
    <row r="34" spans="1:24">
      <c r="B34" s="39" t="s">
        <v>21</v>
      </c>
      <c r="C34" s="39"/>
      <c r="D34" s="39"/>
      <c r="E34" s="39"/>
      <c r="F34" s="39"/>
      <c r="G34" s="39"/>
      <c r="H34" s="117">
        <f>-$J$51*H33</f>
        <v>-135870000</v>
      </c>
      <c r="I34" s="114"/>
      <c r="J34" s="117">
        <f>-$J$51*J33</f>
        <v>-142663500</v>
      </c>
      <c r="K34" s="114"/>
      <c r="L34" s="117">
        <f>-$J$51*L33</f>
        <v>-149796675</v>
      </c>
      <c r="M34" s="114"/>
      <c r="N34" s="117">
        <f>-$J$51*N33</f>
        <v>-157286508.75</v>
      </c>
      <c r="O34" s="114"/>
      <c r="P34" s="117">
        <f>-$J$51*P33</f>
        <v>-165150834.1875</v>
      </c>
      <c r="Q34" s="114"/>
      <c r="R34" s="117">
        <f>-$J$51*R33</f>
        <v>-173408375.89687499</v>
      </c>
      <c r="S34" s="39"/>
      <c r="T34" s="39"/>
    </row>
    <row r="35" spans="1:24">
      <c r="A35" s="2"/>
      <c r="B35" s="2" t="s">
        <v>3</v>
      </c>
      <c r="C35" s="2"/>
      <c r="D35" s="2"/>
      <c r="E35" s="2"/>
      <c r="F35" s="2"/>
      <c r="G35" s="2"/>
      <c r="H35" s="118">
        <f>SUM(H33:H34)</f>
        <v>511130000</v>
      </c>
      <c r="I35" s="119"/>
      <c r="J35" s="118">
        <f>SUM(J33:J34)</f>
        <v>536686500</v>
      </c>
      <c r="K35" s="119"/>
      <c r="L35" s="118">
        <f>SUM(L33:L34)</f>
        <v>563520825</v>
      </c>
      <c r="M35" s="119"/>
      <c r="N35" s="118">
        <f>SUM(N33:N34)</f>
        <v>591696866.25</v>
      </c>
      <c r="O35" s="119"/>
      <c r="P35" s="118">
        <f>SUM(P33:P34)</f>
        <v>621281709.5625</v>
      </c>
      <c r="Q35" s="119"/>
      <c r="R35" s="118">
        <f>SUM(R33:R34)</f>
        <v>652345795.04062498</v>
      </c>
      <c r="S35" s="2"/>
      <c r="T35" s="4">
        <f>(R35/J35)^(1/4)-1</f>
        <v>5.0000000000000044E-2</v>
      </c>
    </row>
    <row r="36" spans="1:24">
      <c r="B36" s="10" t="s">
        <v>25</v>
      </c>
      <c r="H36" s="112">
        <f>H11</f>
        <v>330000000</v>
      </c>
      <c r="I36" s="112"/>
      <c r="J36" s="112">
        <f>J11</f>
        <v>330000000</v>
      </c>
      <c r="K36" s="112"/>
      <c r="L36" s="112">
        <f>L11</f>
        <v>330000000</v>
      </c>
      <c r="M36" s="112"/>
      <c r="N36" s="112">
        <f>N11</f>
        <v>330000000</v>
      </c>
      <c r="O36" s="112"/>
      <c r="P36" s="112">
        <f>P11</f>
        <v>330000000</v>
      </c>
      <c r="Q36" s="112"/>
      <c r="R36" s="112">
        <f>R11</f>
        <v>330000000</v>
      </c>
    </row>
    <row r="37" spans="1:24">
      <c r="B37" t="s">
        <v>23</v>
      </c>
      <c r="H37" s="112">
        <f>H12</f>
        <v>-353000000</v>
      </c>
      <c r="I37" s="112"/>
      <c r="J37" s="112">
        <f>J12</f>
        <v>-353000000</v>
      </c>
      <c r="K37" s="112"/>
      <c r="L37" s="112">
        <f>L12</f>
        <v>-353000000</v>
      </c>
      <c r="M37" s="112"/>
      <c r="N37" s="112">
        <f>N12</f>
        <v>-353000000</v>
      </c>
      <c r="O37" s="112"/>
      <c r="P37" s="112">
        <f>P12</f>
        <v>-353000000</v>
      </c>
      <c r="Q37" s="112"/>
      <c r="R37" s="112">
        <f>R12</f>
        <v>-353000000</v>
      </c>
    </row>
    <row r="38" spans="1:24">
      <c r="B38" s="2" t="s">
        <v>19</v>
      </c>
      <c r="H38" s="120">
        <f>SUM(H35:H37)</f>
        <v>488130000</v>
      </c>
      <c r="I38" s="153"/>
      <c r="J38" s="120">
        <f>SUM(J35:J37)</f>
        <v>513686500</v>
      </c>
      <c r="K38" s="114"/>
      <c r="L38" s="120">
        <f>SUM(L35:L37)</f>
        <v>540520825</v>
      </c>
      <c r="M38" s="114"/>
      <c r="N38" s="120">
        <f>SUM(N35:N37)</f>
        <v>568696866.25</v>
      </c>
      <c r="O38" s="114"/>
      <c r="P38" s="120">
        <f>SUM(P35:P37)</f>
        <v>598281709.5625</v>
      </c>
      <c r="Q38" s="114"/>
      <c r="R38" s="120">
        <f>SUM(R35:R37)</f>
        <v>629345795.04062498</v>
      </c>
      <c r="T38" s="4">
        <f>(R38/J38)^(1/4)-1</f>
        <v>5.2077652254193474E-2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2018</v>
      </c>
      <c r="C47" s="88">
        <v>0.99</v>
      </c>
      <c r="D47" s="88">
        <v>1</v>
      </c>
      <c r="E47" s="88">
        <v>1.05</v>
      </c>
      <c r="H47" s="156" t="s">
        <v>15</v>
      </c>
      <c r="I47" s="156"/>
      <c r="J47" s="161">
        <v>238321460</v>
      </c>
      <c r="M47" t="s">
        <v>55</v>
      </c>
      <c r="P47" s="2"/>
      <c r="X47" s="127"/>
    </row>
    <row r="48" spans="1:24">
      <c r="B48" s="90">
        <f>B47+1</f>
        <v>2019</v>
      </c>
      <c r="C48" s="88">
        <v>0.9</v>
      </c>
      <c r="D48" s="88">
        <v>1</v>
      </c>
      <c r="E48" s="88">
        <v>1.05</v>
      </c>
      <c r="H48" s="156" t="s">
        <v>99</v>
      </c>
      <c r="I48" s="156"/>
      <c r="J48" s="157">
        <v>1000000000</v>
      </c>
      <c r="M48" t="s">
        <v>56</v>
      </c>
      <c r="P48" s="2"/>
      <c r="X48" s="127"/>
    </row>
    <row r="49" spans="2:24">
      <c r="B49" s="90">
        <f>B48+1</f>
        <v>2020</v>
      </c>
      <c r="C49" s="88">
        <v>0.9</v>
      </c>
      <c r="D49" s="88">
        <v>1</v>
      </c>
      <c r="E49" s="88">
        <v>1.05</v>
      </c>
      <c r="H49" s="156" t="s">
        <v>14</v>
      </c>
      <c r="I49" s="156"/>
      <c r="J49" s="157">
        <v>2477000000</v>
      </c>
      <c r="M49" t="s">
        <v>58</v>
      </c>
      <c r="P49" s="2"/>
      <c r="X49" s="127"/>
    </row>
    <row r="50" spans="2:24">
      <c r="B50" s="90">
        <f>B49+1</f>
        <v>2021</v>
      </c>
      <c r="C50" s="88">
        <v>0.96</v>
      </c>
      <c r="D50" s="88">
        <v>1</v>
      </c>
      <c r="E50" s="88">
        <v>1.05</v>
      </c>
      <c r="H50" s="155" t="s">
        <v>16</v>
      </c>
      <c r="I50" s="156"/>
      <c r="J50" s="158">
        <v>0.02</v>
      </c>
      <c r="M50" t="s">
        <v>59</v>
      </c>
      <c r="P50" s="2"/>
      <c r="X50" s="127"/>
    </row>
    <row r="51" spans="2:24">
      <c r="B51" s="90">
        <f>B50+1</f>
        <v>2022</v>
      </c>
      <c r="C51" s="88">
        <v>0.95</v>
      </c>
      <c r="D51" s="88">
        <v>1</v>
      </c>
      <c r="E51" s="88">
        <v>1.05</v>
      </c>
      <c r="H51" s="156" t="s">
        <v>2</v>
      </c>
      <c r="I51" s="156"/>
      <c r="J51" s="158">
        <v>0.21</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f>((NPV($C56,$J$13:$P$13,$R$13+$R$13*(1+$J$50)/($C56-$J$50)))-$J$49+J48)/$J$47</f>
        <v>17.69855255654798</v>
      </c>
      <c r="E56" s="93"/>
      <c r="F56" s="94">
        <f>((NPV($C56,$J$25:$P$25,$R$25+$R$25*(1+$J$50)/($C56-$J$50)))-$J$49+J48)/$J$47</f>
        <v>25.677854784274917</v>
      </c>
      <c r="G56" s="93"/>
      <c r="H56" s="123">
        <f>((NPV($C56,$J$38:$P$38,$R$38+$R$38*(1+$J$50)/($C56-$J$50)))-$J$49+J48)/$J$47</f>
        <v>33.832660631661419</v>
      </c>
      <c r="I56" s="10"/>
      <c r="J56" s="11"/>
      <c r="M56" s="135" t="s">
        <v>186</v>
      </c>
      <c r="Q56" s="87"/>
      <c r="R56" s="91"/>
      <c r="S56" s="87"/>
      <c r="T56" s="91"/>
    </row>
    <row r="57" spans="2:24">
      <c r="B57" s="84" t="s">
        <v>28</v>
      </c>
      <c r="C57" s="4">
        <v>0.11</v>
      </c>
      <c r="D57" s="96">
        <f>((NPV($C57,$J$13:$P$13,$R$13+$R$13*(1+$J$50)/($C57-$J$50)))-$J$49+J48)/$J$47</f>
        <v>10.085829233799508</v>
      </c>
      <c r="E57" s="97"/>
      <c r="F57" s="98">
        <f>((NPV($C57,$J$25:$P$25,$R$25+$R$25*(1+$J$50)/($C57-$J$50)))-$J$49+J48)/$J$47</f>
        <v>15.14817021191087</v>
      </c>
      <c r="G57" s="97"/>
      <c r="H57" s="99">
        <f>((NPV($C57,$J$38:$P$38,$R$38+$R$38*(1+$J$50)/($C57-$J$50)))-$J$49+J48)/$J$47</f>
        <v>20.311813039504564</v>
      </c>
      <c r="I57" s="44"/>
      <c r="J57" s="43"/>
      <c r="Q57" s="87"/>
      <c r="R57" s="91"/>
      <c r="S57" s="87"/>
      <c r="T57" s="91"/>
    </row>
    <row r="58" spans="2:24">
      <c r="B58" s="8" t="s">
        <v>10</v>
      </c>
      <c r="C58" s="4">
        <v>0.15</v>
      </c>
      <c r="D58" s="100">
        <f>((NPV($C58,$J$13:$P$13,$R$13+$R$13*(1+$J$50)/($C58-$J$50)))-$J$49+J48)/$J$47</f>
        <v>5.3669801353960116</v>
      </c>
      <c r="E58" s="101"/>
      <c r="F58" s="102">
        <f>((NPV($C58,$J$25:$P$25,$R$25+$R$25*(1+$J$50)/($C58-$J$50)))-$J$49+J48)/$J$47</f>
        <v>8.6582469885641355</v>
      </c>
      <c r="G58" s="101"/>
      <c r="H58" s="103">
        <f>((NPV($C58,$J$38:$P$38,$R$38+$R$38*(1+$J$50)/($C58-$J$50)))-$J$49+J48)/$J$47</f>
        <v>12.010329124943413</v>
      </c>
      <c r="I58" s="44"/>
      <c r="J58" s="43"/>
      <c r="L58" t="s">
        <v>196</v>
      </c>
      <c r="M58" s="178">
        <v>43433</v>
      </c>
      <c r="Q58" s="87"/>
      <c r="R58" s="91"/>
      <c r="S58" s="87"/>
      <c r="T58" s="91"/>
    </row>
    <row r="59" spans="2:24">
      <c r="C59" s="4"/>
      <c r="D59" s="23"/>
      <c r="I59" s="23"/>
      <c r="J59" s="136"/>
      <c r="L59" t="s">
        <v>187</v>
      </c>
      <c r="M59" s="200" t="s">
        <v>341</v>
      </c>
      <c r="Q59" s="23"/>
      <c r="R59" s="23"/>
      <c r="S59" s="23"/>
      <c r="T59" s="23"/>
    </row>
    <row r="60" spans="2:24">
      <c r="D60" s="2"/>
      <c r="M60" s="211" t="s">
        <v>359</v>
      </c>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188</v>
      </c>
      <c r="I62" s="62"/>
      <c r="J62" s="61"/>
      <c r="L62" s="23"/>
      <c r="M62" s="160"/>
      <c r="N62" s="129"/>
      <c r="O62" s="23"/>
      <c r="P62" s="87"/>
      <c r="Q62" s="87"/>
      <c r="R62" s="87"/>
      <c r="S62" s="87"/>
      <c r="T62" s="87"/>
    </row>
    <row r="63" spans="2:24">
      <c r="B63" s="84" t="s">
        <v>8</v>
      </c>
      <c r="C63" s="4">
        <f>C56</f>
        <v>0.08</v>
      </c>
      <c r="D63" s="92">
        <f>((NPV($C63,$J$13:$P$13,$R$13+$R$13*(1+$J$50)/($C63-$J$50)))-$J$49+J48)</f>
        <v>4217944885.1632471</v>
      </c>
      <c r="E63" s="93"/>
      <c r="F63" s="94">
        <f>((NPV($C63,$J$25:$P$25,$R$25+$R$25*(1+$J$50)/($C63-$J$50)))-$J$49+J48)</f>
        <v>6119583841.8563833</v>
      </c>
      <c r="G63" s="93"/>
      <c r="H63" s="95">
        <f>((NPV($C63,$J$38:$P$38,$R$38+$R$38*(1+$J$50)/($C63-$J$50)))-$J$49+J48)</f>
        <v>8063049077.4220715</v>
      </c>
      <c r="I63" s="17"/>
      <c r="J63" s="18"/>
      <c r="L63" s="23"/>
      <c r="M63" s="167"/>
      <c r="N63" s="23"/>
      <c r="O63" s="23"/>
      <c r="P63" s="98"/>
      <c r="Q63" s="97"/>
      <c r="R63" s="98"/>
      <c r="S63" s="97"/>
      <c r="T63" s="98"/>
    </row>
    <row r="64" spans="2:24">
      <c r="B64" s="84" t="s">
        <v>28</v>
      </c>
      <c r="C64" s="4">
        <f>C57</f>
        <v>0.11</v>
      </c>
      <c r="D64" s="96">
        <f>((NPV($C64,$J$13:$P$13,$R$13+$R$13*(1+$J$50)/($C64-$J$50)))-$J$49+J48)</f>
        <v>2403669548.3097801</v>
      </c>
      <c r="E64" s="97"/>
      <c r="F64" s="98">
        <f>((NPV($C64,$J$25:$P$25,$R$25+$R$25*(1+$J$50)/($C64-$J$50)))-$J$49+J48)</f>
        <v>3610134041.2311077</v>
      </c>
      <c r="G64" s="97"/>
      <c r="H64" s="122">
        <f>((NPV($C64,$J$38:$P$38,$R$38+$R$38*(1+$J$50)/($C64-$J$50)))-$J$49+J48)</f>
        <v>4840740938.8217649</v>
      </c>
      <c r="I64" s="17"/>
      <c r="J64" s="18"/>
      <c r="L64" s="23"/>
      <c r="M64" s="167"/>
      <c r="N64" s="23"/>
      <c r="O64" s="23"/>
      <c r="P64" s="98"/>
      <c r="Q64" s="97"/>
      <c r="R64" s="98"/>
      <c r="S64" s="97"/>
      <c r="T64" s="98"/>
    </row>
    <row r="65" spans="1:20">
      <c r="B65" s="8" t="s">
        <v>10</v>
      </c>
      <c r="C65" s="4">
        <f>C58</f>
        <v>0.15</v>
      </c>
      <c r="D65" s="100">
        <f>((NPV($C65,$J$13:$P$13,$R$13+$R$13*(1+$J$50)/($C65-$J$50)))-$J$49+J48)</f>
        <v>1279066541.6585751</v>
      </c>
      <c r="E65" s="101"/>
      <c r="F65" s="102">
        <f>((NPV($C65,$J$25:$P$25,$R$25+$R$25*(1+$J$50)/($C65-$J$50)))-$J$49+J48)</f>
        <v>2063446063.3552079</v>
      </c>
      <c r="G65" s="101"/>
      <c r="H65" s="103">
        <f>((NPV($C65,$J$38:$P$38,$R$38+$R$38*(1+$J$50)/($C65-$J$50)))-$J$49+J48)</f>
        <v>2862319172.1370363</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$2477000000.0mm as of 5/16/08.</v>
      </c>
      <c r="F69" s="87"/>
      <c r="G69" s="87"/>
      <c r="H69" s="87"/>
      <c r="I69" s="87"/>
      <c r="J69" s="87"/>
      <c r="L69" s="82"/>
      <c r="M69" s="165"/>
      <c r="N69" s="82"/>
    </row>
    <row r="70" spans="1:20">
      <c r="A70" s="1" t="str">
        <f>"(2)  Assumes outstanding diluted shares of "&amp;TEXT(J47,"0.000")&amp;" million."</f>
        <v>(2)  Assumes outstanding diluted shares of 238321460.000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t="s">
        <v>342</v>
      </c>
      <c r="F76" s="191"/>
      <c r="G76" s="87"/>
      <c r="H76" s="91"/>
      <c r="I76" s="87"/>
      <c r="J76" s="91"/>
      <c r="M76" s="146"/>
      <c r="P76" s="79"/>
    </row>
    <row r="77" spans="1:20" ht="12.75" customHeight="1">
      <c r="B77" s="135" t="s">
        <v>140</v>
      </c>
      <c r="E77" t="s">
        <v>343</v>
      </c>
      <c r="F77" s="160" t="s">
        <v>344</v>
      </c>
      <c r="G77" s="23"/>
      <c r="H77" s="23">
        <f>7.2/4.8</f>
        <v>1.5</v>
      </c>
      <c r="I77" s="23"/>
      <c r="J77" s="23" t="s">
        <v>345</v>
      </c>
      <c r="L77" s="205">
        <v>1.5</v>
      </c>
      <c r="M77" s="146" t="s">
        <v>346</v>
      </c>
    </row>
    <row r="78" spans="1:20" ht="12.75" customHeight="1">
      <c r="B78" s="135" t="s">
        <v>141</v>
      </c>
      <c r="C78" s="83"/>
      <c r="E78" t="s">
        <v>347</v>
      </c>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F107" s="146"/>
    </row>
    <row r="108" spans="1:6">
      <c r="F108" s="146"/>
    </row>
    <row r="109" spans="1:6">
      <c r="F109" s="146"/>
    </row>
    <row r="110" spans="1:6">
      <c r="B110" s="168" t="s">
        <v>192</v>
      </c>
      <c r="F110" s="146"/>
    </row>
    <row r="111" spans="1:6">
      <c r="B111" s="135" t="s">
        <v>193</v>
      </c>
      <c r="F111" s="146"/>
    </row>
    <row r="118" spans="2:2">
      <c r="B118" t="s">
        <v>194</v>
      </c>
    </row>
    <row r="119" spans="2:2">
      <c r="B119" t="s">
        <v>195</v>
      </c>
    </row>
  </sheetData>
  <mergeCells count="1">
    <mergeCell ref="H46:J46"/>
  </mergeCells>
  <conditionalFormatting sqref="B6:T13">
    <cfRule type="expression" dxfId="95" priority="6">
      <formula>MOD(ROW(),2)=0</formula>
    </cfRule>
  </conditionalFormatting>
  <conditionalFormatting sqref="B18:T25">
    <cfRule type="expression" dxfId="94" priority="5">
      <formula>MOD(ROW(),2)=0</formula>
    </cfRule>
  </conditionalFormatting>
  <conditionalFormatting sqref="B31:T39">
    <cfRule type="expression" dxfId="93" priority="4">
      <formula>MOD(ROW(),2)=0</formula>
    </cfRule>
  </conditionalFormatting>
  <conditionalFormatting sqref="D56:H58">
    <cfRule type="expression" dxfId="92" priority="3">
      <formula>MOD(ROW(),2)=0</formula>
    </cfRule>
  </conditionalFormatting>
  <conditionalFormatting sqref="D63:H65">
    <cfRule type="expression" dxfId="91" priority="2">
      <formula>MOD(ROW(),2)=0</formula>
    </cfRule>
  </conditionalFormatting>
  <conditionalFormatting sqref="C47:E51">
    <cfRule type="expression" dxfId="90" priority="1">
      <formula>MOD(ROW(),2)=0</formula>
    </cfRule>
  </conditionalFormatting>
  <pageMargins left="0.75" right="0.75" top="1" bottom="1" header="0.5" footer="0.5"/>
  <pageSetup paperSize="119"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X119"/>
  <sheetViews>
    <sheetView showGridLines="0" topLeftCell="A33" zoomScaleNormal="100" workbookViewId="0">
      <selection activeCell="M67" sqref="M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6487000000</v>
      </c>
      <c r="J6" s="75">
        <f>H6*C47</f>
        <v>6162650000</v>
      </c>
      <c r="K6" s="121"/>
      <c r="L6" s="75">
        <f>J6*C48</f>
        <v>5854517500</v>
      </c>
      <c r="M6" s="121"/>
      <c r="N6" s="75">
        <f>L6*C49</f>
        <v>5561791625</v>
      </c>
      <c r="O6" s="75"/>
      <c r="P6" s="75">
        <f>N6*C50</f>
        <v>5283702043.75</v>
      </c>
      <c r="Q6" s="75"/>
      <c r="R6" s="75">
        <f>P6*C51</f>
        <v>5019516941.5625</v>
      </c>
      <c r="T6" s="4">
        <f>(R6/J6)^(1/4)-1</f>
        <v>-5.0000000000000044E-2</v>
      </c>
    </row>
    <row r="7" spans="1:24">
      <c r="B7" s="23" t="s">
        <v>22</v>
      </c>
      <c r="H7" s="71">
        <v>0</v>
      </c>
      <c r="J7" s="71">
        <v>0</v>
      </c>
      <c r="L7" s="71">
        <v>0</v>
      </c>
      <c r="N7" s="71">
        <v>0</v>
      </c>
      <c r="P7" s="71">
        <v>0</v>
      </c>
      <c r="R7" s="71">
        <v>0</v>
      </c>
      <c r="T7" s="4"/>
    </row>
    <row r="8" spans="1:24">
      <c r="B8" t="s">
        <v>27</v>
      </c>
      <c r="H8" s="115">
        <f>H6+H7</f>
        <v>6487000000</v>
      </c>
      <c r="I8" s="73"/>
      <c r="J8" s="115">
        <f>J6+J7</f>
        <v>6162650000</v>
      </c>
      <c r="K8" s="116"/>
      <c r="L8" s="115">
        <f>L6+L7</f>
        <v>5854517500</v>
      </c>
      <c r="M8" s="116"/>
      <c r="N8" s="115">
        <f>N6+N7</f>
        <v>5561791625</v>
      </c>
      <c r="O8" s="116"/>
      <c r="P8" s="115">
        <f>P6+P7</f>
        <v>5283702043.75</v>
      </c>
      <c r="Q8" s="116"/>
      <c r="R8" s="115">
        <f>R6+R7</f>
        <v>5019516941.5625</v>
      </c>
      <c r="T8" s="4">
        <f>(R8/J8)^(1/4)-1</f>
        <v>-5.0000000000000044E-2</v>
      </c>
    </row>
    <row r="9" spans="1:24" s="39" customFormat="1">
      <c r="B9" s="39" t="s">
        <v>21</v>
      </c>
      <c r="H9" s="117">
        <f>-$J$51*H8</f>
        <v>-1492010000</v>
      </c>
      <c r="I9"/>
      <c r="J9" s="117">
        <f>-$J$51*J8</f>
        <v>-1417409500</v>
      </c>
      <c r="K9" s="114"/>
      <c r="L9" s="117">
        <f>-$J$51*L8</f>
        <v>-1346539025</v>
      </c>
      <c r="M9" s="114"/>
      <c r="N9" s="117">
        <f>-$J$51*N8</f>
        <v>-1279212073.75</v>
      </c>
      <c r="O9" s="114"/>
      <c r="P9" s="117">
        <f>-$J$51*P8</f>
        <v>-1215251470.0625</v>
      </c>
      <c r="Q9" s="114"/>
      <c r="R9" s="117">
        <f>-$J$51*R8</f>
        <v>-1154488896.559375</v>
      </c>
    </row>
    <row r="10" spans="1:24" s="2" customFormat="1">
      <c r="B10" s="2" t="s">
        <v>3</v>
      </c>
      <c r="H10" s="118">
        <f>SUM(H8:H9)</f>
        <v>4994990000</v>
      </c>
      <c r="J10" s="118">
        <f>SUM(J8:J9)</f>
        <v>4745240500</v>
      </c>
      <c r="K10" s="119"/>
      <c r="L10" s="118">
        <f>SUM(L8:L9)</f>
        <v>4507978475</v>
      </c>
      <c r="M10" s="119"/>
      <c r="N10" s="118">
        <f>SUM(N8:N9)</f>
        <v>4282579551.25</v>
      </c>
      <c r="O10" s="119"/>
      <c r="P10" s="118">
        <f>SUM(P8:P9)</f>
        <v>4068450573.6875</v>
      </c>
      <c r="Q10" s="119"/>
      <c r="R10" s="118">
        <f>SUM(R8:R9)</f>
        <v>3865028045.0031252</v>
      </c>
      <c r="T10" s="4">
        <f>(R10/J10)^(1/4)-1</f>
        <v>-5.0000000000000044E-2</v>
      </c>
    </row>
    <row r="11" spans="1:24">
      <c r="B11" s="10" t="s">
        <v>25</v>
      </c>
      <c r="H11" s="112">
        <v>222000000</v>
      </c>
      <c r="I11" s="112"/>
      <c r="J11" s="112">
        <f>H11</f>
        <v>222000000</v>
      </c>
      <c r="K11" s="112"/>
      <c r="L11" s="112">
        <f>J11</f>
        <v>222000000</v>
      </c>
      <c r="M11" s="112"/>
      <c r="N11" s="112">
        <f>L11</f>
        <v>222000000</v>
      </c>
      <c r="O11" s="112"/>
      <c r="P11" s="112">
        <f>N11</f>
        <v>222000000</v>
      </c>
      <c r="Q11" s="112"/>
      <c r="R11" s="112">
        <f>P11</f>
        <v>222000000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5216990000</v>
      </c>
      <c r="J13" s="120">
        <f>SUM(J10:J12)</f>
        <v>4967240500</v>
      </c>
      <c r="K13" s="114"/>
      <c r="L13" s="120">
        <f>SUM(L10:L12)</f>
        <v>4729978475</v>
      </c>
      <c r="M13" s="114"/>
      <c r="N13" s="120">
        <f>SUM(N10:N12)</f>
        <v>4504579551.25</v>
      </c>
      <c r="O13" s="114"/>
      <c r="P13" s="120">
        <f>SUM(P10:P12)</f>
        <v>4290450573.6875</v>
      </c>
      <c r="Q13" s="114"/>
      <c r="R13" s="120">
        <f>SUM(R10:R12)</f>
        <v>4087028045.0031252</v>
      </c>
      <c r="T13" s="4">
        <f>(R13/J13)^(1/4)-1</f>
        <v>-4.7591840393199969E-2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6487000000</v>
      </c>
      <c r="J18" s="75">
        <f>H18*D47</f>
        <v>6487000000</v>
      </c>
      <c r="K18" s="121"/>
      <c r="L18" s="75">
        <f>J18*D48</f>
        <v>6487000000</v>
      </c>
      <c r="M18" s="121"/>
      <c r="N18" s="75">
        <f>L18*D49</f>
        <v>6487000000</v>
      </c>
      <c r="O18" s="75"/>
      <c r="P18" s="75">
        <f>N18*D50</f>
        <v>6487000000</v>
      </c>
      <c r="Q18" s="75"/>
      <c r="R18" s="75">
        <f>P18*D51</f>
        <v>6487000000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6487000000</v>
      </c>
      <c r="I20" s="116"/>
      <c r="J20" s="115">
        <f>J18+J19</f>
        <v>6487000000</v>
      </c>
      <c r="K20" s="116"/>
      <c r="L20" s="115">
        <f>L18+L19</f>
        <v>6487000000</v>
      </c>
      <c r="M20" s="116"/>
      <c r="N20" s="115">
        <f>N18+N19</f>
        <v>6487000000</v>
      </c>
      <c r="O20" s="116"/>
      <c r="P20" s="115">
        <f>P18+P19</f>
        <v>6487000000</v>
      </c>
      <c r="Q20" s="116"/>
      <c r="R20" s="115">
        <f>R18+R19</f>
        <v>6487000000</v>
      </c>
      <c r="T20" s="4">
        <f>(R20/J20)^(1/4)-1</f>
        <v>0</v>
      </c>
    </row>
    <row r="21" spans="1:20">
      <c r="B21" s="39" t="s">
        <v>21</v>
      </c>
      <c r="C21" s="39"/>
      <c r="D21" s="39"/>
      <c r="E21" s="39"/>
      <c r="F21" s="39"/>
      <c r="G21" s="39"/>
      <c r="H21" s="117">
        <f>-$J$51*H20</f>
        <v>-1492010000</v>
      </c>
      <c r="I21" s="114"/>
      <c r="J21" s="117">
        <f>-$J$51*J20</f>
        <v>-1492010000</v>
      </c>
      <c r="K21" s="114"/>
      <c r="L21" s="117">
        <f>-$J$51*L20</f>
        <v>-1492010000</v>
      </c>
      <c r="M21" s="114"/>
      <c r="N21" s="117">
        <f>-$J$51*N20</f>
        <v>-1492010000</v>
      </c>
      <c r="O21" s="114"/>
      <c r="P21" s="117">
        <f>-$J$51*P20</f>
        <v>-1492010000</v>
      </c>
      <c r="Q21" s="114"/>
      <c r="R21" s="117">
        <f>-$J$51*R20</f>
        <v>-1492010000</v>
      </c>
      <c r="S21" s="39"/>
      <c r="T21" s="39"/>
    </row>
    <row r="22" spans="1:20">
      <c r="A22" s="2"/>
      <c r="B22" s="2" t="s">
        <v>3</v>
      </c>
      <c r="C22" s="2"/>
      <c r="D22" s="2"/>
      <c r="E22" s="2"/>
      <c r="F22" s="2"/>
      <c r="G22" s="2"/>
      <c r="H22" s="118">
        <f>SUM(H20:H21)</f>
        <v>4994990000</v>
      </c>
      <c r="I22" s="119"/>
      <c r="J22" s="118">
        <f>SUM(J20:J21)</f>
        <v>4994990000</v>
      </c>
      <c r="K22" s="119"/>
      <c r="L22" s="118">
        <f>SUM(L20:L21)</f>
        <v>4994990000</v>
      </c>
      <c r="M22" s="119"/>
      <c r="N22" s="118">
        <f>SUM(N20:N21)</f>
        <v>4994990000</v>
      </c>
      <c r="O22" s="119"/>
      <c r="P22" s="118">
        <f>SUM(P20:P21)</f>
        <v>4994990000</v>
      </c>
      <c r="Q22" s="119"/>
      <c r="R22" s="118">
        <f>SUM(R20:R21)</f>
        <v>4994990000</v>
      </c>
      <c r="S22" s="2"/>
      <c r="T22" s="4">
        <f>(R22/J22)^(1/4)-1</f>
        <v>0</v>
      </c>
    </row>
    <row r="23" spans="1:20">
      <c r="B23" s="10" t="s">
        <v>25</v>
      </c>
      <c r="H23" s="112">
        <f>H11</f>
        <v>222000000</v>
      </c>
      <c r="I23" s="112"/>
      <c r="J23" s="112">
        <f>J11</f>
        <v>222000000</v>
      </c>
      <c r="K23" s="112"/>
      <c r="L23" s="112">
        <f>L11</f>
        <v>222000000</v>
      </c>
      <c r="M23" s="112"/>
      <c r="N23" s="112">
        <f>N11</f>
        <v>222000000</v>
      </c>
      <c r="O23" s="112"/>
      <c r="P23" s="112">
        <f>P11</f>
        <v>222000000</v>
      </c>
      <c r="Q23" s="112"/>
      <c r="R23" s="112">
        <f>R11</f>
        <v>222000000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5216990000</v>
      </c>
      <c r="I25" s="114"/>
      <c r="J25" s="120">
        <f>SUM(J22:J24)</f>
        <v>5216990000</v>
      </c>
      <c r="K25" s="114"/>
      <c r="L25" s="120">
        <f>SUM(L22:L24)</f>
        <v>5216990000</v>
      </c>
      <c r="M25" s="114"/>
      <c r="N25" s="120">
        <f>SUM(N22:N24)</f>
        <v>5216990000</v>
      </c>
      <c r="O25" s="114"/>
      <c r="P25" s="120">
        <f>SUM(P22:P24)</f>
        <v>5216990000</v>
      </c>
      <c r="Q25" s="114"/>
      <c r="R25" s="120">
        <f>SUM(R22:R24)</f>
        <v>5216990000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6487000000</v>
      </c>
      <c r="J31" s="75">
        <f>H31*E47</f>
        <v>6811350000</v>
      </c>
      <c r="K31" s="121"/>
      <c r="L31" s="75">
        <f>J31*E48</f>
        <v>7151917500</v>
      </c>
      <c r="M31" s="121"/>
      <c r="N31" s="75">
        <f>L31*E49</f>
        <v>7509513375</v>
      </c>
      <c r="O31" s="75"/>
      <c r="P31" s="75">
        <f>N31*E50</f>
        <v>7884989043.75</v>
      </c>
      <c r="Q31" s="75"/>
      <c r="R31" s="75">
        <f>P31*E51</f>
        <v>8279238495.9375</v>
      </c>
      <c r="T31" s="4">
        <f>(R31/J31)^(1/4)-1</f>
        <v>5.0000000000000044E-2</v>
      </c>
    </row>
    <row r="32" spans="1:20">
      <c r="B32" s="23" t="s">
        <v>22</v>
      </c>
      <c r="H32" s="71">
        <f>H7</f>
        <v>0</v>
      </c>
      <c r="J32" s="71">
        <f>J7</f>
        <v>0</v>
      </c>
      <c r="L32" s="71">
        <f>L7</f>
        <v>0</v>
      </c>
      <c r="N32" s="71">
        <f>N7</f>
        <v>0</v>
      </c>
      <c r="P32" s="71">
        <f>P7</f>
        <v>0</v>
      </c>
      <c r="R32" s="71">
        <f>R7</f>
        <v>0</v>
      </c>
      <c r="T32" s="4"/>
    </row>
    <row r="33" spans="1:24">
      <c r="B33" t="s">
        <v>27</v>
      </c>
      <c r="H33" s="115">
        <f>H31+H32</f>
        <v>6487000000</v>
      </c>
      <c r="I33" s="116"/>
      <c r="J33" s="115">
        <f>J31+J32</f>
        <v>6811350000</v>
      </c>
      <c r="K33" s="116"/>
      <c r="L33" s="115">
        <f>L31+L32</f>
        <v>7151917500</v>
      </c>
      <c r="M33" s="116"/>
      <c r="N33" s="115">
        <f>N31+N32</f>
        <v>7509513375</v>
      </c>
      <c r="O33" s="116"/>
      <c r="P33" s="115">
        <f>P31+P32</f>
        <v>7884989043.75</v>
      </c>
      <c r="Q33" s="116"/>
      <c r="R33" s="115">
        <f>R31+R32</f>
        <v>8279238495.9375</v>
      </c>
      <c r="T33" s="4">
        <f>(R33/J33)^(1/4)-1</f>
        <v>5.0000000000000044E-2</v>
      </c>
    </row>
    <row r="34" spans="1:24">
      <c r="B34" s="39" t="s">
        <v>21</v>
      </c>
      <c r="C34" s="39"/>
      <c r="D34" s="39"/>
      <c r="E34" s="39"/>
      <c r="F34" s="39"/>
      <c r="G34" s="39"/>
      <c r="H34" s="117">
        <f>-$J$51*H33</f>
        <v>-1492010000</v>
      </c>
      <c r="I34" s="114"/>
      <c r="J34" s="117">
        <f>-$J$51*J33</f>
        <v>-1566610500</v>
      </c>
      <c r="K34" s="114"/>
      <c r="L34" s="117">
        <f>-$J$51*L33</f>
        <v>-1644941025</v>
      </c>
      <c r="M34" s="114"/>
      <c r="N34" s="117">
        <f>-$J$51*N33</f>
        <v>-1727188076.25</v>
      </c>
      <c r="O34" s="114"/>
      <c r="P34" s="117">
        <f>-$J$51*P33</f>
        <v>-1813547480.0625</v>
      </c>
      <c r="Q34" s="114"/>
      <c r="R34" s="117">
        <f>-$J$51*R33</f>
        <v>-1904224854.0656252</v>
      </c>
      <c r="S34" s="39"/>
      <c r="T34" s="39"/>
    </row>
    <row r="35" spans="1:24">
      <c r="A35" s="2"/>
      <c r="B35" s="2" t="s">
        <v>3</v>
      </c>
      <c r="C35" s="2"/>
      <c r="D35" s="2"/>
      <c r="E35" s="2"/>
      <c r="F35" s="2"/>
      <c r="G35" s="2"/>
      <c r="H35" s="118">
        <f>SUM(H33:H34)</f>
        <v>4994990000</v>
      </c>
      <c r="I35" s="119"/>
      <c r="J35" s="118">
        <f>SUM(J33:J34)</f>
        <v>5244739500</v>
      </c>
      <c r="K35" s="119"/>
      <c r="L35" s="118">
        <f>SUM(L33:L34)</f>
        <v>5506976475</v>
      </c>
      <c r="M35" s="119"/>
      <c r="N35" s="118">
        <f>SUM(N33:N34)</f>
        <v>5782325298.75</v>
      </c>
      <c r="O35" s="119"/>
      <c r="P35" s="118">
        <f>SUM(P33:P34)</f>
        <v>6071441563.6875</v>
      </c>
      <c r="Q35" s="119"/>
      <c r="R35" s="118">
        <f>SUM(R33:R34)</f>
        <v>6375013641.8718748</v>
      </c>
      <c r="S35" s="2"/>
      <c r="T35" s="4">
        <f>(R35/J35)^(1/4)-1</f>
        <v>5.0000000000000044E-2</v>
      </c>
    </row>
    <row r="36" spans="1:24">
      <c r="B36" s="10" t="s">
        <v>25</v>
      </c>
      <c r="H36" s="112">
        <f>H11</f>
        <v>222000000</v>
      </c>
      <c r="I36" s="112"/>
      <c r="J36" s="112">
        <f>J11</f>
        <v>222000000</v>
      </c>
      <c r="K36" s="112"/>
      <c r="L36" s="112">
        <f>L11</f>
        <v>222000000</v>
      </c>
      <c r="M36" s="112"/>
      <c r="N36" s="112">
        <f>N11</f>
        <v>222000000</v>
      </c>
      <c r="O36" s="112"/>
      <c r="P36" s="112">
        <f>P11</f>
        <v>222000000</v>
      </c>
      <c r="Q36" s="112"/>
      <c r="R36" s="112">
        <f>R11</f>
        <v>222000000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5216990000</v>
      </c>
      <c r="I38" s="153"/>
      <c r="J38" s="120">
        <f>SUM(J35:J37)</f>
        <v>5466739500</v>
      </c>
      <c r="K38" s="114"/>
      <c r="L38" s="120">
        <f>SUM(L35:L37)</f>
        <v>5728976475</v>
      </c>
      <c r="M38" s="114"/>
      <c r="N38" s="120">
        <f>SUM(N35:N37)</f>
        <v>6004325298.75</v>
      </c>
      <c r="O38" s="114"/>
      <c r="P38" s="120">
        <f>SUM(P35:P37)</f>
        <v>6293441563.6875</v>
      </c>
      <c r="Q38" s="114"/>
      <c r="R38" s="120">
        <f>SUM(R35:R37)</f>
        <v>6597013641.8718748</v>
      </c>
      <c r="T38" s="4">
        <f>(R38/J38)^(1/4)-1</f>
        <v>4.8104898335312285E-2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2018</v>
      </c>
      <c r="C47" s="88">
        <v>0.95</v>
      </c>
      <c r="D47" s="88">
        <v>1</v>
      </c>
      <c r="E47" s="88">
        <v>1.05</v>
      </c>
      <c r="H47" s="156" t="s">
        <v>15</v>
      </c>
      <c r="I47" s="156"/>
      <c r="J47" s="161">
        <v>426000000</v>
      </c>
      <c r="M47" t="s">
        <v>55</v>
      </c>
      <c r="P47" s="2"/>
      <c r="X47" s="127"/>
    </row>
    <row r="48" spans="1:24">
      <c r="B48" s="90">
        <f>B47+1</f>
        <v>2019</v>
      </c>
      <c r="C48" s="88">
        <v>0.95</v>
      </c>
      <c r="D48" s="88">
        <v>1</v>
      </c>
      <c r="E48" s="88">
        <v>1.05</v>
      </c>
      <c r="H48" s="156" t="s">
        <v>99</v>
      </c>
      <c r="I48" s="156"/>
      <c r="J48" s="157">
        <v>12466000000</v>
      </c>
      <c r="M48" t="s">
        <v>56</v>
      </c>
      <c r="P48" s="2"/>
      <c r="X48" s="127"/>
    </row>
    <row r="49" spans="2:24">
      <c r="B49" s="90">
        <f>B48+1</f>
        <v>2020</v>
      </c>
      <c r="C49" s="88">
        <v>0.95</v>
      </c>
      <c r="D49" s="88">
        <v>1</v>
      </c>
      <c r="E49" s="88">
        <v>1.05</v>
      </c>
      <c r="H49" s="156" t="s">
        <v>14</v>
      </c>
      <c r="I49" s="156"/>
      <c r="J49" s="157">
        <f>17421000000+2393000000</f>
        <v>19814000000</v>
      </c>
      <c r="M49" t="s">
        <v>58</v>
      </c>
      <c r="P49" s="2"/>
      <c r="X49" s="127"/>
    </row>
    <row r="50" spans="2:24">
      <c r="B50" s="90">
        <f>B49+1</f>
        <v>2021</v>
      </c>
      <c r="C50" s="88">
        <v>0.95</v>
      </c>
      <c r="D50" s="88">
        <v>1</v>
      </c>
      <c r="E50" s="88">
        <v>1.05</v>
      </c>
      <c r="H50" s="155" t="s">
        <v>16</v>
      </c>
      <c r="I50" s="156"/>
      <c r="J50" s="158">
        <v>0.02</v>
      </c>
      <c r="M50" t="s">
        <v>59</v>
      </c>
      <c r="P50" s="2"/>
      <c r="X50" s="127"/>
    </row>
    <row r="51" spans="2:24">
      <c r="B51" s="90">
        <f>B50+1</f>
        <v>2022</v>
      </c>
      <c r="C51" s="88">
        <v>0.95</v>
      </c>
      <c r="D51" s="88">
        <v>1</v>
      </c>
      <c r="E51" s="88">
        <v>1.05</v>
      </c>
      <c r="H51" s="156" t="s">
        <v>2</v>
      </c>
      <c r="I51" s="156"/>
      <c r="J51" s="158">
        <v>0.23</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f>((NPV($C56,$J$13:$P$13,$R$13+$R$13*(1+$J$50)/($C56-$J$50)))-$J$49+J48)/$J$47</f>
        <v>136.39461900686865</v>
      </c>
      <c r="E56" s="93"/>
      <c r="F56" s="94">
        <f>((NPV($C56,$J$25:$P$25,$R$25+$R$25*(1+$J$50)/($C56-$J$50)))-$J$49+J48)/$J$47</f>
        <v>173.33815915239202</v>
      </c>
      <c r="G56" s="93"/>
      <c r="H56" s="123">
        <f>((NPV($C56,$J$38:$P$38,$R$38+$R$38*(1+$J$50)/($C56-$J$50)))-$J$49+J48)/$J$47</f>
        <v>217.92127613731358</v>
      </c>
      <c r="I56" s="10"/>
      <c r="J56" s="11"/>
      <c r="M56" s="135" t="s">
        <v>186</v>
      </c>
      <c r="Q56" s="87"/>
      <c r="R56" s="91"/>
      <c r="S56" s="87"/>
      <c r="T56" s="91"/>
    </row>
    <row r="57" spans="2:24">
      <c r="B57" s="84" t="s">
        <v>28</v>
      </c>
      <c r="C57" s="4">
        <v>0.11</v>
      </c>
      <c r="D57" s="96">
        <f>((NPV($C57,$J$13:$P$13,$R$13+$R$13*(1+$J$50)/($C57-$J$50)))-$J$49+J48)/$J$47</f>
        <v>86.854040464413856</v>
      </c>
      <c r="E57" s="97"/>
      <c r="F57" s="98">
        <f>((NPV($C57,$J$25:$P$25,$R$25+$R$25*(1+$J$50)/($C57-$J$50)))-$J$49+J48)/$J$47</f>
        <v>110.37979752835737</v>
      </c>
      <c r="G57" s="97"/>
      <c r="H57" s="99">
        <f>((NPV($C57,$J$38:$P$38,$R$38+$R$38*(1+$J$50)/($C57-$J$50)))-$J$49+J48)/$J$47</f>
        <v>138.60993526054384</v>
      </c>
      <c r="I57" s="44"/>
      <c r="J57" s="43"/>
      <c r="Q57" s="87"/>
      <c r="R57" s="91"/>
      <c r="S57" s="87"/>
      <c r="T57" s="91"/>
    </row>
    <row r="58" spans="2:24">
      <c r="B58" s="8" t="s">
        <v>10</v>
      </c>
      <c r="C58" s="4">
        <v>0.15</v>
      </c>
      <c r="D58" s="100">
        <f>((NPV($C58,$J$13:$P$13,$R$13+$R$13*(1+$J$50)/($C58-$J$50)))-$J$49+J48)/$J$47</f>
        <v>56.192398631872095</v>
      </c>
      <c r="E58" s="101"/>
      <c r="F58" s="102">
        <f>((NPV($C58,$J$25:$P$25,$R$25+$R$25*(1+$J$50)/($C58-$J$50)))-$J$49+J48)/$J$47</f>
        <v>71.575697519505013</v>
      </c>
      <c r="G58" s="101"/>
      <c r="H58" s="103">
        <f>((NPV($C58,$J$38:$P$38,$R$38+$R$38*(1+$J$50)/($C58-$J$50)))-$J$49+J48)/$J$47</f>
        <v>89.901856698041229</v>
      </c>
      <c r="I58" s="44"/>
      <c r="J58" s="43"/>
      <c r="L58" t="s">
        <v>196</v>
      </c>
      <c r="M58" s="178">
        <v>43434</v>
      </c>
      <c r="Q58" s="87"/>
      <c r="R58" s="91"/>
      <c r="S58" s="87"/>
      <c r="T58" s="91"/>
    </row>
    <row r="59" spans="2:24">
      <c r="C59" s="4"/>
      <c r="D59" s="23"/>
      <c r="I59" s="23"/>
      <c r="J59" s="136"/>
      <c r="L59" t="s">
        <v>187</v>
      </c>
      <c r="M59" s="146" t="s">
        <v>348</v>
      </c>
      <c r="Q59" s="23"/>
      <c r="R59" s="23"/>
      <c r="S59" s="23"/>
      <c r="T59" s="23"/>
    </row>
    <row r="60" spans="2:24">
      <c r="D60" s="2"/>
      <c r="M60" s="146">
        <f>1300/5200</f>
        <v>0.25</v>
      </c>
      <c r="N60" s="23"/>
      <c r="O60" s="23"/>
      <c r="P60" s="107"/>
      <c r="Q60" s="23"/>
      <c r="R60" s="23"/>
      <c r="S60" s="23"/>
      <c r="T60" s="23"/>
    </row>
    <row r="61" spans="2:24">
      <c r="D61" s="30"/>
      <c r="E61" s="30"/>
      <c r="F61" s="109" t="s">
        <v>6</v>
      </c>
      <c r="G61" s="30"/>
      <c r="H61" s="30"/>
      <c r="I61" s="104"/>
      <c r="J61" s="137"/>
      <c r="L61" s="23"/>
      <c r="M61" s="159" t="s">
        <v>353</v>
      </c>
      <c r="N61" s="128"/>
      <c r="O61" s="23"/>
      <c r="P61" s="104"/>
      <c r="Q61" s="104"/>
      <c r="R61" s="104"/>
      <c r="S61" s="104"/>
      <c r="T61" s="104"/>
    </row>
    <row r="62" spans="2:24">
      <c r="D62" s="85" t="s">
        <v>29</v>
      </c>
      <c r="E62" s="85"/>
      <c r="F62" s="166" t="s">
        <v>31</v>
      </c>
      <c r="G62" s="85"/>
      <c r="H62" s="85" t="s">
        <v>188</v>
      </c>
      <c r="I62" s="62"/>
      <c r="J62" s="61"/>
      <c r="L62" s="23"/>
      <c r="M62" s="160" t="s">
        <v>349</v>
      </c>
      <c r="N62" s="129"/>
      <c r="O62" s="23"/>
      <c r="P62" s="87"/>
      <c r="Q62" s="87"/>
      <c r="R62" s="87"/>
      <c r="S62" s="87"/>
      <c r="T62" s="87"/>
    </row>
    <row r="63" spans="2:24">
      <c r="B63" s="84" t="s">
        <v>8</v>
      </c>
      <c r="C63" s="4">
        <f>C56</f>
        <v>0.08</v>
      </c>
      <c r="D63" s="92">
        <f>((NPV($C63,$J$13:$P$13,$R$13+$R$13*(1+$J$50)/($C63-$J$50)))-$J$49+J48)</f>
        <v>58104107696.926041</v>
      </c>
      <c r="E63" s="93"/>
      <c r="F63" s="94">
        <f>((NPV($C63,$J$25:$P$25,$R$25+$R$25*(1+$J$50)/($C63-$J$50)))-$J$49+J48)</f>
        <v>73842055798.919006</v>
      </c>
      <c r="G63" s="93"/>
      <c r="H63" s="95">
        <f>((NPV($C63,$J$38:$P$38,$R$38+$R$38*(1+$J$50)/($C63-$J$50)))-$J$49+J48)</f>
        <v>92834463634.49559</v>
      </c>
      <c r="I63" s="17"/>
      <c r="J63" s="18"/>
      <c r="L63" s="23"/>
      <c r="M63" s="159" t="s">
        <v>350</v>
      </c>
      <c r="N63" s="23"/>
      <c r="O63" s="23"/>
      <c r="P63" s="98"/>
      <c r="Q63" s="97"/>
      <c r="R63" s="98"/>
      <c r="S63" s="97"/>
      <c r="T63" s="98"/>
    </row>
    <row r="64" spans="2:24">
      <c r="B64" s="84" t="s">
        <v>28</v>
      </c>
      <c r="C64" s="4">
        <f>C57</f>
        <v>0.11</v>
      </c>
      <c r="D64" s="96">
        <f>((NPV($C64,$J$13:$P$13,$R$13+$R$13*(1+$J$50)/($C64-$J$50)))-$J$49+J48)</f>
        <v>36999821237.840302</v>
      </c>
      <c r="E64" s="97"/>
      <c r="F64" s="98">
        <f>((NPV($C64,$J$25:$P$25,$R$25+$R$25*(1+$J$50)/($C64-$J$50)))-$J$49+J48)</f>
        <v>47021793747.080238</v>
      </c>
      <c r="G64" s="97"/>
      <c r="H64" s="122">
        <f>((NPV($C64,$J$38:$P$38,$R$38+$R$38*(1+$J$50)/($C64-$J$50)))-$J$49+J48)</f>
        <v>59047832420.991676</v>
      </c>
      <c r="I64" s="17"/>
      <c r="J64" s="18"/>
      <c r="L64" s="23"/>
      <c r="M64" s="159" t="s">
        <v>351</v>
      </c>
      <c r="N64" s="23"/>
      <c r="O64" s="23"/>
      <c r="P64" s="98"/>
      <c r="Q64" s="97"/>
      <c r="R64" s="98"/>
      <c r="S64" s="97"/>
      <c r="T64" s="98"/>
    </row>
    <row r="65" spans="1:20">
      <c r="B65" s="8" t="s">
        <v>10</v>
      </c>
      <c r="C65" s="4">
        <f>C58</f>
        <v>0.15</v>
      </c>
      <c r="D65" s="100">
        <f>((NPV($C65,$J$13:$P$13,$R$13+$R$13*(1+$J$50)/($C65-$J$50)))-$J$49+J48)</f>
        <v>23937961817.177513</v>
      </c>
      <c r="E65" s="101"/>
      <c r="F65" s="102">
        <f>((NPV($C65,$J$25:$P$25,$R$25+$R$25*(1+$J$50)/($C65-$J$50)))-$J$49+J48)</f>
        <v>30491247143.309135</v>
      </c>
      <c r="G65" s="101"/>
      <c r="H65" s="103">
        <f>((NPV($C65,$J$38:$P$38,$R$38+$R$38*(1+$J$50)/($C65-$J$50)))-$J$49+J48)</f>
        <v>38298190953.365562</v>
      </c>
      <c r="I65" s="17"/>
      <c r="J65" s="18"/>
      <c r="L65" s="23"/>
      <c r="M65" s="160" t="s">
        <v>352</v>
      </c>
      <c r="N65" s="23"/>
      <c r="O65" s="23"/>
      <c r="P65" s="98"/>
      <c r="Q65" s="97"/>
      <c r="R65" s="98"/>
      <c r="S65" s="97"/>
      <c r="T65" s="98"/>
    </row>
    <row r="66" spans="1:20" ht="15.75">
      <c r="E66" s="23"/>
      <c r="F66" s="23"/>
      <c r="G66" s="23"/>
      <c r="H66" s="23"/>
      <c r="I66" s="23"/>
      <c r="J66" s="23"/>
      <c r="L66" s="132"/>
      <c r="M66" s="160" t="s">
        <v>354</v>
      </c>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$19814000000.0mm as of 5/16/08.</v>
      </c>
      <c r="F69" s="87"/>
      <c r="G69" s="87"/>
      <c r="H69" s="87"/>
      <c r="I69" s="87"/>
      <c r="J69" s="87"/>
      <c r="L69" s="82"/>
      <c r="M69" s="165"/>
      <c r="N69" s="82"/>
    </row>
    <row r="70" spans="1:20">
      <c r="A70" s="1" t="str">
        <f>"(2)  Assumes outstanding diluted shares of "&amp;TEXT(J47,"0.000")&amp;" million."</f>
        <v>(2)  Assumes outstanding diluted shares of 426000000.000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10"/>
      <c r="F76" s="191" t="s">
        <v>357</v>
      </c>
      <c r="G76" s="87"/>
      <c r="H76" s="91"/>
      <c r="I76" s="87"/>
      <c r="J76" s="91"/>
      <c r="M76" s="146"/>
      <c r="P76" s="79"/>
    </row>
    <row r="77" spans="1:20" ht="12.75" customHeight="1">
      <c r="B77" s="135" t="s">
        <v>140</v>
      </c>
      <c r="F77" s="160" t="s">
        <v>355</v>
      </c>
      <c r="G77" s="23"/>
      <c r="H77" s="23" t="s">
        <v>356</v>
      </c>
      <c r="I77" s="23"/>
      <c r="J77" s="144">
        <f>31/39</f>
        <v>0.79487179487179482</v>
      </c>
      <c r="M77" s="146"/>
    </row>
    <row r="78" spans="1:20" ht="12.75" customHeight="1">
      <c r="B78" s="135" t="s">
        <v>141</v>
      </c>
      <c r="C78" s="83"/>
      <c r="F78" s="160" t="s">
        <v>358</v>
      </c>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F107" s="146"/>
    </row>
    <row r="108" spans="1:6">
      <c r="F108" s="146"/>
    </row>
    <row r="109" spans="1:6">
      <c r="F109" s="146"/>
    </row>
    <row r="110" spans="1:6">
      <c r="B110" s="168" t="s">
        <v>192</v>
      </c>
      <c r="F110" s="146"/>
    </row>
    <row r="111" spans="1:6">
      <c r="B111" s="135" t="s">
        <v>193</v>
      </c>
      <c r="F111" s="146"/>
    </row>
    <row r="118" spans="2:2">
      <c r="B118" t="s">
        <v>194</v>
      </c>
    </row>
    <row r="119" spans="2:2">
      <c r="B119" t="s">
        <v>195</v>
      </c>
    </row>
  </sheetData>
  <mergeCells count="1">
    <mergeCell ref="H46:J46"/>
  </mergeCells>
  <conditionalFormatting sqref="B6:T13">
    <cfRule type="expression" dxfId="89" priority="6">
      <formula>MOD(ROW(),2)=0</formula>
    </cfRule>
  </conditionalFormatting>
  <conditionalFormatting sqref="B18:T25">
    <cfRule type="expression" dxfId="88" priority="5">
      <formula>MOD(ROW(),2)=0</formula>
    </cfRule>
  </conditionalFormatting>
  <conditionalFormatting sqref="B31:T39">
    <cfRule type="expression" dxfId="87" priority="4">
      <formula>MOD(ROW(),2)=0</formula>
    </cfRule>
  </conditionalFormatting>
  <conditionalFormatting sqref="D56:H58">
    <cfRule type="expression" dxfId="86" priority="3">
      <formula>MOD(ROW(),2)=0</formula>
    </cfRule>
  </conditionalFormatting>
  <conditionalFormatting sqref="D63:H65">
    <cfRule type="expression" dxfId="85" priority="2">
      <formula>MOD(ROW(),2)=0</formula>
    </cfRule>
  </conditionalFormatting>
  <conditionalFormatting sqref="C47:E51">
    <cfRule type="expression" dxfId="84" priority="1">
      <formula>MOD(ROW(),2)=0</formula>
    </cfRule>
  </conditionalFormatting>
  <pageMargins left="0.75" right="0.75" top="1" bottom="1" header="0.5" footer="0.5"/>
  <pageSetup paperSize="119" orientation="portrait" horizontalDpi="300" vertic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A119"/>
  <sheetViews>
    <sheetView showGridLines="0" topLeftCell="A21" zoomScaleNormal="100" workbookViewId="0">
      <selection activeCell="M67" sqref="M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style="146"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2" spans="1:24">
      <c r="F2"/>
    </row>
    <row r="3" spans="1:24">
      <c r="F3"/>
      <c r="H3" s="24" t="s">
        <v>18</v>
      </c>
      <c r="I3" s="25"/>
      <c r="J3" s="25"/>
      <c r="K3" s="25"/>
      <c r="L3" s="25"/>
      <c r="M3" s="25"/>
      <c r="N3" s="25"/>
      <c r="O3" s="25"/>
      <c r="P3" s="25"/>
      <c r="Q3" s="25"/>
      <c r="R3" s="25"/>
      <c r="T3" s="3" t="s">
        <v>0</v>
      </c>
    </row>
    <row r="4" spans="1:24">
      <c r="B4" s="154" t="s">
        <v>179</v>
      </c>
      <c r="F4"/>
      <c r="H4" s="26">
        <v>2017</v>
      </c>
      <c r="J4" s="27">
        <f>H4+1</f>
        <v>2018</v>
      </c>
      <c r="K4" s="20"/>
      <c r="L4" s="27">
        <f>J4+1</f>
        <v>2019</v>
      </c>
      <c r="M4" s="20"/>
      <c r="N4" s="60">
        <f>L4+1</f>
        <v>2020</v>
      </c>
      <c r="O4" s="21"/>
      <c r="P4" s="60">
        <f>N4+1</f>
        <v>2021</v>
      </c>
      <c r="Q4" s="21"/>
      <c r="R4" s="60">
        <f>P4+1</f>
        <v>2022</v>
      </c>
      <c r="T4" s="28" t="s">
        <v>33</v>
      </c>
    </row>
    <row r="5" spans="1:24" ht="5.0999999999999996" customHeight="1">
      <c r="F5"/>
    </row>
    <row r="6" spans="1:24">
      <c r="B6" t="s">
        <v>26</v>
      </c>
      <c r="F6"/>
      <c r="H6" s="75">
        <v>230000000</v>
      </c>
      <c r="J6" s="75">
        <f>H6*C47</f>
        <v>227700000</v>
      </c>
      <c r="K6" s="121"/>
      <c r="L6" s="75">
        <f>J6*C48</f>
        <v>223146000</v>
      </c>
      <c r="M6" s="121"/>
      <c r="N6" s="75">
        <f>L6*C49</f>
        <v>216451620</v>
      </c>
      <c r="O6" s="75"/>
      <c r="P6" s="75">
        <f>N6*C50</f>
        <v>207793555.19999999</v>
      </c>
      <c r="Q6" s="75"/>
      <c r="R6" s="75">
        <f>P6*C51</f>
        <v>197403877.43999997</v>
      </c>
      <c r="T6" s="4">
        <f>(R6/J6)^(1/4)-1</f>
        <v>-3.506477179553269E-2</v>
      </c>
    </row>
    <row r="7" spans="1:24">
      <c r="B7" s="23" t="s">
        <v>22</v>
      </c>
      <c r="F7"/>
      <c r="H7" s="71">
        <v>0</v>
      </c>
      <c r="J7" s="71">
        <v>0</v>
      </c>
      <c r="L7" s="71">
        <v>0</v>
      </c>
      <c r="N7" s="71">
        <v>0</v>
      </c>
      <c r="P7" s="71">
        <v>0</v>
      </c>
      <c r="R7" s="71">
        <v>0</v>
      </c>
      <c r="T7" s="4"/>
    </row>
    <row r="8" spans="1:24">
      <c r="B8" t="s">
        <v>27</v>
      </c>
      <c r="F8"/>
      <c r="H8" s="115">
        <f>H6+H7</f>
        <v>230000000</v>
      </c>
      <c r="I8" s="73"/>
      <c r="J8" s="115">
        <f>J6+J7</f>
        <v>227700000</v>
      </c>
      <c r="K8" s="116"/>
      <c r="L8" s="115">
        <f>L6+L7</f>
        <v>223146000</v>
      </c>
      <c r="M8" s="116"/>
      <c r="N8" s="115">
        <f>N6+N7</f>
        <v>216451620</v>
      </c>
      <c r="O8" s="116"/>
      <c r="P8" s="115">
        <f>P6+P7</f>
        <v>207793555.19999999</v>
      </c>
      <c r="Q8" s="116"/>
      <c r="R8" s="115">
        <f>R6+R7</f>
        <v>197403877.43999997</v>
      </c>
      <c r="T8" s="4">
        <f>(R8/J8)^(1/4)-1</f>
        <v>-3.506477179553269E-2</v>
      </c>
    </row>
    <row r="9" spans="1:24" s="39" customFormat="1">
      <c r="B9" s="39" t="s">
        <v>21</v>
      </c>
      <c r="H9" s="117">
        <f>-$J$51*H8</f>
        <v>-34500000</v>
      </c>
      <c r="I9"/>
      <c r="J9" s="117">
        <f>-$J$51*J8</f>
        <v>-34155000</v>
      </c>
      <c r="K9" s="114"/>
      <c r="L9" s="117">
        <f>-$J$51*L8</f>
        <v>-33471900</v>
      </c>
      <c r="M9" s="114"/>
      <c r="N9" s="117">
        <f>-$J$51*N8</f>
        <v>-32467743</v>
      </c>
      <c r="O9" s="114"/>
      <c r="P9" s="117">
        <f>-$J$51*P8</f>
        <v>-31169033.279999997</v>
      </c>
      <c r="Q9" s="114"/>
      <c r="R9" s="117">
        <f>-$J$51*R8</f>
        <v>-29610581.615999993</v>
      </c>
    </row>
    <row r="10" spans="1:24" s="2" customFormat="1">
      <c r="B10" s="2" t="s">
        <v>3</v>
      </c>
      <c r="H10" s="118">
        <f>SUM(H8:H9)</f>
        <v>195500000</v>
      </c>
      <c r="J10" s="118">
        <f>SUM(J8:J9)</f>
        <v>193545000</v>
      </c>
      <c r="K10" s="119"/>
      <c r="L10" s="118">
        <f>SUM(L8:L9)</f>
        <v>189674100</v>
      </c>
      <c r="M10" s="119"/>
      <c r="N10" s="118">
        <f>SUM(N8:N9)</f>
        <v>183983877</v>
      </c>
      <c r="O10" s="119"/>
      <c r="P10" s="118">
        <f>SUM(P8:P9)</f>
        <v>176624521.91999999</v>
      </c>
      <c r="Q10" s="119"/>
      <c r="R10" s="118">
        <f>SUM(R8:R9)</f>
        <v>167793295.82399997</v>
      </c>
      <c r="T10" s="4">
        <f>(R10/J10)^(1/4)-1</f>
        <v>-3.506477179553269E-2</v>
      </c>
    </row>
    <row r="11" spans="1:24">
      <c r="B11" s="10" t="s">
        <v>25</v>
      </c>
      <c r="F11"/>
      <c r="H11" s="112">
        <v>57000000</v>
      </c>
      <c r="I11" s="112"/>
      <c r="J11" s="112">
        <f>H11</f>
        <v>57000000</v>
      </c>
      <c r="K11" s="112"/>
      <c r="L11" s="112">
        <f>J11</f>
        <v>57000000</v>
      </c>
      <c r="M11" s="112"/>
      <c r="N11" s="112">
        <f>L11</f>
        <v>57000000</v>
      </c>
      <c r="O11" s="112"/>
      <c r="P11" s="112">
        <f>N11</f>
        <v>57000000</v>
      </c>
      <c r="Q11" s="112"/>
      <c r="R11" s="112">
        <f>P11</f>
        <v>57000000</v>
      </c>
    </row>
    <row r="12" spans="1:24">
      <c r="B12" t="s">
        <v>23</v>
      </c>
      <c r="F12"/>
      <c r="H12" s="112">
        <v>-40000000</v>
      </c>
      <c r="I12" s="112"/>
      <c r="J12" s="112">
        <f>H12</f>
        <v>-40000000</v>
      </c>
      <c r="K12" s="112"/>
      <c r="L12" s="112">
        <f>J12</f>
        <v>-40000000</v>
      </c>
      <c r="M12" s="112"/>
      <c r="N12" s="112">
        <f>L12</f>
        <v>-40000000</v>
      </c>
      <c r="O12" s="112"/>
      <c r="P12" s="112">
        <f>N12</f>
        <v>-40000000</v>
      </c>
      <c r="Q12" s="112"/>
      <c r="R12" s="112">
        <f>P12</f>
        <v>-40000000</v>
      </c>
      <c r="X12" s="81"/>
    </row>
    <row r="13" spans="1:24">
      <c r="B13" s="2" t="s">
        <v>19</v>
      </c>
      <c r="F13"/>
      <c r="H13" s="120">
        <f>SUM(H10:H12)</f>
        <v>212500000</v>
      </c>
      <c r="J13" s="120">
        <f>SUM(J10:J12)</f>
        <v>210545000</v>
      </c>
      <c r="K13" s="114"/>
      <c r="L13" s="120">
        <f>SUM(L10:L12)</f>
        <v>206674100</v>
      </c>
      <c r="M13" s="114"/>
      <c r="N13" s="120">
        <f>SUM(N10:N12)</f>
        <v>200983877</v>
      </c>
      <c r="O13" s="114"/>
      <c r="P13" s="120">
        <f>SUM(P10:P12)</f>
        <v>193624521.91999999</v>
      </c>
      <c r="Q13" s="114"/>
      <c r="R13" s="120">
        <f>SUM(R10:R12)</f>
        <v>184793295.82399997</v>
      </c>
      <c r="T13" s="4">
        <f>(R13/J13)^(1/4)-1</f>
        <v>-3.208923571815403E-2</v>
      </c>
    </row>
    <row r="14" spans="1:24">
      <c r="A14" s="2"/>
      <c r="F14"/>
      <c r="H14" s="19"/>
      <c r="J14" s="19"/>
      <c r="L14" s="19"/>
      <c r="N14" s="19"/>
      <c r="P14" s="19"/>
      <c r="R14" s="19"/>
      <c r="T14" s="4"/>
      <c r="X14" s="78"/>
    </row>
    <row r="15" spans="1:24">
      <c r="F15"/>
      <c r="H15" s="24" t="s">
        <v>18</v>
      </c>
      <c r="I15" s="25"/>
      <c r="J15" s="25"/>
      <c r="K15" s="25"/>
      <c r="L15" s="25"/>
      <c r="M15" s="25"/>
      <c r="N15" s="25"/>
      <c r="O15" s="25"/>
      <c r="P15" s="25"/>
      <c r="Q15" s="25"/>
      <c r="R15" s="25"/>
      <c r="T15" s="3" t="s">
        <v>0</v>
      </c>
    </row>
    <row r="16" spans="1:24">
      <c r="B16" s="154" t="s">
        <v>180</v>
      </c>
      <c r="F16"/>
      <c r="H16" s="26">
        <v>2017</v>
      </c>
      <c r="J16" s="27">
        <f>H16+1</f>
        <v>2018</v>
      </c>
      <c r="K16" s="20"/>
      <c r="L16" s="27">
        <f>J16+1</f>
        <v>2019</v>
      </c>
      <c r="M16" s="20"/>
      <c r="N16" s="60">
        <f>L16+1</f>
        <v>2020</v>
      </c>
      <c r="O16" s="21"/>
      <c r="P16" s="60">
        <f>N16+1</f>
        <v>2021</v>
      </c>
      <c r="Q16" s="21"/>
      <c r="R16" s="60">
        <f>P16+1</f>
        <v>2022</v>
      </c>
      <c r="T16" s="28" t="s">
        <v>33</v>
      </c>
    </row>
    <row r="17" spans="1:20">
      <c r="F17"/>
    </row>
    <row r="18" spans="1:20">
      <c r="B18" t="s">
        <v>26</v>
      </c>
      <c r="F18"/>
      <c r="H18" s="75">
        <f>H6</f>
        <v>230000000</v>
      </c>
      <c r="J18" s="75">
        <f>H18*D47</f>
        <v>230000000</v>
      </c>
      <c r="K18" s="121"/>
      <c r="L18" s="75">
        <f>J18*D48</f>
        <v>230000000</v>
      </c>
      <c r="M18" s="121"/>
      <c r="N18" s="75">
        <f>L18*D49</f>
        <v>230000000</v>
      </c>
      <c r="O18" s="75"/>
      <c r="P18" s="75">
        <f>N18*D50</f>
        <v>230000000</v>
      </c>
      <c r="Q18" s="75"/>
      <c r="R18" s="75">
        <f>P18*D51</f>
        <v>230000000</v>
      </c>
      <c r="T18" s="4">
        <f>(R18/J18)^(1/4)-1</f>
        <v>0</v>
      </c>
    </row>
    <row r="19" spans="1:20">
      <c r="B19" s="23" t="s">
        <v>22</v>
      </c>
      <c r="F19"/>
      <c r="H19" s="71">
        <f>H7</f>
        <v>0</v>
      </c>
      <c r="J19" s="71">
        <f>J7</f>
        <v>0</v>
      </c>
      <c r="K19" s="121"/>
      <c r="L19" s="71">
        <f>L7</f>
        <v>0</v>
      </c>
      <c r="M19" s="121"/>
      <c r="N19" s="71">
        <f>N7</f>
        <v>0</v>
      </c>
      <c r="O19" s="121"/>
      <c r="P19" s="71">
        <f>P7</f>
        <v>0</v>
      </c>
      <c r="Q19" s="121"/>
      <c r="R19" s="71">
        <f>R7</f>
        <v>0</v>
      </c>
      <c r="T19" s="4"/>
    </row>
    <row r="20" spans="1:20">
      <c r="B20" t="s">
        <v>27</v>
      </c>
      <c r="F20"/>
      <c r="H20" s="115">
        <f>H18+H19</f>
        <v>230000000</v>
      </c>
      <c r="I20" s="116"/>
      <c r="J20" s="115">
        <f>J18+J19</f>
        <v>230000000</v>
      </c>
      <c r="K20" s="116"/>
      <c r="L20" s="115">
        <f>L18+L19</f>
        <v>230000000</v>
      </c>
      <c r="M20" s="116"/>
      <c r="N20" s="115">
        <f>N18+N19</f>
        <v>230000000</v>
      </c>
      <c r="O20" s="116"/>
      <c r="P20" s="115">
        <f>P18+P19</f>
        <v>230000000</v>
      </c>
      <c r="Q20" s="116"/>
      <c r="R20" s="115">
        <f>R18+R19</f>
        <v>230000000</v>
      </c>
      <c r="T20" s="4">
        <f>(R20/J20)^(1/4)-1</f>
        <v>0</v>
      </c>
    </row>
    <row r="21" spans="1:20">
      <c r="B21" s="39" t="s">
        <v>21</v>
      </c>
      <c r="C21" s="39"/>
      <c r="D21" s="39"/>
      <c r="E21" s="39"/>
      <c r="F21" s="39"/>
      <c r="G21" s="39"/>
      <c r="H21" s="117">
        <f>-$J$51*H20</f>
        <v>-34500000</v>
      </c>
      <c r="I21" s="114"/>
      <c r="J21" s="117">
        <f>-$J$51*J20</f>
        <v>-34500000</v>
      </c>
      <c r="K21" s="114"/>
      <c r="L21" s="117">
        <f>-$J$51*L20</f>
        <v>-34500000</v>
      </c>
      <c r="M21" s="114"/>
      <c r="N21" s="117">
        <f>-$J$51*N20</f>
        <v>-34500000</v>
      </c>
      <c r="O21" s="114"/>
      <c r="P21" s="117">
        <f>-$J$51*P20</f>
        <v>-34500000</v>
      </c>
      <c r="Q21" s="114"/>
      <c r="R21" s="117">
        <f>-$J$51*R20</f>
        <v>-34500000</v>
      </c>
      <c r="S21" s="39"/>
      <c r="T21" s="39"/>
    </row>
    <row r="22" spans="1:20">
      <c r="A22" s="2"/>
      <c r="B22" s="2" t="s">
        <v>3</v>
      </c>
      <c r="C22" s="2"/>
      <c r="D22" s="2"/>
      <c r="E22" s="2"/>
      <c r="F22" s="2"/>
      <c r="G22" s="2"/>
      <c r="H22" s="118">
        <f>SUM(H20:H21)</f>
        <v>195500000</v>
      </c>
      <c r="I22" s="119"/>
      <c r="J22" s="118">
        <f>SUM(J20:J21)</f>
        <v>195500000</v>
      </c>
      <c r="K22" s="119"/>
      <c r="L22" s="118">
        <f>SUM(L20:L21)</f>
        <v>195500000</v>
      </c>
      <c r="M22" s="119"/>
      <c r="N22" s="118">
        <f>SUM(N20:N21)</f>
        <v>195500000</v>
      </c>
      <c r="O22" s="119"/>
      <c r="P22" s="118">
        <f>SUM(P20:P21)</f>
        <v>195500000</v>
      </c>
      <c r="Q22" s="119"/>
      <c r="R22" s="118">
        <f>SUM(R20:R21)</f>
        <v>195500000</v>
      </c>
      <c r="S22" s="2"/>
      <c r="T22" s="4">
        <f>(R22/J22)^(1/4)-1</f>
        <v>0</v>
      </c>
    </row>
    <row r="23" spans="1:20">
      <c r="B23" s="10" t="s">
        <v>25</v>
      </c>
      <c r="F23"/>
      <c r="H23" s="112">
        <f>H11</f>
        <v>57000000</v>
      </c>
      <c r="I23" s="112"/>
      <c r="J23" s="112">
        <f>J11</f>
        <v>57000000</v>
      </c>
      <c r="K23" s="112"/>
      <c r="L23" s="112">
        <f>L11</f>
        <v>57000000</v>
      </c>
      <c r="M23" s="112"/>
      <c r="N23" s="112">
        <f>N11</f>
        <v>57000000</v>
      </c>
      <c r="O23" s="112"/>
      <c r="P23" s="112">
        <f>P11</f>
        <v>57000000</v>
      </c>
      <c r="Q23" s="112"/>
      <c r="R23" s="112">
        <f>R11</f>
        <v>57000000</v>
      </c>
    </row>
    <row r="24" spans="1:20">
      <c r="B24" t="s">
        <v>23</v>
      </c>
      <c r="F24"/>
      <c r="H24" s="112">
        <f>H12</f>
        <v>-40000000</v>
      </c>
      <c r="I24" s="112"/>
      <c r="J24" s="112">
        <f>J12</f>
        <v>-40000000</v>
      </c>
      <c r="K24" s="112"/>
      <c r="L24" s="112">
        <f>L12</f>
        <v>-40000000</v>
      </c>
      <c r="M24" s="112"/>
      <c r="N24" s="112">
        <f>N12</f>
        <v>-40000000</v>
      </c>
      <c r="O24" s="112"/>
      <c r="P24" s="112">
        <f>P12</f>
        <v>-40000000</v>
      </c>
      <c r="Q24" s="112"/>
      <c r="R24" s="112">
        <f>R12</f>
        <v>-40000000</v>
      </c>
    </row>
    <row r="25" spans="1:20">
      <c r="B25" s="2" t="s">
        <v>19</v>
      </c>
      <c r="F25"/>
      <c r="H25" s="120">
        <f>SUM(H22:H24)</f>
        <v>212500000</v>
      </c>
      <c r="I25" s="114"/>
      <c r="J25" s="120">
        <f>SUM(J22:J24)</f>
        <v>212500000</v>
      </c>
      <c r="K25" s="114"/>
      <c r="L25" s="120">
        <f>SUM(L22:L24)</f>
        <v>212500000</v>
      </c>
      <c r="M25" s="114"/>
      <c r="N25" s="120">
        <f>SUM(N22:N24)</f>
        <v>212500000</v>
      </c>
      <c r="O25" s="114"/>
      <c r="P25" s="120">
        <f>SUM(P22:P24)</f>
        <v>212500000</v>
      </c>
      <c r="Q25" s="114"/>
      <c r="R25" s="120">
        <f>SUM(R22:R24)</f>
        <v>212500000</v>
      </c>
      <c r="T25" s="4">
        <f>(R25/J25)^(1/4)-1</f>
        <v>0</v>
      </c>
    </row>
    <row r="26" spans="1:20">
      <c r="A26" s="2"/>
      <c r="F26"/>
      <c r="H26" s="19"/>
      <c r="J26" s="19"/>
      <c r="L26" s="19"/>
      <c r="N26" s="19"/>
      <c r="P26" s="19"/>
      <c r="R26" s="19"/>
      <c r="T26" s="4"/>
    </row>
    <row r="27" spans="1:20">
      <c r="A27" s="2"/>
      <c r="F27"/>
      <c r="H27" s="19"/>
      <c r="J27" s="19"/>
      <c r="L27" s="19"/>
      <c r="N27" s="19"/>
      <c r="P27" s="19"/>
      <c r="R27" s="19"/>
      <c r="T27" s="4"/>
    </row>
    <row r="28" spans="1:20">
      <c r="F28"/>
      <c r="H28" s="24" t="s">
        <v>18</v>
      </c>
      <c r="I28" s="25"/>
      <c r="J28" s="25"/>
      <c r="K28" s="25"/>
      <c r="L28" s="25"/>
      <c r="M28" s="25"/>
      <c r="N28" s="25"/>
      <c r="O28" s="25"/>
      <c r="P28" s="25"/>
      <c r="Q28" s="25"/>
      <c r="R28" s="25"/>
      <c r="T28" s="3" t="s">
        <v>0</v>
      </c>
    </row>
    <row r="29" spans="1:20">
      <c r="B29" s="154" t="s">
        <v>183</v>
      </c>
      <c r="F29"/>
      <c r="H29" s="26">
        <v>2017</v>
      </c>
      <c r="J29" s="27">
        <f>H29+1</f>
        <v>2018</v>
      </c>
      <c r="K29" s="20"/>
      <c r="L29" s="27">
        <f>J29+1</f>
        <v>2019</v>
      </c>
      <c r="M29" s="20"/>
      <c r="N29" s="60">
        <f>L29+1</f>
        <v>2020</v>
      </c>
      <c r="O29" s="21"/>
      <c r="P29" s="60">
        <f>N29+1</f>
        <v>2021</v>
      </c>
      <c r="Q29" s="21"/>
      <c r="R29" s="60">
        <f>P29+1</f>
        <v>2022</v>
      </c>
      <c r="T29" s="28" t="s">
        <v>33</v>
      </c>
    </row>
    <row r="30" spans="1:20">
      <c r="F30"/>
    </row>
    <row r="31" spans="1:20">
      <c r="B31" t="s">
        <v>26</v>
      </c>
      <c r="F31"/>
      <c r="H31" s="75">
        <f>H6</f>
        <v>230000000</v>
      </c>
      <c r="J31" s="75">
        <f>H31*E47</f>
        <v>230000000</v>
      </c>
      <c r="K31" s="121"/>
      <c r="L31" s="75">
        <f>J31*E48</f>
        <v>207000000</v>
      </c>
      <c r="M31" s="121"/>
      <c r="N31" s="75">
        <f>L31*E49</f>
        <v>238049999.99999997</v>
      </c>
      <c r="O31" s="75"/>
      <c r="P31" s="75">
        <f>N31*E50</f>
        <v>238049999.99999997</v>
      </c>
      <c r="Q31" s="75"/>
      <c r="R31" s="75">
        <f>P31*E51</f>
        <v>249952499.99999997</v>
      </c>
      <c r="T31" s="4">
        <f>(R31/J31)^(1/4)-1</f>
        <v>2.1015681188904844E-2</v>
      </c>
    </row>
    <row r="32" spans="1:20">
      <c r="B32" s="23" t="s">
        <v>22</v>
      </c>
      <c r="F32"/>
      <c r="H32" s="71">
        <f>H7</f>
        <v>0</v>
      </c>
      <c r="J32" s="71">
        <f>J7</f>
        <v>0</v>
      </c>
      <c r="L32" s="71">
        <f>L7</f>
        <v>0</v>
      </c>
      <c r="N32" s="71">
        <f>N7</f>
        <v>0</v>
      </c>
      <c r="P32" s="71">
        <f>P7</f>
        <v>0</v>
      </c>
      <c r="R32" s="71">
        <f>R7</f>
        <v>0</v>
      </c>
      <c r="T32" s="4"/>
    </row>
    <row r="33" spans="1:27">
      <c r="B33" t="s">
        <v>27</v>
      </c>
      <c r="F33"/>
      <c r="H33" s="115">
        <f>H31+H32</f>
        <v>230000000</v>
      </c>
      <c r="I33" s="116"/>
      <c r="J33" s="115">
        <f>J31+J32</f>
        <v>230000000</v>
      </c>
      <c r="K33" s="116"/>
      <c r="L33" s="115">
        <f>L31+L32</f>
        <v>207000000</v>
      </c>
      <c r="M33" s="116"/>
      <c r="N33" s="115">
        <f>N31+N32</f>
        <v>238049999.99999997</v>
      </c>
      <c r="O33" s="116"/>
      <c r="P33" s="115">
        <f>P31+P32</f>
        <v>238049999.99999997</v>
      </c>
      <c r="Q33" s="116"/>
      <c r="R33" s="115">
        <f>R31+R32</f>
        <v>249952499.99999997</v>
      </c>
      <c r="T33" s="4">
        <f>(R33/J33)^(1/4)-1</f>
        <v>2.1015681188904844E-2</v>
      </c>
    </row>
    <row r="34" spans="1:27">
      <c r="B34" s="39" t="s">
        <v>21</v>
      </c>
      <c r="C34" s="39"/>
      <c r="D34" s="39"/>
      <c r="E34" s="39"/>
      <c r="F34" s="39"/>
      <c r="G34" s="39"/>
      <c r="H34" s="117">
        <f>-$J$51*H33</f>
        <v>-34500000</v>
      </c>
      <c r="I34" s="114"/>
      <c r="J34" s="117">
        <f>-$J$51*J33</f>
        <v>-34500000</v>
      </c>
      <c r="K34" s="114"/>
      <c r="L34" s="117">
        <f>-$J$51*L33</f>
        <v>-31050000</v>
      </c>
      <c r="M34" s="114"/>
      <c r="N34" s="117">
        <f>-$J$51*N33</f>
        <v>-35707499.999999993</v>
      </c>
      <c r="O34" s="114"/>
      <c r="P34" s="117">
        <f>-$J$51*P33</f>
        <v>-35707499.999999993</v>
      </c>
      <c r="Q34" s="114"/>
      <c r="R34" s="117">
        <f>-$J$51*R33</f>
        <v>-37492874.999999993</v>
      </c>
      <c r="S34" s="39"/>
      <c r="T34" s="39"/>
    </row>
    <row r="35" spans="1:27">
      <c r="A35" s="2"/>
      <c r="B35" s="2" t="s">
        <v>3</v>
      </c>
      <c r="C35" s="2"/>
      <c r="D35" s="2"/>
      <c r="E35" s="2"/>
      <c r="F35" s="2"/>
      <c r="G35" s="2"/>
      <c r="H35" s="118">
        <f>SUM(H33:H34)</f>
        <v>195500000</v>
      </c>
      <c r="I35" s="119"/>
      <c r="J35" s="118">
        <f>SUM(J33:J34)</f>
        <v>195500000</v>
      </c>
      <c r="K35" s="119"/>
      <c r="L35" s="118">
        <f>SUM(L33:L34)</f>
        <v>175950000</v>
      </c>
      <c r="M35" s="119"/>
      <c r="N35" s="118">
        <f>SUM(N33:N34)</f>
        <v>202342499.99999997</v>
      </c>
      <c r="O35" s="119"/>
      <c r="P35" s="118">
        <f>SUM(P33:P34)</f>
        <v>202342499.99999997</v>
      </c>
      <c r="Q35" s="119"/>
      <c r="R35" s="118">
        <f>SUM(R33:R34)</f>
        <v>212459624.99999997</v>
      </c>
      <c r="S35" s="2"/>
      <c r="T35" s="4">
        <f>(R35/J35)^(1/4)-1</f>
        <v>2.1015681188904844E-2</v>
      </c>
    </row>
    <row r="36" spans="1:27">
      <c r="B36" s="10" t="s">
        <v>25</v>
      </c>
      <c r="F36"/>
      <c r="H36" s="112">
        <f>H11</f>
        <v>57000000</v>
      </c>
      <c r="I36" s="112"/>
      <c r="J36" s="112">
        <f>J11</f>
        <v>57000000</v>
      </c>
      <c r="K36" s="112"/>
      <c r="L36" s="112">
        <f>L11</f>
        <v>57000000</v>
      </c>
      <c r="M36" s="112"/>
      <c r="N36" s="112">
        <f>N11</f>
        <v>57000000</v>
      </c>
      <c r="O36" s="112"/>
      <c r="P36" s="112">
        <f>P11</f>
        <v>57000000</v>
      </c>
      <c r="Q36" s="112"/>
      <c r="R36" s="112">
        <f>R11</f>
        <v>57000000</v>
      </c>
    </row>
    <row r="37" spans="1:27">
      <c r="B37" t="s">
        <v>23</v>
      </c>
      <c r="F37"/>
      <c r="H37" s="112">
        <f>H12</f>
        <v>-40000000</v>
      </c>
      <c r="I37" s="112"/>
      <c r="J37" s="112">
        <f>J12</f>
        <v>-40000000</v>
      </c>
      <c r="K37" s="112"/>
      <c r="L37" s="112">
        <f>L12</f>
        <v>-40000000</v>
      </c>
      <c r="M37" s="112"/>
      <c r="N37" s="112">
        <f>N12</f>
        <v>-40000000</v>
      </c>
      <c r="O37" s="112"/>
      <c r="P37" s="112">
        <f>P12</f>
        <v>-40000000</v>
      </c>
      <c r="Q37" s="112"/>
      <c r="R37" s="112">
        <f>R12</f>
        <v>-40000000</v>
      </c>
    </row>
    <row r="38" spans="1:27">
      <c r="B38" s="2" t="s">
        <v>19</v>
      </c>
      <c r="F38"/>
      <c r="H38" s="120">
        <f>SUM(H35:H37)</f>
        <v>212500000</v>
      </c>
      <c r="I38" s="153"/>
      <c r="J38" s="120">
        <f>SUM(J35:J37)</f>
        <v>212500000</v>
      </c>
      <c r="K38" s="114"/>
      <c r="L38" s="120">
        <f>SUM(L35:L37)</f>
        <v>192950000</v>
      </c>
      <c r="M38" s="114"/>
      <c r="N38" s="120">
        <f>SUM(N35:N37)</f>
        <v>219342499.99999997</v>
      </c>
      <c r="O38" s="114"/>
      <c r="P38" s="120">
        <f>SUM(P35:P37)</f>
        <v>219342499.99999997</v>
      </c>
      <c r="Q38" s="114"/>
      <c r="R38" s="120">
        <f>SUM(R35:R37)</f>
        <v>229459625</v>
      </c>
      <c r="T38" s="4">
        <f>(R38/J38)^(1/4)-1</f>
        <v>1.9381708060252079E-2</v>
      </c>
    </row>
    <row r="39" spans="1:27">
      <c r="A39" s="2"/>
      <c r="F39"/>
      <c r="H39" s="19"/>
      <c r="J39" s="19"/>
      <c r="L39" s="19"/>
      <c r="N39" s="19"/>
      <c r="P39" s="19"/>
      <c r="R39" s="19"/>
      <c r="T39" s="4"/>
    </row>
    <row r="40" spans="1:27">
      <c r="A40" s="2"/>
      <c r="F40"/>
      <c r="H40" s="19"/>
      <c r="J40" s="19"/>
      <c r="L40" s="19"/>
      <c r="N40" s="19"/>
      <c r="P40" s="19"/>
      <c r="R40" s="19"/>
      <c r="T40" s="4"/>
    </row>
    <row r="41" spans="1:27">
      <c r="A41" s="2"/>
      <c r="F41"/>
      <c r="H41" s="19"/>
      <c r="J41" s="19"/>
      <c r="L41" s="19"/>
      <c r="N41" s="19"/>
      <c r="P41" s="19"/>
      <c r="R41" s="19"/>
      <c r="T41" s="4"/>
    </row>
    <row r="42" spans="1:27">
      <c r="F42"/>
    </row>
    <row r="43" spans="1:27">
      <c r="A43" s="24" t="s">
        <v>37</v>
      </c>
      <c r="B43" s="30"/>
      <c r="C43" s="30"/>
      <c r="D43" s="30"/>
      <c r="E43" s="30"/>
      <c r="F43" s="30"/>
      <c r="G43" s="30"/>
      <c r="H43" s="31"/>
      <c r="I43" s="30"/>
      <c r="J43" s="30"/>
      <c r="K43" s="30"/>
      <c r="L43" s="30"/>
      <c r="M43" s="30"/>
      <c r="N43" s="30"/>
      <c r="O43" s="30"/>
      <c r="P43" s="30"/>
      <c r="Q43" s="30"/>
      <c r="R43" s="30"/>
      <c r="S43" s="30"/>
      <c r="T43" s="30"/>
    </row>
    <row r="44" spans="1:27">
      <c r="F44"/>
      <c r="H44" s="16"/>
    </row>
    <row r="45" spans="1:27">
      <c r="B45" s="2"/>
      <c r="D45" s="2"/>
      <c r="F45"/>
      <c r="I45" s="23"/>
      <c r="J45" s="23"/>
      <c r="M45" s="148" t="s">
        <v>182</v>
      </c>
      <c r="N45" s="2"/>
      <c r="P45" s="2"/>
    </row>
    <row r="46" spans="1:27">
      <c r="B46" s="88" t="s">
        <v>32</v>
      </c>
      <c r="C46" s="89" t="s">
        <v>29</v>
      </c>
      <c r="D46" s="89" t="s">
        <v>31</v>
      </c>
      <c r="E46" s="152" t="s">
        <v>188</v>
      </c>
      <c r="F46"/>
      <c r="H46" s="294" t="s">
        <v>181</v>
      </c>
      <c r="I46" s="294"/>
      <c r="J46" s="294"/>
      <c r="M46" s="2" t="s">
        <v>57</v>
      </c>
      <c r="P46" s="2"/>
      <c r="X46" s="311"/>
      <c r="Y46" s="311"/>
      <c r="Z46" s="311"/>
    </row>
    <row r="47" spans="1:27" ht="13.5" customHeight="1" thickBot="1">
      <c r="B47" s="90">
        <v>2018</v>
      </c>
      <c r="C47" s="88">
        <v>0.99</v>
      </c>
      <c r="D47" s="88">
        <v>1</v>
      </c>
      <c r="E47" s="88">
        <v>1</v>
      </c>
      <c r="F47"/>
      <c r="H47" s="156" t="s">
        <v>15</v>
      </c>
      <c r="I47" s="156"/>
      <c r="J47" s="161">
        <v>34622000</v>
      </c>
      <c r="M47" t="s">
        <v>55</v>
      </c>
      <c r="P47" s="2"/>
      <c r="X47" s="312" t="s">
        <v>218</v>
      </c>
      <c r="Y47" s="312"/>
      <c r="Z47" s="312"/>
    </row>
    <row r="48" spans="1:27">
      <c r="B48" s="90">
        <f>B47+1</f>
        <v>2019</v>
      </c>
      <c r="C48" s="88">
        <v>0.98</v>
      </c>
      <c r="D48" s="88">
        <v>1</v>
      </c>
      <c r="E48" s="88">
        <v>0.9</v>
      </c>
      <c r="F48"/>
      <c r="H48" s="156" t="s">
        <v>99</v>
      </c>
      <c r="I48" s="156"/>
      <c r="J48" s="157">
        <f>523779000+576782000</f>
        <v>1100561000</v>
      </c>
      <c r="M48" t="s">
        <v>56</v>
      </c>
      <c r="P48" s="2"/>
      <c r="X48" s="313"/>
      <c r="Y48" s="309">
        <v>2017</v>
      </c>
      <c r="Z48" s="315"/>
      <c r="AA48" s="309">
        <v>2016</v>
      </c>
    </row>
    <row r="49" spans="2:27" ht="13.5" thickBot="1">
      <c r="B49" s="90">
        <f>B48+1</f>
        <v>2020</v>
      </c>
      <c r="C49" s="88">
        <v>0.97</v>
      </c>
      <c r="D49" s="88">
        <v>1</v>
      </c>
      <c r="E49" s="88">
        <v>1.1499999999999999</v>
      </c>
      <c r="F49"/>
      <c r="H49" s="156" t="s">
        <v>14</v>
      </c>
      <c r="I49" s="156"/>
      <c r="J49" s="157">
        <v>291947000</v>
      </c>
      <c r="M49" t="s">
        <v>58</v>
      </c>
      <c r="P49" s="2"/>
      <c r="X49" s="314"/>
      <c r="Y49" s="310"/>
      <c r="Z49" s="316"/>
      <c r="AA49" s="310"/>
    </row>
    <row r="50" spans="2:27">
      <c r="B50" s="90">
        <f>B49+1</f>
        <v>2021</v>
      </c>
      <c r="C50" s="88">
        <v>0.96</v>
      </c>
      <c r="D50" s="88">
        <v>1</v>
      </c>
      <c r="E50" s="88">
        <v>1</v>
      </c>
      <c r="F50"/>
      <c r="H50" s="155" t="s">
        <v>16</v>
      </c>
      <c r="I50" s="156"/>
      <c r="J50" s="158">
        <v>0.02</v>
      </c>
      <c r="M50" t="s">
        <v>59</v>
      </c>
      <c r="P50" s="2"/>
      <c r="X50" s="185" t="s">
        <v>219</v>
      </c>
      <c r="Y50" s="186">
        <v>0.21</v>
      </c>
      <c r="Z50" s="162"/>
      <c r="AA50" s="186">
        <v>0.25</v>
      </c>
    </row>
    <row r="51" spans="2:27">
      <c r="B51" s="90">
        <f>B50+1</f>
        <v>2022</v>
      </c>
      <c r="C51" s="88">
        <v>0.95</v>
      </c>
      <c r="D51" s="88">
        <v>1</v>
      </c>
      <c r="E51" s="88">
        <v>1.05</v>
      </c>
      <c r="F51"/>
      <c r="H51" s="156" t="s">
        <v>2</v>
      </c>
      <c r="I51" s="156"/>
      <c r="J51" s="158">
        <v>0.15</v>
      </c>
      <c r="M51" t="s">
        <v>60</v>
      </c>
      <c r="P51" s="2"/>
      <c r="X51" s="184" t="s">
        <v>220</v>
      </c>
      <c r="Y51" s="187">
        <v>0.14000000000000001</v>
      </c>
      <c r="Z51" s="188"/>
      <c r="AA51" s="187">
        <v>0.23</v>
      </c>
    </row>
    <row r="52" spans="2:27">
      <c r="B52" s="2"/>
      <c r="D52" s="2"/>
      <c r="F52"/>
      <c r="M52" t="s">
        <v>61</v>
      </c>
      <c r="P52" s="2"/>
      <c r="X52" s="317" t="s">
        <v>221</v>
      </c>
      <c r="Y52" s="318">
        <v>0.13</v>
      </c>
      <c r="Z52" s="319"/>
      <c r="AA52" s="320" t="s">
        <v>222</v>
      </c>
    </row>
    <row r="53" spans="2:27">
      <c r="B53" s="2"/>
      <c r="D53" s="2"/>
      <c r="F53"/>
      <c r="I53" s="23"/>
      <c r="J53" s="23"/>
      <c r="M53" t="s">
        <v>62</v>
      </c>
      <c r="P53" s="2"/>
      <c r="X53" s="317"/>
      <c r="Y53" s="318"/>
      <c r="Z53" s="319"/>
      <c r="AA53" s="320"/>
    </row>
    <row r="54" spans="2:27">
      <c r="D54" s="30"/>
      <c r="E54" s="30"/>
      <c r="F54" s="109" t="s">
        <v>12</v>
      </c>
      <c r="G54" s="30"/>
      <c r="H54" s="30"/>
      <c r="I54" s="104"/>
      <c r="J54" s="104"/>
      <c r="M54" t="s">
        <v>63</v>
      </c>
      <c r="Q54" s="104"/>
      <c r="R54" s="128"/>
      <c r="S54" s="128"/>
      <c r="T54" s="128"/>
      <c r="X54" s="314" t="s">
        <v>223</v>
      </c>
      <c r="Y54" s="321">
        <v>0.13</v>
      </c>
      <c r="Z54" s="322"/>
      <c r="AA54" s="321">
        <v>0.1</v>
      </c>
    </row>
    <row r="55" spans="2:27">
      <c r="D55" s="85" t="s">
        <v>29</v>
      </c>
      <c r="E55" s="85"/>
      <c r="F55" s="166" t="s">
        <v>31</v>
      </c>
      <c r="G55" s="85"/>
      <c r="H55" s="85" t="s">
        <v>188</v>
      </c>
      <c r="I55" s="108"/>
      <c r="J55" s="106"/>
      <c r="M55" s="135" t="s">
        <v>176</v>
      </c>
      <c r="Q55" s="87"/>
      <c r="R55" s="87"/>
      <c r="S55" s="87"/>
      <c r="T55" s="87"/>
      <c r="X55" s="314"/>
      <c r="Y55" s="321"/>
      <c r="Z55" s="322"/>
      <c r="AA55" s="321"/>
    </row>
    <row r="56" spans="2:27">
      <c r="B56" s="84" t="s">
        <v>8</v>
      </c>
      <c r="C56" s="4">
        <v>0.08</v>
      </c>
      <c r="D56" s="92">
        <f>((NPV($C56,$J$13:$P$13,$R$13+$R$13*(1+$J$50)/($C56-$J$50)))-$J$49+J48)/$J$47</f>
        <v>108.20951723207546</v>
      </c>
      <c r="E56" s="93"/>
      <c r="F56" s="94">
        <f>((NPV($C56,$J$25:$P$25,$R$25+$R$25*(1+$J$50)/($C56-$J$50)))-$J$49+J48)/$J$47</f>
        <v>118.87446369832838</v>
      </c>
      <c r="G56" s="93"/>
      <c r="H56" s="123">
        <f>((NPV($C56,$J$38:$P$38,$R$38+$R$38*(1+$J$50)/($C56-$J$50)))-$J$49+J48)/$J$47</f>
        <v>124.6934259013763</v>
      </c>
      <c r="I56" s="10"/>
      <c r="J56" s="11"/>
      <c r="M56" s="135" t="s">
        <v>186</v>
      </c>
      <c r="Q56" s="87"/>
      <c r="R56" s="91"/>
      <c r="S56" s="87"/>
      <c r="T56" s="91"/>
      <c r="X56" s="185" t="s">
        <v>224</v>
      </c>
      <c r="Y56" s="189" t="s">
        <v>222</v>
      </c>
      <c r="Z56" s="162"/>
      <c r="AA56" s="186">
        <v>0.2</v>
      </c>
    </row>
    <row r="57" spans="2:27">
      <c r="B57" s="84" t="s">
        <v>28</v>
      </c>
      <c r="C57" s="4">
        <v>0.11</v>
      </c>
      <c r="D57" s="96">
        <f>((NPV($C57,$J$13:$P$13,$R$13+$R$13*(1+$J$50)/($C57-$J$50)))-$J$49+J48)/$J$47</f>
        <v>80.673700600220016</v>
      </c>
      <c r="E57" s="97"/>
      <c r="F57" s="98">
        <f>((NPV($C57,$J$25:$P$25,$R$25+$R$25*(1+$J$50)/($C57-$J$50)))-$J$49+J48)/$J$47</f>
        <v>87.320799818753201</v>
      </c>
      <c r="G57" s="97"/>
      <c r="H57" s="99">
        <f>((NPV($C57,$J$38:$P$38,$R$38+$R$38*(1+$J$50)/($C57-$J$50)))-$J$49+J48)/$J$47</f>
        <v>90.722532038033648</v>
      </c>
      <c r="I57" s="44"/>
      <c r="J57" s="43"/>
      <c r="Q57" s="87"/>
      <c r="R57" s="91"/>
      <c r="S57" s="87"/>
      <c r="T57" s="91"/>
    </row>
    <row r="58" spans="2:27">
      <c r="B58" s="8" t="s">
        <v>10</v>
      </c>
      <c r="C58" s="4">
        <v>0.15</v>
      </c>
      <c r="D58" s="100">
        <f>((NPV($C58,$J$13:$P$13,$R$13+$R$13*(1+$J$50)/($C58-$J$50)))-$J$49+J48)/$J$47</f>
        <v>63.64644660893363</v>
      </c>
      <c r="E58" s="101"/>
      <c r="F58" s="102">
        <f>((NPV($C58,$J$25:$P$25,$R$25+$R$25*(1+$J$50)/($C58-$J$50)))-$J$49+J48)/$J$47</f>
        <v>67.872842514201594</v>
      </c>
      <c r="G58" s="101"/>
      <c r="H58" s="103">
        <f>((NPV($C58,$J$38:$P$38,$R$38+$R$38*(1+$J$50)/($C58-$J$50)))-$J$49+J48)/$J$47</f>
        <v>69.843232048600825</v>
      </c>
      <c r="I58" s="44"/>
      <c r="J58" s="43"/>
      <c r="L58" t="s">
        <v>196</v>
      </c>
      <c r="M58" s="178">
        <v>43395</v>
      </c>
      <c r="Q58" s="87"/>
      <c r="R58" s="91"/>
      <c r="S58" s="87"/>
      <c r="T58" s="91"/>
    </row>
    <row r="59" spans="2:27">
      <c r="C59" s="4"/>
      <c r="D59" s="23"/>
      <c r="F59"/>
      <c r="I59" s="23"/>
      <c r="J59" s="136"/>
      <c r="L59" t="s">
        <v>187</v>
      </c>
      <c r="M59" t="s">
        <v>214</v>
      </c>
      <c r="Q59" s="23"/>
      <c r="R59" s="23"/>
      <c r="S59" s="23"/>
      <c r="T59" s="23"/>
    </row>
    <row r="60" spans="2:27">
      <c r="D60" s="2"/>
      <c r="F60"/>
      <c r="M60" t="s">
        <v>215</v>
      </c>
      <c r="N60" s="23"/>
      <c r="O60" s="23"/>
      <c r="P60" s="107"/>
      <c r="Q60" s="23"/>
      <c r="R60" s="23"/>
      <c r="S60" s="23"/>
      <c r="T60" s="23"/>
    </row>
    <row r="61" spans="2:27">
      <c r="D61" s="30"/>
      <c r="E61" s="30"/>
      <c r="F61" s="109" t="s">
        <v>6</v>
      </c>
      <c r="G61" s="30"/>
      <c r="H61" s="30"/>
      <c r="I61" s="104"/>
      <c r="J61" s="137"/>
      <c r="L61" s="23"/>
      <c r="M61" s="167" t="s">
        <v>216</v>
      </c>
      <c r="N61" s="128"/>
      <c r="O61" s="23"/>
      <c r="P61" s="104"/>
      <c r="Q61" s="104"/>
      <c r="R61" s="104"/>
      <c r="S61" s="104"/>
      <c r="T61" s="104"/>
    </row>
    <row r="62" spans="2:27" ht="14.25">
      <c r="D62" s="85" t="s">
        <v>29</v>
      </c>
      <c r="E62" s="85"/>
      <c r="F62" s="166" t="s">
        <v>31</v>
      </c>
      <c r="G62" s="85"/>
      <c r="H62" s="85" t="s">
        <v>188</v>
      </c>
      <c r="I62" s="62"/>
      <c r="J62" s="61"/>
      <c r="L62" s="23"/>
      <c r="M62" s="183" t="s">
        <v>217</v>
      </c>
      <c r="N62" s="129"/>
      <c r="O62" s="23"/>
      <c r="P62" s="87"/>
      <c r="Q62" s="87"/>
      <c r="R62" s="87"/>
      <c r="S62" s="87"/>
      <c r="T62" s="87"/>
    </row>
    <row r="63" spans="2:27">
      <c r="B63" s="84" t="s">
        <v>8</v>
      </c>
      <c r="C63" s="4">
        <f>C56</f>
        <v>0.08</v>
      </c>
      <c r="D63" s="92">
        <f>((NPV($C63,$J$13:$P$13,$R$13+$R$13*(1+$J$50)/($C63-$J$50)))-$J$49+J48)</f>
        <v>3746429905.6089163</v>
      </c>
      <c r="E63" s="93"/>
      <c r="F63" s="94">
        <f>((NPV($C63,$J$25:$P$25,$R$25+$R$25*(1+$J$50)/($C63-$J$50)))-$J$49+J48)</f>
        <v>4115671682.1635251</v>
      </c>
      <c r="G63" s="93"/>
      <c r="H63" s="95">
        <f>((NPV($C63,$J$38:$P$38,$R$38+$R$38*(1+$J$50)/($C63-$J$50)))-$J$49+J48)</f>
        <v>4317135791.5574503</v>
      </c>
      <c r="I63" s="17"/>
      <c r="J63" s="18"/>
      <c r="L63" s="23"/>
      <c r="M63" s="167"/>
      <c r="N63" s="23"/>
      <c r="O63" s="23"/>
      <c r="P63" s="98"/>
      <c r="Q63" s="97"/>
      <c r="R63" s="98"/>
      <c r="S63" s="97"/>
      <c r="T63" s="98"/>
    </row>
    <row r="64" spans="2:27">
      <c r="B64" s="84" t="s">
        <v>28</v>
      </c>
      <c r="C64" s="4">
        <f>C57</f>
        <v>0.11</v>
      </c>
      <c r="D64" s="96">
        <f>((NPV($C64,$J$13:$P$13,$R$13+$R$13*(1+$J$50)/($C64-$J$50)))-$J$49+J48)</f>
        <v>2793084862.1808176</v>
      </c>
      <c r="E64" s="97"/>
      <c r="F64" s="98">
        <f>((NPV($C64,$J$25:$P$25,$R$25+$R$25*(1+$J$50)/($C64-$J$50)))-$J$49+J48)</f>
        <v>3023220731.3248734</v>
      </c>
      <c r="G64" s="97"/>
      <c r="H64" s="122">
        <f>((NPV($C64,$J$38:$P$38,$R$38+$R$38*(1+$J$50)/($C64-$J$50)))-$J$49+J48)</f>
        <v>3140995504.2208009</v>
      </c>
      <c r="I64" s="17"/>
      <c r="J64" s="18"/>
      <c r="L64" s="23"/>
      <c r="M64" s="167"/>
      <c r="N64" s="23"/>
      <c r="O64" s="23"/>
      <c r="P64" s="98"/>
      <c r="Q64" s="97"/>
      <c r="R64" s="98"/>
      <c r="S64" s="97"/>
      <c r="T64" s="98"/>
    </row>
    <row r="65" spans="1:20">
      <c r="B65" s="8" t="s">
        <v>10</v>
      </c>
      <c r="C65" s="4">
        <f>C58</f>
        <v>0.15</v>
      </c>
      <c r="D65" s="100">
        <f>((NPV($C65,$J$13:$P$13,$R$13+$R$13*(1+$J$50)/($C65-$J$50)))-$J$49+J48)</f>
        <v>2203567274.4945002</v>
      </c>
      <c r="E65" s="101"/>
      <c r="F65" s="102">
        <f>((NPV($C65,$J$25:$P$25,$R$25+$R$25*(1+$J$50)/($C65-$J$50)))-$J$49+J48)</f>
        <v>2349893553.5266876</v>
      </c>
      <c r="G65" s="101"/>
      <c r="H65" s="103">
        <f>((NPV($C65,$J$38:$P$38,$R$38+$R$38*(1+$J$50)/($C65-$J$50)))-$J$49+J48)</f>
        <v>2418112379.9866576</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ht="13.5" customHeight="1">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$291947000.0mm as of 5/16/08.</v>
      </c>
      <c r="F69" s="87"/>
      <c r="G69" s="87"/>
      <c r="H69" s="87"/>
      <c r="I69" s="87"/>
      <c r="J69" s="87"/>
      <c r="L69" s="82"/>
      <c r="M69" s="165"/>
      <c r="N69" s="82"/>
    </row>
    <row r="70" spans="1:20">
      <c r="A70" s="1" t="str">
        <f>"(2)  Assumes outstanding diluted shares of "&amp;TEXT(J47,"0.000")&amp;" million."</f>
        <v>(2)  Assumes outstanding diluted shares of 34622000.000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v>2</v>
      </c>
      <c r="G76" s="87"/>
      <c r="H76" s="91"/>
      <c r="I76" s="87"/>
      <c r="J76" s="91"/>
      <c r="M76" s="146"/>
      <c r="P76" s="79"/>
    </row>
    <row r="77" spans="1:20" ht="12.75" customHeight="1">
      <c r="B77" s="135" t="s">
        <v>140</v>
      </c>
      <c r="F77" s="159" t="s">
        <v>225</v>
      </c>
      <c r="G77" s="23"/>
      <c r="H77" s="190">
        <f>(6-2.5)/2.5</f>
        <v>1.4</v>
      </c>
      <c r="I77" s="23"/>
      <c r="J77" s="190">
        <f>H77/2</f>
        <v>0.7</v>
      </c>
      <c r="L77" s="135" t="s">
        <v>226</v>
      </c>
      <c r="M77" s="146"/>
    </row>
    <row r="78" spans="1:20" ht="12.75" customHeight="1">
      <c r="B78" s="135" t="s">
        <v>141</v>
      </c>
      <c r="C78" s="83"/>
      <c r="F78" s="159" t="s">
        <v>227</v>
      </c>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59" t="s">
        <v>228</v>
      </c>
      <c r="G81" s="87"/>
      <c r="H81" s="87"/>
      <c r="I81" s="87"/>
      <c r="J81" s="87"/>
      <c r="M81" s="146"/>
    </row>
    <row r="82" spans="1:13" ht="12.75" customHeight="1">
      <c r="B82" s="135" t="s">
        <v>39</v>
      </c>
      <c r="C82" s="83"/>
      <c r="F82" s="160">
        <v>71</v>
      </c>
      <c r="G82" s="87"/>
      <c r="H82" s="87"/>
      <c r="I82" s="87"/>
      <c r="J82" s="87"/>
      <c r="M82" s="146"/>
    </row>
    <row r="83" spans="1:13" ht="12.75" customHeight="1">
      <c r="B83" s="135" t="s">
        <v>203</v>
      </c>
      <c r="C83" s="83"/>
      <c r="F83" s="159" t="s">
        <v>229</v>
      </c>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t="s">
        <v>230</v>
      </c>
      <c r="G86" s="97"/>
      <c r="H86" s="98"/>
      <c r="I86" s="97"/>
      <c r="J86" s="98"/>
      <c r="M86" s="146"/>
    </row>
    <row r="87" spans="1:13" ht="12.75" customHeight="1">
      <c r="A87" s="151" t="s">
        <v>155</v>
      </c>
      <c r="B87" s="135" t="s">
        <v>101</v>
      </c>
      <c r="C87" s="8"/>
      <c r="D87" s="4"/>
      <c r="E87" s="23"/>
      <c r="F87" s="141" t="s">
        <v>135</v>
      </c>
      <c r="G87" s="97"/>
      <c r="H87" s="98"/>
      <c r="I87" s="97"/>
      <c r="J87" s="98"/>
      <c r="M87" s="146"/>
    </row>
    <row r="88" spans="1:13" ht="12.75" customHeight="1">
      <c r="A88" s="151" t="s">
        <v>156</v>
      </c>
      <c r="B88" s="135" t="s">
        <v>143</v>
      </c>
      <c r="C88" s="8"/>
      <c r="D88" s="4"/>
      <c r="E88" s="23"/>
      <c r="F88" s="141" t="s">
        <v>231</v>
      </c>
      <c r="G88" s="97"/>
      <c r="H88" s="98"/>
      <c r="I88" s="97"/>
      <c r="J88" s="98"/>
      <c r="M88" s="146"/>
    </row>
    <row r="89" spans="1:13" ht="12.75" customHeight="1">
      <c r="A89" s="151" t="s">
        <v>157</v>
      </c>
      <c r="B89" s="135" t="s">
        <v>144</v>
      </c>
      <c r="F89" s="142" t="s">
        <v>232</v>
      </c>
      <c r="J89" s="142"/>
      <c r="M89" s="146"/>
    </row>
    <row r="90" spans="1:13" ht="12.75" customHeight="1">
      <c r="A90" s="151" t="s">
        <v>158</v>
      </c>
      <c r="B90" s="135" t="s">
        <v>145</v>
      </c>
      <c r="F90" s="179" t="s">
        <v>233</v>
      </c>
      <c r="J90" s="142"/>
      <c r="M90" s="146"/>
    </row>
    <row r="91" spans="1:13" ht="12.75" customHeight="1">
      <c r="A91" s="151" t="s">
        <v>159</v>
      </c>
      <c r="B91" s="135" t="s">
        <v>154</v>
      </c>
      <c r="F91" s="179" t="s">
        <v>234</v>
      </c>
      <c r="J91" s="146"/>
      <c r="M91" s="146"/>
    </row>
    <row r="92" spans="1:13" ht="12.75" customHeight="1">
      <c r="A92" s="151" t="s">
        <v>160</v>
      </c>
      <c r="B92" s="135" t="s">
        <v>41</v>
      </c>
      <c r="F92" s="179" t="s">
        <v>233</v>
      </c>
      <c r="J92" s="146"/>
      <c r="M92" s="146"/>
    </row>
    <row r="93" spans="1:13" ht="12.75" customHeight="1">
      <c r="A93" s="151" t="s">
        <v>161</v>
      </c>
      <c r="B93" s="135" t="s">
        <v>146</v>
      </c>
      <c r="F93" s="179" t="s">
        <v>134</v>
      </c>
      <c r="J93" s="146"/>
      <c r="M93" s="146"/>
    </row>
    <row r="94" spans="1:13" ht="12.75" customHeight="1">
      <c r="A94" s="151" t="s">
        <v>162</v>
      </c>
      <c r="B94" s="135" t="s">
        <v>148</v>
      </c>
      <c r="F94" s="179" t="s">
        <v>134</v>
      </c>
      <c r="J94" s="146"/>
    </row>
    <row r="95" spans="1:13" ht="12.75" customHeight="1">
      <c r="A95" s="151" t="s">
        <v>163</v>
      </c>
      <c r="B95" s="135" t="s">
        <v>147</v>
      </c>
      <c r="F95" s="179" t="s">
        <v>134</v>
      </c>
      <c r="J95" s="146"/>
    </row>
    <row r="96" spans="1:13">
      <c r="A96" s="151" t="s">
        <v>164</v>
      </c>
      <c r="B96" s="135" t="s">
        <v>150</v>
      </c>
      <c r="F96" s="179" t="s">
        <v>235</v>
      </c>
    </row>
    <row r="97" spans="1:6">
      <c r="A97" s="151" t="s">
        <v>165</v>
      </c>
      <c r="B97" s="135" t="s">
        <v>151</v>
      </c>
      <c r="F97" s="179" t="s">
        <v>236</v>
      </c>
    </row>
    <row r="98" spans="1:6">
      <c r="A98" s="151" t="s">
        <v>166</v>
      </c>
      <c r="B98" s="135" t="s">
        <v>152</v>
      </c>
      <c r="F98" s="179" t="s">
        <v>237</v>
      </c>
    </row>
    <row r="99" spans="1:6">
      <c r="A99" s="151" t="s">
        <v>167</v>
      </c>
      <c r="B99" s="135" t="s">
        <v>153</v>
      </c>
      <c r="F99" s="179" t="s">
        <v>238</v>
      </c>
    </row>
    <row r="100" spans="1:6">
      <c r="A100" s="151" t="s">
        <v>171</v>
      </c>
      <c r="B100" s="135" t="s">
        <v>168</v>
      </c>
      <c r="F100" s="179" t="s">
        <v>239</v>
      </c>
    </row>
    <row r="101" spans="1:6">
      <c r="A101" s="151" t="s">
        <v>172</v>
      </c>
      <c r="B101" s="135" t="s">
        <v>170</v>
      </c>
      <c r="F101" s="179" t="s">
        <v>240</v>
      </c>
    </row>
    <row r="102" spans="1:6">
      <c r="A102" s="151" t="s">
        <v>173</v>
      </c>
      <c r="B102" s="135" t="s">
        <v>169</v>
      </c>
      <c r="F102" s="179" t="s">
        <v>241</v>
      </c>
    </row>
    <row r="103" spans="1:6">
      <c r="A103" s="151" t="s">
        <v>177</v>
      </c>
      <c r="B103" s="135" t="s">
        <v>178</v>
      </c>
      <c r="F103" s="179" t="s">
        <v>242</v>
      </c>
    </row>
    <row r="104" spans="1:6">
      <c r="A104">
        <v>19</v>
      </c>
      <c r="B104" s="135" t="s">
        <v>189</v>
      </c>
      <c r="F104" s="179" t="s">
        <v>233</v>
      </c>
    </row>
    <row r="105" spans="1:6">
      <c r="A105">
        <v>20</v>
      </c>
      <c r="B105" s="135" t="s">
        <v>190</v>
      </c>
      <c r="F105" s="179" t="s">
        <v>233</v>
      </c>
    </row>
    <row r="106" spans="1:6">
      <c r="A106">
        <v>21</v>
      </c>
      <c r="B106" s="135" t="s">
        <v>191</v>
      </c>
      <c r="F106" s="192">
        <v>0.05</v>
      </c>
    </row>
    <row r="110" spans="1:6">
      <c r="B110" s="168" t="s">
        <v>192</v>
      </c>
    </row>
    <row r="111" spans="1:6">
      <c r="B111" s="135" t="s">
        <v>193</v>
      </c>
    </row>
    <row r="118" spans="2:2">
      <c r="B118" t="s">
        <v>194</v>
      </c>
    </row>
    <row r="119" spans="2:2">
      <c r="B119" t="s">
        <v>195</v>
      </c>
    </row>
  </sheetData>
  <mergeCells count="15">
    <mergeCell ref="X52:X53"/>
    <mergeCell ref="Y52:Y53"/>
    <mergeCell ref="Z52:Z53"/>
    <mergeCell ref="AA52:AA53"/>
    <mergeCell ref="X54:X55"/>
    <mergeCell ref="Y54:Y55"/>
    <mergeCell ref="Z54:Z55"/>
    <mergeCell ref="AA54:AA55"/>
    <mergeCell ref="AA48:AA49"/>
    <mergeCell ref="H46:J46"/>
    <mergeCell ref="X46:Z46"/>
    <mergeCell ref="X47:Z47"/>
    <mergeCell ref="X48:X49"/>
    <mergeCell ref="Y48:Y49"/>
    <mergeCell ref="Z48:Z49"/>
  </mergeCells>
  <conditionalFormatting sqref="B6:T13">
    <cfRule type="expression" dxfId="83" priority="6">
      <formula>MOD(ROW(),2)=0</formula>
    </cfRule>
  </conditionalFormatting>
  <conditionalFormatting sqref="B18:T25">
    <cfRule type="expression" dxfId="82" priority="5">
      <formula>MOD(ROW(),2)=0</formula>
    </cfRule>
  </conditionalFormatting>
  <conditionalFormatting sqref="B31:T39">
    <cfRule type="expression" dxfId="81" priority="4">
      <formula>MOD(ROW(),2)=0</formula>
    </cfRule>
  </conditionalFormatting>
  <conditionalFormatting sqref="D56:H58">
    <cfRule type="expression" dxfId="80" priority="3">
      <formula>MOD(ROW(),2)=0</formula>
    </cfRule>
  </conditionalFormatting>
  <conditionalFormatting sqref="D63:H65">
    <cfRule type="expression" dxfId="79" priority="2">
      <formula>MOD(ROW(),2)=0</formula>
    </cfRule>
  </conditionalFormatting>
  <conditionalFormatting sqref="C47:E51">
    <cfRule type="expression" dxfId="78" priority="1">
      <formula>MOD(ROW(),2)=0</formula>
    </cfRule>
  </conditionalFormatting>
  <pageMargins left="0.75" right="0.75" top="1" bottom="1" header="0.5" footer="0.5"/>
  <pageSetup paperSize="119"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X119"/>
  <sheetViews>
    <sheetView showGridLines="0" topLeftCell="A44" zoomScaleNormal="100" workbookViewId="0">
      <selection activeCell="M67" sqref="M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2018</v>
      </c>
      <c r="C47" s="88">
        <v>0.99</v>
      </c>
      <c r="D47" s="88">
        <v>1</v>
      </c>
      <c r="E47" s="88">
        <v>1.01</v>
      </c>
      <c r="H47" s="156" t="s">
        <v>15</v>
      </c>
      <c r="I47" s="156"/>
      <c r="J47" s="161"/>
      <c r="M47" t="s">
        <v>55</v>
      </c>
      <c r="P47" s="2"/>
      <c r="X47" s="127"/>
    </row>
    <row r="48" spans="1:24">
      <c r="B48" s="90">
        <f>B47+1</f>
        <v>2019</v>
      </c>
      <c r="C48" s="88">
        <v>0.98</v>
      </c>
      <c r="D48" s="88">
        <v>1</v>
      </c>
      <c r="E48" s="88">
        <v>1.02</v>
      </c>
      <c r="H48" s="156" t="s">
        <v>99</v>
      </c>
      <c r="I48" s="156"/>
      <c r="J48" s="157"/>
      <c r="M48" t="s">
        <v>56</v>
      </c>
      <c r="P48" s="2"/>
      <c r="X48" s="127"/>
    </row>
    <row r="49" spans="2:24">
      <c r="B49" s="90">
        <f>B48+1</f>
        <v>2020</v>
      </c>
      <c r="C49" s="88">
        <v>0.97</v>
      </c>
      <c r="D49" s="88">
        <v>1</v>
      </c>
      <c r="E49" s="88">
        <v>1.03</v>
      </c>
      <c r="H49" s="156" t="s">
        <v>14</v>
      </c>
      <c r="I49" s="156"/>
      <c r="J49" s="157"/>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t="e">
        <f>((NPV($C56,$J$13:$P$13,$R$13+$R$13*(1+$J$50)/($C56-$J$50)))-$J$49+J48)/$J$47</f>
        <v>#DIV/0!</v>
      </c>
      <c r="E56" s="93"/>
      <c r="F56" s="94" t="e">
        <f>((NPV($C56,$J$25:$P$25,$R$25+$R$25*(1+$J$50)/($C56-$J$50)))-$J$49+J48)/$J$47</f>
        <v>#DIV/0!</v>
      </c>
      <c r="G56" s="93"/>
      <c r="H56" s="123" t="e">
        <f>((NPV($C56,$J$38:$P$38,$R$38+$R$38*(1+$J$50)/($C56-$J$50)))-$J$49+J48)/$J$47</f>
        <v>#DIV/0!</v>
      </c>
      <c r="I56" s="10"/>
      <c r="J56" s="11"/>
      <c r="M56" s="135" t="s">
        <v>186</v>
      </c>
      <c r="Q56" s="87"/>
      <c r="R56" s="91"/>
      <c r="S56" s="87"/>
      <c r="T56" s="91"/>
    </row>
    <row r="57" spans="2:24">
      <c r="B57" s="84" t="s">
        <v>28</v>
      </c>
      <c r="C57" s="4">
        <v>0.11</v>
      </c>
      <c r="D57" s="96" t="e">
        <f>((NPV($C57,$J$13:$P$13,$R$13+$R$13*(1+$J$50)/($C57-$J$50)))-$J$49+J48)/$J$47</f>
        <v>#DIV/0!</v>
      </c>
      <c r="E57" s="97"/>
      <c r="F57" s="98" t="e">
        <f>((NPV($C57,$J$25:$P$25,$R$25+$R$25*(1+$J$50)/($C57-$J$50)))-$J$49+J48)/$J$47</f>
        <v>#DIV/0!</v>
      </c>
      <c r="G57" s="97"/>
      <c r="H57" s="99" t="e">
        <f>((NPV($C57,$J$38:$P$38,$R$38+$R$38*(1+$J$50)/($C57-$J$50)))-$J$49+J48)/$J$47</f>
        <v>#DIV/0!</v>
      </c>
      <c r="I57" s="44"/>
      <c r="J57" s="43"/>
      <c r="Q57" s="87"/>
      <c r="R57" s="91"/>
      <c r="S57" s="87"/>
      <c r="T57" s="91"/>
    </row>
    <row r="58" spans="2:24">
      <c r="B58" s="8" t="s">
        <v>10</v>
      </c>
      <c r="C58" s="4">
        <v>0.15</v>
      </c>
      <c r="D58" s="100" t="e">
        <f>((NPV($C58,$J$13:$P$13,$R$13+$R$13*(1+$J$50)/($C58-$J$50)))-$J$49+J48)/$J$47</f>
        <v>#DIV/0!</v>
      </c>
      <c r="E58" s="101"/>
      <c r="F58" s="102" t="e">
        <f>((NPV($C58,$J$25:$P$25,$R$25+$R$25*(1+$J$50)/($C58-$J$50)))-$J$49+J48)/$J$47</f>
        <v>#DIV/0!</v>
      </c>
      <c r="G58" s="101"/>
      <c r="H58" s="103" t="e">
        <f>((NPV($C58,$J$38:$P$38,$R$38+$R$38*(1+$J$50)/($C58-$J$50)))-$J$49+J48)/$J$47</f>
        <v>#DIV/0!</v>
      </c>
      <c r="I58" s="44"/>
      <c r="J58" s="43"/>
      <c r="L58" t="s">
        <v>196</v>
      </c>
      <c r="M58" s="178">
        <v>43409</v>
      </c>
      <c r="Q58" s="87"/>
      <c r="R58" s="91"/>
      <c r="S58" s="87"/>
      <c r="T58" s="91"/>
    </row>
    <row r="59" spans="2:24">
      <c r="C59" s="4"/>
      <c r="D59" s="23"/>
      <c r="I59" s="23"/>
      <c r="J59" s="136"/>
      <c r="L59" t="s">
        <v>187</v>
      </c>
      <c r="M59" s="146" t="s">
        <v>280</v>
      </c>
      <c r="Q59" s="23"/>
      <c r="R59" s="23"/>
      <c r="S59" s="23"/>
      <c r="T59" s="23"/>
    </row>
    <row r="60" spans="2:24">
      <c r="D60" s="2"/>
      <c r="M60" s="146" t="s">
        <v>281</v>
      </c>
      <c r="N60" s="23"/>
      <c r="O60" s="23"/>
      <c r="P60" s="107"/>
      <c r="Q60" s="23"/>
      <c r="R60" s="23"/>
      <c r="S60" s="23"/>
      <c r="T60" s="23"/>
    </row>
    <row r="61" spans="2:24">
      <c r="D61" s="30"/>
      <c r="E61" s="30"/>
      <c r="F61" s="109" t="s">
        <v>6</v>
      </c>
      <c r="G61" s="30"/>
      <c r="H61" s="30"/>
      <c r="I61" s="104"/>
      <c r="J61" s="137"/>
      <c r="L61" s="23"/>
      <c r="M61" s="159" t="s">
        <v>288</v>
      </c>
      <c r="N61" s="128"/>
      <c r="O61" s="23"/>
      <c r="P61" s="104"/>
      <c r="Q61" s="104"/>
      <c r="R61" s="104"/>
      <c r="S61" s="104"/>
      <c r="T61" s="104"/>
    </row>
    <row r="62" spans="2:24">
      <c r="D62" s="85" t="s">
        <v>29</v>
      </c>
      <c r="E62" s="85"/>
      <c r="F62" s="166" t="s">
        <v>31</v>
      </c>
      <c r="G62" s="85"/>
      <c r="H62" s="85" t="s">
        <v>188</v>
      </c>
      <c r="I62" s="62"/>
      <c r="J62" s="61"/>
      <c r="L62" s="23"/>
      <c r="M62" s="160" t="s">
        <v>282</v>
      </c>
      <c r="N62" s="129"/>
      <c r="O62" s="23"/>
      <c r="P62" s="87"/>
      <c r="Q62" s="87"/>
      <c r="R62" s="87"/>
      <c r="S62" s="87"/>
      <c r="T62" s="87"/>
    </row>
    <row r="63" spans="2:24">
      <c r="B63" s="84" t="s">
        <v>8</v>
      </c>
      <c r="C63" s="4">
        <f>C56</f>
        <v>0.08</v>
      </c>
      <c r="D63" s="92">
        <f>((NPV($C63,$J$13:$P$13,$R$13+$R$13*(1+$J$50)/($C63-$J$50)))-$J$49+J48)</f>
        <v>0</v>
      </c>
      <c r="E63" s="93"/>
      <c r="F63" s="94">
        <f>((NPV($C63,$J$25:$P$25,$R$25+$R$25*(1+$J$50)/($C63-$J$50)))-$J$49+J48)</f>
        <v>0</v>
      </c>
      <c r="G63" s="93"/>
      <c r="H63" s="95">
        <f>((NPV($C63,$J$38:$P$38,$R$38+$R$38*(1+$J$50)/($C63-$J$50)))-$J$49+J48)</f>
        <v>0</v>
      </c>
      <c r="I63" s="17"/>
      <c r="J63" s="18"/>
      <c r="L63" s="23"/>
      <c r="M63" s="159" t="s">
        <v>283</v>
      </c>
      <c r="N63" s="23"/>
      <c r="O63" s="23"/>
      <c r="P63" s="98"/>
      <c r="Q63" s="97"/>
      <c r="R63" s="98"/>
      <c r="S63" s="97"/>
      <c r="T63" s="98"/>
    </row>
    <row r="64" spans="2:24">
      <c r="B64" s="84" t="s">
        <v>28</v>
      </c>
      <c r="C64" s="4">
        <f>C57</f>
        <v>0.11</v>
      </c>
      <c r="D64" s="96">
        <f>((NPV($C64,$J$13:$P$13,$R$13+$R$13*(1+$J$50)/($C64-$J$50)))-$J$49+J48)</f>
        <v>0</v>
      </c>
      <c r="E64" s="97"/>
      <c r="F64" s="98">
        <f>((NPV($C64,$J$25:$P$25,$R$25+$R$25*(1+$J$50)/($C64-$J$50)))-$J$49+J48)</f>
        <v>0</v>
      </c>
      <c r="G64" s="97"/>
      <c r="H64" s="122">
        <f>((NPV($C64,$J$38:$P$38,$R$38+$R$38*(1+$J$50)/($C64-$J$50)))-$J$49+J48)</f>
        <v>0</v>
      </c>
      <c r="I64" s="17"/>
      <c r="J64" s="18"/>
      <c r="L64" s="23"/>
      <c r="M64" s="159" t="s">
        <v>369</v>
      </c>
      <c r="N64" s="23"/>
      <c r="O64" s="23"/>
      <c r="P64" s="98"/>
      <c r="Q64" s="97"/>
      <c r="R64" s="98">
        <v>3600</v>
      </c>
      <c r="S64" s="97"/>
      <c r="T64" s="212">
        <f>1825/R64</f>
        <v>0.50694444444444442</v>
      </c>
    </row>
    <row r="65" spans="1:20">
      <c r="B65" s="8" t="s">
        <v>10</v>
      </c>
      <c r="C65" s="4">
        <f>C58</f>
        <v>0.15</v>
      </c>
      <c r="D65" s="100">
        <f>((NPV($C65,$J$13:$P$13,$R$13+$R$13*(1+$J$50)/($C65-$J$50)))-$J$49+J48)</f>
        <v>0</v>
      </c>
      <c r="E65" s="101"/>
      <c r="F65" s="102">
        <f>((NPV($C65,$J$25:$P$25,$R$25+$R$25*(1+$J$50)/($C65-$J$50)))-$J$49+J48)</f>
        <v>0</v>
      </c>
      <c r="G65" s="101"/>
      <c r="H65" s="103">
        <f>((NPV($C65,$J$38:$P$38,$R$38+$R$38*(1+$J$50)/($C65-$J$50)))-$J$49+J48)</f>
        <v>0</v>
      </c>
      <c r="I65" s="17"/>
      <c r="J65" s="18"/>
      <c r="L65" s="23"/>
      <c r="M65" s="160" t="s">
        <v>370</v>
      </c>
      <c r="N65" s="23"/>
      <c r="O65" s="23"/>
      <c r="P65" s="98"/>
      <c r="Q65" s="97"/>
      <c r="R65" s="98"/>
      <c r="S65" s="97"/>
      <c r="T65" s="98"/>
    </row>
    <row r="66" spans="1:20" ht="15.75">
      <c r="E66" s="23"/>
      <c r="F66" s="23"/>
      <c r="G66" s="23"/>
      <c r="H66" s="23"/>
      <c r="I66" s="23"/>
      <c r="J66" s="23"/>
      <c r="L66" s="132"/>
      <c r="M66" s="160" t="s">
        <v>371</v>
      </c>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t="s">
        <v>284</v>
      </c>
      <c r="G76" s="87"/>
      <c r="H76" s="91"/>
      <c r="I76" s="87"/>
      <c r="J76" s="91"/>
      <c r="M76" s="146"/>
      <c r="P76" s="79"/>
    </row>
    <row r="77" spans="1:20" ht="12.75" customHeight="1">
      <c r="B77" s="135" t="s">
        <v>140</v>
      </c>
      <c r="F77" s="160" t="s">
        <v>285</v>
      </c>
      <c r="G77" s="23"/>
      <c r="H77" s="23" t="s">
        <v>287</v>
      </c>
      <c r="I77" s="23"/>
      <c r="J77" s="23"/>
      <c r="M77" s="146"/>
    </row>
    <row r="78" spans="1:20" ht="12.75" customHeight="1">
      <c r="B78" s="135" t="s">
        <v>141</v>
      </c>
      <c r="C78" s="83"/>
      <c r="F78" s="198">
        <v>0.5</v>
      </c>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t="s">
        <v>286</v>
      </c>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F107" s="146"/>
    </row>
    <row r="108" spans="1:6">
      <c r="F108" s="146"/>
    </row>
    <row r="109" spans="1:6">
      <c r="F109" s="146"/>
    </row>
    <row r="110" spans="1:6">
      <c r="B110" s="168" t="s">
        <v>192</v>
      </c>
      <c r="F110" s="146"/>
    </row>
    <row r="111" spans="1:6">
      <c r="B111" s="135" t="s">
        <v>193</v>
      </c>
      <c r="F111" s="146"/>
    </row>
    <row r="118" spans="2:2">
      <c r="B118" t="s">
        <v>194</v>
      </c>
    </row>
    <row r="119" spans="2:2">
      <c r="B119" t="s">
        <v>195</v>
      </c>
    </row>
  </sheetData>
  <mergeCells count="1">
    <mergeCell ref="H46:J46"/>
  </mergeCells>
  <conditionalFormatting sqref="B6:T13">
    <cfRule type="expression" dxfId="77" priority="6">
      <formula>MOD(ROW(),2)=0</formula>
    </cfRule>
  </conditionalFormatting>
  <conditionalFormatting sqref="B18:T25">
    <cfRule type="expression" dxfId="76" priority="5">
      <formula>MOD(ROW(),2)=0</formula>
    </cfRule>
  </conditionalFormatting>
  <conditionalFormatting sqref="B31:T39">
    <cfRule type="expression" dxfId="75" priority="4">
      <formula>MOD(ROW(),2)=0</formula>
    </cfRule>
  </conditionalFormatting>
  <conditionalFormatting sqref="D56:H58">
    <cfRule type="expression" dxfId="74" priority="3">
      <formula>MOD(ROW(),2)=0</formula>
    </cfRule>
  </conditionalFormatting>
  <conditionalFormatting sqref="D63:H65">
    <cfRule type="expression" dxfId="73" priority="2">
      <formula>MOD(ROW(),2)=0</formula>
    </cfRule>
  </conditionalFormatting>
  <conditionalFormatting sqref="C47:E51">
    <cfRule type="expression" dxfId="72" priority="1">
      <formula>MOD(ROW(),2)=0</formula>
    </cfRule>
  </conditionalFormatting>
  <pageMargins left="0.75" right="0.75" top="1" bottom="1" header="0.5" footer="0.5"/>
  <pageSetup paperSize="119"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X119"/>
  <sheetViews>
    <sheetView showGridLines="0" topLeftCell="A40" zoomScaleNormal="100" workbookViewId="0">
      <selection activeCell="M67" sqref="M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25000000</v>
      </c>
      <c r="I11" s="112"/>
      <c r="J11" s="112">
        <f>H11</f>
        <v>25000000</v>
      </c>
      <c r="K11" s="112"/>
      <c r="L11" s="112">
        <f>J11</f>
        <v>25000000</v>
      </c>
      <c r="M11" s="112"/>
      <c r="N11" s="112">
        <f>L11</f>
        <v>25000000</v>
      </c>
      <c r="O11" s="112"/>
      <c r="P11" s="112">
        <f>N11</f>
        <v>25000000</v>
      </c>
      <c r="Q11" s="112"/>
      <c r="R11" s="112">
        <f>P11</f>
        <v>25000000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25000000</v>
      </c>
      <c r="J13" s="120">
        <f>SUM(J10:J12)</f>
        <v>25000000</v>
      </c>
      <c r="K13" s="114"/>
      <c r="L13" s="120">
        <f>SUM(L10:L12)</f>
        <v>25000000</v>
      </c>
      <c r="M13" s="114"/>
      <c r="N13" s="120">
        <f>SUM(N10:N12)</f>
        <v>25000000</v>
      </c>
      <c r="O13" s="114"/>
      <c r="P13" s="120">
        <f>SUM(P10:P12)</f>
        <v>25000000</v>
      </c>
      <c r="Q13" s="114"/>
      <c r="R13" s="120">
        <f>SUM(R10:R12)</f>
        <v>25000000</v>
      </c>
      <c r="T13" s="4">
        <f>(R13/J13)^(1/4)-1</f>
        <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25000000</v>
      </c>
      <c r="I23" s="112"/>
      <c r="J23" s="112">
        <f>J11</f>
        <v>25000000</v>
      </c>
      <c r="K23" s="112"/>
      <c r="L23" s="112">
        <f>L11</f>
        <v>25000000</v>
      </c>
      <c r="M23" s="112"/>
      <c r="N23" s="112">
        <f>N11</f>
        <v>25000000</v>
      </c>
      <c r="O23" s="112"/>
      <c r="P23" s="112">
        <f>P11</f>
        <v>25000000</v>
      </c>
      <c r="Q23" s="112"/>
      <c r="R23" s="112">
        <f>R11</f>
        <v>25000000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25000000</v>
      </c>
      <c r="I25" s="114"/>
      <c r="J25" s="120">
        <f>SUM(J22:J24)</f>
        <v>25000000</v>
      </c>
      <c r="K25" s="114"/>
      <c r="L25" s="120">
        <f>SUM(L22:L24)</f>
        <v>25000000</v>
      </c>
      <c r="M25" s="114"/>
      <c r="N25" s="120">
        <f>SUM(N22:N24)</f>
        <v>25000000</v>
      </c>
      <c r="O25" s="114"/>
      <c r="P25" s="120">
        <f>SUM(P22:P24)</f>
        <v>25000000</v>
      </c>
      <c r="Q25" s="114"/>
      <c r="R25" s="120">
        <f>SUM(R22:R24)</f>
        <v>25000000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25000000</v>
      </c>
      <c r="I36" s="112"/>
      <c r="J36" s="112">
        <f>J11</f>
        <v>25000000</v>
      </c>
      <c r="K36" s="112"/>
      <c r="L36" s="112">
        <f>L11</f>
        <v>25000000</v>
      </c>
      <c r="M36" s="112"/>
      <c r="N36" s="112">
        <f>N11</f>
        <v>25000000</v>
      </c>
      <c r="O36" s="112"/>
      <c r="P36" s="112">
        <f>P11</f>
        <v>25000000</v>
      </c>
      <c r="Q36" s="112"/>
      <c r="R36" s="112">
        <f>R11</f>
        <v>25000000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25000000</v>
      </c>
      <c r="I38" s="153"/>
      <c r="J38" s="120">
        <f>SUM(J35:J37)</f>
        <v>25000000</v>
      </c>
      <c r="K38" s="114"/>
      <c r="L38" s="120">
        <f>SUM(L35:L37)</f>
        <v>25000000</v>
      </c>
      <c r="M38" s="114"/>
      <c r="N38" s="120">
        <f>SUM(N35:N37)</f>
        <v>25000000</v>
      </c>
      <c r="O38" s="114"/>
      <c r="P38" s="120">
        <f>SUM(P35:P37)</f>
        <v>25000000</v>
      </c>
      <c r="Q38" s="114"/>
      <c r="R38" s="120">
        <f>SUM(R35:R37)</f>
        <v>25000000</v>
      </c>
      <c r="T38" s="4">
        <f>(R38/J38)^(1/4)-1</f>
        <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2018</v>
      </c>
      <c r="C47" s="88">
        <v>0.99</v>
      </c>
      <c r="D47" s="88">
        <v>1</v>
      </c>
      <c r="E47" s="88">
        <v>1.01</v>
      </c>
      <c r="H47" s="156" t="s">
        <v>15</v>
      </c>
      <c r="I47" s="156"/>
      <c r="J47" s="197">
        <v>89359959</v>
      </c>
      <c r="M47" t="s">
        <v>55</v>
      </c>
      <c r="P47" s="2"/>
      <c r="X47" s="127"/>
    </row>
    <row r="48" spans="1:24">
      <c r="B48" s="90">
        <f>B47+1</f>
        <v>2019</v>
      </c>
      <c r="C48" s="88">
        <v>0.98</v>
      </c>
      <c r="D48" s="88">
        <v>1</v>
      </c>
      <c r="E48" s="88">
        <v>1.02</v>
      </c>
      <c r="H48" s="156" t="s">
        <v>99</v>
      </c>
      <c r="I48" s="156"/>
      <c r="J48" s="157">
        <v>18715000</v>
      </c>
      <c r="M48" t="s">
        <v>56</v>
      </c>
      <c r="P48" s="2"/>
      <c r="X48" s="127"/>
    </row>
    <row r="49" spans="2:24">
      <c r="B49" s="90">
        <f>B48+1</f>
        <v>2020</v>
      </c>
      <c r="C49" s="88">
        <v>0.97</v>
      </c>
      <c r="D49" s="88">
        <v>1</v>
      </c>
      <c r="E49" s="88">
        <v>1.03</v>
      </c>
      <c r="H49" s="156" t="s">
        <v>14</v>
      </c>
      <c r="I49" s="156"/>
      <c r="J49" s="157">
        <v>28000000</v>
      </c>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f>((NPV($C56,$J$13:$P$13,$R$13+$R$13*(1+$J$50)/($C56-$J$50)))-$J$49+J48)/$J$47</f>
        <v>4.2500087725677798</v>
      </c>
      <c r="E56" s="93"/>
      <c r="F56" s="94">
        <f>((NPV($C56,$J$25:$P$25,$R$25+$R$25*(1+$J$50)/($C56-$J$50)))-$J$49+J48)/$J$47</f>
        <v>4.2500087725677798</v>
      </c>
      <c r="G56" s="93"/>
      <c r="H56" s="123">
        <f>((NPV($C56,$J$38:$P$38,$R$38+$R$38*(1+$J$50)/($C56-$J$50)))-$J$49+J48)/$J$47</f>
        <v>4.2500087725677798</v>
      </c>
      <c r="I56" s="10"/>
      <c r="J56" s="11"/>
      <c r="M56" s="135" t="s">
        <v>186</v>
      </c>
      <c r="Q56" s="87"/>
      <c r="R56" s="91"/>
      <c r="S56" s="87"/>
      <c r="T56" s="91"/>
    </row>
    <row r="57" spans="2:24">
      <c r="B57" s="84" t="s">
        <v>28</v>
      </c>
      <c r="C57" s="4">
        <v>0.11</v>
      </c>
      <c r="D57" s="96">
        <f>((NPV($C57,$J$13:$P$13,$R$13+$R$13*(1+$J$50)/($C57-$J$50)))-$J$49+J48)/$J$47</f>
        <v>2.8117399694773981</v>
      </c>
      <c r="E57" s="97"/>
      <c r="F57" s="98">
        <f>((NPV($C57,$J$25:$P$25,$R$25+$R$25*(1+$J$50)/($C57-$J$50)))-$J$49+J48)/$J$47</f>
        <v>2.8117399694773981</v>
      </c>
      <c r="G57" s="97"/>
      <c r="H57" s="99">
        <f>((NPV($C57,$J$38:$P$38,$R$38+$R$38*(1+$J$50)/($C57-$J$50)))-$J$49+J48)/$J$47</f>
        <v>2.8117399694773981</v>
      </c>
      <c r="I57" s="44"/>
      <c r="J57" s="43"/>
      <c r="Q57" s="87"/>
      <c r="R57" s="91"/>
      <c r="S57" s="87"/>
      <c r="T57" s="91"/>
    </row>
    <row r="58" spans="2:24">
      <c r="B58" s="8" t="s">
        <v>10</v>
      </c>
      <c r="C58" s="4">
        <v>0.15</v>
      </c>
      <c r="D58" s="100">
        <f>((NPV($C58,$J$13:$P$13,$R$13+$R$13*(1+$J$50)/($C58-$J$50)))-$J$49+J48)/$J$47</f>
        <v>1.9252695303637879</v>
      </c>
      <c r="E58" s="101"/>
      <c r="F58" s="102">
        <f>((NPV($C58,$J$25:$P$25,$R$25+$R$25*(1+$J$50)/($C58-$J$50)))-$J$49+J48)/$J$47</f>
        <v>1.9252695303637879</v>
      </c>
      <c r="G58" s="101"/>
      <c r="H58" s="103">
        <f>((NPV($C58,$J$38:$P$38,$R$38+$R$38*(1+$J$50)/($C58-$J$50)))-$J$49+J48)/$J$47</f>
        <v>1.9252695303637879</v>
      </c>
      <c r="I58" s="44"/>
      <c r="J58" s="43"/>
      <c r="L58" t="s">
        <v>196</v>
      </c>
      <c r="M58" s="178">
        <v>43406</v>
      </c>
      <c r="N58" t="s">
        <v>275</v>
      </c>
      <c r="Q58" s="87"/>
      <c r="R58" s="91"/>
      <c r="S58" s="87"/>
      <c r="T58" s="91"/>
    </row>
    <row r="59" spans="2:24">
      <c r="C59" s="4"/>
      <c r="D59" s="23"/>
      <c r="I59" s="23"/>
      <c r="J59" s="136"/>
      <c r="L59" t="s">
        <v>187</v>
      </c>
      <c r="M59" t="s">
        <v>273</v>
      </c>
      <c r="Q59" s="23"/>
      <c r="R59" s="23"/>
      <c r="S59" s="23"/>
      <c r="T59" s="23"/>
    </row>
    <row r="60" spans="2:24">
      <c r="D60" s="2"/>
      <c r="M60" t="s">
        <v>274</v>
      </c>
      <c r="N60" s="23"/>
      <c r="O60" s="23"/>
      <c r="P60" s="107"/>
      <c r="Q60" s="23"/>
      <c r="R60" s="23"/>
      <c r="S60" s="23"/>
      <c r="T60" s="23"/>
    </row>
    <row r="61" spans="2:24">
      <c r="D61" s="30"/>
      <c r="E61" s="30"/>
      <c r="F61" s="109" t="s">
        <v>6</v>
      </c>
      <c r="G61" s="30"/>
      <c r="H61" s="30"/>
      <c r="I61" s="104"/>
      <c r="J61" s="137"/>
      <c r="L61" s="23"/>
      <c r="M61" t="s">
        <v>276</v>
      </c>
      <c r="N61" s="128"/>
      <c r="O61" s="23"/>
      <c r="P61" s="104"/>
      <c r="Q61" s="104"/>
      <c r="R61" s="104"/>
      <c r="S61" s="104"/>
      <c r="T61" s="104"/>
    </row>
    <row r="62" spans="2:24">
      <c r="D62" s="85" t="s">
        <v>29</v>
      </c>
      <c r="E62" s="85"/>
      <c r="F62" s="166" t="s">
        <v>31</v>
      </c>
      <c r="G62" s="85"/>
      <c r="H62" s="85" t="s">
        <v>188</v>
      </c>
      <c r="I62" s="62"/>
      <c r="J62" s="61"/>
      <c r="L62" s="23"/>
      <c r="M62" t="s">
        <v>277</v>
      </c>
      <c r="N62" s="129"/>
      <c r="O62" s="23"/>
      <c r="P62" s="87"/>
      <c r="Q62" s="87"/>
      <c r="R62" s="87"/>
      <c r="S62" s="87"/>
      <c r="T62" s="87"/>
    </row>
    <row r="63" spans="2:24">
      <c r="B63" s="84" t="s">
        <v>8</v>
      </c>
      <c r="C63" s="4">
        <f>C56</f>
        <v>0.08</v>
      </c>
      <c r="D63" s="92">
        <f>((NPV($C63,$J$13:$P$13,$R$13+$R$13*(1+$J$50)/($C63-$J$50)))-$J$49+J48)</f>
        <v>379780609.66629714</v>
      </c>
      <c r="E63" s="93"/>
      <c r="F63" s="94">
        <f>((NPV($C63,$J$25:$P$25,$R$25+$R$25*(1+$J$50)/($C63-$J$50)))-$J$49+J48)</f>
        <v>379780609.66629714</v>
      </c>
      <c r="G63" s="93"/>
      <c r="H63" s="95">
        <f>((NPV($C63,$J$38:$P$38,$R$38+$R$38*(1+$J$50)/($C63-$J$50)))-$J$49+J48)</f>
        <v>379780609.66629714</v>
      </c>
      <c r="I63" s="17"/>
      <c r="J63" s="18"/>
      <c r="L63" s="23"/>
      <c r="M63" t="s">
        <v>278</v>
      </c>
      <c r="N63" s="23"/>
      <c r="O63" s="23"/>
      <c r="P63" s="98"/>
      <c r="Q63" s="97"/>
      <c r="R63" s="98"/>
      <c r="S63" s="97"/>
      <c r="T63" s="98"/>
    </row>
    <row r="64" spans="2:24">
      <c r="B64" s="84" t="s">
        <v>28</v>
      </c>
      <c r="C64" s="4">
        <f>C57</f>
        <v>0.11</v>
      </c>
      <c r="D64" s="96">
        <f>((NPV($C64,$J$13:$P$13,$R$13+$R$13*(1+$J$50)/($C64-$J$50)))-$J$49+J48)</f>
        <v>251256968.39116153</v>
      </c>
      <c r="E64" s="97"/>
      <c r="F64" s="98">
        <f>((NPV($C64,$J$25:$P$25,$R$25+$R$25*(1+$J$50)/($C64-$J$50)))-$J$49+J48)</f>
        <v>251256968.39116153</v>
      </c>
      <c r="G64" s="97"/>
      <c r="H64" s="122">
        <f>((NPV($C64,$J$38:$P$38,$R$38+$R$38*(1+$J$50)/($C64-$J$50)))-$J$49+J48)</f>
        <v>251256968.39116153</v>
      </c>
      <c r="I64" s="17"/>
      <c r="J64" s="18"/>
      <c r="L64" s="23"/>
      <c r="M64" t="s">
        <v>279</v>
      </c>
      <c r="N64" s="23"/>
      <c r="O64" s="23"/>
      <c r="P64" s="98"/>
      <c r="Q64" s="97"/>
      <c r="R64" s="98"/>
      <c r="S64" s="97"/>
      <c r="T64" s="98"/>
    </row>
    <row r="65" spans="1:20">
      <c r="B65" s="8" t="s">
        <v>10</v>
      </c>
      <c r="C65" s="4">
        <f>C58</f>
        <v>0.15</v>
      </c>
      <c r="D65" s="100">
        <f>((NPV($C65,$J$13:$P$13,$R$13+$R$13*(1+$J$50)/($C65-$J$50)))-$J$49+J48)</f>
        <v>172042006.29725733</v>
      </c>
      <c r="E65" s="101"/>
      <c r="F65" s="102">
        <f>((NPV($C65,$J$25:$P$25,$R$25+$R$25*(1+$J$50)/($C65-$J$50)))-$J$49+J48)</f>
        <v>172042006.29725733</v>
      </c>
      <c r="G65" s="101"/>
      <c r="H65" s="103">
        <f>((NPV($C65,$J$38:$P$38,$R$38+$R$38*(1+$J$50)/($C65-$J$50)))-$J$49+J48)</f>
        <v>172042006.29725733</v>
      </c>
      <c r="I65" s="17"/>
      <c r="J65" s="18"/>
      <c r="L65" s="23"/>
      <c r="M65" s="160"/>
      <c r="N65" s="23"/>
      <c r="O65" s="23"/>
      <c r="P65" s="98"/>
      <c r="Q65" s="97"/>
      <c r="R65" s="98"/>
      <c r="S65" s="97"/>
      <c r="T65" s="98"/>
    </row>
    <row r="66" spans="1:20" ht="15.75">
      <c r="E66" s="23"/>
      <c r="F66" s="23"/>
      <c r="G66" s="23"/>
      <c r="H66" s="23"/>
      <c r="I66" s="23"/>
      <c r="J66" s="23"/>
      <c r="L66" s="132"/>
      <c r="M66" t="s">
        <v>302</v>
      </c>
      <c r="N66" s="111"/>
      <c r="O66" s="23"/>
      <c r="P66" s="23"/>
      <c r="Q66" s="23"/>
      <c r="R66" s="23"/>
      <c r="S66" s="23"/>
      <c r="T66" s="23"/>
    </row>
    <row r="67" spans="1:20">
      <c r="F67" s="23"/>
      <c r="G67" s="23"/>
      <c r="H67" s="125"/>
      <c r="I67" s="23"/>
      <c r="J67" s="23"/>
      <c r="L67" s="110"/>
      <c r="M67" s="146">
        <f>50.4+42.1</f>
        <v>92.5</v>
      </c>
      <c r="N67">
        <f>M67*0.97</f>
        <v>89.724999999999994</v>
      </c>
      <c r="P67" t="s">
        <v>303</v>
      </c>
    </row>
    <row r="68" spans="1:20">
      <c r="F68" s="124" t="s">
        <v>40</v>
      </c>
      <c r="G68" s="23"/>
      <c r="H68" s="23"/>
      <c r="I68" s="23"/>
      <c r="J68" s="23"/>
      <c r="M68" s="146" t="s">
        <v>304</v>
      </c>
    </row>
    <row r="69" spans="1:20">
      <c r="A69" s="1" t="str">
        <f>"(1)  Assumes net debt of "&amp;TEXT(J49,"$0.0")&amp;"mm as of 5/16/08."</f>
        <v>(1)  Assumes net debt of $28000000.0mm as of 5/16/08.</v>
      </c>
      <c r="F69" s="87"/>
      <c r="G69" s="87"/>
      <c r="H69" s="87"/>
      <c r="I69" s="87"/>
      <c r="J69" s="87"/>
      <c r="L69" s="82"/>
      <c r="M69" s="165"/>
      <c r="N69" s="82"/>
    </row>
    <row r="70" spans="1:20">
      <c r="A70" s="1" t="str">
        <f>"(2)  Assumes outstanding diluted shares of "&amp;TEXT(J47,"0.000")&amp;" million."</f>
        <v>(2)  Assumes outstanding diluted shares of 89359959.000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F107" s="146"/>
    </row>
    <row r="108" spans="1:6">
      <c r="F108" s="146"/>
    </row>
    <row r="109" spans="1:6">
      <c r="F109" s="146"/>
    </row>
    <row r="110" spans="1:6">
      <c r="B110" s="168" t="s">
        <v>192</v>
      </c>
      <c r="F110" s="146"/>
    </row>
    <row r="111" spans="1:6">
      <c r="B111" s="135" t="s">
        <v>193</v>
      </c>
      <c r="F111" s="146"/>
    </row>
    <row r="118" spans="2:2">
      <c r="B118" t="s">
        <v>194</v>
      </c>
    </row>
    <row r="119" spans="2:2">
      <c r="B119" t="s">
        <v>195</v>
      </c>
    </row>
  </sheetData>
  <mergeCells count="1">
    <mergeCell ref="H46:J46"/>
  </mergeCells>
  <conditionalFormatting sqref="B6:T13">
    <cfRule type="expression" dxfId="71" priority="6">
      <formula>MOD(ROW(),2)=0</formula>
    </cfRule>
  </conditionalFormatting>
  <conditionalFormatting sqref="B18:T25">
    <cfRule type="expression" dxfId="70" priority="5">
      <formula>MOD(ROW(),2)=0</formula>
    </cfRule>
  </conditionalFormatting>
  <conditionalFormatting sqref="B31:T39">
    <cfRule type="expression" dxfId="69" priority="4">
      <formula>MOD(ROW(),2)=0</formula>
    </cfRule>
  </conditionalFormatting>
  <conditionalFormatting sqref="D56:H58">
    <cfRule type="expression" dxfId="68" priority="3">
      <formula>MOD(ROW(),2)=0</formula>
    </cfRule>
  </conditionalFormatting>
  <conditionalFormatting sqref="D63:H65">
    <cfRule type="expression" dxfId="67" priority="2">
      <formula>MOD(ROW(),2)=0</formula>
    </cfRule>
  </conditionalFormatting>
  <conditionalFormatting sqref="C47:E51">
    <cfRule type="expression" dxfId="66" priority="1">
      <formula>MOD(ROW(),2)=0</formula>
    </cfRule>
  </conditionalFormatting>
  <pageMargins left="0.75" right="0.75" top="1" bottom="1" header="0.5" footer="0.5"/>
  <pageSetup paperSize="119"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X119"/>
  <sheetViews>
    <sheetView showGridLines="0" topLeftCell="A41" zoomScaleNormal="100" workbookViewId="0">
      <selection activeCell="M67" sqref="M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417110000</v>
      </c>
      <c r="J6" s="75">
        <f>H6*C47</f>
        <v>412938900</v>
      </c>
      <c r="K6" s="121"/>
      <c r="L6" s="75">
        <f>J6*C48</f>
        <v>404680122</v>
      </c>
      <c r="M6" s="121"/>
      <c r="N6" s="75">
        <f>L6*C49</f>
        <v>392539718.33999997</v>
      </c>
      <c r="O6" s="75"/>
      <c r="P6" s="75">
        <f>N6*C50</f>
        <v>376838129.60639995</v>
      </c>
      <c r="Q6" s="75"/>
      <c r="R6" s="75">
        <f>P6*C51</f>
        <v>357996223.12607992</v>
      </c>
      <c r="T6" s="4">
        <f>(R6/J6)^(1/4)-1</f>
        <v>-3.506477179553269E-2</v>
      </c>
    </row>
    <row r="7" spans="1:24">
      <c r="B7" s="23" t="s">
        <v>22</v>
      </c>
      <c r="H7" s="71">
        <v>0</v>
      </c>
      <c r="J7" s="71">
        <v>0</v>
      </c>
      <c r="L7" s="71">
        <v>0</v>
      </c>
      <c r="N7" s="71">
        <v>0</v>
      </c>
      <c r="P7" s="71">
        <v>0</v>
      </c>
      <c r="R7" s="71">
        <v>0</v>
      </c>
      <c r="T7" s="4"/>
    </row>
    <row r="8" spans="1:24">
      <c r="B8" t="s">
        <v>27</v>
      </c>
      <c r="H8" s="115">
        <f>H6+H7</f>
        <v>417110000</v>
      </c>
      <c r="I8" s="73"/>
      <c r="J8" s="115">
        <f>J6+J7</f>
        <v>412938900</v>
      </c>
      <c r="K8" s="116"/>
      <c r="L8" s="115">
        <f>L6+L7</f>
        <v>404680122</v>
      </c>
      <c r="M8" s="116"/>
      <c r="N8" s="115">
        <f>N6+N7</f>
        <v>392539718.33999997</v>
      </c>
      <c r="O8" s="116"/>
      <c r="P8" s="115">
        <f>P6+P7</f>
        <v>376838129.60639995</v>
      </c>
      <c r="Q8" s="116"/>
      <c r="R8" s="115">
        <f>R6+R7</f>
        <v>357996223.12607992</v>
      </c>
      <c r="T8" s="4">
        <f>(R8/J8)^(1/4)-1</f>
        <v>-3.506477179553269E-2</v>
      </c>
    </row>
    <row r="9" spans="1:24" s="39" customFormat="1">
      <c r="B9" s="39" t="s">
        <v>21</v>
      </c>
      <c r="H9" s="117">
        <f>-$J$51*H8</f>
        <v>-62566500</v>
      </c>
      <c r="I9"/>
      <c r="J9" s="117">
        <f>-$J$51*J8</f>
        <v>-61940835</v>
      </c>
      <c r="K9" s="114"/>
      <c r="L9" s="117">
        <f>-$J$51*L8</f>
        <v>-60702018.299999997</v>
      </c>
      <c r="M9" s="114"/>
      <c r="N9" s="117">
        <f>-$J$51*N8</f>
        <v>-58880957.750999995</v>
      </c>
      <c r="O9" s="114"/>
      <c r="P9" s="117">
        <f>-$J$51*P8</f>
        <v>-56525719.44095999</v>
      </c>
      <c r="Q9" s="114"/>
      <c r="R9" s="117">
        <f>-$J$51*R8</f>
        <v>-53699433.468911983</v>
      </c>
    </row>
    <row r="10" spans="1:24" s="2" customFormat="1">
      <c r="B10" s="2" t="s">
        <v>3</v>
      </c>
      <c r="H10" s="118">
        <f>SUM(H8:H9)</f>
        <v>354543500</v>
      </c>
      <c r="J10" s="118">
        <f>SUM(J8:J9)</f>
        <v>350998065</v>
      </c>
      <c r="K10" s="119"/>
      <c r="L10" s="118">
        <f>SUM(L8:L9)</f>
        <v>343978103.69999999</v>
      </c>
      <c r="M10" s="119"/>
      <c r="N10" s="118">
        <f>SUM(N8:N9)</f>
        <v>333658760.58899999</v>
      </c>
      <c r="O10" s="119"/>
      <c r="P10" s="118">
        <f>SUM(P8:P9)</f>
        <v>320312410.16543996</v>
      </c>
      <c r="Q10" s="119"/>
      <c r="R10" s="118">
        <f>SUM(R8:R9)</f>
        <v>304296789.65716791</v>
      </c>
      <c r="T10" s="4">
        <f>(R10/J10)^(1/4)-1</f>
        <v>-3.506477179553269E-2</v>
      </c>
    </row>
    <row r="11" spans="1:24">
      <c r="B11" s="10" t="s">
        <v>25</v>
      </c>
      <c r="H11" s="112">
        <v>15328000</v>
      </c>
      <c r="I11" s="112"/>
      <c r="J11" s="112">
        <f>H11</f>
        <v>15328000</v>
      </c>
      <c r="K11" s="112"/>
      <c r="L11" s="112">
        <f>J11</f>
        <v>15328000</v>
      </c>
      <c r="M11" s="112"/>
      <c r="N11" s="112">
        <f>L11</f>
        <v>15328000</v>
      </c>
      <c r="O11" s="112"/>
      <c r="P11" s="112">
        <f>N11</f>
        <v>15328000</v>
      </c>
      <c r="Q11" s="112"/>
      <c r="R11" s="112">
        <f>P11</f>
        <v>15328000</v>
      </c>
    </row>
    <row r="12" spans="1:24">
      <c r="B12" t="s">
        <v>23</v>
      </c>
      <c r="H12" s="112">
        <v>-54000000</v>
      </c>
      <c r="I12" s="112"/>
      <c r="J12" s="112">
        <f>H12</f>
        <v>-54000000</v>
      </c>
      <c r="K12" s="112"/>
      <c r="L12" s="112">
        <f>J12</f>
        <v>-54000000</v>
      </c>
      <c r="M12" s="112"/>
      <c r="N12" s="112">
        <f>L12</f>
        <v>-54000000</v>
      </c>
      <c r="O12" s="112"/>
      <c r="P12" s="112">
        <f>N12</f>
        <v>-54000000</v>
      </c>
      <c r="Q12" s="112"/>
      <c r="R12" s="112">
        <f>P12</f>
        <v>-54000000</v>
      </c>
      <c r="X12" s="81"/>
    </row>
    <row r="13" spans="1:24">
      <c r="B13" s="2" t="s">
        <v>19</v>
      </c>
      <c r="H13" s="120">
        <f>SUM(H10:H12)</f>
        <v>315871500</v>
      </c>
      <c r="J13" s="120">
        <f>SUM(J10:J12)</f>
        <v>312326065</v>
      </c>
      <c r="K13" s="114"/>
      <c r="L13" s="120">
        <f>SUM(L10:L12)</f>
        <v>305306103.69999999</v>
      </c>
      <c r="M13" s="114"/>
      <c r="N13" s="120">
        <f>SUM(N10:N12)</f>
        <v>294986760.58899999</v>
      </c>
      <c r="O13" s="114"/>
      <c r="P13" s="120">
        <f>SUM(P10:P12)</f>
        <v>281640410.16543996</v>
      </c>
      <c r="Q13" s="114"/>
      <c r="R13" s="120">
        <f>SUM(R10:R12)</f>
        <v>265624789.65716791</v>
      </c>
      <c r="T13" s="4">
        <f>(R13/J13)^(1/4)-1</f>
        <v>-3.9681946447016059E-2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417110000</v>
      </c>
      <c r="J18" s="75">
        <f>H18*D47</f>
        <v>417110000</v>
      </c>
      <c r="K18" s="121"/>
      <c r="L18" s="75">
        <f>J18*D48</f>
        <v>417110000</v>
      </c>
      <c r="M18" s="121"/>
      <c r="N18" s="75">
        <f>L18*D49</f>
        <v>417110000</v>
      </c>
      <c r="O18" s="75"/>
      <c r="P18" s="75">
        <f>N18*D50</f>
        <v>417110000</v>
      </c>
      <c r="Q18" s="75"/>
      <c r="R18" s="75">
        <f>P18*D51</f>
        <v>417110000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417110000</v>
      </c>
      <c r="I20" s="116"/>
      <c r="J20" s="115">
        <f>J18+J19</f>
        <v>417110000</v>
      </c>
      <c r="K20" s="116"/>
      <c r="L20" s="115">
        <f>L18+L19</f>
        <v>417110000</v>
      </c>
      <c r="M20" s="116"/>
      <c r="N20" s="115">
        <f>N18+N19</f>
        <v>417110000</v>
      </c>
      <c r="O20" s="116"/>
      <c r="P20" s="115">
        <f>P18+P19</f>
        <v>417110000</v>
      </c>
      <c r="Q20" s="116"/>
      <c r="R20" s="115">
        <f>R18+R19</f>
        <v>417110000</v>
      </c>
      <c r="T20" s="4">
        <f>(R20/J20)^(1/4)-1</f>
        <v>0</v>
      </c>
    </row>
    <row r="21" spans="1:20">
      <c r="B21" s="39" t="s">
        <v>21</v>
      </c>
      <c r="C21" s="39"/>
      <c r="D21" s="39"/>
      <c r="E21" s="39"/>
      <c r="F21" s="39"/>
      <c r="G21" s="39"/>
      <c r="H21" s="117">
        <f>-$J$51*H20</f>
        <v>-62566500</v>
      </c>
      <c r="I21" s="114"/>
      <c r="J21" s="117">
        <f>-$J$51*J20</f>
        <v>-62566500</v>
      </c>
      <c r="K21" s="114"/>
      <c r="L21" s="117">
        <f>-$J$51*L20</f>
        <v>-62566500</v>
      </c>
      <c r="M21" s="114"/>
      <c r="N21" s="117">
        <f>-$J$51*N20</f>
        <v>-62566500</v>
      </c>
      <c r="O21" s="114"/>
      <c r="P21" s="117">
        <f>-$J$51*P20</f>
        <v>-62566500</v>
      </c>
      <c r="Q21" s="114"/>
      <c r="R21" s="117">
        <f>-$J$51*R20</f>
        <v>-62566500</v>
      </c>
      <c r="S21" s="39"/>
      <c r="T21" s="39"/>
    </row>
    <row r="22" spans="1:20">
      <c r="A22" s="2"/>
      <c r="B22" s="2" t="s">
        <v>3</v>
      </c>
      <c r="C22" s="2"/>
      <c r="D22" s="2"/>
      <c r="E22" s="2"/>
      <c r="F22" s="2"/>
      <c r="G22" s="2"/>
      <c r="H22" s="118">
        <f>SUM(H20:H21)</f>
        <v>354543500</v>
      </c>
      <c r="I22" s="119"/>
      <c r="J22" s="118">
        <f>SUM(J20:J21)</f>
        <v>354543500</v>
      </c>
      <c r="K22" s="119"/>
      <c r="L22" s="118">
        <f>SUM(L20:L21)</f>
        <v>354543500</v>
      </c>
      <c r="M22" s="119"/>
      <c r="N22" s="118">
        <f>SUM(N20:N21)</f>
        <v>354543500</v>
      </c>
      <c r="O22" s="119"/>
      <c r="P22" s="118">
        <f>SUM(P20:P21)</f>
        <v>354543500</v>
      </c>
      <c r="Q22" s="119"/>
      <c r="R22" s="118">
        <f>SUM(R20:R21)</f>
        <v>354543500</v>
      </c>
      <c r="S22" s="2"/>
      <c r="T22" s="4">
        <f>(R22/J22)^(1/4)-1</f>
        <v>0</v>
      </c>
    </row>
    <row r="23" spans="1:20">
      <c r="B23" s="10" t="s">
        <v>25</v>
      </c>
      <c r="H23" s="112">
        <f>H11</f>
        <v>15328000</v>
      </c>
      <c r="I23" s="112"/>
      <c r="J23" s="112">
        <f>J11</f>
        <v>15328000</v>
      </c>
      <c r="K23" s="112"/>
      <c r="L23" s="112">
        <f>L11</f>
        <v>15328000</v>
      </c>
      <c r="M23" s="112"/>
      <c r="N23" s="112">
        <f>N11</f>
        <v>15328000</v>
      </c>
      <c r="O23" s="112"/>
      <c r="P23" s="112">
        <f>P11</f>
        <v>15328000</v>
      </c>
      <c r="Q23" s="112"/>
      <c r="R23" s="112">
        <f>R11</f>
        <v>15328000</v>
      </c>
    </row>
    <row r="24" spans="1:20">
      <c r="B24" t="s">
        <v>23</v>
      </c>
      <c r="H24" s="112">
        <f>H12</f>
        <v>-54000000</v>
      </c>
      <c r="I24" s="112"/>
      <c r="J24" s="112">
        <f>J12</f>
        <v>-54000000</v>
      </c>
      <c r="K24" s="112"/>
      <c r="L24" s="112">
        <f>L12</f>
        <v>-54000000</v>
      </c>
      <c r="M24" s="112"/>
      <c r="N24" s="112">
        <f>N12</f>
        <v>-54000000</v>
      </c>
      <c r="O24" s="112"/>
      <c r="P24" s="112">
        <f>P12</f>
        <v>-54000000</v>
      </c>
      <c r="Q24" s="112"/>
      <c r="R24" s="112">
        <f>R12</f>
        <v>-54000000</v>
      </c>
    </row>
    <row r="25" spans="1:20">
      <c r="B25" s="2" t="s">
        <v>19</v>
      </c>
      <c r="H25" s="120">
        <f>SUM(H22:H24)</f>
        <v>315871500</v>
      </c>
      <c r="I25" s="114"/>
      <c r="J25" s="120">
        <f>SUM(J22:J24)</f>
        <v>315871500</v>
      </c>
      <c r="K25" s="114"/>
      <c r="L25" s="120">
        <f>SUM(L22:L24)</f>
        <v>315871500</v>
      </c>
      <c r="M25" s="114"/>
      <c r="N25" s="120">
        <f>SUM(N22:N24)</f>
        <v>315871500</v>
      </c>
      <c r="O25" s="114"/>
      <c r="P25" s="120">
        <f>SUM(P22:P24)</f>
        <v>315871500</v>
      </c>
      <c r="Q25" s="114"/>
      <c r="R25" s="120">
        <f>SUM(R22:R24)</f>
        <v>315871500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417110000</v>
      </c>
      <c r="J31" s="75">
        <f>H31*E47</f>
        <v>542243000</v>
      </c>
      <c r="K31" s="121"/>
      <c r="L31" s="75">
        <f>J31*E48</f>
        <v>704915900</v>
      </c>
      <c r="M31" s="121"/>
      <c r="N31" s="75">
        <f>L31*E49</f>
        <v>916390670</v>
      </c>
      <c r="O31" s="75"/>
      <c r="P31" s="75">
        <f>N31*E50</f>
        <v>1191307871</v>
      </c>
      <c r="Q31" s="75"/>
      <c r="R31" s="75">
        <f>P31*E51</f>
        <v>1548700232.3</v>
      </c>
      <c r="T31" s="4">
        <f>(R31/J31)^(1/4)-1</f>
        <v>0.30000000000000004</v>
      </c>
    </row>
    <row r="32" spans="1:20">
      <c r="B32" s="23" t="s">
        <v>22</v>
      </c>
      <c r="H32" s="71">
        <f>H7</f>
        <v>0</v>
      </c>
      <c r="J32" s="71">
        <f>J7</f>
        <v>0</v>
      </c>
      <c r="L32" s="71">
        <f>L7</f>
        <v>0</v>
      </c>
      <c r="N32" s="71">
        <f>N7</f>
        <v>0</v>
      </c>
      <c r="P32" s="71">
        <f>P7</f>
        <v>0</v>
      </c>
      <c r="R32" s="71">
        <f>R7</f>
        <v>0</v>
      </c>
      <c r="T32" s="4"/>
    </row>
    <row r="33" spans="1:24">
      <c r="B33" t="s">
        <v>27</v>
      </c>
      <c r="H33" s="115">
        <f>H31+H32</f>
        <v>417110000</v>
      </c>
      <c r="I33" s="116"/>
      <c r="J33" s="115">
        <f>J31+J32</f>
        <v>542243000</v>
      </c>
      <c r="K33" s="116"/>
      <c r="L33" s="115">
        <f>L31+L32</f>
        <v>704915900</v>
      </c>
      <c r="M33" s="116"/>
      <c r="N33" s="115">
        <f>N31+N32</f>
        <v>916390670</v>
      </c>
      <c r="O33" s="116"/>
      <c r="P33" s="115">
        <f>P31+P32</f>
        <v>1191307871</v>
      </c>
      <c r="Q33" s="116"/>
      <c r="R33" s="115">
        <f>R31+R32</f>
        <v>1548700232.3</v>
      </c>
      <c r="T33" s="4">
        <f>(R33/J33)^(1/4)-1</f>
        <v>0.30000000000000004</v>
      </c>
    </row>
    <row r="34" spans="1:24">
      <c r="B34" s="39" t="s">
        <v>21</v>
      </c>
      <c r="C34" s="39"/>
      <c r="D34" s="39"/>
      <c r="E34" s="39"/>
      <c r="F34" s="39"/>
      <c r="G34" s="39"/>
      <c r="H34" s="117">
        <f>-$J$51*H33</f>
        <v>-62566500</v>
      </c>
      <c r="I34" s="114"/>
      <c r="J34" s="117">
        <f>-$J$51*J33</f>
        <v>-81336450</v>
      </c>
      <c r="K34" s="114"/>
      <c r="L34" s="117">
        <f>-$J$51*L33</f>
        <v>-105737385</v>
      </c>
      <c r="M34" s="114"/>
      <c r="N34" s="117">
        <f>-$J$51*N33</f>
        <v>-137458600.5</v>
      </c>
      <c r="O34" s="114"/>
      <c r="P34" s="117">
        <f>-$J$51*P33</f>
        <v>-178696180.65000001</v>
      </c>
      <c r="Q34" s="114"/>
      <c r="R34" s="117">
        <f>-$J$51*R33</f>
        <v>-232305034.845</v>
      </c>
      <c r="S34" s="39"/>
      <c r="T34" s="39"/>
    </row>
    <row r="35" spans="1:24">
      <c r="A35" s="2"/>
      <c r="B35" s="2" t="s">
        <v>3</v>
      </c>
      <c r="C35" s="2"/>
      <c r="D35" s="2"/>
      <c r="E35" s="2"/>
      <c r="F35" s="2"/>
      <c r="G35" s="2"/>
      <c r="H35" s="118">
        <f>SUM(H33:H34)</f>
        <v>354543500</v>
      </c>
      <c r="I35" s="119"/>
      <c r="J35" s="118">
        <f>SUM(J33:J34)</f>
        <v>460906550</v>
      </c>
      <c r="K35" s="119"/>
      <c r="L35" s="118">
        <f>SUM(L33:L34)</f>
        <v>599178515</v>
      </c>
      <c r="M35" s="119"/>
      <c r="N35" s="118">
        <f>SUM(N33:N34)</f>
        <v>778932069.5</v>
      </c>
      <c r="O35" s="119"/>
      <c r="P35" s="118">
        <f>SUM(P33:P34)</f>
        <v>1012611690.35</v>
      </c>
      <c r="Q35" s="119"/>
      <c r="R35" s="118">
        <f>SUM(R33:R34)</f>
        <v>1316395197.4549999</v>
      </c>
      <c r="S35" s="2"/>
      <c r="T35" s="4">
        <f>(R35/J35)^(1/4)-1</f>
        <v>0.30000000000000004</v>
      </c>
    </row>
    <row r="36" spans="1:24">
      <c r="B36" s="10" t="s">
        <v>25</v>
      </c>
      <c r="H36" s="112">
        <f>H11</f>
        <v>15328000</v>
      </c>
      <c r="I36" s="112"/>
      <c r="J36" s="112">
        <f>J11</f>
        <v>15328000</v>
      </c>
      <c r="K36" s="112"/>
      <c r="L36" s="112">
        <f>L11</f>
        <v>15328000</v>
      </c>
      <c r="M36" s="112"/>
      <c r="N36" s="112">
        <f>N11</f>
        <v>15328000</v>
      </c>
      <c r="O36" s="112"/>
      <c r="P36" s="112">
        <f>P11</f>
        <v>15328000</v>
      </c>
      <c r="Q36" s="112"/>
      <c r="R36" s="112">
        <f>R11</f>
        <v>15328000</v>
      </c>
    </row>
    <row r="37" spans="1:24">
      <c r="B37" t="s">
        <v>23</v>
      </c>
      <c r="H37" s="112">
        <f>H12</f>
        <v>-54000000</v>
      </c>
      <c r="I37" s="112"/>
      <c r="J37" s="112">
        <f>J12</f>
        <v>-54000000</v>
      </c>
      <c r="K37" s="112"/>
      <c r="L37" s="112">
        <f>L12</f>
        <v>-54000000</v>
      </c>
      <c r="M37" s="112"/>
      <c r="N37" s="112">
        <f>N12</f>
        <v>-54000000</v>
      </c>
      <c r="O37" s="112"/>
      <c r="P37" s="112">
        <f>P12</f>
        <v>-54000000</v>
      </c>
      <c r="Q37" s="112"/>
      <c r="R37" s="112">
        <f>R12</f>
        <v>-54000000</v>
      </c>
    </row>
    <row r="38" spans="1:24">
      <c r="B38" s="2" t="s">
        <v>19</v>
      </c>
      <c r="H38" s="120">
        <f>SUM(H35:H37)</f>
        <v>315871500</v>
      </c>
      <c r="I38" s="153"/>
      <c r="J38" s="120">
        <f>SUM(J35:J37)</f>
        <v>422234550</v>
      </c>
      <c r="K38" s="114"/>
      <c r="L38" s="120">
        <f>SUM(L35:L37)</f>
        <v>560506515</v>
      </c>
      <c r="M38" s="114"/>
      <c r="N38" s="120">
        <f>SUM(N35:N37)</f>
        <v>740260069.5</v>
      </c>
      <c r="O38" s="114"/>
      <c r="P38" s="120">
        <f>SUM(P35:P37)</f>
        <v>973939690.35000002</v>
      </c>
      <c r="Q38" s="114"/>
      <c r="R38" s="120">
        <f>SUM(R35:R37)</f>
        <v>1277723197.4549999</v>
      </c>
      <c r="T38" s="4">
        <f>(R38/J38)^(1/4)-1</f>
        <v>0.31892698244705997</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2018</v>
      </c>
      <c r="C47" s="88">
        <v>0.99</v>
      </c>
      <c r="D47" s="88">
        <v>1</v>
      </c>
      <c r="E47" s="88">
        <v>1.3</v>
      </c>
      <c r="H47" s="156" t="s">
        <v>15</v>
      </c>
      <c r="I47" s="156"/>
      <c r="J47" s="161">
        <v>222705874</v>
      </c>
      <c r="M47" t="s">
        <v>55</v>
      </c>
      <c r="P47" s="2"/>
      <c r="X47" s="127"/>
    </row>
    <row r="48" spans="1:24">
      <c r="B48" s="90">
        <f>B47+1</f>
        <v>2019</v>
      </c>
      <c r="C48" s="88">
        <v>0.98</v>
      </c>
      <c r="D48" s="88">
        <v>1</v>
      </c>
      <c r="E48" s="88">
        <v>1.3</v>
      </c>
      <c r="H48" s="156" t="s">
        <v>99</v>
      </c>
      <c r="I48" s="156"/>
      <c r="J48" s="157">
        <v>1570000000</v>
      </c>
      <c r="M48" t="s">
        <v>56</v>
      </c>
      <c r="P48" s="2"/>
      <c r="X48" s="127"/>
    </row>
    <row r="49" spans="2:24">
      <c r="B49" s="90">
        <f>B48+1</f>
        <v>2020</v>
      </c>
      <c r="C49" s="88">
        <v>0.97</v>
      </c>
      <c r="D49" s="88">
        <v>1</v>
      </c>
      <c r="E49" s="88">
        <v>1.3</v>
      </c>
      <c r="H49" s="156" t="s">
        <v>14</v>
      </c>
      <c r="I49" s="156"/>
      <c r="J49" s="157">
        <v>882000000</v>
      </c>
      <c r="M49" t="s">
        <v>58</v>
      </c>
      <c r="P49" s="2"/>
      <c r="X49" s="127"/>
    </row>
    <row r="50" spans="2:24">
      <c r="B50" s="90">
        <f>B49+1</f>
        <v>2021</v>
      </c>
      <c r="C50" s="88">
        <v>0.96</v>
      </c>
      <c r="D50" s="88">
        <v>1</v>
      </c>
      <c r="E50" s="88">
        <v>1.3</v>
      </c>
      <c r="H50" s="155" t="s">
        <v>16</v>
      </c>
      <c r="I50" s="156"/>
      <c r="J50" s="158">
        <v>0.02</v>
      </c>
      <c r="M50" t="s">
        <v>59</v>
      </c>
      <c r="P50" s="2"/>
      <c r="X50" s="127"/>
    </row>
    <row r="51" spans="2:24">
      <c r="B51" s="90">
        <f>B50+1</f>
        <v>2022</v>
      </c>
      <c r="C51" s="88">
        <v>0.95</v>
      </c>
      <c r="D51" s="88">
        <v>1</v>
      </c>
      <c r="E51" s="88">
        <v>1.3</v>
      </c>
      <c r="H51" s="156" t="s">
        <v>2</v>
      </c>
      <c r="I51" s="156"/>
      <c r="J51" s="158">
        <v>0.15</v>
      </c>
      <c r="M51" t="s">
        <v>60</v>
      </c>
      <c r="P51" s="2"/>
      <c r="X51" s="127"/>
    </row>
    <row r="52" spans="2:24">
      <c r="B52" s="2"/>
      <c r="D52" s="2"/>
      <c r="J52">
        <v>52.7</v>
      </c>
      <c r="M52" t="s">
        <v>61</v>
      </c>
      <c r="P52" s="2"/>
      <c r="X52" s="127"/>
    </row>
    <row r="53" spans="2:24">
      <c r="B53" s="2"/>
      <c r="D53" s="2"/>
      <c r="I53" s="23"/>
      <c r="J53" s="206">
        <f>J52*J47</f>
        <v>11736599559.800001</v>
      </c>
      <c r="M53" t="s">
        <v>62</v>
      </c>
      <c r="P53" s="2"/>
      <c r="X53" s="127"/>
    </row>
    <row r="54" spans="2:24">
      <c r="D54" s="30"/>
      <c r="E54" s="30"/>
      <c r="F54" s="109" t="s">
        <v>12</v>
      </c>
      <c r="G54" s="30"/>
      <c r="H54" s="30"/>
      <c r="I54" s="104"/>
      <c r="J54" s="207">
        <f>J53*0.457</f>
        <v>5363625998.8286009</v>
      </c>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f>((NPV($C56,$J$13:$P$13,$R$13+$R$13*(1+$J$50)/($C56-$J$50)))-$J$49+J48)/$J$47</f>
        <v>22.1555068644996</v>
      </c>
      <c r="E56" s="93"/>
      <c r="F56" s="94">
        <f>((NPV($C56,$J$25:$P$25,$R$25+$R$25*(1+$J$50)/($C56-$J$50)))-$J$49+J48)/$J$47</f>
        <v>25.162288754666214</v>
      </c>
      <c r="G56" s="93"/>
      <c r="H56" s="123">
        <f>((NPV($C56,$J$38:$P$38,$R$38+$R$38*(1+$J$50)/($C56-$J$50)))-$J$49+J48)/$J$47</f>
        <v>83.139988771979077</v>
      </c>
      <c r="I56" s="10"/>
      <c r="J56" s="11"/>
      <c r="M56" s="135" t="s">
        <v>186</v>
      </c>
      <c r="Q56" s="87"/>
      <c r="R56" s="91"/>
      <c r="S56" s="87"/>
      <c r="T56" s="91"/>
    </row>
    <row r="57" spans="2:24">
      <c r="B57" s="84" t="s">
        <v>28</v>
      </c>
      <c r="C57" s="4">
        <v>0.11</v>
      </c>
      <c r="D57" s="96">
        <f>((NPV($C57,$J$13:$P$13,$R$13+$R$13*(1+$J$50)/($C57-$J$50)))-$J$49+J48)/$J$47</f>
        <v>15.996681313849539</v>
      </c>
      <c r="E57" s="97"/>
      <c r="F57" s="98">
        <f>((NPV($C57,$J$25:$P$25,$R$25+$R$25*(1+$J$50)/($C57-$J$50)))-$J$49+J48)/$J$47</f>
        <v>17.870706431150314</v>
      </c>
      <c r="G57" s="97"/>
      <c r="H57" s="99">
        <f>((NPV($C57,$J$38:$P$38,$R$38+$R$38*(1+$J$50)/($C57-$J$50)))-$J$49+J48)/$J$47</f>
        <v>54.14361465062531</v>
      </c>
      <c r="I57" s="44"/>
      <c r="J57" s="43"/>
      <c r="Q57" s="87"/>
      <c r="R57" s="91"/>
      <c r="S57" s="87"/>
      <c r="T57" s="91"/>
    </row>
    <row r="58" spans="2:24">
      <c r="B58" s="8" t="s">
        <v>10</v>
      </c>
      <c r="C58" s="4">
        <v>0.15</v>
      </c>
      <c r="D58" s="100">
        <f>((NPV($C58,$J$13:$P$13,$R$13+$R$13*(1+$J$50)/($C58-$J$50)))-$J$49+J48)/$J$47</f>
        <v>12.185019649522257</v>
      </c>
      <c r="E58" s="101"/>
      <c r="F58" s="102">
        <f>((NPV($C58,$J$25:$P$25,$R$25+$R$25*(1+$J$50)/($C58-$J$50)))-$J$49+J48)/$J$47</f>
        <v>13.376572810041663</v>
      </c>
      <c r="G58" s="101"/>
      <c r="H58" s="103">
        <f>((NPV($C58,$J$38:$P$38,$R$38+$R$38*(1+$J$50)/($C58-$J$50)))-$J$49+J48)/$J$47</f>
        <v>36.560000790621366</v>
      </c>
      <c r="I58" s="44"/>
      <c r="J58" s="43"/>
      <c r="L58" t="s">
        <v>196</v>
      </c>
      <c r="M58" s="178">
        <v>43431</v>
      </c>
      <c r="Q58" s="87"/>
      <c r="R58" s="91"/>
      <c r="S58" s="87"/>
      <c r="T58" s="91"/>
    </row>
    <row r="59" spans="2:24">
      <c r="C59" s="4"/>
      <c r="D59" s="23"/>
      <c r="I59" s="23"/>
      <c r="J59" s="136"/>
      <c r="L59" t="s">
        <v>187</v>
      </c>
      <c r="M59" s="146"/>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188</v>
      </c>
      <c r="I62" s="62"/>
      <c r="J62" s="61"/>
      <c r="L62" s="23"/>
      <c r="M62" s="160"/>
      <c r="N62" s="129"/>
      <c r="O62" s="23"/>
      <c r="P62" s="87"/>
      <c r="Q62" s="87"/>
      <c r="R62" s="87"/>
      <c r="S62" s="87"/>
      <c r="T62" s="87"/>
    </row>
    <row r="63" spans="2:24">
      <c r="B63" s="84" t="s">
        <v>8</v>
      </c>
      <c r="C63" s="4">
        <f>C56</f>
        <v>0.08</v>
      </c>
      <c r="D63" s="92">
        <f>((NPV($C63,$J$13:$P$13,$R$13+$R$13*(1+$J$50)/($C63-$J$50)))-$J$49+J48)</f>
        <v>4934161520.1713829</v>
      </c>
      <c r="E63" s="93"/>
      <c r="F63" s="94">
        <f>((NPV($C63,$J$25:$P$25,$R$25+$R$25*(1+$J$50)/($C63-$J$50)))-$J$49+J48)</f>
        <v>5603789508.9483109</v>
      </c>
      <c r="G63" s="93"/>
      <c r="H63" s="95">
        <f>((NPV($C63,$J$38:$P$38,$R$38+$R$38*(1+$J$50)/($C63-$J$50)))-$J$49+J48)</f>
        <v>18515763863.813786</v>
      </c>
      <c r="I63" s="17"/>
      <c r="J63" s="18"/>
      <c r="L63" s="23"/>
      <c r="M63" s="167"/>
      <c r="N63" s="23"/>
      <c r="O63" s="23"/>
      <c r="P63" s="98"/>
      <c r="Q63" s="97"/>
      <c r="R63" s="98"/>
      <c r="S63" s="97"/>
      <c r="T63" s="98"/>
    </row>
    <row r="64" spans="2:24">
      <c r="B64" s="84" t="s">
        <v>28</v>
      </c>
      <c r="C64" s="4">
        <f>C57</f>
        <v>0.11</v>
      </c>
      <c r="D64" s="96">
        <f>((NPV($C64,$J$13:$P$13,$R$13+$R$13*(1+$J$50)/($C64-$J$50)))-$J$49+J48)</f>
        <v>3562554893.1003299</v>
      </c>
      <c r="E64" s="97"/>
      <c r="F64" s="98">
        <f>((NPV($C64,$J$25:$P$25,$R$25+$R$25*(1+$J$50)/($C64-$J$50)))-$J$49+J48)</f>
        <v>3979911294.7467518</v>
      </c>
      <c r="G64" s="97"/>
      <c r="H64" s="122">
        <f>((NPV($C64,$J$38:$P$38,$R$38+$R$38*(1+$J$50)/($C64-$J$50)))-$J$49+J48)</f>
        <v>12058101022.286715</v>
      </c>
      <c r="I64" s="17"/>
      <c r="J64" s="18"/>
      <c r="L64" s="23"/>
      <c r="M64" s="167"/>
      <c r="N64" s="23"/>
      <c r="O64" s="23"/>
      <c r="P64" s="98"/>
      <c r="Q64" s="97"/>
      <c r="R64" s="98"/>
      <c r="S64" s="97"/>
      <c r="T64" s="98"/>
    </row>
    <row r="65" spans="1:20">
      <c r="B65" s="8" t="s">
        <v>10</v>
      </c>
      <c r="C65" s="4">
        <f>C58</f>
        <v>0.15</v>
      </c>
      <c r="D65" s="100">
        <f>((NPV($C65,$J$13:$P$13,$R$13+$R$13*(1+$J$50)/($C65-$J$50)))-$J$49+J48)</f>
        <v>2713675450.7540278</v>
      </c>
      <c r="E65" s="101"/>
      <c r="F65" s="102">
        <f>((NPV($C65,$J$25:$P$25,$R$25+$R$25*(1+$J$50)/($C65-$J$50)))-$J$49+J48)</f>
        <v>2979041338.7849646</v>
      </c>
      <c r="G65" s="101"/>
      <c r="H65" s="103">
        <f>((NPV($C65,$J$38:$P$38,$R$38+$R$38*(1+$J$50)/($C65-$J$50)))-$J$49+J48)</f>
        <v>8142126929.5160217</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$882000000.0mm as of 5/16/08.</v>
      </c>
      <c r="F69" s="87"/>
      <c r="G69" s="87"/>
      <c r="H69" s="87"/>
      <c r="I69" s="87"/>
      <c r="J69" s="87"/>
      <c r="L69" s="82"/>
      <c r="M69" s="165"/>
      <c r="N69" s="82"/>
    </row>
    <row r="70" spans="1:20">
      <c r="A70" s="1" t="str">
        <f>"(2)  Assumes outstanding diluted shares of "&amp;TEXT(J47,"0.000")&amp;" million."</f>
        <v>(2)  Assumes outstanding diluted shares of 222705874.000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t="s">
        <v>317</v>
      </c>
      <c r="G76" s="87"/>
      <c r="H76" s="91"/>
      <c r="I76" s="87"/>
      <c r="J76" s="91"/>
      <c r="M76" s="146"/>
      <c r="P76" s="79"/>
    </row>
    <row r="77" spans="1:20" ht="12.75" customHeight="1">
      <c r="B77" s="135" t="s">
        <v>140</v>
      </c>
      <c r="F77" s="160" t="s">
        <v>323</v>
      </c>
      <c r="G77" s="23"/>
      <c r="H77" s="23" t="s">
        <v>325</v>
      </c>
      <c r="I77" s="23"/>
      <c r="J77" s="23" t="s">
        <v>326</v>
      </c>
      <c r="L77">
        <f>27/13</f>
        <v>2.0769230769230771</v>
      </c>
      <c r="M77" s="146" t="s">
        <v>327</v>
      </c>
      <c r="N77" s="205">
        <v>2.0699999999999998</v>
      </c>
      <c r="P77" s="80">
        <f>N77/3</f>
        <v>0.69</v>
      </c>
    </row>
    <row r="78" spans="1:20" ht="12.75" customHeight="1">
      <c r="B78" s="135" t="s">
        <v>141</v>
      </c>
      <c r="C78" s="83"/>
      <c r="F78" s="160" t="s">
        <v>324</v>
      </c>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F107" s="146"/>
    </row>
    <row r="108" spans="1:6">
      <c r="F108" s="146"/>
    </row>
    <row r="109" spans="1:6">
      <c r="F109" s="146"/>
    </row>
    <row r="110" spans="1:6">
      <c r="B110" s="168" t="s">
        <v>192</v>
      </c>
      <c r="F110" s="146"/>
    </row>
    <row r="111" spans="1:6">
      <c r="B111" s="135" t="s">
        <v>193</v>
      </c>
      <c r="F111" s="146"/>
    </row>
    <row r="118" spans="2:2">
      <c r="B118" t="s">
        <v>194</v>
      </c>
    </row>
    <row r="119" spans="2:2">
      <c r="B119" t="s">
        <v>195</v>
      </c>
    </row>
  </sheetData>
  <mergeCells count="1">
    <mergeCell ref="H46:J46"/>
  </mergeCells>
  <conditionalFormatting sqref="B6:T13">
    <cfRule type="expression" dxfId="65" priority="6">
      <formula>MOD(ROW(),2)=0</formula>
    </cfRule>
  </conditionalFormatting>
  <conditionalFormatting sqref="B18:T25">
    <cfRule type="expression" dxfId="64" priority="5">
      <formula>MOD(ROW(),2)=0</formula>
    </cfRule>
  </conditionalFormatting>
  <conditionalFormatting sqref="B31:T39">
    <cfRule type="expression" dxfId="63" priority="4">
      <formula>MOD(ROW(),2)=0</formula>
    </cfRule>
  </conditionalFormatting>
  <conditionalFormatting sqref="D56:H58">
    <cfRule type="expression" dxfId="62" priority="3">
      <formula>MOD(ROW(),2)=0</formula>
    </cfRule>
  </conditionalFormatting>
  <conditionalFormatting sqref="D63:H65">
    <cfRule type="expression" dxfId="61" priority="2">
      <formula>MOD(ROW(),2)=0</formula>
    </cfRule>
  </conditionalFormatting>
  <conditionalFormatting sqref="C47:E51">
    <cfRule type="expression" dxfId="60" priority="1">
      <formula>MOD(ROW(),2)=0</formula>
    </cfRule>
  </conditionalFormatting>
  <pageMargins left="0.75" right="0.75" top="1" bottom="1" header="0.5" footer="0.5"/>
  <pageSetup paperSize="119" orientation="portrait"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X123"/>
  <sheetViews>
    <sheetView showGridLines="0" topLeftCell="A40" zoomScaleNormal="100" workbookViewId="0">
      <selection activeCell="M79" sqref="M79"/>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7.14062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2018</v>
      </c>
      <c r="J4" s="27">
        <f>H4+1</f>
        <v>2019</v>
      </c>
      <c r="K4" s="20"/>
      <c r="L4" s="27">
        <f>J4+1</f>
        <v>2020</v>
      </c>
      <c r="M4" s="20"/>
      <c r="N4" s="60">
        <f>L4+1</f>
        <v>2021</v>
      </c>
      <c r="O4" s="21"/>
      <c r="P4" s="60">
        <f>N4+1</f>
        <v>2022</v>
      </c>
      <c r="Q4" s="21"/>
      <c r="R4" s="60">
        <f>P4+1</f>
        <v>2023</v>
      </c>
      <c r="T4" s="28" t="s">
        <v>33</v>
      </c>
    </row>
    <row r="5" spans="1:24" ht="5.0999999999999996" customHeight="1"/>
    <row r="6" spans="1:24">
      <c r="B6" t="s">
        <v>26</v>
      </c>
      <c r="H6" s="75">
        <v>853888000</v>
      </c>
      <c r="J6" s="75">
        <f>H6*C47</f>
        <v>845349120</v>
      </c>
      <c r="K6" s="121"/>
      <c r="L6" s="75">
        <f>J6*C48</f>
        <v>828442137.60000002</v>
      </c>
      <c r="M6" s="121"/>
      <c r="N6" s="75">
        <f>L6*C49</f>
        <v>803588873.472</v>
      </c>
      <c r="O6" s="75"/>
      <c r="P6" s="75">
        <f>N6*C50</f>
        <v>771445318.53311992</v>
      </c>
      <c r="Q6" s="75"/>
      <c r="R6" s="75">
        <f>P6*C51</f>
        <v>732873052.60646391</v>
      </c>
      <c r="T6" s="4">
        <f>(R6/J6)^(1/4)-1</f>
        <v>-3.506477179553269E-2</v>
      </c>
    </row>
    <row r="7" spans="1:24">
      <c r="B7" s="23" t="s">
        <v>22</v>
      </c>
      <c r="H7" s="71">
        <v>0</v>
      </c>
      <c r="J7" s="71">
        <v>0</v>
      </c>
      <c r="L7" s="71">
        <v>0</v>
      </c>
      <c r="N7" s="71">
        <v>0</v>
      </c>
      <c r="P7" s="71">
        <v>0</v>
      </c>
      <c r="R7" s="71">
        <v>0</v>
      </c>
      <c r="T7" s="4"/>
    </row>
    <row r="8" spans="1:24">
      <c r="B8" t="s">
        <v>27</v>
      </c>
      <c r="H8" s="115">
        <f>H6+H7</f>
        <v>853888000</v>
      </c>
      <c r="I8" s="73"/>
      <c r="J8" s="115">
        <f>J6+J7</f>
        <v>845349120</v>
      </c>
      <c r="K8" s="116"/>
      <c r="L8" s="115">
        <f>L6+L7</f>
        <v>828442137.60000002</v>
      </c>
      <c r="M8" s="116"/>
      <c r="N8" s="115">
        <f>N6+N7</f>
        <v>803588873.472</v>
      </c>
      <c r="O8" s="116"/>
      <c r="P8" s="115">
        <f>P6+P7</f>
        <v>771445318.53311992</v>
      </c>
      <c r="Q8" s="116"/>
      <c r="R8" s="115">
        <f>R6+R7</f>
        <v>732873052.60646391</v>
      </c>
      <c r="T8" s="4">
        <f>(R8/J8)^(1/4)-1</f>
        <v>-3.506477179553269E-2</v>
      </c>
    </row>
    <row r="9" spans="1:24" s="39" customFormat="1">
      <c r="B9" s="39" t="s">
        <v>21</v>
      </c>
      <c r="H9" s="117">
        <f>-$J$51*H8</f>
        <v>-25616640</v>
      </c>
      <c r="I9"/>
      <c r="J9" s="117">
        <f>-$J$51*J8</f>
        <v>-25360473.599999998</v>
      </c>
      <c r="K9" s="114"/>
      <c r="L9" s="117">
        <f>-$J$51*L8</f>
        <v>-24853264.127999999</v>
      </c>
      <c r="M9" s="114"/>
      <c r="N9" s="117">
        <f>-$J$51*N8</f>
        <v>-24107666.204159997</v>
      </c>
      <c r="O9" s="114"/>
      <c r="P9" s="117">
        <f>-$J$51*P8</f>
        <v>-23143359.555993598</v>
      </c>
      <c r="Q9" s="114"/>
      <c r="R9" s="117">
        <f>-$J$51*R8</f>
        <v>-21986191.578193918</v>
      </c>
    </row>
    <row r="10" spans="1:24" s="2" customFormat="1">
      <c r="B10" s="2" t="s">
        <v>3</v>
      </c>
      <c r="H10" s="118">
        <f>SUM(H8:H9)</f>
        <v>828271360</v>
      </c>
      <c r="J10" s="118">
        <f>SUM(J8:J9)</f>
        <v>819988646.39999998</v>
      </c>
      <c r="K10" s="119"/>
      <c r="L10" s="118">
        <f>SUM(L8:L9)</f>
        <v>803588873.472</v>
      </c>
      <c r="M10" s="119"/>
      <c r="N10" s="118">
        <f>SUM(N8:N9)</f>
        <v>779481207.26784003</v>
      </c>
      <c r="O10" s="119"/>
      <c r="P10" s="118">
        <f>SUM(P8:P9)</f>
        <v>748301958.97712636</v>
      </c>
      <c r="Q10" s="119"/>
      <c r="R10" s="118">
        <f>SUM(R8:R9)</f>
        <v>710886861.02827001</v>
      </c>
      <c r="T10" s="4">
        <f>(R10/J10)^(1/4)-1</f>
        <v>-3.506477179553269E-2</v>
      </c>
    </row>
    <row r="11" spans="1:24">
      <c r="B11" s="10" t="s">
        <v>25</v>
      </c>
      <c r="H11" s="112">
        <v>66413000</v>
      </c>
      <c r="I11" s="112"/>
      <c r="J11" s="112">
        <f>H11</f>
        <v>66413000</v>
      </c>
      <c r="K11" s="112"/>
      <c r="L11" s="112">
        <f>J11</f>
        <v>66413000</v>
      </c>
      <c r="M11" s="112"/>
      <c r="N11" s="112">
        <f>L11</f>
        <v>66413000</v>
      </c>
      <c r="O11" s="112"/>
      <c r="P11" s="112">
        <f>N11</f>
        <v>66413000</v>
      </c>
      <c r="Q11" s="112"/>
      <c r="R11" s="112">
        <f>P11</f>
        <v>66413000</v>
      </c>
    </row>
    <row r="12" spans="1:24">
      <c r="B12" t="s">
        <v>23</v>
      </c>
      <c r="H12" s="112">
        <v>-80000000</v>
      </c>
      <c r="I12" s="112"/>
      <c r="J12" s="112">
        <f>H12</f>
        <v>-80000000</v>
      </c>
      <c r="K12" s="112"/>
      <c r="L12" s="112">
        <f>J12</f>
        <v>-80000000</v>
      </c>
      <c r="M12" s="112"/>
      <c r="N12" s="112">
        <f>L12</f>
        <v>-80000000</v>
      </c>
      <c r="O12" s="112"/>
      <c r="P12" s="112">
        <f>N12</f>
        <v>-80000000</v>
      </c>
      <c r="Q12" s="112"/>
      <c r="R12" s="112">
        <f>P12</f>
        <v>-80000000</v>
      </c>
      <c r="X12" s="81"/>
    </row>
    <row r="13" spans="1:24">
      <c r="B13" s="2" t="s">
        <v>19</v>
      </c>
      <c r="H13" s="120">
        <f>SUM(H10:H12)</f>
        <v>814684360</v>
      </c>
      <c r="J13" s="120">
        <f>SUM(J10:J12)</f>
        <v>806401646.39999998</v>
      </c>
      <c r="K13" s="114"/>
      <c r="L13" s="120">
        <f>SUM(L10:L12)</f>
        <v>790001873.472</v>
      </c>
      <c r="M13" s="114"/>
      <c r="N13" s="120">
        <f>SUM(N10:N12)</f>
        <v>765894207.26784003</v>
      </c>
      <c r="O13" s="114"/>
      <c r="P13" s="120">
        <f>SUM(P10:P12)</f>
        <v>734714958.97712636</v>
      </c>
      <c r="Q13" s="114"/>
      <c r="R13" s="120">
        <f>SUM(R10:R12)</f>
        <v>697299861.02827001</v>
      </c>
      <c r="T13" s="4">
        <f>(R13/J13)^(1/4)-1</f>
        <v>-3.5689172342783348E-2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853888000</v>
      </c>
      <c r="J18" s="75">
        <f>H18*D47</f>
        <v>853888000</v>
      </c>
      <c r="K18" s="121"/>
      <c r="L18" s="75">
        <f>J18*D48</f>
        <v>853888000</v>
      </c>
      <c r="M18" s="121"/>
      <c r="N18" s="75">
        <f>L18*D49</f>
        <v>853888000</v>
      </c>
      <c r="O18" s="75"/>
      <c r="P18" s="75">
        <f>N18*D50</f>
        <v>853888000</v>
      </c>
      <c r="Q18" s="75"/>
      <c r="R18" s="75">
        <f>P18*D51</f>
        <v>853888000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853888000</v>
      </c>
      <c r="I20" s="116"/>
      <c r="J20" s="115">
        <f>J18+J19</f>
        <v>853888000</v>
      </c>
      <c r="K20" s="116"/>
      <c r="L20" s="115">
        <f>L18+L19</f>
        <v>853888000</v>
      </c>
      <c r="M20" s="116"/>
      <c r="N20" s="115">
        <f>N18+N19</f>
        <v>853888000</v>
      </c>
      <c r="O20" s="116"/>
      <c r="P20" s="115">
        <f>P18+P19</f>
        <v>853888000</v>
      </c>
      <c r="Q20" s="116"/>
      <c r="R20" s="115">
        <f>R18+R19</f>
        <v>853888000</v>
      </c>
      <c r="T20" s="4">
        <f>(R20/J20)^(1/4)-1</f>
        <v>0</v>
      </c>
    </row>
    <row r="21" spans="1:20">
      <c r="B21" s="39" t="s">
        <v>21</v>
      </c>
      <c r="C21" s="39"/>
      <c r="D21" s="39"/>
      <c r="E21" s="39"/>
      <c r="F21" s="39"/>
      <c r="G21" s="39"/>
      <c r="H21" s="117">
        <f>-$J$51*H20</f>
        <v>-25616640</v>
      </c>
      <c r="I21" s="114"/>
      <c r="J21" s="117">
        <f>-$J$51*J20</f>
        <v>-25616640</v>
      </c>
      <c r="K21" s="114"/>
      <c r="L21" s="117">
        <f>-$J$51*L20</f>
        <v>-25616640</v>
      </c>
      <c r="M21" s="114"/>
      <c r="N21" s="117">
        <f>-$J$51*N20</f>
        <v>-25616640</v>
      </c>
      <c r="O21" s="114"/>
      <c r="P21" s="117">
        <f>-$J$51*P20</f>
        <v>-25616640</v>
      </c>
      <c r="Q21" s="114"/>
      <c r="R21" s="117">
        <f>-$J$51*R20</f>
        <v>-25616640</v>
      </c>
      <c r="S21" s="39"/>
      <c r="T21" s="39"/>
    </row>
    <row r="22" spans="1:20">
      <c r="A22" s="2"/>
      <c r="B22" s="2" t="s">
        <v>3</v>
      </c>
      <c r="C22" s="2"/>
      <c r="D22" s="2"/>
      <c r="E22" s="2"/>
      <c r="F22" s="2"/>
      <c r="G22" s="2"/>
      <c r="H22" s="118">
        <f>SUM(H20:H21)</f>
        <v>828271360</v>
      </c>
      <c r="I22" s="119"/>
      <c r="J22" s="118">
        <f>SUM(J20:J21)</f>
        <v>828271360</v>
      </c>
      <c r="K22" s="119"/>
      <c r="L22" s="118">
        <f>SUM(L20:L21)</f>
        <v>828271360</v>
      </c>
      <c r="M22" s="119"/>
      <c r="N22" s="118">
        <f>SUM(N20:N21)</f>
        <v>828271360</v>
      </c>
      <c r="O22" s="119"/>
      <c r="P22" s="118">
        <f>SUM(P20:P21)</f>
        <v>828271360</v>
      </c>
      <c r="Q22" s="119"/>
      <c r="R22" s="118">
        <f>SUM(R20:R21)</f>
        <v>828271360</v>
      </c>
      <c r="S22" s="2"/>
      <c r="T22" s="4">
        <f>(R22/J22)^(1/4)-1</f>
        <v>0</v>
      </c>
    </row>
    <row r="23" spans="1:20">
      <c r="B23" s="10" t="s">
        <v>25</v>
      </c>
      <c r="H23" s="112">
        <f>H11</f>
        <v>66413000</v>
      </c>
      <c r="I23" s="112"/>
      <c r="J23" s="112">
        <f>J11</f>
        <v>66413000</v>
      </c>
      <c r="K23" s="112"/>
      <c r="L23" s="112">
        <f>L11</f>
        <v>66413000</v>
      </c>
      <c r="M23" s="112"/>
      <c r="N23" s="112">
        <f>N11</f>
        <v>66413000</v>
      </c>
      <c r="O23" s="112"/>
      <c r="P23" s="112">
        <f>P11</f>
        <v>66413000</v>
      </c>
      <c r="Q23" s="112"/>
      <c r="R23" s="112">
        <f>R11</f>
        <v>66413000</v>
      </c>
    </row>
    <row r="24" spans="1:20">
      <c r="B24" t="s">
        <v>23</v>
      </c>
      <c r="H24" s="112">
        <f>H12</f>
        <v>-80000000</v>
      </c>
      <c r="I24" s="112"/>
      <c r="J24" s="112">
        <f>J12</f>
        <v>-80000000</v>
      </c>
      <c r="K24" s="112"/>
      <c r="L24" s="112">
        <f>L12</f>
        <v>-80000000</v>
      </c>
      <c r="M24" s="112"/>
      <c r="N24" s="112">
        <f>N12</f>
        <v>-80000000</v>
      </c>
      <c r="O24" s="112"/>
      <c r="P24" s="112">
        <f>P12</f>
        <v>-80000000</v>
      </c>
      <c r="Q24" s="112"/>
      <c r="R24" s="112">
        <f>R12</f>
        <v>-80000000</v>
      </c>
    </row>
    <row r="25" spans="1:20">
      <c r="B25" s="2" t="s">
        <v>19</v>
      </c>
      <c r="H25" s="120">
        <f>SUM(H22:H24)</f>
        <v>814684360</v>
      </c>
      <c r="I25" s="114"/>
      <c r="J25" s="120">
        <f>SUM(J22:J24)</f>
        <v>814684360</v>
      </c>
      <c r="K25" s="114"/>
      <c r="L25" s="120">
        <f>SUM(L22:L24)</f>
        <v>814684360</v>
      </c>
      <c r="M25" s="114"/>
      <c r="N25" s="120">
        <f>SUM(N22:N24)</f>
        <v>814684360</v>
      </c>
      <c r="O25" s="114"/>
      <c r="P25" s="120">
        <f>SUM(P22:P24)</f>
        <v>814684360</v>
      </c>
      <c r="Q25" s="114"/>
      <c r="R25" s="120">
        <f>SUM(R22:R24)</f>
        <v>814684360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853888000</v>
      </c>
      <c r="J31" s="75">
        <f>H31*E47</f>
        <v>862426880</v>
      </c>
      <c r="K31" s="121"/>
      <c r="L31" s="75">
        <f>J31*E48</f>
        <v>879675417.60000002</v>
      </c>
      <c r="M31" s="121"/>
      <c r="N31" s="75">
        <f>L31*E49</f>
        <v>906065680.12800002</v>
      </c>
      <c r="O31" s="75"/>
      <c r="P31" s="75">
        <f>N31*E50</f>
        <v>942308307.33312011</v>
      </c>
      <c r="Q31" s="75"/>
      <c r="R31" s="75">
        <f>P31*E51</f>
        <v>989423722.69977617</v>
      </c>
      <c r="T31" s="4">
        <f>(R31/J31)^(1/4)-1</f>
        <v>3.493960950960906E-2</v>
      </c>
    </row>
    <row r="32" spans="1:20">
      <c r="B32" s="23" t="s">
        <v>22</v>
      </c>
      <c r="H32" s="71">
        <f>H7</f>
        <v>0</v>
      </c>
      <c r="J32" s="71">
        <f>J7</f>
        <v>0</v>
      </c>
      <c r="L32" s="71">
        <f>L7</f>
        <v>0</v>
      </c>
      <c r="N32" s="71">
        <f>N7</f>
        <v>0</v>
      </c>
      <c r="P32" s="71">
        <f>P7</f>
        <v>0</v>
      </c>
      <c r="R32" s="71">
        <f>R7</f>
        <v>0</v>
      </c>
      <c r="T32" s="4"/>
    </row>
    <row r="33" spans="1:24">
      <c r="B33" t="s">
        <v>27</v>
      </c>
      <c r="H33" s="115">
        <f>H31+H32</f>
        <v>853888000</v>
      </c>
      <c r="I33" s="116"/>
      <c r="J33" s="115">
        <f>J31+J32</f>
        <v>862426880</v>
      </c>
      <c r="K33" s="116"/>
      <c r="L33" s="115">
        <f>L31+L32</f>
        <v>879675417.60000002</v>
      </c>
      <c r="M33" s="116"/>
      <c r="N33" s="115">
        <f>N31+N32</f>
        <v>906065680.12800002</v>
      </c>
      <c r="O33" s="116"/>
      <c r="P33" s="115">
        <f>P31+P32</f>
        <v>942308307.33312011</v>
      </c>
      <c r="Q33" s="116"/>
      <c r="R33" s="115">
        <f>R31+R32</f>
        <v>989423722.69977617</v>
      </c>
      <c r="T33" s="4">
        <f>(R33/J33)^(1/4)-1</f>
        <v>3.493960950960906E-2</v>
      </c>
    </row>
    <row r="34" spans="1:24">
      <c r="B34" s="39" t="s">
        <v>21</v>
      </c>
      <c r="C34" s="39"/>
      <c r="D34" s="39"/>
      <c r="E34" s="39"/>
      <c r="F34" s="39"/>
      <c r="G34" s="39"/>
      <c r="H34" s="117">
        <f>-$J$51*H33</f>
        <v>-25616640</v>
      </c>
      <c r="I34" s="114"/>
      <c r="J34" s="117">
        <f>-$J$51*J33</f>
        <v>-25872806.399999999</v>
      </c>
      <c r="K34" s="114"/>
      <c r="L34" s="117">
        <f>-$J$51*L33</f>
        <v>-26390262.528000001</v>
      </c>
      <c r="M34" s="114"/>
      <c r="N34" s="117">
        <f>-$J$51*N33</f>
        <v>-27181970.403839998</v>
      </c>
      <c r="O34" s="114"/>
      <c r="P34" s="117">
        <f>-$J$51*P33</f>
        <v>-28269249.219993602</v>
      </c>
      <c r="Q34" s="114"/>
      <c r="R34" s="117">
        <f>-$J$51*R33</f>
        <v>-29682711.680993285</v>
      </c>
      <c r="S34" s="39"/>
      <c r="T34" s="39"/>
    </row>
    <row r="35" spans="1:24">
      <c r="A35" s="2"/>
      <c r="B35" s="2" t="s">
        <v>3</v>
      </c>
      <c r="C35" s="2"/>
      <c r="D35" s="2"/>
      <c r="E35" s="2"/>
      <c r="F35" s="2"/>
      <c r="G35" s="2"/>
      <c r="H35" s="118">
        <f>SUM(H33:H34)</f>
        <v>828271360</v>
      </c>
      <c r="I35" s="119"/>
      <c r="J35" s="118">
        <f>SUM(J33:J34)</f>
        <v>836554073.60000002</v>
      </c>
      <c r="K35" s="119"/>
      <c r="L35" s="118">
        <f>SUM(L33:L34)</f>
        <v>853285155.07200003</v>
      </c>
      <c r="M35" s="119"/>
      <c r="N35" s="118">
        <f>SUM(N33:N34)</f>
        <v>878883709.72416008</v>
      </c>
      <c r="O35" s="119"/>
      <c r="P35" s="118">
        <f>SUM(P33:P34)</f>
        <v>914039058.11312652</v>
      </c>
      <c r="Q35" s="119"/>
      <c r="R35" s="118">
        <f>SUM(R33:R34)</f>
        <v>959741011.01878285</v>
      </c>
      <c r="S35" s="2"/>
      <c r="T35" s="4">
        <f>(R35/J35)^(1/4)-1</f>
        <v>3.4939609509608838E-2</v>
      </c>
    </row>
    <row r="36" spans="1:24">
      <c r="B36" s="10" t="s">
        <v>25</v>
      </c>
      <c r="H36" s="112">
        <f>H11</f>
        <v>66413000</v>
      </c>
      <c r="I36" s="112"/>
      <c r="J36" s="112">
        <f>J11</f>
        <v>66413000</v>
      </c>
      <c r="K36" s="112"/>
      <c r="L36" s="112">
        <f>L11</f>
        <v>66413000</v>
      </c>
      <c r="M36" s="112"/>
      <c r="N36" s="112">
        <f>N11</f>
        <v>66413000</v>
      </c>
      <c r="O36" s="112"/>
      <c r="P36" s="112">
        <f>P11</f>
        <v>66413000</v>
      </c>
      <c r="Q36" s="112"/>
      <c r="R36" s="112">
        <f>R11</f>
        <v>66413000</v>
      </c>
    </row>
    <row r="37" spans="1:24">
      <c r="B37" t="s">
        <v>23</v>
      </c>
      <c r="H37" s="112">
        <f>H12</f>
        <v>-80000000</v>
      </c>
      <c r="I37" s="112"/>
      <c r="J37" s="112">
        <f>J12</f>
        <v>-80000000</v>
      </c>
      <c r="K37" s="112"/>
      <c r="L37" s="112">
        <f>L12</f>
        <v>-80000000</v>
      </c>
      <c r="M37" s="112"/>
      <c r="N37" s="112">
        <f>N12</f>
        <v>-80000000</v>
      </c>
      <c r="O37" s="112"/>
      <c r="P37" s="112">
        <f>P12</f>
        <v>-80000000</v>
      </c>
      <c r="Q37" s="112"/>
      <c r="R37" s="112">
        <f>R12</f>
        <v>-80000000</v>
      </c>
    </row>
    <row r="38" spans="1:24">
      <c r="B38" s="2" t="s">
        <v>19</v>
      </c>
      <c r="H38" s="120">
        <f>SUM(H35:H37)</f>
        <v>814684360</v>
      </c>
      <c r="I38" s="153"/>
      <c r="J38" s="120">
        <f>SUM(J35:J37)</f>
        <v>822967073.60000002</v>
      </c>
      <c r="K38" s="114"/>
      <c r="L38" s="120">
        <f>SUM(L35:L37)</f>
        <v>839698155.07200003</v>
      </c>
      <c r="M38" s="114"/>
      <c r="N38" s="120">
        <f>SUM(N35:N37)</f>
        <v>865296709.72416008</v>
      </c>
      <c r="O38" s="114"/>
      <c r="P38" s="120">
        <f>SUM(P35:P37)</f>
        <v>900452058.11312652</v>
      </c>
      <c r="Q38" s="114"/>
      <c r="R38" s="120">
        <f>SUM(R35:R37)</f>
        <v>946154011.01878285</v>
      </c>
      <c r="T38" s="4">
        <f>(R38/J38)^(1/4)-1</f>
        <v>3.5487459816826883E-2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2018</v>
      </c>
      <c r="C47" s="88">
        <v>0.99</v>
      </c>
      <c r="D47" s="88">
        <v>1</v>
      </c>
      <c r="E47" s="88">
        <v>1.01</v>
      </c>
      <c r="H47" s="156" t="s">
        <v>15</v>
      </c>
      <c r="I47" s="156"/>
      <c r="J47" s="161">
        <v>290537612</v>
      </c>
      <c r="M47" t="s">
        <v>55</v>
      </c>
      <c r="P47" s="2"/>
      <c r="X47" s="127"/>
    </row>
    <row r="48" spans="1:24">
      <c r="B48" s="90">
        <f>B47+1</f>
        <v>2019</v>
      </c>
      <c r="C48" s="88">
        <v>0.98</v>
      </c>
      <c r="D48" s="88">
        <v>1</v>
      </c>
      <c r="E48" s="88">
        <v>1.02</v>
      </c>
      <c r="H48" s="156" t="s">
        <v>99</v>
      </c>
      <c r="I48" s="156"/>
      <c r="J48" s="157"/>
      <c r="M48" t="s">
        <v>56</v>
      </c>
      <c r="P48" s="2"/>
      <c r="X48" s="127"/>
    </row>
    <row r="49" spans="2:24">
      <c r="B49" s="90">
        <f>B48+1</f>
        <v>2020</v>
      </c>
      <c r="C49" s="88">
        <v>0.97</v>
      </c>
      <c r="D49" s="88">
        <v>1</v>
      </c>
      <c r="E49" s="88">
        <v>1.03</v>
      </c>
      <c r="H49" s="156" t="s">
        <v>14</v>
      </c>
      <c r="I49" s="156"/>
      <c r="J49" s="157">
        <v>2017716000</v>
      </c>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0.03</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f>((NPV($C56,$J$13:$P$13,$R$13+$R$13*(1+$J$50)/($C56-$J$50)))-$J$49+J48)/$J$47</f>
        <v>31.309373621514133</v>
      </c>
      <c r="E56" s="93"/>
      <c r="F56" s="94">
        <f>((NPV($C56,$J$25:$P$25,$R$25+$R$25*(1+$J$50)/($C56-$J$50)))-$J$49+J48)/$J$47</f>
        <v>36.693736879615727</v>
      </c>
      <c r="G56" s="93"/>
      <c r="H56" s="123">
        <f>((NPV($C56,$J$38:$P$38,$R$38+$R$38*(1+$J$50)/($C56-$J$50)))-$J$49+J48)/$J$47</f>
        <v>42.692625063497815</v>
      </c>
      <c r="I56" s="10"/>
      <c r="J56" s="11"/>
      <c r="M56" s="135" t="s">
        <v>186</v>
      </c>
      <c r="Q56" s="87"/>
      <c r="R56" s="91"/>
      <c r="S56" s="87"/>
      <c r="T56" s="91"/>
    </row>
    <row r="57" spans="2:24">
      <c r="B57" s="84" t="s">
        <v>28</v>
      </c>
      <c r="C57" s="4">
        <v>0.11</v>
      </c>
      <c r="D57" s="96">
        <f>((NPV($C57,$J$13:$P$13,$R$13+$R$13*(1+$J$50)/($C57-$J$50)))-$J$49+J48)/$J$47</f>
        <v>18.922335406201977</v>
      </c>
      <c r="E57" s="97"/>
      <c r="F57" s="98">
        <f>((NPV($C57,$J$25:$P$25,$R$25+$R$25*(1+$J$50)/($C57-$J$50)))-$J$49+J48)/$J$47</f>
        <v>22.278226307152782</v>
      </c>
      <c r="G57" s="97"/>
      <c r="H57" s="99">
        <f>((NPV($C57,$J$38:$P$38,$R$38+$R$38*(1+$J$50)/($C57-$J$50)))-$J$49+J48)/$J$47</f>
        <v>26.007608611324624</v>
      </c>
      <c r="I57" s="44"/>
      <c r="J57" s="43"/>
      <c r="Q57" s="87"/>
      <c r="R57" s="91"/>
      <c r="S57" s="87"/>
      <c r="T57" s="91"/>
    </row>
    <row r="58" spans="2:24">
      <c r="B58" s="8" t="s">
        <v>10</v>
      </c>
      <c r="C58" s="4">
        <v>0.15</v>
      </c>
      <c r="D58" s="100">
        <f>((NPV($C58,$J$13:$P$13,$R$13+$R$13*(1+$J$50)/($C58-$J$50)))-$J$49+J48)/$J$47</f>
        <v>11.259530517623826</v>
      </c>
      <c r="E58" s="101"/>
      <c r="F58" s="102">
        <f>((NPV($C58,$J$25:$P$25,$R$25+$R$25*(1+$J$50)/($C58-$J$50)))-$J$49+J48)/$J$47</f>
        <v>13.393291891722033</v>
      </c>
      <c r="G58" s="101"/>
      <c r="H58" s="103">
        <f>((NPV($C58,$J$38:$P$38,$R$38+$R$38*(1+$J$50)/($C58-$J$50)))-$J$49+J48)/$J$47</f>
        <v>15.756668183857601</v>
      </c>
      <c r="I58" s="44"/>
      <c r="J58" s="43"/>
      <c r="L58" t="s">
        <v>196</v>
      </c>
      <c r="Q58" s="87"/>
      <c r="R58" s="91"/>
      <c r="S58" s="87"/>
      <c r="T58" s="91"/>
    </row>
    <row r="59" spans="2:24" ht="15.75">
      <c r="C59" s="4"/>
      <c r="D59" s="23"/>
      <c r="I59" s="23"/>
      <c r="J59" s="136"/>
      <c r="L59" t="s">
        <v>187</v>
      </c>
      <c r="M59" s="216" t="s">
        <v>382</v>
      </c>
      <c r="Q59" s="23"/>
      <c r="R59" s="23"/>
      <c r="S59" s="23"/>
      <c r="T59" s="23"/>
    </row>
    <row r="60" spans="2:24" ht="15.75">
      <c r="D60" s="2"/>
      <c r="M60" s="216" t="s">
        <v>383</v>
      </c>
      <c r="N60" s="23"/>
      <c r="O60" s="23"/>
      <c r="P60" s="107"/>
      <c r="Q60" s="23"/>
      <c r="R60" s="23"/>
      <c r="S60" s="23"/>
      <c r="T60" s="23"/>
    </row>
    <row r="61" spans="2:24" ht="15.75">
      <c r="D61" s="30"/>
      <c r="E61" s="30"/>
      <c r="F61" s="109" t="s">
        <v>6</v>
      </c>
      <c r="G61" s="30"/>
      <c r="H61" s="30"/>
      <c r="I61" s="104"/>
      <c r="J61" s="137"/>
      <c r="L61" s="23"/>
      <c r="M61" s="216" t="s">
        <v>384</v>
      </c>
      <c r="N61" s="128"/>
      <c r="O61" s="23"/>
      <c r="P61" s="104"/>
      <c r="Q61" s="104"/>
      <c r="R61" s="104"/>
      <c r="S61" s="104"/>
      <c r="T61" s="104"/>
    </row>
    <row r="62" spans="2:24" ht="15.75">
      <c r="D62" s="85" t="s">
        <v>29</v>
      </c>
      <c r="E62" s="85"/>
      <c r="F62" s="166" t="s">
        <v>31</v>
      </c>
      <c r="G62" s="85"/>
      <c r="H62" s="85" t="s">
        <v>188</v>
      </c>
      <c r="I62" s="62"/>
      <c r="J62" s="61"/>
      <c r="L62" s="23"/>
      <c r="M62" s="216" t="s">
        <v>385</v>
      </c>
      <c r="N62" s="129"/>
      <c r="O62" s="23"/>
      <c r="P62" s="87"/>
      <c r="Q62" s="87"/>
      <c r="R62" s="87"/>
      <c r="S62" s="87"/>
      <c r="T62" s="87"/>
    </row>
    <row r="63" spans="2:24" ht="15.75">
      <c r="B63" s="84" t="s">
        <v>8</v>
      </c>
      <c r="C63" s="4">
        <f>C56</f>
        <v>0.08</v>
      </c>
      <c r="D63" s="92">
        <f>((NPV($C63,$J$13:$P$13,$R$13+$R$13*(1+$J$50)/($C63-$J$50)))-$J$49+J48)</f>
        <v>9096550645.2105083</v>
      </c>
      <c r="E63" s="93"/>
      <c r="F63" s="94">
        <f>((NPV($C63,$J$25:$P$25,$R$25+$R$25*(1+$J$50)/($C63-$J$50)))-$J$49+J48)</f>
        <v>10660910688.359884</v>
      </c>
      <c r="G63" s="93"/>
      <c r="H63" s="95">
        <f>((NPV($C63,$J$38:$P$38,$R$38+$R$38*(1+$J$50)/($C63-$J$50)))-$J$49+J48)</f>
        <v>12403813335.960003</v>
      </c>
      <c r="I63" s="17"/>
      <c r="J63" s="18"/>
      <c r="L63" s="23"/>
      <c r="M63" s="216" t="s">
        <v>386</v>
      </c>
      <c r="N63" s="23"/>
      <c r="O63" s="23"/>
      <c r="P63" s="98"/>
      <c r="Q63" s="97"/>
      <c r="R63" s="98"/>
      <c r="S63" s="97"/>
      <c r="T63" s="98"/>
    </row>
    <row r="64" spans="2:24">
      <c r="B64" s="84" t="s">
        <v>28</v>
      </c>
      <c r="C64" s="4">
        <f>C57</f>
        <v>0.11</v>
      </c>
      <c r="D64" s="96">
        <f>((NPV($C64,$J$13:$P$13,$R$13+$R$13*(1+$J$50)/($C64-$J$50)))-$J$49+J48)</f>
        <v>5497650142.3809729</v>
      </c>
      <c r="E64" s="97"/>
      <c r="F64" s="98">
        <f>((NPV($C64,$J$25:$P$25,$R$25+$R$25*(1+$J$50)/($C64-$J$50)))-$J$49+J48)</f>
        <v>6472662670.8757477</v>
      </c>
      <c r="G64" s="97"/>
      <c r="H64" s="122">
        <f>((NPV($C64,$J$38:$P$38,$R$38+$R$38*(1+$J$50)/($C64-$J$50)))-$J$49+J48)</f>
        <v>7556188499.7648926</v>
      </c>
      <c r="I64" s="17"/>
      <c r="J64" s="18"/>
      <c r="L64" s="23"/>
      <c r="M64" s="159" t="s">
        <v>387</v>
      </c>
      <c r="N64" s="23"/>
      <c r="O64" s="23"/>
      <c r="P64" s="98"/>
      <c r="Q64" s="97"/>
      <c r="R64" s="98"/>
      <c r="S64" s="97"/>
      <c r="T64" s="98"/>
    </row>
    <row r="65" spans="1:20">
      <c r="B65" s="8" t="s">
        <v>10</v>
      </c>
      <c r="C65" s="4">
        <f>C58</f>
        <v>0.15</v>
      </c>
      <c r="D65" s="100">
        <f>((NPV($C65,$J$13:$P$13,$R$13+$R$13*(1+$J$50)/($C65-$J$50)))-$J$49+J48)</f>
        <v>3271317108.8315506</v>
      </c>
      <c r="E65" s="101"/>
      <c r="F65" s="102">
        <f>((NPV($C65,$J$25:$P$25,$R$25+$R$25*(1+$J$50)/($C65-$J$50)))-$J$49+J48)</f>
        <v>3891255043.0398817</v>
      </c>
      <c r="G65" s="101"/>
      <c r="H65" s="103">
        <f>((NPV($C65,$J$38:$P$38,$R$38+$R$38*(1+$J$50)/($C65-$J$50)))-$J$49+J48)</f>
        <v>4577904747.2143641</v>
      </c>
      <c r="I65" s="17"/>
      <c r="J65" s="18"/>
      <c r="L65" s="23"/>
      <c r="M65" s="200" t="s">
        <v>388</v>
      </c>
      <c r="N65" s="23"/>
      <c r="O65" s="23"/>
      <c r="P65" s="98"/>
      <c r="Q65" s="97"/>
      <c r="R65" s="98"/>
      <c r="S65" s="97"/>
      <c r="T65" s="98"/>
    </row>
    <row r="66" spans="1:20" ht="15.75">
      <c r="E66" s="23"/>
      <c r="F66" s="23"/>
      <c r="G66" s="23"/>
      <c r="H66" s="23"/>
      <c r="I66" s="23"/>
      <c r="J66" s="23"/>
      <c r="L66" s="132"/>
      <c r="M66" s="200" t="s">
        <v>389</v>
      </c>
      <c r="N66" s="111"/>
      <c r="O66" s="23"/>
      <c r="P66" s="23"/>
      <c r="Q66" s="23"/>
      <c r="R66" s="23"/>
      <c r="S66" s="23"/>
      <c r="T66" s="23"/>
    </row>
    <row r="67" spans="1:20">
      <c r="F67" s="23"/>
      <c r="G67" s="23"/>
      <c r="H67" s="125"/>
      <c r="I67" s="23"/>
      <c r="J67" s="23"/>
      <c r="L67" s="110"/>
      <c r="M67" s="200" t="s">
        <v>390</v>
      </c>
    </row>
    <row r="68" spans="1:20">
      <c r="F68" s="124" t="s">
        <v>40</v>
      </c>
      <c r="G68" s="23"/>
      <c r="H68" s="23"/>
      <c r="I68" s="23"/>
      <c r="J68" s="23"/>
      <c r="M68" s="179" t="s">
        <v>391</v>
      </c>
    </row>
    <row r="69" spans="1:20">
      <c r="A69" s="1" t="str">
        <f>"(1)  Assumes net debt of "&amp;TEXT(J49,"$0.0")&amp;"mm as of 5/16/08."</f>
        <v>(1)  Assumes net debt of $2017716000.0mm as of 5/16/08.</v>
      </c>
      <c r="F69" s="87"/>
      <c r="G69" s="87"/>
      <c r="H69" s="87"/>
      <c r="I69" s="87"/>
      <c r="J69" s="87"/>
      <c r="L69" s="82"/>
      <c r="M69" s="200" t="s">
        <v>392</v>
      </c>
      <c r="N69" s="82"/>
    </row>
    <row r="70" spans="1:20">
      <c r="A70" s="1" t="str">
        <f>"(2)  Assumes outstanding diluted shares of "&amp;TEXT(J47,"0.000")&amp;" million."</f>
        <v>(2)  Assumes outstanding diluted shares of 290537612.000 million.</v>
      </c>
      <c r="C70" s="8"/>
      <c r="D70" s="4"/>
      <c r="E70" s="23"/>
      <c r="F70" s="91"/>
      <c r="G70" s="87"/>
      <c r="H70" s="91"/>
      <c r="I70" s="87"/>
      <c r="J70" s="91"/>
      <c r="M70" s="179" t="s">
        <v>393</v>
      </c>
    </row>
    <row r="71" spans="1:20">
      <c r="B71" s="2"/>
      <c r="C71" s="8"/>
      <c r="D71" s="4"/>
      <c r="E71" s="23"/>
      <c r="F71" s="91"/>
      <c r="G71" s="87"/>
      <c r="H71" s="91"/>
      <c r="I71" s="87"/>
      <c r="J71" s="91"/>
      <c r="M71" s="179" t="s">
        <v>394</v>
      </c>
    </row>
    <row r="72" spans="1:20" ht="15.75">
      <c r="B72" s="147" t="s">
        <v>136</v>
      </c>
      <c r="C72" s="8"/>
      <c r="D72" s="4"/>
      <c r="E72" s="23"/>
      <c r="F72" s="91"/>
      <c r="G72" s="87"/>
      <c r="H72" s="91"/>
      <c r="I72" s="87"/>
      <c r="J72" s="91"/>
      <c r="M72" s="200" t="s">
        <v>395</v>
      </c>
    </row>
    <row r="73" spans="1:20" ht="15.75">
      <c r="B73" s="147" t="s">
        <v>137</v>
      </c>
      <c r="C73" s="8"/>
      <c r="D73" s="4"/>
      <c r="E73" s="23"/>
      <c r="F73" s="91"/>
      <c r="G73" s="87"/>
      <c r="H73" s="91"/>
      <c r="I73" s="87"/>
      <c r="J73" s="91"/>
      <c r="M73" s="200" t="s">
        <v>396</v>
      </c>
    </row>
    <row r="74" spans="1:20" ht="15.75">
      <c r="B74" s="147"/>
      <c r="C74" s="8"/>
      <c r="D74" s="4"/>
      <c r="E74" s="23"/>
      <c r="F74" s="91"/>
      <c r="G74" s="87"/>
      <c r="H74" s="91"/>
      <c r="I74" s="87"/>
      <c r="J74" s="91"/>
      <c r="M74" s="201" t="s">
        <v>397</v>
      </c>
    </row>
    <row r="75" spans="1:20">
      <c r="B75" s="149" t="s">
        <v>138</v>
      </c>
      <c r="C75" s="8"/>
      <c r="D75" s="4"/>
      <c r="E75" s="23"/>
      <c r="F75" s="91"/>
      <c r="G75" s="87"/>
      <c r="H75" s="91"/>
      <c r="I75" s="87"/>
      <c r="J75" s="91"/>
      <c r="M75" s="200" t="s">
        <v>398</v>
      </c>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217">
        <v>2949760000</v>
      </c>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A107">
        <v>22</v>
      </c>
      <c r="B107" s="135" t="s">
        <v>363</v>
      </c>
      <c r="F107" s="146"/>
    </row>
    <row r="108" spans="1:6">
      <c r="A108">
        <v>23</v>
      </c>
      <c r="B108" s="135" t="s">
        <v>364</v>
      </c>
      <c r="F108" s="146"/>
    </row>
    <row r="109" spans="1:6">
      <c r="A109">
        <v>24</v>
      </c>
      <c r="B109" s="135" t="s">
        <v>365</v>
      </c>
      <c r="F109" s="146"/>
    </row>
    <row r="110" spans="1:6">
      <c r="A110">
        <v>25</v>
      </c>
      <c r="B110" s="135" t="s">
        <v>366</v>
      </c>
      <c r="F110" s="146"/>
    </row>
    <row r="111" spans="1:6">
      <c r="A111">
        <v>26</v>
      </c>
      <c r="B111" s="135" t="s">
        <v>367</v>
      </c>
      <c r="F111" s="146"/>
    </row>
    <row r="112" spans="1:6">
      <c r="A112">
        <v>27</v>
      </c>
      <c r="B112" s="135" t="s">
        <v>368</v>
      </c>
      <c r="F112" s="146"/>
    </row>
    <row r="113" spans="2:6">
      <c r="B113" s="135"/>
      <c r="F113" s="146"/>
    </row>
    <row r="114" spans="2:6">
      <c r="B114" s="168" t="s">
        <v>192</v>
      </c>
      <c r="F114" s="146"/>
    </row>
    <row r="115" spans="2:6">
      <c r="B115" s="135" t="s">
        <v>193</v>
      </c>
      <c r="F115" s="146"/>
    </row>
    <row r="122" spans="2:6">
      <c r="B122" t="s">
        <v>194</v>
      </c>
    </row>
    <row r="123" spans="2:6">
      <c r="B123" t="s">
        <v>195</v>
      </c>
    </row>
  </sheetData>
  <mergeCells count="1">
    <mergeCell ref="H46:J46"/>
  </mergeCells>
  <conditionalFormatting sqref="B6:T13">
    <cfRule type="expression" dxfId="59" priority="6">
      <formula>MOD(ROW(),2)=0</formula>
    </cfRule>
  </conditionalFormatting>
  <conditionalFormatting sqref="B18:T25">
    <cfRule type="expression" dxfId="58" priority="5">
      <formula>MOD(ROW(),2)=0</formula>
    </cfRule>
  </conditionalFormatting>
  <conditionalFormatting sqref="B31:T39">
    <cfRule type="expression" dxfId="57" priority="4">
      <formula>MOD(ROW(),2)=0</formula>
    </cfRule>
  </conditionalFormatting>
  <conditionalFormatting sqref="D56:H58">
    <cfRule type="expression" dxfId="56" priority="3">
      <formula>MOD(ROW(),2)=0</formula>
    </cfRule>
  </conditionalFormatting>
  <conditionalFormatting sqref="D63:H65">
    <cfRule type="expression" dxfId="55" priority="2">
      <formula>MOD(ROW(),2)=0</formula>
    </cfRule>
  </conditionalFormatting>
  <conditionalFormatting sqref="C47:E51">
    <cfRule type="expression" dxfId="54" priority="1">
      <formula>MOD(ROW(),2)=0</formula>
    </cfRule>
  </conditionalFormatting>
  <pageMargins left="0.75" right="0.75" top="1" bottom="1" header="0.5" footer="0.5"/>
  <pageSetup paperSize="119"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123"/>
  <sheetViews>
    <sheetView showGridLines="0" topLeftCell="A29" zoomScaleNormal="100" workbookViewId="0">
      <selection activeCell="M62" sqref="M62"/>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2018</v>
      </c>
      <c r="J4" s="27">
        <f>H4+1</f>
        <v>2019</v>
      </c>
      <c r="K4" s="20"/>
      <c r="L4" s="27">
        <f>J4+1</f>
        <v>2020</v>
      </c>
      <c r="M4" s="20"/>
      <c r="N4" s="60">
        <f>L4+1</f>
        <v>2021</v>
      </c>
      <c r="O4" s="21"/>
      <c r="P4" s="60">
        <f>N4+1</f>
        <v>2022</v>
      </c>
      <c r="Q4" s="21"/>
      <c r="R4" s="60">
        <f>P4+1</f>
        <v>2023</v>
      </c>
      <c r="T4" s="28" t="s">
        <v>33</v>
      </c>
    </row>
    <row r="5" spans="1:24" ht="5.0999999999999996" customHeight="1"/>
    <row r="6" spans="1:24">
      <c r="B6" t="s">
        <v>26</v>
      </c>
      <c r="H6" s="75">
        <v>340000000</v>
      </c>
      <c r="J6" s="75">
        <f>H6*C47</f>
        <v>336600000</v>
      </c>
      <c r="K6" s="121"/>
      <c r="L6" s="75">
        <f>J6*C48</f>
        <v>329868000</v>
      </c>
      <c r="M6" s="121"/>
      <c r="N6" s="75">
        <f>L6*C49</f>
        <v>319971960</v>
      </c>
      <c r="O6" s="75"/>
      <c r="P6" s="75">
        <f>N6*C50</f>
        <v>307173081.59999996</v>
      </c>
      <c r="Q6" s="75"/>
      <c r="R6" s="75">
        <f>P6*C51</f>
        <v>291814427.51999998</v>
      </c>
      <c r="T6" s="4">
        <f>(R6/J6)^(1/4)-1</f>
        <v>-3.506477179553269E-2</v>
      </c>
    </row>
    <row r="7" spans="1:24">
      <c r="B7" s="23" t="s">
        <v>22</v>
      </c>
      <c r="H7" s="71">
        <v>0</v>
      </c>
      <c r="J7" s="71">
        <v>0</v>
      </c>
      <c r="L7" s="71">
        <v>0</v>
      </c>
      <c r="N7" s="71">
        <v>0</v>
      </c>
      <c r="P7" s="71">
        <v>0</v>
      </c>
      <c r="R7" s="71">
        <v>0</v>
      </c>
      <c r="T7" s="4"/>
    </row>
    <row r="8" spans="1:24">
      <c r="B8" t="s">
        <v>27</v>
      </c>
      <c r="H8" s="115">
        <f>H6+H7</f>
        <v>340000000</v>
      </c>
      <c r="I8" s="73"/>
      <c r="J8" s="115">
        <f>J6+J7</f>
        <v>336600000</v>
      </c>
      <c r="K8" s="116"/>
      <c r="L8" s="115">
        <f>L6+L7</f>
        <v>329868000</v>
      </c>
      <c r="M8" s="116"/>
      <c r="N8" s="115">
        <f>N6+N7</f>
        <v>319971960</v>
      </c>
      <c r="O8" s="116"/>
      <c r="P8" s="115">
        <f>P6+P7</f>
        <v>307173081.59999996</v>
      </c>
      <c r="Q8" s="116"/>
      <c r="R8" s="115">
        <f>R6+R7</f>
        <v>291814427.51999998</v>
      </c>
      <c r="T8" s="4">
        <f>(R8/J8)^(1/4)-1</f>
        <v>-3.506477179553269E-2</v>
      </c>
    </row>
    <row r="9" spans="1:24" s="39" customFormat="1">
      <c r="B9" s="39" t="s">
        <v>21</v>
      </c>
      <c r="H9" s="117">
        <f>-$J$51*H8</f>
        <v>-85000000</v>
      </c>
      <c r="I9"/>
      <c r="J9" s="117">
        <f>-$J$51*J8</f>
        <v>-84150000</v>
      </c>
      <c r="K9" s="114"/>
      <c r="L9" s="117">
        <f>-$J$51*L8</f>
        <v>-82467000</v>
      </c>
      <c r="M9" s="114"/>
      <c r="N9" s="117">
        <f>-$J$51*N8</f>
        <v>-79992990</v>
      </c>
      <c r="O9" s="114"/>
      <c r="P9" s="117">
        <f>-$J$51*P8</f>
        <v>-76793270.399999991</v>
      </c>
      <c r="Q9" s="114"/>
      <c r="R9" s="117">
        <f>-$J$51*R8</f>
        <v>-72953606.879999995</v>
      </c>
    </row>
    <row r="10" spans="1:24" s="2" customFormat="1">
      <c r="B10" s="2" t="s">
        <v>3</v>
      </c>
      <c r="H10" s="118">
        <f>SUM(H8:H9)</f>
        <v>255000000</v>
      </c>
      <c r="J10" s="118">
        <f>SUM(J8:J9)</f>
        <v>252450000</v>
      </c>
      <c r="K10" s="119"/>
      <c r="L10" s="118">
        <f>SUM(L8:L9)</f>
        <v>247401000</v>
      </c>
      <c r="M10" s="119"/>
      <c r="N10" s="118">
        <f>SUM(N8:N9)</f>
        <v>239978970</v>
      </c>
      <c r="O10" s="119"/>
      <c r="P10" s="118">
        <f>SUM(P8:P9)</f>
        <v>230379811.19999999</v>
      </c>
      <c r="Q10" s="119"/>
      <c r="R10" s="118">
        <f>SUM(R8:R9)</f>
        <v>218860820.63999999</v>
      </c>
      <c r="T10" s="4">
        <f>(R10/J10)^(1/4)-1</f>
        <v>-3.506477179553269E-2</v>
      </c>
    </row>
    <row r="11" spans="1:24">
      <c r="B11" s="10" t="s">
        <v>25</v>
      </c>
      <c r="H11" s="112">
        <v>129000000</v>
      </c>
      <c r="I11" s="112"/>
      <c r="J11" s="112">
        <f>H11</f>
        <v>129000000</v>
      </c>
      <c r="K11" s="112"/>
      <c r="L11" s="112">
        <f>J11</f>
        <v>129000000</v>
      </c>
      <c r="M11" s="112"/>
      <c r="N11" s="112">
        <f>L11</f>
        <v>129000000</v>
      </c>
      <c r="O11" s="112"/>
      <c r="P11" s="112">
        <f>N11</f>
        <v>129000000</v>
      </c>
      <c r="Q11" s="112"/>
      <c r="R11" s="112">
        <f>P11</f>
        <v>129000000</v>
      </c>
    </row>
    <row r="12" spans="1:24">
      <c r="B12" t="s">
        <v>23</v>
      </c>
      <c r="H12" s="112">
        <v>-150000000</v>
      </c>
      <c r="I12" s="112"/>
      <c r="J12" s="112">
        <f>H12</f>
        <v>-150000000</v>
      </c>
      <c r="K12" s="112"/>
      <c r="L12" s="112">
        <f>J12</f>
        <v>-150000000</v>
      </c>
      <c r="M12" s="112"/>
      <c r="N12" s="112">
        <f>L12</f>
        <v>-150000000</v>
      </c>
      <c r="O12" s="112"/>
      <c r="P12" s="112">
        <f>N12</f>
        <v>-150000000</v>
      </c>
      <c r="Q12" s="112"/>
      <c r="R12" s="112">
        <f>P12</f>
        <v>-150000000</v>
      </c>
      <c r="X12" s="81"/>
    </row>
    <row r="13" spans="1:24">
      <c r="B13" s="2" t="s">
        <v>19</v>
      </c>
      <c r="H13" s="120">
        <f>SUM(H10:H12)</f>
        <v>234000000</v>
      </c>
      <c r="J13" s="120">
        <f>SUM(J10:J12)</f>
        <v>231450000</v>
      </c>
      <c r="K13" s="114"/>
      <c r="L13" s="120">
        <f>SUM(L10:L12)</f>
        <v>226401000</v>
      </c>
      <c r="M13" s="114"/>
      <c r="N13" s="120">
        <f>SUM(N10:N12)</f>
        <v>218978970</v>
      </c>
      <c r="O13" s="114"/>
      <c r="P13" s="120">
        <f>SUM(P10:P12)</f>
        <v>209379811.19999999</v>
      </c>
      <c r="Q13" s="114"/>
      <c r="R13" s="120">
        <f>SUM(R10:R12)</f>
        <v>197860820.63999999</v>
      </c>
      <c r="T13" s="4">
        <f>(R13/J13)^(1/4)-1</f>
        <v>-3.8441624168440991E-2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340000000</v>
      </c>
      <c r="J18" s="75">
        <f>H18*D47</f>
        <v>340000000</v>
      </c>
      <c r="K18" s="121"/>
      <c r="L18" s="75">
        <f>J18*D48</f>
        <v>340000000</v>
      </c>
      <c r="M18" s="121"/>
      <c r="N18" s="75">
        <f>L18*D49</f>
        <v>340000000</v>
      </c>
      <c r="O18" s="75"/>
      <c r="P18" s="75">
        <f>N18*D50</f>
        <v>340000000</v>
      </c>
      <c r="Q18" s="75"/>
      <c r="R18" s="75">
        <f>P18*D51</f>
        <v>340000000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340000000</v>
      </c>
      <c r="I20" s="116"/>
      <c r="J20" s="115">
        <f>J18+J19</f>
        <v>340000000</v>
      </c>
      <c r="K20" s="116"/>
      <c r="L20" s="115">
        <f>L18+L19</f>
        <v>340000000</v>
      </c>
      <c r="M20" s="116"/>
      <c r="N20" s="115">
        <f>N18+N19</f>
        <v>340000000</v>
      </c>
      <c r="O20" s="116"/>
      <c r="P20" s="115">
        <f>P18+P19</f>
        <v>340000000</v>
      </c>
      <c r="Q20" s="116"/>
      <c r="R20" s="115">
        <f>R18+R19</f>
        <v>340000000</v>
      </c>
      <c r="T20" s="4">
        <f>(R20/J20)^(1/4)-1</f>
        <v>0</v>
      </c>
    </row>
    <row r="21" spans="1:20">
      <c r="B21" s="39" t="s">
        <v>21</v>
      </c>
      <c r="C21" s="39"/>
      <c r="D21" s="39"/>
      <c r="E21" s="39"/>
      <c r="F21" s="39"/>
      <c r="G21" s="39"/>
      <c r="H21" s="117">
        <f>-$J$51*H20</f>
        <v>-85000000</v>
      </c>
      <c r="I21" s="114"/>
      <c r="J21" s="117">
        <f>-$J$51*J20</f>
        <v>-85000000</v>
      </c>
      <c r="K21" s="114"/>
      <c r="L21" s="117">
        <f>-$J$51*L20</f>
        <v>-85000000</v>
      </c>
      <c r="M21" s="114"/>
      <c r="N21" s="117">
        <f>-$J$51*N20</f>
        <v>-85000000</v>
      </c>
      <c r="O21" s="114"/>
      <c r="P21" s="117">
        <f>-$J$51*P20</f>
        <v>-85000000</v>
      </c>
      <c r="Q21" s="114"/>
      <c r="R21" s="117">
        <f>-$J$51*R20</f>
        <v>-85000000</v>
      </c>
      <c r="S21" s="39"/>
      <c r="T21" s="39"/>
    </row>
    <row r="22" spans="1:20">
      <c r="A22" s="2"/>
      <c r="B22" s="2" t="s">
        <v>3</v>
      </c>
      <c r="C22" s="2"/>
      <c r="D22" s="2"/>
      <c r="E22" s="2"/>
      <c r="F22" s="2"/>
      <c r="G22" s="2"/>
      <c r="H22" s="118">
        <f>SUM(H20:H21)</f>
        <v>255000000</v>
      </c>
      <c r="I22" s="119"/>
      <c r="J22" s="118">
        <f>SUM(J20:J21)</f>
        <v>255000000</v>
      </c>
      <c r="K22" s="119"/>
      <c r="L22" s="118">
        <f>SUM(L20:L21)</f>
        <v>255000000</v>
      </c>
      <c r="M22" s="119"/>
      <c r="N22" s="118">
        <f>SUM(N20:N21)</f>
        <v>255000000</v>
      </c>
      <c r="O22" s="119"/>
      <c r="P22" s="118">
        <f>SUM(P20:P21)</f>
        <v>255000000</v>
      </c>
      <c r="Q22" s="119"/>
      <c r="R22" s="118">
        <f>SUM(R20:R21)</f>
        <v>255000000</v>
      </c>
      <c r="S22" s="2"/>
      <c r="T22" s="4">
        <f>(R22/J22)^(1/4)-1</f>
        <v>0</v>
      </c>
    </row>
    <row r="23" spans="1:20">
      <c r="B23" s="10" t="s">
        <v>25</v>
      </c>
      <c r="H23" s="112">
        <f>H11</f>
        <v>129000000</v>
      </c>
      <c r="I23" s="112"/>
      <c r="J23" s="112">
        <f>J11</f>
        <v>129000000</v>
      </c>
      <c r="K23" s="112"/>
      <c r="L23" s="112">
        <f>L11</f>
        <v>129000000</v>
      </c>
      <c r="M23" s="112"/>
      <c r="N23" s="112">
        <f>N11</f>
        <v>129000000</v>
      </c>
      <c r="O23" s="112"/>
      <c r="P23" s="112">
        <f>P11</f>
        <v>129000000</v>
      </c>
      <c r="Q23" s="112"/>
      <c r="R23" s="112">
        <f>R11</f>
        <v>129000000</v>
      </c>
    </row>
    <row r="24" spans="1:20">
      <c r="B24" t="s">
        <v>23</v>
      </c>
      <c r="H24" s="112">
        <f>H12</f>
        <v>-150000000</v>
      </c>
      <c r="I24" s="112"/>
      <c r="J24" s="112">
        <f>J12</f>
        <v>-150000000</v>
      </c>
      <c r="K24" s="112"/>
      <c r="L24" s="112">
        <f>L12</f>
        <v>-150000000</v>
      </c>
      <c r="M24" s="112"/>
      <c r="N24" s="112">
        <f>N12</f>
        <v>-150000000</v>
      </c>
      <c r="O24" s="112"/>
      <c r="P24" s="112">
        <f>P12</f>
        <v>-150000000</v>
      </c>
      <c r="Q24" s="112"/>
      <c r="R24" s="112">
        <f>R12</f>
        <v>-150000000</v>
      </c>
    </row>
    <row r="25" spans="1:20">
      <c r="B25" s="2" t="s">
        <v>19</v>
      </c>
      <c r="H25" s="120">
        <f>SUM(H22:H24)</f>
        <v>234000000</v>
      </c>
      <c r="I25" s="114"/>
      <c r="J25" s="120">
        <f>SUM(J22:J24)</f>
        <v>234000000</v>
      </c>
      <c r="K25" s="114"/>
      <c r="L25" s="120">
        <f>SUM(L22:L24)</f>
        <v>234000000</v>
      </c>
      <c r="M25" s="114"/>
      <c r="N25" s="120">
        <f>SUM(N22:N24)</f>
        <v>234000000</v>
      </c>
      <c r="O25" s="114"/>
      <c r="P25" s="120">
        <f>SUM(P22:P24)</f>
        <v>234000000</v>
      </c>
      <c r="Q25" s="114"/>
      <c r="R25" s="120">
        <f>SUM(R22:R24)</f>
        <v>234000000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340000000</v>
      </c>
      <c r="J31" s="75">
        <f>H31*E47</f>
        <v>343400000</v>
      </c>
      <c r="K31" s="121"/>
      <c r="L31" s="75">
        <f>J31*E48</f>
        <v>350268000</v>
      </c>
      <c r="M31" s="121"/>
      <c r="N31" s="75">
        <f>L31*E49</f>
        <v>360776040</v>
      </c>
      <c r="O31" s="75"/>
      <c r="P31" s="75">
        <f>N31*E50</f>
        <v>375207081.60000002</v>
      </c>
      <c r="Q31" s="75"/>
      <c r="R31" s="75">
        <f>P31*E51</f>
        <v>393967435.68000007</v>
      </c>
      <c r="T31" s="4">
        <f>(R31/J31)^(1/4)-1</f>
        <v>3.493960950960906E-2</v>
      </c>
    </row>
    <row r="32" spans="1:20">
      <c r="B32" s="23" t="s">
        <v>22</v>
      </c>
      <c r="H32" s="71">
        <f>H7</f>
        <v>0</v>
      </c>
      <c r="J32" s="71">
        <f>J7</f>
        <v>0</v>
      </c>
      <c r="L32" s="71">
        <f>L7</f>
        <v>0</v>
      </c>
      <c r="N32" s="71">
        <f>N7</f>
        <v>0</v>
      </c>
      <c r="P32" s="71">
        <f>P7</f>
        <v>0</v>
      </c>
      <c r="R32" s="71">
        <f>R7</f>
        <v>0</v>
      </c>
      <c r="T32" s="4"/>
    </row>
    <row r="33" spans="1:24">
      <c r="B33" t="s">
        <v>27</v>
      </c>
      <c r="H33" s="115">
        <f>H31+H32</f>
        <v>340000000</v>
      </c>
      <c r="I33" s="116"/>
      <c r="J33" s="115">
        <f>J31+J32</f>
        <v>343400000</v>
      </c>
      <c r="K33" s="116"/>
      <c r="L33" s="115">
        <f>L31+L32</f>
        <v>350268000</v>
      </c>
      <c r="M33" s="116"/>
      <c r="N33" s="115">
        <f>N31+N32</f>
        <v>360776040</v>
      </c>
      <c r="O33" s="116"/>
      <c r="P33" s="115">
        <f>P31+P32</f>
        <v>375207081.60000002</v>
      </c>
      <c r="Q33" s="116"/>
      <c r="R33" s="115">
        <f>R31+R32</f>
        <v>393967435.68000007</v>
      </c>
      <c r="T33" s="4">
        <f>(R33/J33)^(1/4)-1</f>
        <v>3.493960950960906E-2</v>
      </c>
    </row>
    <row r="34" spans="1:24">
      <c r="B34" s="39" t="s">
        <v>21</v>
      </c>
      <c r="C34" s="39"/>
      <c r="D34" s="39"/>
      <c r="E34" s="39"/>
      <c r="F34" s="39"/>
      <c r="G34" s="39"/>
      <c r="H34" s="117">
        <f>-$J$51*H33</f>
        <v>-85000000</v>
      </c>
      <c r="I34" s="114"/>
      <c r="J34" s="117">
        <f>-$J$51*J33</f>
        <v>-85850000</v>
      </c>
      <c r="K34" s="114"/>
      <c r="L34" s="117">
        <f>-$J$51*L33</f>
        <v>-87567000</v>
      </c>
      <c r="M34" s="114"/>
      <c r="N34" s="117">
        <f>-$J$51*N33</f>
        <v>-90194010</v>
      </c>
      <c r="O34" s="114"/>
      <c r="P34" s="117">
        <f>-$J$51*P33</f>
        <v>-93801770.400000006</v>
      </c>
      <c r="Q34" s="114"/>
      <c r="R34" s="117">
        <f>-$J$51*R33</f>
        <v>-98491858.920000017</v>
      </c>
      <c r="S34" s="39"/>
      <c r="T34" s="39"/>
    </row>
    <row r="35" spans="1:24">
      <c r="A35" s="2"/>
      <c r="B35" s="2" t="s">
        <v>3</v>
      </c>
      <c r="C35" s="2"/>
      <c r="D35" s="2"/>
      <c r="E35" s="2"/>
      <c r="F35" s="2"/>
      <c r="G35" s="2"/>
      <c r="H35" s="118">
        <f>SUM(H33:H34)</f>
        <v>255000000</v>
      </c>
      <c r="I35" s="119"/>
      <c r="J35" s="118">
        <f>SUM(J33:J34)</f>
        <v>257550000</v>
      </c>
      <c r="K35" s="119"/>
      <c r="L35" s="118">
        <f>SUM(L33:L34)</f>
        <v>262701000</v>
      </c>
      <c r="M35" s="119"/>
      <c r="N35" s="118">
        <f>SUM(N33:N34)</f>
        <v>270582030</v>
      </c>
      <c r="O35" s="119"/>
      <c r="P35" s="118">
        <f>SUM(P33:P34)</f>
        <v>281405311.20000005</v>
      </c>
      <c r="Q35" s="119"/>
      <c r="R35" s="118">
        <f>SUM(R33:R34)</f>
        <v>295475576.76000005</v>
      </c>
      <c r="S35" s="2"/>
      <c r="T35" s="4">
        <f>(R35/J35)^(1/4)-1</f>
        <v>3.493960950960906E-2</v>
      </c>
    </row>
    <row r="36" spans="1:24">
      <c r="B36" s="10" t="s">
        <v>25</v>
      </c>
      <c r="H36" s="112">
        <f>H11</f>
        <v>129000000</v>
      </c>
      <c r="I36" s="112"/>
      <c r="J36" s="112">
        <f>J11</f>
        <v>129000000</v>
      </c>
      <c r="K36" s="112"/>
      <c r="L36" s="112">
        <f>L11</f>
        <v>129000000</v>
      </c>
      <c r="M36" s="112"/>
      <c r="N36" s="112">
        <f>N11</f>
        <v>129000000</v>
      </c>
      <c r="O36" s="112"/>
      <c r="P36" s="112">
        <f>P11</f>
        <v>129000000</v>
      </c>
      <c r="Q36" s="112"/>
      <c r="R36" s="112">
        <f>R11</f>
        <v>129000000</v>
      </c>
    </row>
    <row r="37" spans="1:24">
      <c r="B37" t="s">
        <v>23</v>
      </c>
      <c r="H37" s="112">
        <f>H12</f>
        <v>-150000000</v>
      </c>
      <c r="I37" s="112"/>
      <c r="J37" s="112">
        <f>J12</f>
        <v>-150000000</v>
      </c>
      <c r="K37" s="112"/>
      <c r="L37" s="112">
        <f>L12</f>
        <v>-150000000</v>
      </c>
      <c r="M37" s="112"/>
      <c r="N37" s="112">
        <f>N12</f>
        <v>-150000000</v>
      </c>
      <c r="O37" s="112"/>
      <c r="P37" s="112">
        <f>P12</f>
        <v>-150000000</v>
      </c>
      <c r="Q37" s="112"/>
      <c r="R37" s="112">
        <f>R12</f>
        <v>-150000000</v>
      </c>
    </row>
    <row r="38" spans="1:24">
      <c r="B38" s="2" t="s">
        <v>19</v>
      </c>
      <c r="H38" s="120">
        <f>SUM(H35:H37)</f>
        <v>234000000</v>
      </c>
      <c r="I38" s="153"/>
      <c r="J38" s="120">
        <f>SUM(J35:J37)</f>
        <v>236550000</v>
      </c>
      <c r="K38" s="114"/>
      <c r="L38" s="120">
        <f>SUM(L35:L37)</f>
        <v>241701000</v>
      </c>
      <c r="M38" s="114"/>
      <c r="N38" s="120">
        <f>SUM(N35:N37)</f>
        <v>249582030</v>
      </c>
      <c r="O38" s="114"/>
      <c r="P38" s="120">
        <f>SUM(P35:P37)</f>
        <v>260405311.20000005</v>
      </c>
      <c r="Q38" s="114"/>
      <c r="R38" s="120">
        <f>SUM(R35:R37)</f>
        <v>274475576.76000005</v>
      </c>
      <c r="T38" s="4">
        <f>(R38/J38)^(1/4)-1</f>
        <v>3.7875328737073666E-2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2018</v>
      </c>
      <c r="C47" s="88">
        <v>0.99</v>
      </c>
      <c r="D47" s="88">
        <v>1</v>
      </c>
      <c r="E47" s="88">
        <v>1.01</v>
      </c>
      <c r="H47" s="156" t="s">
        <v>15</v>
      </c>
      <c r="I47" s="156"/>
      <c r="J47" s="161">
        <v>109740000</v>
      </c>
      <c r="M47" t="s">
        <v>55</v>
      </c>
      <c r="P47" s="2"/>
      <c r="X47" s="127"/>
    </row>
    <row r="48" spans="1:24">
      <c r="B48" s="90">
        <f>B47+1</f>
        <v>2019</v>
      </c>
      <c r="C48" s="88">
        <v>0.98</v>
      </c>
      <c r="D48" s="88">
        <v>1</v>
      </c>
      <c r="E48" s="88">
        <v>1.02</v>
      </c>
      <c r="H48" s="156" t="s">
        <v>99</v>
      </c>
      <c r="I48" s="156"/>
      <c r="J48" s="157">
        <v>520000000</v>
      </c>
      <c r="M48" t="s">
        <v>56</v>
      </c>
      <c r="P48" s="2"/>
      <c r="X48" s="127"/>
    </row>
    <row r="49" spans="2:24">
      <c r="B49" s="90">
        <f>B48+1</f>
        <v>2020</v>
      </c>
      <c r="C49" s="88">
        <v>0.97</v>
      </c>
      <c r="D49" s="88">
        <v>1</v>
      </c>
      <c r="E49" s="88">
        <v>1.03</v>
      </c>
      <c r="H49" s="156" t="s">
        <v>14</v>
      </c>
      <c r="I49" s="156"/>
      <c r="J49" s="157">
        <v>0</v>
      </c>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f>((NPV($C56,$J$13:$P$13,$R$13+$R$13*(1+$J$50)/($C56-$J$50)))-$J$49+J48)/$J$47</f>
        <v>33.534120629916622</v>
      </c>
      <c r="E56" s="93"/>
      <c r="F56" s="94">
        <f>((NPV($C56,$J$25:$P$25,$R$25+$R$25*(1+$J$50)/($C56-$J$50)))-$J$49+J48)/$J$47</f>
        <v>37.922854988851292</v>
      </c>
      <c r="G56" s="93"/>
      <c r="H56" s="123">
        <f>((NPV($C56,$J$38:$P$38,$R$38+$R$38*(1+$J$50)/($C56-$J$50)))-$J$49+J48)/$J$47</f>
        <v>42.8124817517553</v>
      </c>
      <c r="I56" s="10"/>
      <c r="J56" s="11"/>
      <c r="M56" s="135" t="s">
        <v>186</v>
      </c>
      <c r="Q56" s="87"/>
      <c r="R56" s="91"/>
      <c r="S56" s="87"/>
      <c r="T56" s="91"/>
    </row>
    <row r="57" spans="2:24">
      <c r="B57" s="84" t="s">
        <v>28</v>
      </c>
      <c r="C57" s="4">
        <v>0.11</v>
      </c>
      <c r="D57" s="96">
        <f>((NPV($C57,$J$13:$P$13,$R$13+$R$13*(1+$J$50)/($C57-$J$50)))-$J$49+J48)/$J$47</f>
        <v>24.225401891002292</v>
      </c>
      <c r="E57" s="97"/>
      <c r="F57" s="98">
        <f>((NPV($C57,$J$25:$P$25,$R$25+$R$25*(1+$J$50)/($C57-$J$50)))-$J$49+J48)/$J$47</f>
        <v>26.960751085668598</v>
      </c>
      <c r="G57" s="97"/>
      <c r="H57" s="99">
        <f>((NPV($C57,$J$38:$P$38,$R$38+$R$38*(1+$J$50)/($C57-$J$50)))-$J$49+J48)/$J$47</f>
        <v>30.000528951936243</v>
      </c>
      <c r="I57" s="44"/>
      <c r="J57" s="43"/>
      <c r="Q57" s="87"/>
      <c r="R57" s="91"/>
      <c r="S57" s="87"/>
      <c r="T57" s="91"/>
    </row>
    <row r="58" spans="2:24">
      <c r="B58" s="8" t="s">
        <v>10</v>
      </c>
      <c r="C58" s="4">
        <v>0.15</v>
      </c>
      <c r="D58" s="100">
        <f>((NPV($C58,$J$13:$P$13,$R$13+$R$13*(1+$J$50)/($C58-$J$50)))-$J$49+J48)/$J$47</f>
        <v>18.465103107228924</v>
      </c>
      <c r="E58" s="101"/>
      <c r="F58" s="102">
        <f>((NPV($C58,$J$25:$P$25,$R$25+$R$25*(1+$J$50)/($C58-$J$50)))-$J$49+J48)/$J$47</f>
        <v>20.204308173339971</v>
      </c>
      <c r="G58" s="101"/>
      <c r="H58" s="103">
        <f>((NPV($C58,$J$38:$P$38,$R$38+$R$38*(1+$J$50)/($C58-$J$50)))-$J$49+J48)/$J$47</f>
        <v>22.130669794796404</v>
      </c>
      <c r="I58" s="44"/>
      <c r="J58" s="43"/>
      <c r="L58" t="s">
        <v>196</v>
      </c>
      <c r="Q58" s="87"/>
      <c r="R58" s="91"/>
      <c r="S58" s="87"/>
      <c r="T58" s="91"/>
    </row>
    <row r="59" spans="2:24">
      <c r="C59" s="4"/>
      <c r="D59" s="23"/>
      <c r="I59" s="23"/>
      <c r="J59" s="136"/>
      <c r="L59" t="s">
        <v>187</v>
      </c>
      <c r="M59" s="146" t="s">
        <v>379</v>
      </c>
      <c r="Q59" s="23"/>
      <c r="R59" s="23"/>
      <c r="S59" s="23"/>
      <c r="T59" s="23"/>
    </row>
    <row r="60" spans="2:24">
      <c r="D60" s="2"/>
      <c r="M60" s="146" t="s">
        <v>380</v>
      </c>
      <c r="N60" s="23"/>
      <c r="O60" s="23"/>
      <c r="P60" s="107"/>
      <c r="Q60" s="23"/>
      <c r="R60" s="23"/>
      <c r="S60" s="23"/>
      <c r="T60" s="23"/>
    </row>
    <row r="61" spans="2:24">
      <c r="D61" s="30"/>
      <c r="E61" s="30"/>
      <c r="F61" s="109" t="s">
        <v>6</v>
      </c>
      <c r="G61" s="30"/>
      <c r="H61" s="30"/>
      <c r="I61" s="104"/>
      <c r="J61" s="137"/>
      <c r="L61" s="23"/>
      <c r="M61" s="159" t="s">
        <v>381</v>
      </c>
      <c r="N61" s="128"/>
      <c r="O61" s="23"/>
      <c r="P61" s="104"/>
      <c r="Q61" s="104"/>
      <c r="R61" s="104"/>
      <c r="S61" s="104"/>
      <c r="T61" s="104"/>
    </row>
    <row r="62" spans="2:24">
      <c r="D62" s="85" t="s">
        <v>29</v>
      </c>
      <c r="E62" s="85"/>
      <c r="F62" s="166" t="s">
        <v>31</v>
      </c>
      <c r="G62" s="85"/>
      <c r="H62" s="85" t="s">
        <v>188</v>
      </c>
      <c r="I62" s="62"/>
      <c r="J62" s="61"/>
      <c r="L62" s="23"/>
      <c r="M62" s="160"/>
      <c r="N62" s="129"/>
      <c r="O62" s="23"/>
      <c r="P62" s="87"/>
      <c r="Q62" s="87"/>
      <c r="R62" s="87"/>
      <c r="S62" s="87"/>
      <c r="T62" s="87"/>
    </row>
    <row r="63" spans="2:24">
      <c r="B63" s="84" t="s">
        <v>8</v>
      </c>
      <c r="C63" s="4">
        <f>C56</f>
        <v>0.08</v>
      </c>
      <c r="D63" s="92">
        <f>((NPV($C63,$J$13:$P$13,$R$13+$R$13*(1+$J$50)/($C63-$J$50)))-$J$49+J48)</f>
        <v>3680034397.9270501</v>
      </c>
      <c r="E63" s="93"/>
      <c r="F63" s="94">
        <f>((NPV($C63,$J$25:$P$25,$R$25+$R$25*(1+$J$50)/($C63-$J$50)))-$J$49+J48)</f>
        <v>4161654106.476541</v>
      </c>
      <c r="G63" s="93"/>
      <c r="H63" s="95">
        <f>((NPV($C63,$J$38:$P$38,$R$38+$R$38*(1+$J$50)/($C63-$J$50)))-$J$49+J48)</f>
        <v>4698241747.4376268</v>
      </c>
      <c r="I63" s="17"/>
      <c r="J63" s="18"/>
      <c r="L63" s="23"/>
      <c r="M63" s="167"/>
      <c r="N63" s="23"/>
      <c r="O63" s="23"/>
      <c r="P63" s="98"/>
      <c r="Q63" s="97"/>
      <c r="R63" s="98"/>
      <c r="S63" s="97"/>
      <c r="T63" s="98"/>
    </row>
    <row r="64" spans="2:24">
      <c r="B64" s="84" t="s">
        <v>28</v>
      </c>
      <c r="C64" s="4">
        <f>C57</f>
        <v>0.11</v>
      </c>
      <c r="D64" s="96">
        <f>((NPV($C64,$J$13:$P$13,$R$13+$R$13*(1+$J$50)/($C64-$J$50)))-$J$49+J48)</f>
        <v>2658495603.5185914</v>
      </c>
      <c r="E64" s="97"/>
      <c r="F64" s="98">
        <f>((NPV($C64,$J$25:$P$25,$R$25+$R$25*(1+$J$50)/($C64-$J$50)))-$J$49+J48)</f>
        <v>2958672824.1412721</v>
      </c>
      <c r="G64" s="97"/>
      <c r="H64" s="122">
        <f>((NPV($C64,$J$38:$P$38,$R$38+$R$38*(1+$J$50)/($C64-$J$50)))-$J$49+J48)</f>
        <v>3292258047.1854835</v>
      </c>
      <c r="I64" s="17"/>
      <c r="J64" s="18"/>
      <c r="L64" s="23"/>
      <c r="M64" s="167"/>
      <c r="N64" s="23"/>
      <c r="O64" s="23"/>
      <c r="P64" s="98"/>
      <c r="Q64" s="97"/>
      <c r="R64" s="98"/>
      <c r="S64" s="97"/>
      <c r="T64" s="98"/>
    </row>
    <row r="65" spans="1:20">
      <c r="B65" s="8" t="s">
        <v>10</v>
      </c>
      <c r="C65" s="4">
        <f>C58</f>
        <v>0.15</v>
      </c>
      <c r="D65" s="100">
        <f>((NPV($C65,$J$13:$P$13,$R$13+$R$13*(1+$J$50)/($C65-$J$50)))-$J$49+J48)</f>
        <v>2026360414.9873021</v>
      </c>
      <c r="E65" s="101"/>
      <c r="F65" s="102">
        <f>((NPV($C65,$J$25:$P$25,$R$25+$R$25*(1+$J$50)/($C65-$J$50)))-$J$49+J48)</f>
        <v>2217220778.9423285</v>
      </c>
      <c r="G65" s="101"/>
      <c r="H65" s="103">
        <f>((NPV($C65,$J$38:$P$38,$R$38+$R$38*(1+$J$50)/($C65-$J$50)))-$J$49+J48)</f>
        <v>2428619703.2809572</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109740000.000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A107">
        <v>22</v>
      </c>
      <c r="B107" s="135" t="s">
        <v>363</v>
      </c>
      <c r="F107" s="146"/>
    </row>
    <row r="108" spans="1:6">
      <c r="A108">
        <v>23</v>
      </c>
      <c r="B108" s="135" t="s">
        <v>364</v>
      </c>
      <c r="F108" s="146"/>
    </row>
    <row r="109" spans="1:6">
      <c r="A109">
        <v>24</v>
      </c>
      <c r="B109" s="135" t="s">
        <v>365</v>
      </c>
      <c r="F109" s="146"/>
    </row>
    <row r="110" spans="1:6">
      <c r="A110">
        <v>25</v>
      </c>
      <c r="B110" s="135" t="s">
        <v>366</v>
      </c>
      <c r="F110" s="146"/>
    </row>
    <row r="111" spans="1:6">
      <c r="A111">
        <v>26</v>
      </c>
      <c r="B111" s="135" t="s">
        <v>367</v>
      </c>
      <c r="F111" s="146"/>
    </row>
    <row r="112" spans="1:6">
      <c r="A112">
        <v>27</v>
      </c>
      <c r="B112" s="135" t="s">
        <v>368</v>
      </c>
      <c r="F112" s="146"/>
    </row>
    <row r="113" spans="2:6">
      <c r="B113" s="135"/>
      <c r="F113" s="146"/>
    </row>
    <row r="114" spans="2:6">
      <c r="B114" s="168" t="s">
        <v>192</v>
      </c>
      <c r="F114" s="146"/>
    </row>
    <row r="115" spans="2:6">
      <c r="B115" s="135" t="s">
        <v>193</v>
      </c>
      <c r="F115" s="146"/>
    </row>
    <row r="122" spans="2:6">
      <c r="B122" t="s">
        <v>194</v>
      </c>
    </row>
    <row r="123" spans="2:6">
      <c r="B123" t="s">
        <v>195</v>
      </c>
    </row>
  </sheetData>
  <mergeCells count="1">
    <mergeCell ref="H46:J46"/>
  </mergeCells>
  <conditionalFormatting sqref="B6:T13">
    <cfRule type="expression" dxfId="53" priority="6">
      <formula>MOD(ROW(),2)=0</formula>
    </cfRule>
  </conditionalFormatting>
  <conditionalFormatting sqref="B18:T25">
    <cfRule type="expression" dxfId="52" priority="5">
      <formula>MOD(ROW(),2)=0</formula>
    </cfRule>
  </conditionalFormatting>
  <conditionalFormatting sqref="B31:T39">
    <cfRule type="expression" dxfId="51" priority="4">
      <formula>MOD(ROW(),2)=0</formula>
    </cfRule>
  </conditionalFormatting>
  <conditionalFormatting sqref="D56:H58">
    <cfRule type="expression" dxfId="50" priority="3">
      <formula>MOD(ROW(),2)=0</formula>
    </cfRule>
  </conditionalFormatting>
  <conditionalFormatting sqref="D63:H65">
    <cfRule type="expression" dxfId="49" priority="2">
      <formula>MOD(ROW(),2)=0</formula>
    </cfRule>
  </conditionalFormatting>
  <conditionalFormatting sqref="C47:E51">
    <cfRule type="expression" dxfId="48" priority="1">
      <formula>MOD(ROW(),2)=0</formula>
    </cfRule>
  </conditionalFormatting>
  <pageMargins left="0.75" right="0.75" top="1" bottom="1" header="0.5" footer="0.5"/>
  <pageSetup paperSize="11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X119"/>
  <sheetViews>
    <sheetView showGridLines="0" tabSelected="1" zoomScaleNormal="100" workbookViewId="0">
      <selection activeCell="L53" sqref="L53"/>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8.2851562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741000000</v>
      </c>
      <c r="J6" s="75">
        <f>H6*C47</f>
        <v>733590000</v>
      </c>
      <c r="K6" s="121"/>
      <c r="L6" s="75">
        <f>J6*C48</f>
        <v>718918200</v>
      </c>
      <c r="M6" s="121"/>
      <c r="N6" s="75">
        <f>L6*C49</f>
        <v>697350654</v>
      </c>
      <c r="O6" s="75"/>
      <c r="P6" s="75">
        <f>N6*C50</f>
        <v>669456627.84000003</v>
      </c>
      <c r="Q6" s="75"/>
      <c r="R6" s="75">
        <f>P6*C51</f>
        <v>635983796.44799995</v>
      </c>
      <c r="T6" s="4">
        <f>(R6/J6)^(1/4)-1</f>
        <v>-3.506477179553269E-2</v>
      </c>
    </row>
    <row r="7" spans="1:24">
      <c r="B7" s="23" t="s">
        <v>22</v>
      </c>
      <c r="H7" s="71">
        <v>0</v>
      </c>
      <c r="J7" s="71">
        <v>0</v>
      </c>
      <c r="L7" s="71">
        <v>0</v>
      </c>
      <c r="N7" s="71">
        <v>0</v>
      </c>
      <c r="P7" s="71">
        <v>0</v>
      </c>
      <c r="R7" s="71">
        <v>0</v>
      </c>
      <c r="T7" s="4"/>
    </row>
    <row r="8" spans="1:24">
      <c r="B8" t="s">
        <v>27</v>
      </c>
      <c r="H8" s="115">
        <f>H6+H7</f>
        <v>741000000</v>
      </c>
      <c r="I8" s="73"/>
      <c r="J8" s="115">
        <f>J6+J7</f>
        <v>733590000</v>
      </c>
      <c r="K8" s="116"/>
      <c r="L8" s="115">
        <f>L6+L7</f>
        <v>718918200</v>
      </c>
      <c r="M8" s="116"/>
      <c r="N8" s="115">
        <f>N6+N7</f>
        <v>697350654</v>
      </c>
      <c r="O8" s="116"/>
      <c r="P8" s="115">
        <f>P6+P7</f>
        <v>669456627.84000003</v>
      </c>
      <c r="Q8" s="116"/>
      <c r="R8" s="115">
        <f>R6+R7</f>
        <v>635983796.44799995</v>
      </c>
      <c r="T8" s="4">
        <f>(R8/J8)^(1/4)-1</f>
        <v>-3.506477179553269E-2</v>
      </c>
    </row>
    <row r="9" spans="1:24" s="39" customFormat="1">
      <c r="B9" s="39" t="s">
        <v>21</v>
      </c>
      <c r="H9" s="117">
        <f>-$J$51*H8</f>
        <v>-155610000</v>
      </c>
      <c r="I9"/>
      <c r="J9" s="117">
        <f>-$J$51*J8</f>
        <v>-154053900</v>
      </c>
      <c r="K9" s="114"/>
      <c r="L9" s="117">
        <f>-$J$51*L8</f>
        <v>-150972822</v>
      </c>
      <c r="M9" s="114"/>
      <c r="N9" s="117">
        <f>-$J$51*N8</f>
        <v>-146443637.34</v>
      </c>
      <c r="O9" s="114"/>
      <c r="P9" s="117">
        <f>-$J$51*P8</f>
        <v>-140585891.84639999</v>
      </c>
      <c r="Q9" s="114"/>
      <c r="R9" s="117">
        <f>-$J$51*R8</f>
        <v>-133556597.25407998</v>
      </c>
    </row>
    <row r="10" spans="1:24" s="2" customFormat="1">
      <c r="B10" s="2" t="s">
        <v>3</v>
      </c>
      <c r="H10" s="118">
        <f>SUM(H8:H9)</f>
        <v>585390000</v>
      </c>
      <c r="J10" s="118">
        <f>SUM(J8:J9)</f>
        <v>579536100</v>
      </c>
      <c r="K10" s="119"/>
      <c r="L10" s="118">
        <f>SUM(L8:L9)</f>
        <v>567945378</v>
      </c>
      <c r="M10" s="119"/>
      <c r="N10" s="118">
        <f>SUM(N8:N9)</f>
        <v>550907016.65999997</v>
      </c>
      <c r="O10" s="119"/>
      <c r="P10" s="118">
        <f>SUM(P8:P9)</f>
        <v>528870735.99360001</v>
      </c>
      <c r="Q10" s="119"/>
      <c r="R10" s="118">
        <f>SUM(R8:R9)</f>
        <v>502427199.19391996</v>
      </c>
      <c r="T10" s="4">
        <f>(R10/J10)^(1/4)-1</f>
        <v>-3.506477179553269E-2</v>
      </c>
    </row>
    <row r="11" spans="1:24">
      <c r="B11" s="10" t="s">
        <v>25</v>
      </c>
      <c r="H11" s="112">
        <v>208000000</v>
      </c>
      <c r="I11" s="112"/>
      <c r="J11" s="112">
        <f>H11</f>
        <v>208000000</v>
      </c>
      <c r="K11" s="112"/>
      <c r="L11" s="112">
        <f>J11</f>
        <v>208000000</v>
      </c>
      <c r="M11" s="112"/>
      <c r="N11" s="112">
        <f>L11</f>
        <v>208000000</v>
      </c>
      <c r="O11" s="112"/>
      <c r="P11" s="112">
        <f>N11</f>
        <v>208000000</v>
      </c>
      <c r="Q11" s="112"/>
      <c r="R11" s="112">
        <f>P11</f>
        <v>208000000</v>
      </c>
    </row>
    <row r="12" spans="1:24">
      <c r="B12" t="s">
        <v>23</v>
      </c>
      <c r="H12" s="112">
        <v>-120000000</v>
      </c>
      <c r="I12" s="112"/>
      <c r="J12" s="112">
        <f>H12</f>
        <v>-120000000</v>
      </c>
      <c r="K12" s="112"/>
      <c r="L12" s="112">
        <f>J12</f>
        <v>-120000000</v>
      </c>
      <c r="M12" s="112"/>
      <c r="N12" s="112">
        <f>L12</f>
        <v>-120000000</v>
      </c>
      <c r="O12" s="112"/>
      <c r="P12" s="112">
        <f>N12</f>
        <v>-120000000</v>
      </c>
      <c r="Q12" s="112"/>
      <c r="R12" s="112">
        <f>P12</f>
        <v>-120000000</v>
      </c>
      <c r="X12" s="81"/>
    </row>
    <row r="13" spans="1:24">
      <c r="B13" s="2" t="s">
        <v>19</v>
      </c>
      <c r="H13" s="120">
        <f>SUM(H10:H12)</f>
        <v>673390000</v>
      </c>
      <c r="J13" s="120">
        <f>SUM(J10:J12)</f>
        <v>667536100</v>
      </c>
      <c r="K13" s="114"/>
      <c r="L13" s="120">
        <f>SUM(L10:L12)</f>
        <v>655945378</v>
      </c>
      <c r="M13" s="114"/>
      <c r="N13" s="120">
        <f>SUM(N10:N12)</f>
        <v>638907016.65999997</v>
      </c>
      <c r="O13" s="114"/>
      <c r="P13" s="120">
        <f>SUM(P10:P12)</f>
        <v>616870735.99360001</v>
      </c>
      <c r="Q13" s="114"/>
      <c r="R13" s="120">
        <f>SUM(R10:R12)</f>
        <v>590427199.1939199</v>
      </c>
      <c r="T13" s="4">
        <f>(R13/J13)^(1/4)-1</f>
        <v>-3.0220722621367657E-2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741000000</v>
      </c>
      <c r="J18" s="75">
        <f>H18*D47</f>
        <v>741000000</v>
      </c>
      <c r="K18" s="121"/>
      <c r="L18" s="75">
        <f>J18*D48</f>
        <v>741000000</v>
      </c>
      <c r="M18" s="121"/>
      <c r="N18" s="75">
        <f>L18*D49</f>
        <v>741000000</v>
      </c>
      <c r="O18" s="75"/>
      <c r="P18" s="75">
        <f>N18*D50</f>
        <v>741000000</v>
      </c>
      <c r="Q18" s="75"/>
      <c r="R18" s="75">
        <f>P18*D51</f>
        <v>741000000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741000000</v>
      </c>
      <c r="I20" s="116"/>
      <c r="J20" s="115">
        <f>J18+J19</f>
        <v>741000000</v>
      </c>
      <c r="K20" s="116"/>
      <c r="L20" s="115">
        <f>L18+L19</f>
        <v>741000000</v>
      </c>
      <c r="M20" s="116"/>
      <c r="N20" s="115">
        <f>N18+N19</f>
        <v>741000000</v>
      </c>
      <c r="O20" s="116"/>
      <c r="P20" s="115">
        <f>P18+P19</f>
        <v>741000000</v>
      </c>
      <c r="Q20" s="116"/>
      <c r="R20" s="115">
        <f>R18+R19</f>
        <v>741000000</v>
      </c>
      <c r="T20" s="4">
        <f>(R20/J20)^(1/4)-1</f>
        <v>0</v>
      </c>
    </row>
    <row r="21" spans="1:20">
      <c r="B21" s="39" t="s">
        <v>21</v>
      </c>
      <c r="C21" s="39"/>
      <c r="D21" s="39"/>
      <c r="E21" s="39"/>
      <c r="F21" s="39"/>
      <c r="G21" s="39"/>
      <c r="H21" s="117">
        <f>-$J$51*H20</f>
        <v>-155610000</v>
      </c>
      <c r="I21" s="114"/>
      <c r="J21" s="117">
        <f>-$J$51*J20</f>
        <v>-155610000</v>
      </c>
      <c r="K21" s="114"/>
      <c r="L21" s="117">
        <f>-$J$51*L20</f>
        <v>-155610000</v>
      </c>
      <c r="M21" s="114"/>
      <c r="N21" s="117">
        <f>-$J$51*N20</f>
        <v>-155610000</v>
      </c>
      <c r="O21" s="114"/>
      <c r="P21" s="117">
        <f>-$J$51*P20</f>
        <v>-155610000</v>
      </c>
      <c r="Q21" s="114"/>
      <c r="R21" s="117">
        <f>-$J$51*R20</f>
        <v>-155610000</v>
      </c>
      <c r="S21" s="39"/>
      <c r="T21" s="39"/>
    </row>
    <row r="22" spans="1:20">
      <c r="A22" s="2"/>
      <c r="B22" s="2" t="s">
        <v>3</v>
      </c>
      <c r="C22" s="2"/>
      <c r="D22" s="2"/>
      <c r="E22" s="2"/>
      <c r="F22" s="2"/>
      <c r="G22" s="2"/>
      <c r="H22" s="118">
        <f>SUM(H20:H21)</f>
        <v>585390000</v>
      </c>
      <c r="I22" s="119"/>
      <c r="J22" s="118">
        <f>SUM(J20:J21)</f>
        <v>585390000</v>
      </c>
      <c r="K22" s="119"/>
      <c r="L22" s="118">
        <f>SUM(L20:L21)</f>
        <v>585390000</v>
      </c>
      <c r="M22" s="119"/>
      <c r="N22" s="118">
        <f>SUM(N20:N21)</f>
        <v>585390000</v>
      </c>
      <c r="O22" s="119"/>
      <c r="P22" s="118">
        <f>SUM(P20:P21)</f>
        <v>585390000</v>
      </c>
      <c r="Q22" s="119"/>
      <c r="R22" s="118">
        <f>SUM(R20:R21)</f>
        <v>585390000</v>
      </c>
      <c r="S22" s="2"/>
      <c r="T22" s="4">
        <f>(R22/J22)^(1/4)-1</f>
        <v>0</v>
      </c>
    </row>
    <row r="23" spans="1:20">
      <c r="B23" s="10" t="s">
        <v>25</v>
      </c>
      <c r="H23" s="112">
        <f>H11</f>
        <v>208000000</v>
      </c>
      <c r="I23" s="112"/>
      <c r="J23" s="112">
        <f>J11</f>
        <v>208000000</v>
      </c>
      <c r="K23" s="112"/>
      <c r="L23" s="112">
        <f>L11</f>
        <v>208000000</v>
      </c>
      <c r="M23" s="112"/>
      <c r="N23" s="112">
        <f>N11</f>
        <v>208000000</v>
      </c>
      <c r="O23" s="112"/>
      <c r="P23" s="112">
        <f>P11</f>
        <v>208000000</v>
      </c>
      <c r="Q23" s="112"/>
      <c r="R23" s="112">
        <f>R11</f>
        <v>208000000</v>
      </c>
    </row>
    <row r="24" spans="1:20">
      <c r="B24" t="s">
        <v>23</v>
      </c>
      <c r="H24" s="112">
        <f>H12</f>
        <v>-120000000</v>
      </c>
      <c r="I24" s="112"/>
      <c r="J24" s="112">
        <f>J12</f>
        <v>-120000000</v>
      </c>
      <c r="K24" s="112"/>
      <c r="L24" s="112">
        <f>L12</f>
        <v>-120000000</v>
      </c>
      <c r="M24" s="112"/>
      <c r="N24" s="112">
        <f>N12</f>
        <v>-120000000</v>
      </c>
      <c r="O24" s="112"/>
      <c r="P24" s="112">
        <f>P12</f>
        <v>-120000000</v>
      </c>
      <c r="Q24" s="112"/>
      <c r="R24" s="112">
        <f>R12</f>
        <v>-120000000</v>
      </c>
    </row>
    <row r="25" spans="1:20">
      <c r="B25" s="2" t="s">
        <v>19</v>
      </c>
      <c r="H25" s="120">
        <f>SUM(H22:H24)</f>
        <v>673390000</v>
      </c>
      <c r="I25" s="114"/>
      <c r="J25" s="120">
        <f>SUM(J22:J24)</f>
        <v>673390000</v>
      </c>
      <c r="K25" s="114"/>
      <c r="L25" s="120">
        <f>SUM(L22:L24)</f>
        <v>673390000</v>
      </c>
      <c r="M25" s="114"/>
      <c r="N25" s="120">
        <f>SUM(N22:N24)</f>
        <v>673390000</v>
      </c>
      <c r="O25" s="114"/>
      <c r="P25" s="120">
        <f>SUM(P22:P24)</f>
        <v>673390000</v>
      </c>
      <c r="Q25" s="114"/>
      <c r="R25" s="120">
        <f>SUM(R22:R24)</f>
        <v>673390000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741000000</v>
      </c>
      <c r="J31" s="75">
        <f>H31*E47</f>
        <v>815100000.00000012</v>
      </c>
      <c r="K31" s="121"/>
      <c r="L31" s="75">
        <f>J31*E48</f>
        <v>896610000.00000024</v>
      </c>
      <c r="M31" s="121"/>
      <c r="N31" s="75">
        <f>L31*E49</f>
        <v>986271000.00000036</v>
      </c>
      <c r="O31" s="75"/>
      <c r="P31" s="75">
        <f>N31*E50</f>
        <v>1084898100.0000005</v>
      </c>
      <c r="Q31" s="75"/>
      <c r="R31" s="75">
        <f>P31*E51</f>
        <v>1193387910.0000007</v>
      </c>
      <c r="T31" s="4">
        <f>(R31/J31)^(1/4)-1</f>
        <v>0.10000000000000009</v>
      </c>
    </row>
    <row r="32" spans="1:20">
      <c r="B32" s="23" t="s">
        <v>22</v>
      </c>
      <c r="H32" s="71">
        <f>H7</f>
        <v>0</v>
      </c>
      <c r="J32" s="71">
        <f>J7</f>
        <v>0</v>
      </c>
      <c r="L32" s="71">
        <f>L7</f>
        <v>0</v>
      </c>
      <c r="N32" s="71">
        <f>N7</f>
        <v>0</v>
      </c>
      <c r="P32" s="71">
        <f>P7</f>
        <v>0</v>
      </c>
      <c r="R32" s="71">
        <f>R7</f>
        <v>0</v>
      </c>
      <c r="T32" s="4"/>
    </row>
    <row r="33" spans="1:24">
      <c r="B33" t="s">
        <v>27</v>
      </c>
      <c r="H33" s="115">
        <f>H31+H32</f>
        <v>741000000</v>
      </c>
      <c r="I33" s="116"/>
      <c r="J33" s="115">
        <f>J31+J32</f>
        <v>815100000.00000012</v>
      </c>
      <c r="K33" s="116"/>
      <c r="L33" s="115">
        <f>L31+L32</f>
        <v>896610000.00000024</v>
      </c>
      <c r="M33" s="116"/>
      <c r="N33" s="115">
        <f>N31+N32</f>
        <v>986271000.00000036</v>
      </c>
      <c r="O33" s="116"/>
      <c r="P33" s="115">
        <f>P31+P32</f>
        <v>1084898100.0000005</v>
      </c>
      <c r="Q33" s="116"/>
      <c r="R33" s="115">
        <f>R31+R32</f>
        <v>1193387910.0000007</v>
      </c>
      <c r="T33" s="4">
        <f>(R33/J33)^(1/4)-1</f>
        <v>0.10000000000000009</v>
      </c>
    </row>
    <row r="34" spans="1:24">
      <c r="B34" s="39" t="s">
        <v>21</v>
      </c>
      <c r="C34" s="39"/>
      <c r="D34" s="39"/>
      <c r="E34" s="39"/>
      <c r="F34" s="39"/>
      <c r="G34" s="39"/>
      <c r="H34" s="117">
        <f>-$J$51*H33</f>
        <v>-155610000</v>
      </c>
      <c r="I34" s="114"/>
      <c r="J34" s="117">
        <f>-$J$51*J33</f>
        <v>-171171000.00000003</v>
      </c>
      <c r="K34" s="114"/>
      <c r="L34" s="117">
        <f>-$J$51*L33</f>
        <v>-188288100.00000003</v>
      </c>
      <c r="M34" s="114"/>
      <c r="N34" s="117">
        <f>-$J$51*N33</f>
        <v>-207116910.00000006</v>
      </c>
      <c r="O34" s="114"/>
      <c r="P34" s="117">
        <f>-$J$51*P33</f>
        <v>-227828601.00000009</v>
      </c>
      <c r="Q34" s="114"/>
      <c r="R34" s="117">
        <f>-$J$51*R33</f>
        <v>-250611461.10000014</v>
      </c>
      <c r="S34" s="39"/>
      <c r="T34" s="39"/>
    </row>
    <row r="35" spans="1:24">
      <c r="A35" s="2"/>
      <c r="B35" s="2" t="s">
        <v>3</v>
      </c>
      <c r="C35" s="2"/>
      <c r="D35" s="2"/>
      <c r="E35" s="2"/>
      <c r="F35" s="2"/>
      <c r="G35" s="2"/>
      <c r="H35" s="118">
        <f>SUM(H33:H34)</f>
        <v>585390000</v>
      </c>
      <c r="I35" s="119"/>
      <c r="J35" s="118">
        <f>SUM(J33:J34)</f>
        <v>643929000.00000012</v>
      </c>
      <c r="K35" s="119"/>
      <c r="L35" s="118">
        <f>SUM(L33:L34)</f>
        <v>708321900.00000024</v>
      </c>
      <c r="M35" s="119"/>
      <c r="N35" s="118">
        <f>SUM(N33:N34)</f>
        <v>779154090.00000024</v>
      </c>
      <c r="O35" s="119"/>
      <c r="P35" s="118">
        <f>SUM(P33:P34)</f>
        <v>857069499.00000036</v>
      </c>
      <c r="Q35" s="119"/>
      <c r="R35" s="118">
        <f>SUM(R33:R34)</f>
        <v>942776448.90000057</v>
      </c>
      <c r="S35" s="2"/>
      <c r="T35" s="4">
        <f>(R35/J35)^(1/4)-1</f>
        <v>0.10000000000000009</v>
      </c>
    </row>
    <row r="36" spans="1:24">
      <c r="B36" s="10" t="s">
        <v>25</v>
      </c>
      <c r="H36" s="112">
        <f>H11</f>
        <v>208000000</v>
      </c>
      <c r="I36" s="112"/>
      <c r="J36" s="112">
        <f>J11</f>
        <v>208000000</v>
      </c>
      <c r="K36" s="112"/>
      <c r="L36" s="112">
        <f>L11</f>
        <v>208000000</v>
      </c>
      <c r="M36" s="112"/>
      <c r="N36" s="112">
        <f>N11</f>
        <v>208000000</v>
      </c>
      <c r="O36" s="112"/>
      <c r="P36" s="112">
        <f>P11</f>
        <v>208000000</v>
      </c>
      <c r="Q36" s="112"/>
      <c r="R36" s="112">
        <f>R11</f>
        <v>208000000</v>
      </c>
    </row>
    <row r="37" spans="1:24">
      <c r="B37" t="s">
        <v>23</v>
      </c>
      <c r="H37" s="112">
        <f>H12</f>
        <v>-120000000</v>
      </c>
      <c r="I37" s="112"/>
      <c r="J37" s="112">
        <f>J12</f>
        <v>-120000000</v>
      </c>
      <c r="K37" s="112"/>
      <c r="L37" s="112">
        <f>L12</f>
        <v>-120000000</v>
      </c>
      <c r="M37" s="112"/>
      <c r="N37" s="112">
        <f>N12</f>
        <v>-120000000</v>
      </c>
      <c r="O37" s="112"/>
      <c r="P37" s="112">
        <f>P12</f>
        <v>-120000000</v>
      </c>
      <c r="Q37" s="112"/>
      <c r="R37" s="112">
        <f>R12</f>
        <v>-120000000</v>
      </c>
    </row>
    <row r="38" spans="1:24">
      <c r="B38" s="2" t="s">
        <v>19</v>
      </c>
      <c r="H38" s="120">
        <f>SUM(H35:H37)</f>
        <v>673390000</v>
      </c>
      <c r="I38" s="153"/>
      <c r="J38" s="120">
        <f>SUM(J35:J37)</f>
        <v>731929000.00000012</v>
      </c>
      <c r="K38" s="114"/>
      <c r="L38" s="120">
        <f>SUM(L35:L37)</f>
        <v>796321900.00000024</v>
      </c>
      <c r="M38" s="114"/>
      <c r="N38" s="120">
        <f>SUM(N35:N37)</f>
        <v>867154090.00000024</v>
      </c>
      <c r="O38" s="114"/>
      <c r="P38" s="120">
        <f>SUM(P35:P37)</f>
        <v>945069499.00000036</v>
      </c>
      <c r="Q38" s="114"/>
      <c r="R38" s="120">
        <f>SUM(R35:R37)</f>
        <v>1030776448.9000006</v>
      </c>
      <c r="T38" s="4">
        <f>(R38/J38)^(1/4)-1</f>
        <v>8.9366167172791666E-2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2018</v>
      </c>
      <c r="C47" s="88">
        <v>0.99</v>
      </c>
      <c r="D47" s="88">
        <v>1</v>
      </c>
      <c r="E47" s="88">
        <v>1.1000000000000001</v>
      </c>
      <c r="H47" s="156" t="s">
        <v>15</v>
      </c>
      <c r="I47" s="156"/>
      <c r="J47" s="161">
        <v>153565950.33333334</v>
      </c>
      <c r="M47" t="s">
        <v>55</v>
      </c>
      <c r="P47" s="2"/>
      <c r="X47" s="127"/>
    </row>
    <row r="48" spans="1:24">
      <c r="B48" s="90">
        <f>B47+1</f>
        <v>2019</v>
      </c>
      <c r="C48" s="88">
        <v>0.98</v>
      </c>
      <c r="D48" s="88">
        <v>1</v>
      </c>
      <c r="E48" s="88">
        <v>1.1000000000000001</v>
      </c>
      <c r="H48" s="156" t="s">
        <v>99</v>
      </c>
      <c r="I48" s="156"/>
      <c r="J48" s="157">
        <v>155000</v>
      </c>
      <c r="M48" t="s">
        <v>56</v>
      </c>
      <c r="P48" s="2"/>
      <c r="X48" s="127"/>
    </row>
    <row r="49" spans="2:24">
      <c r="B49" s="90">
        <f>B48+1</f>
        <v>2020</v>
      </c>
      <c r="C49" s="88">
        <v>0.97</v>
      </c>
      <c r="D49" s="88">
        <v>1</v>
      </c>
      <c r="E49" s="88">
        <v>1.1000000000000001</v>
      </c>
      <c r="H49" s="156" t="s">
        <v>14</v>
      </c>
      <c r="I49" s="156"/>
      <c r="J49" s="157">
        <f>504000+255000+2000000000</f>
        <v>2000759000</v>
      </c>
      <c r="M49" t="s">
        <v>58</v>
      </c>
      <c r="P49" s="2"/>
      <c r="X49" s="127"/>
    </row>
    <row r="50" spans="2:24">
      <c r="B50" s="90">
        <f>B49+1</f>
        <v>2021</v>
      </c>
      <c r="C50" s="88">
        <v>0.96</v>
      </c>
      <c r="D50" s="88">
        <v>1</v>
      </c>
      <c r="E50" s="88">
        <v>1.1000000000000001</v>
      </c>
      <c r="H50" s="155" t="s">
        <v>16</v>
      </c>
      <c r="I50" s="156"/>
      <c r="J50" s="158">
        <v>0.02</v>
      </c>
      <c r="M50" t="s">
        <v>59</v>
      </c>
      <c r="P50" s="2"/>
      <c r="X50" s="127"/>
    </row>
    <row r="51" spans="2:24">
      <c r="B51" s="90">
        <f>B50+1</f>
        <v>2022</v>
      </c>
      <c r="C51" s="88">
        <v>0.95</v>
      </c>
      <c r="D51" s="88">
        <v>1</v>
      </c>
      <c r="E51" s="88">
        <v>1.1000000000000001</v>
      </c>
      <c r="H51" s="156" t="s">
        <v>2</v>
      </c>
      <c r="I51" s="156"/>
      <c r="J51" s="158">
        <v>0.21</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f>((NPV($C56,$J$13:$P$13,$R$13+$R$13*(1+$J$50)/($C56-$J$50)))-$J$49+J48)/$J$47</f>
        <v>48.015088971998004</v>
      </c>
      <c r="E56" s="93"/>
      <c r="F56" s="94">
        <f>((NPV($C56,$J$25:$P$25,$R$25+$R$25*(1+$J$50)/($C56-$J$50)))-$J$49+J48)/$J$47</f>
        <v>55.214789589245413</v>
      </c>
      <c r="G56" s="93"/>
      <c r="H56" s="123">
        <f>((NPV($C56,$J$38:$P$38,$R$38+$R$38*(1+$J$50)/($C56-$J$50)))-$J$49+J48)/$J$47</f>
        <v>87.066040447108847</v>
      </c>
      <c r="I56" s="10"/>
      <c r="J56" s="11"/>
      <c r="M56" s="135" t="s">
        <v>186</v>
      </c>
      <c r="Q56" s="87"/>
      <c r="R56" s="91"/>
      <c r="S56" s="87"/>
      <c r="T56" s="91"/>
    </row>
    <row r="57" spans="2:24">
      <c r="B57" s="84" t="s">
        <v>28</v>
      </c>
      <c r="C57" s="4">
        <v>0.11</v>
      </c>
      <c r="D57" s="96">
        <f>((NPV($C57,$J$13:$P$13,$R$13+$R$13*(1+$J$50)/($C57-$J$50)))-$J$49+J48)/$J$47</f>
        <v>28.184303100745467</v>
      </c>
      <c r="E57" s="97"/>
      <c r="F57" s="98">
        <f>((NPV($C57,$J$25:$P$25,$R$25+$R$25*(1+$J$50)/($C57-$J$50)))-$J$49+J48)/$J$47</f>
        <v>32.671632174361747</v>
      </c>
      <c r="G57" s="97"/>
      <c r="H57" s="99">
        <f>((NPV($C57,$J$38:$P$38,$R$38+$R$38*(1+$J$50)/($C57-$J$50)))-$J$49+J48)/$J$47</f>
        <v>52.786437309098098</v>
      </c>
      <c r="I57" s="44"/>
      <c r="J57" s="43"/>
      <c r="Q57" s="87"/>
      <c r="R57" s="91"/>
      <c r="S57" s="87"/>
      <c r="T57" s="91"/>
    </row>
    <row r="58" spans="2:24">
      <c r="B58" s="8" t="s">
        <v>10</v>
      </c>
      <c r="C58" s="4">
        <v>0.15</v>
      </c>
      <c r="D58" s="100">
        <f>((NPV($C58,$J$13:$P$13,$R$13+$R$13*(1+$J$50)/($C58-$J$50)))-$J$49+J48)/$J$47</f>
        <v>15.924100833244776</v>
      </c>
      <c r="E58" s="101"/>
      <c r="F58" s="102">
        <f>((NPV($C58,$J$25:$P$25,$R$25+$R$25*(1+$J$50)/($C58-$J$50)))-$J$49+J48)/$J$47</f>
        <v>18.777259571938423</v>
      </c>
      <c r="G58" s="101"/>
      <c r="H58" s="103">
        <f>((NPV($C58,$J$38:$P$38,$R$38+$R$38*(1+$J$50)/($C58-$J$50)))-$J$49+J48)/$J$47</f>
        <v>31.790667410342689</v>
      </c>
      <c r="I58" s="44"/>
      <c r="J58" s="43"/>
      <c r="L58" t="s">
        <v>196</v>
      </c>
      <c r="M58" s="178">
        <v>43431</v>
      </c>
      <c r="Q58" s="87"/>
      <c r="R58" s="91"/>
      <c r="S58" s="87"/>
      <c r="T58" s="91"/>
    </row>
    <row r="59" spans="2:24">
      <c r="C59" s="4"/>
      <c r="D59" s="23"/>
      <c r="I59" s="23"/>
      <c r="J59" s="136"/>
      <c r="L59" t="s">
        <v>187</v>
      </c>
      <c r="M59" s="146" t="s">
        <v>314</v>
      </c>
      <c r="Q59" s="23"/>
      <c r="R59" s="23"/>
      <c r="S59" s="23"/>
      <c r="T59" s="23"/>
    </row>
    <row r="60" spans="2:24">
      <c r="D60" s="2"/>
      <c r="M60" s="146" t="s">
        <v>315</v>
      </c>
      <c r="N60" s="23"/>
      <c r="O60" s="23"/>
      <c r="P60" s="107"/>
      <c r="Q60" s="23"/>
      <c r="R60" s="23"/>
      <c r="S60" s="23"/>
      <c r="T60" s="23"/>
    </row>
    <row r="61" spans="2:24">
      <c r="D61" s="30"/>
      <c r="E61" s="30"/>
      <c r="F61" s="109" t="s">
        <v>6</v>
      </c>
      <c r="G61" s="30"/>
      <c r="H61" s="30"/>
      <c r="I61" s="104"/>
      <c r="J61" s="137"/>
      <c r="L61" s="23"/>
      <c r="M61" s="159" t="s">
        <v>316</v>
      </c>
      <c r="N61" s="128"/>
      <c r="O61" s="23"/>
      <c r="P61" s="104"/>
      <c r="Q61" s="104"/>
      <c r="R61" s="104"/>
      <c r="S61" s="104"/>
      <c r="T61" s="104"/>
    </row>
    <row r="62" spans="2:24">
      <c r="D62" s="85" t="s">
        <v>29</v>
      </c>
      <c r="E62" s="85"/>
      <c r="F62" s="166" t="s">
        <v>31</v>
      </c>
      <c r="G62" s="85"/>
      <c r="H62" s="85" t="s">
        <v>188</v>
      </c>
      <c r="I62" s="62"/>
      <c r="J62" s="61"/>
      <c r="L62" s="23"/>
      <c r="M62" s="160">
        <f>150000000/45</f>
        <v>3333333.3333333335</v>
      </c>
      <c r="N62" s="129"/>
      <c r="O62" s="23"/>
      <c r="P62" s="87"/>
      <c r="Q62" s="87"/>
      <c r="R62" s="87"/>
      <c r="S62" s="87"/>
      <c r="T62" s="87"/>
    </row>
    <row r="63" spans="2:24">
      <c r="B63" s="84" t="s">
        <v>8</v>
      </c>
      <c r="C63" s="4">
        <f>C56</f>
        <v>0.08</v>
      </c>
      <c r="D63" s="92">
        <f>((NPV($C63,$J$13:$P$13,$R$13+$R$13*(1+$J$50)/($C63-$J$50)))-$J$49+J48)</f>
        <v>7373482768.3244267</v>
      </c>
      <c r="E63" s="93"/>
      <c r="F63" s="94">
        <f>((NPV($C63,$J$25:$P$25,$R$25+$R$25*(1+$J$50)/($C63-$J$50)))-$J$49+J48)</f>
        <v>8479111635.7275124</v>
      </c>
      <c r="G63" s="93"/>
      <c r="H63" s="95">
        <f>((NPV($C63,$J$38:$P$38,$R$38+$R$38*(1+$J$50)/($C63-$J$50)))-$J$49+J48)</f>
        <v>13370379243.02071</v>
      </c>
      <c r="I63" s="17"/>
      <c r="J63" s="18"/>
      <c r="L63" s="23"/>
      <c r="M63" s="202">
        <v>153565950.33333334</v>
      </c>
      <c r="N63" s="23"/>
      <c r="O63" s="23"/>
      <c r="P63" s="98"/>
      <c r="Q63" s="97"/>
      <c r="R63" s="98"/>
      <c r="S63" s="97"/>
      <c r="T63" s="98"/>
    </row>
    <row r="64" spans="2:24">
      <c r="B64" s="84" t="s">
        <v>28</v>
      </c>
      <c r="C64" s="4">
        <f>C57</f>
        <v>0.11</v>
      </c>
      <c r="D64" s="96">
        <f>((NPV($C64,$J$13:$P$13,$R$13+$R$13*(1+$J$50)/($C64-$J$50)))-$J$49+J48)</f>
        <v>4328149290.1486912</v>
      </c>
      <c r="E64" s="97"/>
      <c r="F64" s="98">
        <f>((NPV($C64,$J$25:$P$25,$R$25+$R$25*(1+$J$50)/($C64-$J$50)))-$J$49+J48)</f>
        <v>5017250243.7969713</v>
      </c>
      <c r="G64" s="97"/>
      <c r="H64" s="122">
        <f>((NPV($C64,$J$38:$P$38,$R$38+$R$38*(1+$J$50)/($C64-$J$50)))-$J$49+J48)</f>
        <v>8106199410.0825729</v>
      </c>
      <c r="I64" s="17"/>
      <c r="J64" s="18"/>
      <c r="L64" s="23"/>
      <c r="M64" s="167"/>
      <c r="N64" s="23"/>
      <c r="O64" s="23"/>
      <c r="P64" s="98"/>
      <c r="Q64" s="97"/>
      <c r="R64" s="98"/>
      <c r="S64" s="97"/>
      <c r="T64" s="98"/>
    </row>
    <row r="65" spans="1:20">
      <c r="B65" s="8" t="s">
        <v>10</v>
      </c>
      <c r="C65" s="4">
        <f>C58</f>
        <v>0.15</v>
      </c>
      <c r="D65" s="100">
        <f>((NPV($C65,$J$13:$P$13,$R$13+$R$13*(1+$J$50)/($C65-$J$50)))-$J$49+J48)</f>
        <v>2445399677.6610594</v>
      </c>
      <c r="E65" s="101"/>
      <c r="F65" s="102">
        <f>((NPV($C65,$J$25:$P$25,$R$25+$R$25*(1+$J$50)/($C65-$J$50)))-$J$49+J48)</f>
        <v>2883547710.8204041</v>
      </c>
      <c r="G65" s="101"/>
      <c r="H65" s="103">
        <f>((NPV($C65,$J$38:$P$38,$R$38+$R$38*(1+$J$50)/($C65-$J$50)))-$J$49+J48)</f>
        <v>4881964052.6002045</v>
      </c>
      <c r="I65" s="17"/>
      <c r="J65" s="18"/>
      <c r="L65" s="23"/>
      <c r="M65" s="160"/>
      <c r="N65" s="23"/>
      <c r="O65" s="23"/>
      <c r="P65" s="98"/>
      <c r="Q65" s="97"/>
      <c r="R65" s="98"/>
      <c r="S65" s="97"/>
      <c r="T65" s="98"/>
    </row>
    <row r="66" spans="1:20" ht="15.75">
      <c r="E66" s="23"/>
      <c r="F66" s="23"/>
      <c r="G66" s="23"/>
      <c r="H66" s="23"/>
      <c r="I66" s="23"/>
      <c r="J66" s="23"/>
      <c r="L66" s="132"/>
      <c r="M66" s="203"/>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$2000759000.0mm as of 5/16/08.</v>
      </c>
      <c r="F69" s="87"/>
      <c r="G69" s="87"/>
      <c r="H69" s="87"/>
      <c r="I69" s="87"/>
      <c r="J69" s="87"/>
      <c r="L69" s="82"/>
      <c r="M69" s="193">
        <v>100000000</v>
      </c>
      <c r="N69" s="82"/>
    </row>
    <row r="70" spans="1:20">
      <c r="A70" s="1" t="str">
        <f>"(2)  Assumes outstanding diluted shares of "&amp;TEXT(J47,"0.000")&amp;" million."</f>
        <v>(2)  Assumes outstanding diluted shares of 153565950.333 million.</v>
      </c>
      <c r="C70" s="8"/>
      <c r="D70" s="4"/>
      <c r="E70" s="23"/>
      <c r="F70" s="91"/>
      <c r="G70" s="87"/>
      <c r="H70" s="91"/>
      <c r="I70" s="87"/>
      <c r="J70" s="91"/>
      <c r="M70" s="146"/>
    </row>
    <row r="71" spans="1:20">
      <c r="B71" s="2"/>
      <c r="C71" s="8"/>
      <c r="D71" s="4"/>
      <c r="E71" s="23"/>
      <c r="F71" s="91"/>
      <c r="G71" s="87"/>
      <c r="H71" s="91"/>
      <c r="I71" s="87"/>
      <c r="J71" s="91"/>
      <c r="M71" s="193"/>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t="s">
        <v>317</v>
      </c>
      <c r="F76" s="191"/>
      <c r="G76" s="87"/>
      <c r="H76" s="91"/>
      <c r="I76" s="87"/>
      <c r="J76" s="91"/>
      <c r="M76" s="146"/>
      <c r="P76" s="79"/>
    </row>
    <row r="77" spans="1:20" ht="12.75" customHeight="1">
      <c r="B77" s="135" t="s">
        <v>140</v>
      </c>
      <c r="E77" t="s">
        <v>318</v>
      </c>
      <c r="F77" s="160"/>
      <c r="G77" s="23"/>
      <c r="H77" s="23" t="s">
        <v>319</v>
      </c>
      <c r="I77" s="23"/>
      <c r="J77" s="144">
        <v>1.8571428571428572E-2</v>
      </c>
      <c r="L77" t="s">
        <v>320</v>
      </c>
      <c r="M77" s="204">
        <f>185%</f>
        <v>1.85</v>
      </c>
      <c r="N77" s="79">
        <f>M77/5</f>
        <v>0.37</v>
      </c>
      <c r="O77" t="s">
        <v>321</v>
      </c>
    </row>
    <row r="78" spans="1:20" ht="12.75" customHeight="1">
      <c r="B78" s="135" t="s">
        <v>141</v>
      </c>
      <c r="C78" s="83"/>
      <c r="E78" t="s">
        <v>322</v>
      </c>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F107" s="146"/>
    </row>
    <row r="108" spans="1:6">
      <c r="F108" s="146"/>
    </row>
    <row r="109" spans="1:6">
      <c r="F109" s="146"/>
    </row>
    <row r="110" spans="1:6">
      <c r="B110" s="168" t="s">
        <v>192</v>
      </c>
      <c r="F110" s="146"/>
    </row>
    <row r="111" spans="1:6">
      <c r="B111" s="135" t="s">
        <v>193</v>
      </c>
      <c r="F111" s="146"/>
    </row>
    <row r="118" spans="2:2">
      <c r="B118" s="182" t="s">
        <v>194</v>
      </c>
    </row>
    <row r="119" spans="2:2">
      <c r="B119" t="s">
        <v>195</v>
      </c>
    </row>
  </sheetData>
  <mergeCells count="1">
    <mergeCell ref="H46:J46"/>
  </mergeCells>
  <conditionalFormatting sqref="B6:T13">
    <cfRule type="expression" dxfId="209" priority="6">
      <formula>MOD(ROW(),2)=0</formula>
    </cfRule>
  </conditionalFormatting>
  <conditionalFormatting sqref="B18:T25">
    <cfRule type="expression" dxfId="208" priority="5">
      <formula>MOD(ROW(),2)=0</formula>
    </cfRule>
  </conditionalFormatting>
  <conditionalFormatting sqref="B31:T39">
    <cfRule type="expression" dxfId="207" priority="4">
      <formula>MOD(ROW(),2)=0</formula>
    </cfRule>
  </conditionalFormatting>
  <conditionalFormatting sqref="D56:H58">
    <cfRule type="expression" dxfId="206" priority="3">
      <formula>MOD(ROW(),2)=0</formula>
    </cfRule>
  </conditionalFormatting>
  <conditionalFormatting sqref="D63:H65">
    <cfRule type="expression" dxfId="205" priority="2">
      <formula>MOD(ROW(),2)=0</formula>
    </cfRule>
  </conditionalFormatting>
  <conditionalFormatting sqref="C47:E51">
    <cfRule type="expression" dxfId="204" priority="1">
      <formula>MOD(ROW(),2)=0</formula>
    </cfRule>
  </conditionalFormatting>
  <pageMargins left="0.75" right="0.75" top="1" bottom="1" header="0.5" footer="0.5"/>
  <pageSetup paperSize="119" orientation="portrait" horizontalDpi="300" verticalDpi="30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123"/>
  <sheetViews>
    <sheetView showGridLines="0" topLeftCell="A43" zoomScaleNormal="100" workbookViewId="0">
      <selection activeCell="M59" sqref="M59"/>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2018</v>
      </c>
      <c r="C47" s="88">
        <v>0.99</v>
      </c>
      <c r="D47" s="88">
        <v>1</v>
      </c>
      <c r="E47" s="88">
        <v>1.01</v>
      </c>
      <c r="H47" s="156" t="s">
        <v>15</v>
      </c>
      <c r="I47" s="156"/>
      <c r="J47" s="161"/>
      <c r="M47" t="s">
        <v>55</v>
      </c>
      <c r="P47" s="2"/>
      <c r="X47" s="127"/>
    </row>
    <row r="48" spans="1:24">
      <c r="B48" s="90">
        <f>B47+1</f>
        <v>2019</v>
      </c>
      <c r="C48" s="88">
        <v>0.98</v>
      </c>
      <c r="D48" s="88">
        <v>1</v>
      </c>
      <c r="E48" s="88">
        <v>1.02</v>
      </c>
      <c r="H48" s="156" t="s">
        <v>99</v>
      </c>
      <c r="I48" s="156"/>
      <c r="J48" s="157"/>
      <c r="M48" t="s">
        <v>56</v>
      </c>
      <c r="P48" s="2"/>
      <c r="X48" s="127"/>
    </row>
    <row r="49" spans="2:24">
      <c r="B49" s="90">
        <f>B48+1</f>
        <v>2020</v>
      </c>
      <c r="C49" s="88">
        <v>0.97</v>
      </c>
      <c r="D49" s="88">
        <v>1</v>
      </c>
      <c r="E49" s="88">
        <v>1.03</v>
      </c>
      <c r="H49" s="156" t="s">
        <v>14</v>
      </c>
      <c r="I49" s="156"/>
      <c r="J49" s="157"/>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t="e">
        <f>((NPV($C56,$J$13:$P$13,$R$13+$R$13*(1+$J$50)/($C56-$J$50)))-$J$49+J48)/$J$47</f>
        <v>#DIV/0!</v>
      </c>
      <c r="E56" s="93"/>
      <c r="F56" s="94" t="e">
        <f>((NPV($C56,$J$25:$P$25,$R$25+$R$25*(1+$J$50)/($C56-$J$50)))-$J$49+J48)/$J$47</f>
        <v>#DIV/0!</v>
      </c>
      <c r="G56" s="93"/>
      <c r="H56" s="123" t="e">
        <f>((NPV($C56,$J$38:$P$38,$R$38+$R$38*(1+$J$50)/($C56-$J$50)))-$J$49+J48)/$J$47</f>
        <v>#DIV/0!</v>
      </c>
      <c r="I56" s="10"/>
      <c r="J56" s="11"/>
      <c r="M56" s="135" t="s">
        <v>186</v>
      </c>
      <c r="Q56" s="87"/>
      <c r="R56" s="91"/>
      <c r="S56" s="87"/>
      <c r="T56" s="91"/>
    </row>
    <row r="57" spans="2:24">
      <c r="B57" s="84" t="s">
        <v>28</v>
      </c>
      <c r="C57" s="4">
        <v>0.11</v>
      </c>
      <c r="D57" s="96" t="e">
        <f>((NPV($C57,$J$13:$P$13,$R$13+$R$13*(1+$J$50)/($C57-$J$50)))-$J$49+J48)/$J$47</f>
        <v>#DIV/0!</v>
      </c>
      <c r="E57" s="97"/>
      <c r="F57" s="98" t="e">
        <f>((NPV($C57,$J$25:$P$25,$R$25+$R$25*(1+$J$50)/($C57-$J$50)))-$J$49+J48)/$J$47</f>
        <v>#DIV/0!</v>
      </c>
      <c r="G57" s="97"/>
      <c r="H57" s="99" t="e">
        <f>((NPV($C57,$J$38:$P$38,$R$38+$R$38*(1+$J$50)/($C57-$J$50)))-$J$49+J48)/$J$47</f>
        <v>#DIV/0!</v>
      </c>
      <c r="I57" s="44"/>
      <c r="J57" s="43"/>
      <c r="Q57" s="87"/>
      <c r="R57" s="91"/>
      <c r="S57" s="87"/>
      <c r="T57" s="91"/>
    </row>
    <row r="58" spans="2:24">
      <c r="B58" s="8" t="s">
        <v>10</v>
      </c>
      <c r="C58" s="4">
        <v>0.15</v>
      </c>
      <c r="D58" s="100" t="e">
        <f>((NPV($C58,$J$13:$P$13,$R$13+$R$13*(1+$J$50)/($C58-$J$50)))-$J$49+J48)/$J$47</f>
        <v>#DIV/0!</v>
      </c>
      <c r="E58" s="101"/>
      <c r="F58" s="102" t="e">
        <f>((NPV($C58,$J$25:$P$25,$R$25+$R$25*(1+$J$50)/($C58-$J$50)))-$J$49+J48)/$J$47</f>
        <v>#DIV/0!</v>
      </c>
      <c r="G58" s="101"/>
      <c r="H58" s="103" t="e">
        <f>((NPV($C58,$J$38:$P$38,$R$38+$R$38*(1+$J$50)/($C58-$J$50)))-$J$49+J48)/$J$47</f>
        <v>#DIV/0!</v>
      </c>
      <c r="I58" s="44"/>
      <c r="J58" s="43"/>
      <c r="L58" t="s">
        <v>196</v>
      </c>
      <c r="M58" s="178">
        <v>43460</v>
      </c>
      <c r="Q58" s="87"/>
      <c r="R58" s="91"/>
      <c r="S58" s="87"/>
      <c r="T58" s="91"/>
    </row>
    <row r="59" spans="2:24" ht="14.25">
      <c r="C59" s="4"/>
      <c r="D59" s="23"/>
      <c r="I59" s="23"/>
      <c r="J59" s="136"/>
      <c r="L59" t="s">
        <v>187</v>
      </c>
      <c r="M59" s="213" t="s">
        <v>372</v>
      </c>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188</v>
      </c>
      <c r="I62" s="62"/>
      <c r="J62" s="61"/>
      <c r="L62" s="23"/>
      <c r="M62" s="160"/>
      <c r="N62" s="129"/>
      <c r="O62" s="23"/>
      <c r="P62" s="87"/>
      <c r="Q62" s="87"/>
      <c r="R62" s="87"/>
      <c r="S62" s="87"/>
      <c r="T62" s="87"/>
    </row>
    <row r="63" spans="2:24">
      <c r="B63" s="84" t="s">
        <v>8</v>
      </c>
      <c r="C63" s="4">
        <f>C56</f>
        <v>0.08</v>
      </c>
      <c r="D63" s="92">
        <f>((NPV($C63,$J$13:$P$13,$R$13+$R$13*(1+$J$50)/($C63-$J$50)))-$J$49+J48)</f>
        <v>0</v>
      </c>
      <c r="E63" s="93"/>
      <c r="F63" s="94">
        <f>((NPV($C63,$J$25:$P$25,$R$25+$R$25*(1+$J$50)/($C63-$J$50)))-$J$49+J48)</f>
        <v>0</v>
      </c>
      <c r="G63" s="93"/>
      <c r="H63" s="95">
        <f>((NPV($C63,$J$38:$P$38,$R$38+$R$38*(1+$J$50)/($C63-$J$50)))-$J$49+J48)</f>
        <v>0</v>
      </c>
      <c r="I63" s="17"/>
      <c r="J63" s="18"/>
      <c r="L63" s="23"/>
      <c r="M63" s="167"/>
      <c r="N63" s="23"/>
      <c r="O63" s="23"/>
      <c r="P63" s="98"/>
      <c r="Q63" s="97"/>
      <c r="R63" s="98"/>
      <c r="S63" s="97"/>
      <c r="T63" s="98"/>
    </row>
    <row r="64" spans="2:24">
      <c r="B64" s="84" t="s">
        <v>28</v>
      </c>
      <c r="C64" s="4">
        <f>C57</f>
        <v>0.11</v>
      </c>
      <c r="D64" s="96">
        <f>((NPV($C64,$J$13:$P$13,$R$13+$R$13*(1+$J$50)/($C64-$J$50)))-$J$49+J48)</f>
        <v>0</v>
      </c>
      <c r="E64" s="97"/>
      <c r="F64" s="98">
        <f>((NPV($C64,$J$25:$P$25,$R$25+$R$25*(1+$J$50)/($C64-$J$50)))-$J$49+J48)</f>
        <v>0</v>
      </c>
      <c r="G64" s="97"/>
      <c r="H64" s="122">
        <f>((NPV($C64,$J$38:$P$38,$R$38+$R$38*(1+$J$50)/($C64-$J$50)))-$J$49+J48)</f>
        <v>0</v>
      </c>
      <c r="I64" s="17"/>
      <c r="J64" s="18"/>
      <c r="L64" s="23"/>
      <c r="M64" s="167"/>
      <c r="N64" s="23"/>
      <c r="O64" s="23"/>
      <c r="P64" s="98"/>
      <c r="Q64" s="97"/>
      <c r="R64" s="98"/>
      <c r="S64" s="97"/>
      <c r="T64" s="98"/>
    </row>
    <row r="65" spans="1:20">
      <c r="B65" s="8" t="s">
        <v>10</v>
      </c>
      <c r="C65" s="4">
        <f>C58</f>
        <v>0.15</v>
      </c>
      <c r="D65" s="100">
        <f>((NPV($C65,$J$13:$P$13,$R$13+$R$13*(1+$J$50)/($C65-$J$50)))-$J$49+J48)</f>
        <v>0</v>
      </c>
      <c r="E65" s="101"/>
      <c r="F65" s="102">
        <f>((NPV($C65,$J$25:$P$25,$R$25+$R$25*(1+$J$50)/($C65-$J$50)))-$J$49+J48)</f>
        <v>0</v>
      </c>
      <c r="G65" s="101"/>
      <c r="H65" s="103">
        <f>((NPV($C65,$J$38:$P$38,$R$38+$R$38*(1+$J$50)/($C65-$J$50)))-$J$49+J48)</f>
        <v>0</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A107">
        <v>22</v>
      </c>
      <c r="B107" s="135" t="s">
        <v>363</v>
      </c>
      <c r="F107" s="146"/>
    </row>
    <row r="108" spans="1:6">
      <c r="A108">
        <v>23</v>
      </c>
      <c r="B108" s="135" t="s">
        <v>364</v>
      </c>
      <c r="F108" s="146"/>
    </row>
    <row r="109" spans="1:6">
      <c r="A109">
        <v>24</v>
      </c>
      <c r="B109" s="135" t="s">
        <v>365</v>
      </c>
      <c r="F109" s="146"/>
    </row>
    <row r="110" spans="1:6">
      <c r="A110">
        <v>25</v>
      </c>
      <c r="B110" s="135" t="s">
        <v>366</v>
      </c>
      <c r="F110" s="146"/>
    </row>
    <row r="111" spans="1:6">
      <c r="A111">
        <v>26</v>
      </c>
      <c r="B111" s="135" t="s">
        <v>367</v>
      </c>
      <c r="F111" s="146"/>
    </row>
    <row r="112" spans="1:6">
      <c r="A112">
        <v>27</v>
      </c>
      <c r="B112" s="135" t="s">
        <v>368</v>
      </c>
      <c r="F112" s="146"/>
    </row>
    <row r="113" spans="2:6">
      <c r="B113" s="135"/>
      <c r="F113" s="146"/>
    </row>
    <row r="114" spans="2:6">
      <c r="B114" s="168" t="s">
        <v>192</v>
      </c>
      <c r="F114" s="146"/>
    </row>
    <row r="115" spans="2:6">
      <c r="B115" s="135" t="s">
        <v>193</v>
      </c>
      <c r="F115" s="146"/>
    </row>
    <row r="122" spans="2:6">
      <c r="B122" t="s">
        <v>194</v>
      </c>
    </row>
    <row r="123" spans="2:6">
      <c r="B123" t="s">
        <v>195</v>
      </c>
    </row>
  </sheetData>
  <mergeCells count="1">
    <mergeCell ref="H46:J46"/>
  </mergeCells>
  <conditionalFormatting sqref="B6:T13">
    <cfRule type="expression" dxfId="47" priority="6">
      <formula>MOD(ROW(),2)=0</formula>
    </cfRule>
  </conditionalFormatting>
  <conditionalFormatting sqref="B18:T25">
    <cfRule type="expression" dxfId="46" priority="5">
      <formula>MOD(ROW(),2)=0</formula>
    </cfRule>
  </conditionalFormatting>
  <conditionalFormatting sqref="B31:T39">
    <cfRule type="expression" dxfId="45" priority="4">
      <formula>MOD(ROW(),2)=0</formula>
    </cfRule>
  </conditionalFormatting>
  <conditionalFormatting sqref="D56:H58">
    <cfRule type="expression" dxfId="44" priority="3">
      <formula>MOD(ROW(),2)=0</formula>
    </cfRule>
  </conditionalFormatting>
  <conditionalFormatting sqref="D63:H65">
    <cfRule type="expression" dxfId="43" priority="2">
      <formula>MOD(ROW(),2)=0</formula>
    </cfRule>
  </conditionalFormatting>
  <conditionalFormatting sqref="C47:E51">
    <cfRule type="expression" dxfId="42" priority="1">
      <formula>MOD(ROW(),2)=0</formula>
    </cfRule>
  </conditionalFormatting>
  <pageMargins left="0.75" right="0.75" top="1" bottom="1" header="0.5" footer="0.5"/>
  <pageSetup paperSize="119" orientation="portrait"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X105"/>
  <sheetViews>
    <sheetView showGridLines="0" topLeftCell="B40" zoomScaleNormal="100" workbookViewId="0">
      <selection activeCell="H82" sqref="H82"/>
    </sheetView>
  </sheetViews>
  <sheetFormatPr defaultRowHeight="12.75"/>
  <cols>
    <col min="1" max="1" width="8.7109375" customWidth="1"/>
    <col min="2" max="2" width="16.140625" customWidth="1"/>
    <col min="3" max="3" width="8.28515625" bestFit="1" customWidth="1"/>
    <col min="4" max="4" width="20.85546875" bestFit="1" customWidth="1"/>
    <col min="5" max="5" width="2" customWidth="1"/>
    <col min="6" max="6" width="19.85546875" customWidth="1"/>
    <col min="7" max="7" width="7.42578125" customWidth="1"/>
    <col min="8" max="8" width="19.7109375" bestFit="1"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B3" t="s">
        <v>29</v>
      </c>
      <c r="H3" s="24" t="s">
        <v>18</v>
      </c>
      <c r="I3" s="25"/>
      <c r="J3" s="25"/>
      <c r="K3" s="25"/>
      <c r="L3" s="25"/>
      <c r="M3" s="25"/>
      <c r="N3" s="25"/>
      <c r="O3" s="25"/>
      <c r="P3" s="25"/>
      <c r="Q3" s="25"/>
      <c r="R3" s="25"/>
      <c r="T3" s="3" t="s">
        <v>0</v>
      </c>
    </row>
    <row r="4" spans="1:24">
      <c r="H4" s="26">
        <v>2017</v>
      </c>
      <c r="J4" s="27">
        <f>H4+1</f>
        <v>2018</v>
      </c>
      <c r="K4" s="20"/>
      <c r="L4" s="27">
        <f>J4+1</f>
        <v>2019</v>
      </c>
      <c r="M4" s="20"/>
      <c r="N4" s="60">
        <f>L4+1</f>
        <v>2020</v>
      </c>
      <c r="O4" s="21"/>
      <c r="P4" s="60">
        <f>N4+1</f>
        <v>2021</v>
      </c>
      <c r="Q4" s="21"/>
      <c r="R4" s="60">
        <f>P4+1</f>
        <v>2022</v>
      </c>
      <c r="T4" s="28" t="s">
        <v>33</v>
      </c>
    </row>
    <row r="5" spans="1:24" ht="5.0999999999999996" customHeight="1"/>
    <row r="6" spans="1:24">
      <c r="A6" t="s">
        <v>26</v>
      </c>
      <c r="H6" s="75">
        <v>424530000</v>
      </c>
      <c r="J6" s="75">
        <f>H6*N53</f>
        <v>382077000</v>
      </c>
      <c r="K6" s="121"/>
      <c r="L6" s="75">
        <f>J6*N54</f>
        <v>362973150</v>
      </c>
      <c r="M6" s="121"/>
      <c r="N6" s="75">
        <f>L6*N55</f>
        <v>344824492.5</v>
      </c>
      <c r="O6" s="75"/>
      <c r="P6" s="75">
        <f>N6*N56</f>
        <v>327583267.875</v>
      </c>
      <c r="Q6" s="75"/>
      <c r="R6" s="75">
        <f>P6*N57</f>
        <v>311204104.48124999</v>
      </c>
      <c r="T6" s="4">
        <f>(R6/J6)^(1/4)-1</f>
        <v>-5.0000000000000044E-2</v>
      </c>
    </row>
    <row r="7" spans="1:24">
      <c r="A7" s="23" t="s">
        <v>22</v>
      </c>
      <c r="H7" s="71">
        <v>0</v>
      </c>
      <c r="J7" s="71">
        <v>0</v>
      </c>
      <c r="L7" s="71">
        <v>0</v>
      </c>
      <c r="N7" s="71">
        <v>0</v>
      </c>
      <c r="P7" s="71">
        <v>0</v>
      </c>
      <c r="R7" s="71">
        <v>0</v>
      </c>
      <c r="T7" s="4"/>
    </row>
    <row r="8" spans="1:24">
      <c r="B8" t="s">
        <v>27</v>
      </c>
      <c r="H8" s="115">
        <f>H6+H7</f>
        <v>424530000</v>
      </c>
      <c r="I8" s="73"/>
      <c r="J8" s="115">
        <f>J6+J7</f>
        <v>382077000</v>
      </c>
      <c r="K8" s="116"/>
      <c r="L8" s="115">
        <f>L6+L7</f>
        <v>362973150</v>
      </c>
      <c r="M8" s="116"/>
      <c r="N8" s="115">
        <f>N6+N7</f>
        <v>344824492.5</v>
      </c>
      <c r="O8" s="116"/>
      <c r="P8" s="115">
        <f>P6+P7</f>
        <v>327583267.875</v>
      </c>
      <c r="Q8" s="116"/>
      <c r="R8" s="115">
        <f>R6+R7</f>
        <v>311204104.48124999</v>
      </c>
      <c r="T8" s="4">
        <f>(R8/J8)^(1/4)-1</f>
        <v>-5.0000000000000044E-2</v>
      </c>
    </row>
    <row r="9" spans="1:24" s="39" customFormat="1">
      <c r="A9" s="39" t="s">
        <v>21</v>
      </c>
      <c r="H9" s="117">
        <f>-$X$48*H8</f>
        <v>-106132500</v>
      </c>
      <c r="I9"/>
      <c r="J9" s="117">
        <f>-$X$48*J8</f>
        <v>-95519250</v>
      </c>
      <c r="K9" s="114"/>
      <c r="L9" s="117">
        <f>-$X$48*L8</f>
        <v>-90743287.5</v>
      </c>
      <c r="M9" s="114"/>
      <c r="N9" s="117">
        <f>-$X$48*N8</f>
        <v>-86206123.125</v>
      </c>
      <c r="O9" s="114"/>
      <c r="P9" s="117">
        <f>-$X$48*P8</f>
        <v>-81895816.96875</v>
      </c>
      <c r="Q9" s="114"/>
      <c r="R9" s="117">
        <f>-$X$48*R8</f>
        <v>-77801026.120312497</v>
      </c>
    </row>
    <row r="10" spans="1:24" s="2" customFormat="1">
      <c r="B10" s="2" t="s">
        <v>3</v>
      </c>
      <c r="H10" s="118">
        <f>SUM(H8:H9)</f>
        <v>318397500</v>
      </c>
      <c r="J10" s="118">
        <f>SUM(J8:J9)</f>
        <v>286557750</v>
      </c>
      <c r="K10" s="119"/>
      <c r="L10" s="118">
        <f>SUM(L8:L9)</f>
        <v>272229862.5</v>
      </c>
      <c r="M10" s="119"/>
      <c r="N10" s="118">
        <f>SUM(N8:N9)</f>
        <v>258618369.375</v>
      </c>
      <c r="O10" s="119"/>
      <c r="P10" s="118">
        <f>SUM(P8:P9)</f>
        <v>245687450.90625</v>
      </c>
      <c r="Q10" s="119"/>
      <c r="R10" s="118">
        <f>SUM(R8:R9)</f>
        <v>233403078.36093748</v>
      </c>
      <c r="T10" s="4">
        <f>(R10/J10)^(1/4)-1</f>
        <v>-5.0000000000000044E-2</v>
      </c>
    </row>
    <row r="11" spans="1:24" ht="5.0999999999999996" customHeight="1"/>
    <row r="12" spans="1:24">
      <c r="A12" s="10" t="s">
        <v>25</v>
      </c>
      <c r="H12" s="112">
        <v>100337000</v>
      </c>
      <c r="I12" s="112"/>
      <c r="J12" s="112">
        <v>100337000</v>
      </c>
      <c r="K12" s="112"/>
      <c r="L12" s="112">
        <v>100337000</v>
      </c>
      <c r="M12" s="112"/>
      <c r="N12" s="112">
        <v>100337000</v>
      </c>
      <c r="O12" s="112"/>
      <c r="P12" s="112">
        <v>100337000</v>
      </c>
      <c r="Q12" s="112"/>
      <c r="R12" s="112">
        <v>100337000</v>
      </c>
    </row>
    <row r="13" spans="1:24">
      <c r="A13" t="s">
        <v>23</v>
      </c>
      <c r="H13" s="112">
        <v>-170000000</v>
      </c>
      <c r="I13" s="112"/>
      <c r="J13" s="112">
        <f>H13</f>
        <v>-170000000</v>
      </c>
      <c r="K13" s="112"/>
      <c r="L13" s="112">
        <f>J13</f>
        <v>-170000000</v>
      </c>
      <c r="M13" s="112"/>
      <c r="N13" s="112">
        <f>L13</f>
        <v>-170000000</v>
      </c>
      <c r="O13" s="112"/>
      <c r="P13" s="112">
        <f>N13</f>
        <v>-170000000</v>
      </c>
      <c r="Q13" s="112"/>
      <c r="R13" s="112">
        <f>P13</f>
        <v>-170000000</v>
      </c>
      <c r="X13" s="81"/>
    </row>
    <row r="14" spans="1:24">
      <c r="A14" t="s">
        <v>24</v>
      </c>
      <c r="H14" s="113">
        <v>0</v>
      </c>
      <c r="I14" s="112"/>
      <c r="J14" s="113">
        <v>0</v>
      </c>
      <c r="K14" s="112"/>
      <c r="L14" s="112">
        <v>0</v>
      </c>
      <c r="M14" s="112"/>
      <c r="N14" s="112">
        <v>0</v>
      </c>
      <c r="O14" s="112"/>
      <c r="P14" s="112">
        <v>0</v>
      </c>
      <c r="Q14" s="112"/>
      <c r="R14" s="112">
        <v>0</v>
      </c>
      <c r="X14" s="81"/>
    </row>
    <row r="15" spans="1:24">
      <c r="B15" s="2" t="s">
        <v>19</v>
      </c>
      <c r="H15" s="118">
        <f>SUM(H10:H14)</f>
        <v>248734500</v>
      </c>
      <c r="J15" s="118">
        <f>SUM(J10:J14)</f>
        <v>216894750</v>
      </c>
      <c r="K15" s="114"/>
      <c r="L15" s="120">
        <f>SUM(L10:L14)</f>
        <v>202566862.5</v>
      </c>
      <c r="M15" s="114"/>
      <c r="N15" s="120">
        <f>SUM(N10:N14)</f>
        <v>188955369.375</v>
      </c>
      <c r="O15" s="114"/>
      <c r="P15" s="120">
        <f>SUM(P10:P14)</f>
        <v>176024450.90625</v>
      </c>
      <c r="Q15" s="114"/>
      <c r="R15" s="120">
        <f>SUM(R10:R14)</f>
        <v>163740078.36093748</v>
      </c>
      <c r="T15" s="4">
        <f>(R15/J15)^(1/4)-1</f>
        <v>-6.7869993973605269E-2</v>
      </c>
    </row>
    <row r="16" spans="1:24">
      <c r="A16" s="2"/>
      <c r="H16" s="19"/>
      <c r="J16" s="19"/>
      <c r="L16" s="19"/>
      <c r="N16" s="19"/>
      <c r="P16" s="19"/>
      <c r="R16" s="19"/>
      <c r="T16" s="4"/>
      <c r="X16" s="78"/>
    </row>
    <row r="17" spans="1:20">
      <c r="B17" t="s">
        <v>31</v>
      </c>
      <c r="H17" s="24" t="s">
        <v>18</v>
      </c>
      <c r="I17" s="25"/>
      <c r="J17" s="25"/>
      <c r="K17" s="25"/>
      <c r="L17" s="25"/>
      <c r="M17" s="25"/>
      <c r="N17" s="25"/>
      <c r="O17" s="25"/>
      <c r="P17" s="25"/>
      <c r="Q17" s="25"/>
      <c r="R17" s="25"/>
      <c r="T17" s="3" t="s">
        <v>0</v>
      </c>
    </row>
    <row r="18" spans="1:20">
      <c r="H18" s="26">
        <v>2017</v>
      </c>
      <c r="J18" s="27">
        <f>H18+1</f>
        <v>2018</v>
      </c>
      <c r="K18" s="20"/>
      <c r="L18" s="27">
        <f>J18+1</f>
        <v>2019</v>
      </c>
      <c r="M18" s="20"/>
      <c r="N18" s="60">
        <f>L18+1</f>
        <v>2020</v>
      </c>
      <c r="O18" s="21"/>
      <c r="P18" s="60">
        <f>N18+1</f>
        <v>2021</v>
      </c>
      <c r="Q18" s="21"/>
      <c r="R18" s="60">
        <f>P18+1</f>
        <v>2022</v>
      </c>
      <c r="T18" s="28" t="s">
        <v>33</v>
      </c>
    </row>
    <row r="20" spans="1:20">
      <c r="A20" t="s">
        <v>26</v>
      </c>
      <c r="H20" s="75">
        <f>H6</f>
        <v>424530000</v>
      </c>
      <c r="J20" s="75">
        <f>H20*O53</f>
        <v>424530000</v>
      </c>
      <c r="K20" s="121"/>
      <c r="L20" s="75">
        <f>J20*O54</f>
        <v>445756500</v>
      </c>
      <c r="M20" s="121"/>
      <c r="N20" s="75">
        <f>L20*O55</f>
        <v>468044325</v>
      </c>
      <c r="O20" s="75"/>
      <c r="P20" s="75">
        <f>N20*O56</f>
        <v>468044325</v>
      </c>
      <c r="Q20" s="75"/>
      <c r="R20" s="75">
        <f>P20*O57</f>
        <v>491446541.25</v>
      </c>
      <c r="T20" s="4">
        <f>(R20/J20)^(1/4)-1</f>
        <v>3.727037479422779E-2</v>
      </c>
    </row>
    <row r="21" spans="1:20">
      <c r="A21" s="23" t="s">
        <v>22</v>
      </c>
      <c r="H21" s="71">
        <f>H7</f>
        <v>0</v>
      </c>
      <c r="J21" s="71">
        <f>J7</f>
        <v>0</v>
      </c>
      <c r="K21" s="121"/>
      <c r="L21" s="71">
        <f>L7</f>
        <v>0</v>
      </c>
      <c r="M21" s="121"/>
      <c r="N21" s="71">
        <f>N7</f>
        <v>0</v>
      </c>
      <c r="O21" s="121"/>
      <c r="P21" s="71">
        <f>P7</f>
        <v>0</v>
      </c>
      <c r="Q21" s="121"/>
      <c r="R21" s="71">
        <f>R7</f>
        <v>0</v>
      </c>
      <c r="T21" s="4"/>
    </row>
    <row r="22" spans="1:20">
      <c r="B22" t="s">
        <v>27</v>
      </c>
      <c r="H22" s="115">
        <f>H20+H21</f>
        <v>424530000</v>
      </c>
      <c r="I22" s="116"/>
      <c r="J22" s="115">
        <f>J20+J21</f>
        <v>424530000</v>
      </c>
      <c r="K22" s="116"/>
      <c r="L22" s="115">
        <f>L20+L21</f>
        <v>445756500</v>
      </c>
      <c r="M22" s="116"/>
      <c r="N22" s="115">
        <f>N20+N21</f>
        <v>468044325</v>
      </c>
      <c r="O22" s="116"/>
      <c r="P22" s="115">
        <f>P20+P21</f>
        <v>468044325</v>
      </c>
      <c r="Q22" s="116"/>
      <c r="R22" s="115">
        <f>R20+R21</f>
        <v>491446541.25</v>
      </c>
      <c r="T22" s="4">
        <f>(R22/J22)^(1/4)-1</f>
        <v>3.727037479422779E-2</v>
      </c>
    </row>
    <row r="23" spans="1:20">
      <c r="A23" s="39" t="s">
        <v>21</v>
      </c>
      <c r="B23" s="39"/>
      <c r="C23" s="39"/>
      <c r="D23" s="39"/>
      <c r="E23" s="39"/>
      <c r="F23" s="39"/>
      <c r="G23" s="39"/>
      <c r="H23" s="117">
        <f>-$X$48*H22</f>
        <v>-106132500</v>
      </c>
      <c r="I23" s="114"/>
      <c r="J23" s="117">
        <f>-$X$48*J22</f>
        <v>-106132500</v>
      </c>
      <c r="K23" s="114"/>
      <c r="L23" s="117">
        <f>-$X$48*L22</f>
        <v>-111439125</v>
      </c>
      <c r="M23" s="114"/>
      <c r="N23" s="117">
        <f>-$X$48*N22</f>
        <v>-117011081.25</v>
      </c>
      <c r="O23" s="114"/>
      <c r="P23" s="117">
        <f>-$X$48*P22</f>
        <v>-117011081.25</v>
      </c>
      <c r="Q23" s="114"/>
      <c r="R23" s="117">
        <f>-$X$48*R22</f>
        <v>-122861635.3125</v>
      </c>
      <c r="S23" s="39"/>
      <c r="T23" s="39"/>
    </row>
    <row r="24" spans="1:20">
      <c r="A24" s="2"/>
      <c r="B24" s="2" t="s">
        <v>3</v>
      </c>
      <c r="C24" s="2"/>
      <c r="D24" s="2"/>
      <c r="E24" s="2"/>
      <c r="F24" s="2"/>
      <c r="G24" s="2"/>
      <c r="H24" s="118">
        <f>SUM(H22:H23)</f>
        <v>318397500</v>
      </c>
      <c r="I24" s="119"/>
      <c r="J24" s="118">
        <f>SUM(J22:J23)</f>
        <v>318397500</v>
      </c>
      <c r="K24" s="119"/>
      <c r="L24" s="118">
        <f>SUM(L22:L23)</f>
        <v>334317375</v>
      </c>
      <c r="M24" s="119"/>
      <c r="N24" s="118">
        <f>SUM(N22:N23)</f>
        <v>351033243.75</v>
      </c>
      <c r="O24" s="119"/>
      <c r="P24" s="118">
        <f>SUM(P22:P23)</f>
        <v>351033243.75</v>
      </c>
      <c r="Q24" s="119"/>
      <c r="R24" s="118">
        <f>SUM(R22:R23)</f>
        <v>368584905.9375</v>
      </c>
      <c r="S24" s="2"/>
      <c r="T24" s="4">
        <f>(R24/J24)^(1/4)-1</f>
        <v>3.727037479422779E-2</v>
      </c>
    </row>
    <row r="26" spans="1:20">
      <c r="A26" s="10" t="s">
        <v>25</v>
      </c>
      <c r="H26" s="112">
        <f>H12</f>
        <v>100337000</v>
      </c>
      <c r="I26" s="112"/>
      <c r="J26" s="112">
        <f>J12</f>
        <v>100337000</v>
      </c>
      <c r="K26" s="112"/>
      <c r="L26" s="112">
        <f>L12</f>
        <v>100337000</v>
      </c>
      <c r="M26" s="112"/>
      <c r="N26" s="112">
        <f>N12</f>
        <v>100337000</v>
      </c>
      <c r="O26" s="112"/>
      <c r="P26" s="112">
        <f>P12</f>
        <v>100337000</v>
      </c>
      <c r="Q26" s="112"/>
      <c r="R26" s="112">
        <f>R12</f>
        <v>100337000</v>
      </c>
    </row>
    <row r="27" spans="1:20">
      <c r="A27" t="s">
        <v>23</v>
      </c>
      <c r="H27" s="112">
        <f>H13</f>
        <v>-170000000</v>
      </c>
      <c r="I27" s="112"/>
      <c r="J27" s="112">
        <f>J13</f>
        <v>-170000000</v>
      </c>
      <c r="K27" s="112"/>
      <c r="L27" s="112">
        <f>L13</f>
        <v>-170000000</v>
      </c>
      <c r="M27" s="112"/>
      <c r="N27" s="112">
        <f>N13</f>
        <v>-170000000</v>
      </c>
      <c r="O27" s="112"/>
      <c r="P27" s="112">
        <f>P13</f>
        <v>-170000000</v>
      </c>
      <c r="Q27" s="112"/>
      <c r="R27" s="112">
        <f>R13</f>
        <v>-170000000</v>
      </c>
    </row>
    <row r="28" spans="1:20">
      <c r="A28" t="s">
        <v>24</v>
      </c>
      <c r="H28" s="113">
        <f>H14</f>
        <v>0</v>
      </c>
      <c r="I28" s="112"/>
      <c r="J28" s="113">
        <f>J14</f>
        <v>0</v>
      </c>
      <c r="K28" s="112"/>
      <c r="L28" s="112">
        <f>L14</f>
        <v>0</v>
      </c>
      <c r="M28" s="112"/>
      <c r="N28" s="112">
        <f>N14</f>
        <v>0</v>
      </c>
      <c r="O28" s="112"/>
      <c r="P28" s="112">
        <f>P14</f>
        <v>0</v>
      </c>
      <c r="Q28" s="112"/>
      <c r="R28" s="112">
        <f>R14</f>
        <v>0</v>
      </c>
    </row>
    <row r="29" spans="1:20">
      <c r="B29" s="2" t="s">
        <v>19</v>
      </c>
      <c r="H29" s="118">
        <f>SUM(H24:H28)</f>
        <v>248734500</v>
      </c>
      <c r="I29" s="114"/>
      <c r="J29" s="118">
        <f>SUM(J24:J28)</f>
        <v>248734500</v>
      </c>
      <c r="K29" s="114"/>
      <c r="L29" s="120">
        <f>SUM(L24:L28)</f>
        <v>264654375</v>
      </c>
      <c r="M29" s="114"/>
      <c r="N29" s="120">
        <f>SUM(N24:N28)</f>
        <v>281370243.75</v>
      </c>
      <c r="O29" s="114"/>
      <c r="P29" s="120">
        <f>SUM(P24:P28)</f>
        <v>281370243.75</v>
      </c>
      <c r="Q29" s="114"/>
      <c r="R29" s="120">
        <f>SUM(R24:R28)</f>
        <v>298921905.9375</v>
      </c>
      <c r="T29" s="4">
        <f>(R29/J29)^(1/4)-1</f>
        <v>4.7021088108338827E-2</v>
      </c>
    </row>
    <row r="30" spans="1:20">
      <c r="A30" s="2"/>
      <c r="H30" s="19"/>
      <c r="J30" s="19"/>
      <c r="L30" s="19"/>
      <c r="N30" s="19"/>
      <c r="P30" s="19"/>
      <c r="R30" s="19"/>
      <c r="T30" s="4"/>
    </row>
    <row r="31" spans="1:20">
      <c r="A31" s="2"/>
      <c r="H31" s="19"/>
      <c r="J31" s="19"/>
      <c r="L31" s="19"/>
      <c r="N31" s="19"/>
      <c r="P31" s="19"/>
      <c r="R31" s="19"/>
      <c r="T31" s="4"/>
    </row>
    <row r="32" spans="1:20">
      <c r="H32" s="24" t="s">
        <v>18</v>
      </c>
      <c r="I32" s="25"/>
      <c r="J32" s="25"/>
      <c r="K32" s="25"/>
      <c r="L32" s="25"/>
      <c r="M32" s="25"/>
      <c r="N32" s="25"/>
      <c r="O32" s="25"/>
      <c r="P32" s="25"/>
      <c r="Q32" s="25"/>
      <c r="R32" s="25"/>
      <c r="T32" s="3" t="s">
        <v>0</v>
      </c>
    </row>
    <row r="33" spans="1:24">
      <c r="H33" s="26">
        <v>2017</v>
      </c>
      <c r="J33" s="27">
        <f>H33+1</f>
        <v>2018</v>
      </c>
      <c r="K33" s="20"/>
      <c r="L33" s="27">
        <f>J33+1</f>
        <v>2019</v>
      </c>
      <c r="M33" s="20"/>
      <c r="N33" s="60">
        <f>L33+1</f>
        <v>2020</v>
      </c>
      <c r="O33" s="21"/>
      <c r="P33" s="60">
        <f>N33+1</f>
        <v>2021</v>
      </c>
      <c r="Q33" s="21"/>
      <c r="R33" s="60">
        <f>P33+1</f>
        <v>2022</v>
      </c>
      <c r="T33" s="28" t="s">
        <v>33</v>
      </c>
    </row>
    <row r="35" spans="1:24">
      <c r="A35" t="s">
        <v>26</v>
      </c>
      <c r="H35" s="75">
        <f>H6</f>
        <v>424530000</v>
      </c>
      <c r="J35" s="75">
        <f>H35*P53</f>
        <v>382077000</v>
      </c>
      <c r="K35" s="121"/>
      <c r="L35" s="75">
        <f>J35*P54</f>
        <v>382077000</v>
      </c>
      <c r="M35" s="121"/>
      <c r="N35" s="75">
        <f>L35*P55</f>
        <v>401180850</v>
      </c>
      <c r="O35" s="75"/>
      <c r="P35" s="75">
        <f>N35*P56</f>
        <v>421239892.5</v>
      </c>
      <c r="Q35" s="75"/>
      <c r="R35" s="75">
        <f>P35*P57</f>
        <v>463363881.75000006</v>
      </c>
      <c r="T35" s="4">
        <f>(R35/J35)^(1/4)-1</f>
        <v>4.9404255079356529E-2</v>
      </c>
    </row>
    <row r="36" spans="1:24">
      <c r="A36" s="23" t="s">
        <v>22</v>
      </c>
      <c r="H36" s="71">
        <f>H7</f>
        <v>0</v>
      </c>
      <c r="J36" s="71">
        <f>J7</f>
        <v>0</v>
      </c>
      <c r="L36" s="71">
        <f>L7</f>
        <v>0</v>
      </c>
      <c r="N36" s="71">
        <f>N7</f>
        <v>0</v>
      </c>
      <c r="P36" s="71">
        <f>P7</f>
        <v>0</v>
      </c>
      <c r="R36" s="71">
        <f>R7</f>
        <v>0</v>
      </c>
      <c r="T36" s="4"/>
    </row>
    <row r="37" spans="1:24">
      <c r="B37" t="s">
        <v>27</v>
      </c>
      <c r="H37" s="115">
        <f>H35+H36</f>
        <v>424530000</v>
      </c>
      <c r="I37" s="116"/>
      <c r="J37" s="115">
        <f>J35+J36</f>
        <v>382077000</v>
      </c>
      <c r="K37" s="116"/>
      <c r="L37" s="115">
        <f>L35+L36</f>
        <v>382077000</v>
      </c>
      <c r="M37" s="116"/>
      <c r="N37" s="115">
        <f>N35+N36</f>
        <v>401180850</v>
      </c>
      <c r="O37" s="116"/>
      <c r="P37" s="115">
        <f>P35+P36</f>
        <v>421239892.5</v>
      </c>
      <c r="Q37" s="116"/>
      <c r="R37" s="115">
        <f>R35+R36</f>
        <v>463363881.75000006</v>
      </c>
      <c r="T37" s="4">
        <f>(R37/J37)^(1/4)-1</f>
        <v>4.9404255079356529E-2</v>
      </c>
    </row>
    <row r="38" spans="1:24">
      <c r="A38" s="39" t="s">
        <v>21</v>
      </c>
      <c r="B38" s="39"/>
      <c r="C38" s="39"/>
      <c r="D38" s="39"/>
      <c r="E38" s="39"/>
      <c r="F38" s="39"/>
      <c r="G38" s="39"/>
      <c r="H38" s="117">
        <f>-$X$48*H37</f>
        <v>-106132500</v>
      </c>
      <c r="I38" s="114"/>
      <c r="J38" s="117">
        <f>-$X$48*J37</f>
        <v>-95519250</v>
      </c>
      <c r="K38" s="114"/>
      <c r="L38" s="117">
        <f>-$X$48*L37</f>
        <v>-95519250</v>
      </c>
      <c r="M38" s="114"/>
      <c r="N38" s="117">
        <f>-$X$48*N37</f>
        <v>-100295212.5</v>
      </c>
      <c r="O38" s="114"/>
      <c r="P38" s="117">
        <f>-$X$48*P37</f>
        <v>-105309973.125</v>
      </c>
      <c r="Q38" s="114"/>
      <c r="R38" s="117">
        <f>-$X$48*R37</f>
        <v>-115840970.43750001</v>
      </c>
      <c r="S38" s="39"/>
      <c r="T38" s="39"/>
    </row>
    <row r="39" spans="1:24">
      <c r="A39" s="2"/>
      <c r="B39" s="2" t="s">
        <v>3</v>
      </c>
      <c r="C39" s="2"/>
      <c r="D39" s="2"/>
      <c r="E39" s="2"/>
      <c r="F39" s="2"/>
      <c r="G39" s="2"/>
      <c r="H39" s="118">
        <f>SUM(H37:H38)</f>
        <v>318397500</v>
      </c>
      <c r="I39" s="119"/>
      <c r="J39" s="118">
        <f>SUM(J37:J38)</f>
        <v>286557750</v>
      </c>
      <c r="K39" s="119"/>
      <c r="L39" s="118">
        <f>SUM(L37:L38)</f>
        <v>286557750</v>
      </c>
      <c r="M39" s="119"/>
      <c r="N39" s="118">
        <f>SUM(N37:N38)</f>
        <v>300885637.5</v>
      </c>
      <c r="O39" s="119"/>
      <c r="P39" s="118">
        <f>SUM(P37:P38)</f>
        <v>315929919.375</v>
      </c>
      <c r="Q39" s="119"/>
      <c r="R39" s="118">
        <f>SUM(R37:R38)</f>
        <v>347522911.31250006</v>
      </c>
      <c r="S39" s="2"/>
      <c r="T39" s="4">
        <f>(R39/J39)^(1/4)-1</f>
        <v>4.9404255079356529E-2</v>
      </c>
    </row>
    <row r="40" spans="1:24">
      <c r="X40" s="78"/>
    </row>
    <row r="41" spans="1:24">
      <c r="A41" s="10" t="s">
        <v>25</v>
      </c>
      <c r="H41" s="112">
        <f>H12</f>
        <v>100337000</v>
      </c>
      <c r="I41" s="112"/>
      <c r="J41" s="112">
        <f>J12</f>
        <v>100337000</v>
      </c>
      <c r="K41" s="112"/>
      <c r="L41" s="112">
        <f>L12</f>
        <v>100337000</v>
      </c>
      <c r="M41" s="112"/>
      <c r="N41" s="112">
        <f>N12</f>
        <v>100337000</v>
      </c>
      <c r="O41" s="112"/>
      <c r="P41" s="112">
        <f>P12</f>
        <v>100337000</v>
      </c>
      <c r="Q41" s="112"/>
      <c r="R41" s="112">
        <f>R12</f>
        <v>100337000</v>
      </c>
    </row>
    <row r="42" spans="1:24">
      <c r="A42" t="s">
        <v>23</v>
      </c>
      <c r="H42" s="112">
        <f>H13</f>
        <v>-170000000</v>
      </c>
      <c r="I42" s="112"/>
      <c r="J42" s="112">
        <f>J13</f>
        <v>-170000000</v>
      </c>
      <c r="K42" s="112"/>
      <c r="L42" s="112">
        <f>L13</f>
        <v>-170000000</v>
      </c>
      <c r="M42" s="112"/>
      <c r="N42" s="112">
        <f>N13</f>
        <v>-170000000</v>
      </c>
      <c r="O42" s="112"/>
      <c r="P42" s="112">
        <f>P13</f>
        <v>-170000000</v>
      </c>
      <c r="Q42" s="112"/>
      <c r="R42" s="112">
        <f>R13</f>
        <v>-170000000</v>
      </c>
    </row>
    <row r="43" spans="1:24">
      <c r="A43" t="s">
        <v>24</v>
      </c>
      <c r="H43" s="113">
        <f>H14</f>
        <v>0</v>
      </c>
      <c r="I43" s="112"/>
      <c r="J43" s="113">
        <f>J14</f>
        <v>0</v>
      </c>
      <c r="K43" s="112"/>
      <c r="L43" s="112">
        <f>L14</f>
        <v>0</v>
      </c>
      <c r="M43" s="112"/>
      <c r="N43" s="112">
        <f>N14</f>
        <v>0</v>
      </c>
      <c r="O43" s="112"/>
      <c r="P43" s="112">
        <f>P14</f>
        <v>0</v>
      </c>
      <c r="Q43" s="112"/>
      <c r="R43" s="112">
        <f>R14</f>
        <v>0</v>
      </c>
    </row>
    <row r="44" spans="1:24">
      <c r="B44" s="2" t="s">
        <v>19</v>
      </c>
      <c r="H44" s="118">
        <f>SUM(H39:H43)</f>
        <v>248734500</v>
      </c>
      <c r="I44" s="114"/>
      <c r="J44" s="118">
        <f>SUM(J39:J43)</f>
        <v>216894750</v>
      </c>
      <c r="K44" s="114"/>
      <c r="L44" s="120">
        <f>SUM(L39:L43)</f>
        <v>216894750</v>
      </c>
      <c r="M44" s="114"/>
      <c r="N44" s="120">
        <f>SUM(N39:N43)</f>
        <v>231222637.5</v>
      </c>
      <c r="O44" s="114"/>
      <c r="P44" s="120">
        <f>SUM(P39:P43)</f>
        <v>246266919.375</v>
      </c>
      <c r="Q44" s="114"/>
      <c r="R44" s="120">
        <f>SUM(R39:R43)</f>
        <v>277859911.31250006</v>
      </c>
      <c r="T44" s="4">
        <f>(R44/J44)^(1/4)-1</f>
        <v>6.3883842551615277E-2</v>
      </c>
    </row>
    <row r="45" spans="1:24">
      <c r="A45" s="2"/>
      <c r="H45" s="19"/>
      <c r="J45" s="19"/>
      <c r="L45" s="19"/>
      <c r="N45" s="19"/>
      <c r="P45" s="19"/>
      <c r="R45" s="19"/>
      <c r="T45" s="4"/>
    </row>
    <row r="46" spans="1:24">
      <c r="A46" s="2"/>
      <c r="H46" s="19"/>
      <c r="J46" s="19"/>
      <c r="L46" s="19"/>
      <c r="N46" s="19"/>
      <c r="P46" s="19"/>
      <c r="R46" s="19"/>
      <c r="T46" s="4"/>
    </row>
    <row r="47" spans="1:24">
      <c r="A47" s="2"/>
      <c r="H47" s="19"/>
      <c r="J47" s="19"/>
      <c r="L47" s="19"/>
      <c r="N47" s="19"/>
      <c r="P47" s="19"/>
      <c r="R47" s="19"/>
      <c r="T47" s="4"/>
      <c r="V47" s="105" t="s">
        <v>16</v>
      </c>
      <c r="W47" s="23"/>
      <c r="X47" s="106">
        <v>0.02</v>
      </c>
    </row>
    <row r="48" spans="1:24">
      <c r="V48" t="s">
        <v>2</v>
      </c>
      <c r="X48" s="38">
        <v>0.25</v>
      </c>
    </row>
    <row r="49" spans="1:24">
      <c r="A49" s="24" t="s">
        <v>37</v>
      </c>
      <c r="B49" s="30"/>
      <c r="C49" s="30"/>
      <c r="D49" s="30"/>
      <c r="E49" s="30"/>
      <c r="F49" s="30"/>
      <c r="G49" s="30"/>
      <c r="H49" s="31"/>
      <c r="I49" s="30"/>
      <c r="J49" s="30"/>
      <c r="K49" s="30"/>
      <c r="L49" s="30"/>
      <c r="M49" s="30"/>
      <c r="N49" s="30"/>
      <c r="O49" s="30"/>
      <c r="P49" s="30"/>
      <c r="Q49" s="30"/>
      <c r="R49" s="30"/>
      <c r="S49" s="30"/>
      <c r="T49" s="30"/>
      <c r="V49" t="s">
        <v>14</v>
      </c>
      <c r="X49" s="127"/>
    </row>
    <row r="50" spans="1:24">
      <c r="H50" s="16"/>
      <c r="V50" t="s">
        <v>15</v>
      </c>
      <c r="X50" s="126">
        <v>22802690</v>
      </c>
    </row>
    <row r="51" spans="1:24">
      <c r="B51" s="2"/>
      <c r="D51" s="2"/>
      <c r="I51" s="23"/>
      <c r="J51" s="23"/>
      <c r="N51" s="2"/>
      <c r="P51" s="2"/>
      <c r="V51" t="s">
        <v>99</v>
      </c>
      <c r="X51" s="134">
        <v>327260000</v>
      </c>
    </row>
    <row r="52" spans="1:24">
      <c r="D52" s="30"/>
      <c r="E52" s="30"/>
      <c r="F52" s="109" t="s">
        <v>12</v>
      </c>
      <c r="G52" s="30"/>
      <c r="H52" s="30"/>
      <c r="I52" s="104"/>
      <c r="J52" s="104"/>
      <c r="M52" s="88" t="s">
        <v>32</v>
      </c>
      <c r="N52" s="89" t="s">
        <v>29</v>
      </c>
      <c r="O52" s="89" t="s">
        <v>31</v>
      </c>
      <c r="P52" s="89" t="s">
        <v>30</v>
      </c>
      <c r="Q52" s="104"/>
      <c r="R52" s="104"/>
      <c r="S52" s="104"/>
      <c r="T52" s="104"/>
    </row>
    <row r="53" spans="1:24">
      <c r="D53" s="85" t="s">
        <v>29</v>
      </c>
      <c r="E53" s="85"/>
      <c r="F53" s="86" t="s">
        <v>38</v>
      </c>
      <c r="G53" s="85"/>
      <c r="H53" s="85" t="s">
        <v>30</v>
      </c>
      <c r="I53" s="108"/>
      <c r="J53" s="106"/>
      <c r="M53" s="90">
        <v>2018</v>
      </c>
      <c r="N53" s="88">
        <v>0.9</v>
      </c>
      <c r="O53" s="88">
        <v>1</v>
      </c>
      <c r="P53" s="88">
        <v>0.9</v>
      </c>
      <c r="Q53" s="87"/>
      <c r="R53" s="87"/>
      <c r="S53" s="87"/>
      <c r="T53" s="87"/>
      <c r="X53">
        <v>726078</v>
      </c>
    </row>
    <row r="54" spans="1:24">
      <c r="A54" s="84" t="s">
        <v>8</v>
      </c>
      <c r="B54" s="4">
        <v>0.08</v>
      </c>
      <c r="C54" s="42"/>
      <c r="D54" s="92">
        <f>((NPV($B54,$J$15:$P$15,$R$15+$R$15*(1+$X$47)/($B54-$X$47)))-$X$49+X51)/$X$50</f>
        <v>130.99491445764278</v>
      </c>
      <c r="E54" s="93"/>
      <c r="F54" s="94">
        <f>((NPV($B54,$J$29:$P$29,$R$29+$R$29*(1+$X$47)/($B54-$X$47)))-$X$49+X51)/$X$50</f>
        <v>213.8601440086386</v>
      </c>
      <c r="G54" s="93"/>
      <c r="H54" s="123">
        <f>((NPV($B54,$J$44:$P$44,$R$44+$R$44*(1+$X$47)/($B54-$X$47)))-$X$49+X51)/$X$50</f>
        <v>196.57893192203676</v>
      </c>
      <c r="I54" s="10"/>
      <c r="J54" s="11"/>
      <c r="M54" s="90">
        <f>M53+1</f>
        <v>2019</v>
      </c>
      <c r="N54" s="88">
        <v>0.95</v>
      </c>
      <c r="O54" s="88">
        <v>1.05</v>
      </c>
      <c r="P54" s="88">
        <v>1</v>
      </c>
      <c r="Q54" s="87"/>
      <c r="R54" s="91"/>
      <c r="S54" s="87"/>
      <c r="T54" s="91"/>
      <c r="X54" s="80">
        <f>X53/X50</f>
        <v>3.1841769545610625E-2</v>
      </c>
    </row>
    <row r="55" spans="1:24">
      <c r="A55" s="84" t="s">
        <v>28</v>
      </c>
      <c r="B55" s="4">
        <v>0.1</v>
      </c>
      <c r="C55" s="42"/>
      <c r="D55" s="96">
        <f>((NPV($B55,$J$15:$P$15,$R$15+$R$15*(1+$X$47)/($B55-$X$47)))-$X$49+X51)/$X$50</f>
        <v>103.14564503448737</v>
      </c>
      <c r="E55" s="97"/>
      <c r="F55" s="98">
        <f>((NPV($B55,$J$29:$P$29,$R$29+$R$29*(1+$X$47)/($B55-$X$47)))-$X$49+X51)/$X$50</f>
        <v>163.47975769573804</v>
      </c>
      <c r="G55" s="97"/>
      <c r="H55" s="99">
        <f>((NPV($B55,$J$44:$P$44,$R$44+$R$44*(1+$X$47)/($B55-$X$47)))-$X$49+X51)/$X$50</f>
        <v>149.88973849237266</v>
      </c>
      <c r="I55" s="44"/>
      <c r="J55" s="43"/>
      <c r="M55" s="90">
        <f>M54+1</f>
        <v>2020</v>
      </c>
      <c r="N55" s="88">
        <v>0.95</v>
      </c>
      <c r="O55" s="88">
        <v>1.05</v>
      </c>
      <c r="P55" s="88">
        <v>1.05</v>
      </c>
      <c r="Q55" s="87"/>
      <c r="R55" s="91"/>
      <c r="S55" s="87"/>
      <c r="T55" s="91"/>
    </row>
    <row r="56" spans="1:24">
      <c r="A56" s="8" t="s">
        <v>10</v>
      </c>
      <c r="B56" s="4">
        <v>0.15</v>
      </c>
      <c r="C56" s="42"/>
      <c r="D56" s="100">
        <f>((NPV($B56,$J$15:$P$15,$R$15+$R$15*(1+$X$47)/($B56-$X$47)))-$X$49+X51)/$X$50</f>
        <v>70.783890074820988</v>
      </c>
      <c r="E56" s="101"/>
      <c r="F56" s="102">
        <f>((NPV($B56,$J$29:$P$29,$R$29+$R$29*(1+$X$47)/($B56-$X$47)))-$X$49+X51)/$X$50</f>
        <v>105.4365274943594</v>
      </c>
      <c r="G56" s="101"/>
      <c r="H56" s="103">
        <f>((NPV($B56,$J$44:$P$44,$R$44+$R$44*(1+$X$47)/($B56-$X$47)))-$X$49+X51)/$X$50</f>
        <v>96.250068342119036</v>
      </c>
      <c r="I56" s="44"/>
      <c r="J56" s="43"/>
      <c r="M56" s="90">
        <f>M55+1</f>
        <v>2021</v>
      </c>
      <c r="N56" s="88">
        <v>0.95</v>
      </c>
      <c r="O56" s="88">
        <v>1</v>
      </c>
      <c r="P56" s="88">
        <v>1.05</v>
      </c>
      <c r="Q56" s="87"/>
      <c r="R56" s="91"/>
      <c r="S56" s="87"/>
      <c r="T56" s="91"/>
    </row>
    <row r="57" spans="1:24">
      <c r="B57" s="4"/>
      <c r="C57" s="23"/>
      <c r="D57" s="23"/>
      <c r="I57" s="23"/>
      <c r="J57" s="23"/>
      <c r="M57" s="90">
        <f>M56+1</f>
        <v>2022</v>
      </c>
      <c r="N57" s="88">
        <v>0.95</v>
      </c>
      <c r="O57" s="88">
        <v>1.05</v>
      </c>
      <c r="P57" s="88">
        <v>1.1000000000000001</v>
      </c>
      <c r="Q57" s="23"/>
      <c r="R57" s="23"/>
      <c r="S57" s="23"/>
      <c r="T57" s="23"/>
    </row>
    <row r="58" spans="1:24">
      <c r="D58" s="2"/>
      <c r="N58" s="23"/>
      <c r="O58" s="23"/>
      <c r="P58" s="107"/>
      <c r="Q58" s="23"/>
      <c r="R58" s="23"/>
      <c r="S58" s="23"/>
      <c r="T58" s="23"/>
    </row>
    <row r="59" spans="1:24">
      <c r="D59" s="30"/>
      <c r="E59" s="30"/>
      <c r="F59" s="109" t="s">
        <v>6</v>
      </c>
      <c r="G59" s="30"/>
      <c r="H59" s="30"/>
      <c r="I59" s="104"/>
      <c r="J59" s="104"/>
      <c r="L59" s="23"/>
      <c r="M59" s="128"/>
      <c r="N59" s="128"/>
      <c r="O59" s="23"/>
      <c r="P59" s="104"/>
      <c r="Q59" s="104"/>
      <c r="R59" s="104"/>
      <c r="S59" s="104"/>
      <c r="T59" s="104"/>
      <c r="X59" s="140"/>
    </row>
    <row r="60" spans="1:24">
      <c r="D60" s="85" t="s">
        <v>29</v>
      </c>
      <c r="E60" s="85"/>
      <c r="F60" s="86" t="s">
        <v>38</v>
      </c>
      <c r="G60" s="85"/>
      <c r="H60" s="85" t="s">
        <v>30</v>
      </c>
      <c r="I60" s="62"/>
      <c r="J60" s="61"/>
      <c r="L60" s="23"/>
      <c r="M60" s="87"/>
      <c r="N60" s="129"/>
      <c r="O60" s="23"/>
      <c r="P60" s="87"/>
      <c r="Q60" s="87"/>
      <c r="R60" s="87"/>
      <c r="S60" s="87"/>
      <c r="T60" s="87"/>
      <c r="X60" s="140"/>
    </row>
    <row r="61" spans="1:24">
      <c r="A61" s="84" t="s">
        <v>8</v>
      </c>
      <c r="B61" s="4">
        <f>B54</f>
        <v>0.08</v>
      </c>
      <c r="C61" s="23"/>
      <c r="D61" s="92">
        <f>((NPV($B61,$J$15:$P$15,$R$15+$R$15*(1+$X$47)/($B61-$X$47)))-$X$49+X51)</f>
        <v>2987036425.9541464</v>
      </c>
      <c r="E61" s="93"/>
      <c r="F61" s="94">
        <f>((NPV($B61,$J$29:$P$29,$R$29+$R$29*(1+$X$47)/($B61-$X$47)))-$X$49+X51)</f>
        <v>4876586567.1843433</v>
      </c>
      <c r="G61" s="93"/>
      <c r="H61" s="95">
        <f>((NPV($B61,$J$44:$P$44,$R$44+$R$44*(1+$X$47)/($B61-$X$47)))-$X$49+X51)</f>
        <v>4482528445.1493082</v>
      </c>
      <c r="I61" s="17"/>
      <c r="J61" s="18" t="s">
        <v>40</v>
      </c>
      <c r="L61" s="23"/>
      <c r="M61" s="130"/>
      <c r="N61" s="23"/>
      <c r="O61" s="23"/>
      <c r="P61" s="98"/>
      <c r="Q61" s="97"/>
      <c r="R61" s="98"/>
      <c r="S61" s="97"/>
      <c r="T61" s="98"/>
    </row>
    <row r="62" spans="1:24">
      <c r="A62" s="84" t="s">
        <v>28</v>
      </c>
      <c r="B62" s="4">
        <f>B55</f>
        <v>0.1</v>
      </c>
      <c r="C62" s="23"/>
      <c r="D62" s="96">
        <f>((NPV($B62,$J$15:$P$15,$R$15+$R$15*(1+$X$47)/($B62-$X$47)))-$X$49+X51)</f>
        <v>2351998168.571455</v>
      </c>
      <c r="E62" s="97"/>
      <c r="F62" s="98">
        <f>((NPV($B62,$J$29:$P$29,$R$29+$R$29*(1+$X$47)/($B62-$X$47)))-$X$49+X51)</f>
        <v>3727778236.0110288</v>
      </c>
      <c r="G62" s="97"/>
      <c r="H62" s="122">
        <f>((NPV($B62,$J$44:$P$44,$R$44+$R$44*(1+$X$47)/($B62-$X$47)))-$X$49+X51)</f>
        <v>3417889241.0226412</v>
      </c>
      <c r="I62" s="17"/>
      <c r="J62" s="18"/>
      <c r="L62" s="23"/>
      <c r="M62" s="130"/>
      <c r="N62" s="23"/>
      <c r="O62" s="23"/>
      <c r="P62" s="98"/>
      <c r="Q62" s="97"/>
      <c r="R62" s="98"/>
      <c r="S62" s="97"/>
      <c r="T62" s="98"/>
    </row>
    <row r="63" spans="1:24">
      <c r="A63" s="8" t="s">
        <v>10</v>
      </c>
      <c r="B63" s="4">
        <f>B56</f>
        <v>0.15</v>
      </c>
      <c r="C63" s="23"/>
      <c r="D63" s="100">
        <f>((NPV($B63,$J$15:$P$15,$R$15+$R$15*(1+$X$47)/($B63-$X$47)))-$X$49+X51)</f>
        <v>1614063102.3702199</v>
      </c>
      <c r="E63" s="101"/>
      <c r="F63" s="102">
        <f>((NPV($B63,$J$29:$P$29,$R$29+$R$29*(1+$X$47)/($B63-$X$47)))-$X$48+X51)</f>
        <v>2404236450.8803539</v>
      </c>
      <c r="G63" s="101"/>
      <c r="H63" s="103">
        <f>((NPV($B63,$J$44:$P$44,$R$44+$R$44*(1+$X$47)/($B63-$X$47)))-$X$49+X51)</f>
        <v>2194760470.8841543</v>
      </c>
      <c r="I63" s="17"/>
      <c r="J63" s="18"/>
      <c r="L63" s="23"/>
      <c r="M63" s="131"/>
      <c r="N63" s="23"/>
      <c r="O63" s="23"/>
      <c r="P63" s="98"/>
      <c r="Q63" s="97"/>
      <c r="R63" s="98"/>
      <c r="S63" s="97"/>
      <c r="T63" s="98"/>
    </row>
    <row r="64" spans="1:24" ht="15.75">
      <c r="E64" s="23"/>
      <c r="F64" s="23"/>
      <c r="G64" s="23"/>
      <c r="H64" s="23"/>
      <c r="I64" s="23"/>
      <c r="J64" s="23"/>
      <c r="L64" s="132"/>
      <c r="M64" s="23"/>
      <c r="N64" s="111"/>
      <c r="O64" s="23"/>
      <c r="P64" s="23"/>
      <c r="Q64" s="23"/>
      <c r="R64" s="23"/>
      <c r="S64" s="23"/>
      <c r="T64" s="23"/>
    </row>
    <row r="65" spans="1:16">
      <c r="F65" s="23"/>
      <c r="G65" s="23"/>
      <c r="H65" s="125"/>
      <c r="I65" s="23"/>
      <c r="J65" s="23"/>
      <c r="L65" s="110"/>
    </row>
    <row r="66" spans="1:16">
      <c r="F66" s="124" t="s">
        <v>40</v>
      </c>
      <c r="G66" s="23"/>
      <c r="H66" s="23"/>
      <c r="I66" s="23"/>
      <c r="J66" s="23"/>
    </row>
    <row r="67" spans="1:16">
      <c r="A67" s="1" t="str">
        <f>"(1)  Assumes net debt of "&amp;TEXT(X49,"$0.0")&amp;"mm as of 5/16/08."</f>
        <v>(1)  Assumes net debt of $0.0mm as of 5/16/08.</v>
      </c>
      <c r="F67" s="87"/>
      <c r="G67" s="87"/>
      <c r="H67" s="87"/>
      <c r="I67" s="87"/>
      <c r="J67" s="87"/>
      <c r="L67" s="82"/>
      <c r="M67" s="82"/>
      <c r="N67" s="82"/>
    </row>
    <row r="68" spans="1:16">
      <c r="A68" s="1" t="str">
        <f>"(2)  Assumes outstanding diluted shares of "&amp;TEXT(X50,"0.000")&amp;" million."</f>
        <v>(2)  Assumes outstanding diluted shares of 22802690.000 million.</v>
      </c>
      <c r="C68" s="8"/>
      <c r="D68" s="4"/>
      <c r="E68" s="23"/>
      <c r="F68" s="91"/>
      <c r="G68" s="87"/>
      <c r="H68" s="91"/>
      <c r="I68" s="87"/>
      <c r="J68" s="91"/>
    </row>
    <row r="69" spans="1:16">
      <c r="C69" s="8"/>
      <c r="D69" s="4"/>
      <c r="E69" s="23"/>
      <c r="F69" s="91"/>
      <c r="G69" s="87"/>
      <c r="H69" s="91"/>
      <c r="I69" s="87"/>
      <c r="J69" s="91"/>
    </row>
    <row r="70" spans="1:16" ht="12.75" customHeight="1">
      <c r="B70" t="s">
        <v>34</v>
      </c>
      <c r="C70" s="8"/>
      <c r="D70" s="4"/>
      <c r="E70" s="23"/>
      <c r="F70" s="91" t="s">
        <v>131</v>
      </c>
      <c r="G70" s="87"/>
      <c r="H70" s="91"/>
      <c r="I70" s="87"/>
      <c r="J70" t="s">
        <v>52</v>
      </c>
      <c r="M70" t="s">
        <v>117</v>
      </c>
      <c r="P70" s="79"/>
    </row>
    <row r="71" spans="1:16" ht="12.75" customHeight="1">
      <c r="B71" t="s">
        <v>35</v>
      </c>
      <c r="F71" s="143">
        <f>M90</f>
        <v>0.70721297481860868</v>
      </c>
      <c r="G71" s="144">
        <f>F71/3</f>
        <v>0.23573765827286955</v>
      </c>
      <c r="H71" s="23"/>
      <c r="I71" s="23"/>
      <c r="J71" t="s">
        <v>53</v>
      </c>
      <c r="M71" t="s">
        <v>118</v>
      </c>
    </row>
    <row r="72" spans="1:16" ht="12.75" customHeight="1">
      <c r="B72" t="s">
        <v>36</v>
      </c>
      <c r="C72" s="83"/>
      <c r="F72" s="87" t="s">
        <v>132</v>
      </c>
      <c r="G72" s="164" t="s">
        <v>184</v>
      </c>
      <c r="H72" s="87"/>
      <c r="I72" s="87"/>
      <c r="J72" s="87"/>
    </row>
    <row r="73" spans="1:16" ht="12.75" customHeight="1">
      <c r="B73" s="135" t="s">
        <v>185</v>
      </c>
      <c r="C73" s="83"/>
      <c r="F73" s="87">
        <v>100</v>
      </c>
      <c r="G73" s="164"/>
      <c r="H73" s="87"/>
      <c r="I73" s="87"/>
      <c r="J73" s="87"/>
    </row>
    <row r="74" spans="1:16" ht="12.75" customHeight="1">
      <c r="B74" t="s">
        <v>100</v>
      </c>
      <c r="C74" s="8"/>
      <c r="D74" s="4"/>
      <c r="E74" s="23"/>
      <c r="F74" s="141" t="s">
        <v>102</v>
      </c>
      <c r="G74" s="97"/>
      <c r="H74" s="98"/>
      <c r="I74" s="97"/>
      <c r="J74" s="98"/>
    </row>
    <row r="75" spans="1:16" ht="12.75" customHeight="1">
      <c r="B75" t="s">
        <v>101</v>
      </c>
      <c r="C75" s="8"/>
      <c r="D75" s="4"/>
      <c r="E75" s="23"/>
      <c r="F75" s="141" t="s">
        <v>103</v>
      </c>
      <c r="G75" s="97"/>
      <c r="H75" s="98"/>
      <c r="I75" s="97"/>
      <c r="J75" s="98"/>
    </row>
    <row r="76" spans="1:16" ht="12.75" customHeight="1">
      <c r="B76" t="s">
        <v>88</v>
      </c>
      <c r="C76" s="8"/>
      <c r="D76" s="4"/>
      <c r="E76" s="23"/>
      <c r="F76" s="141" t="s">
        <v>123</v>
      </c>
      <c r="G76" s="97"/>
      <c r="H76" s="98"/>
      <c r="I76" s="97"/>
      <c r="J76" s="98"/>
    </row>
    <row r="77" spans="1:16" ht="12.75" customHeight="1">
      <c r="B77" t="s">
        <v>89</v>
      </c>
      <c r="F77" s="142" t="s">
        <v>104</v>
      </c>
    </row>
    <row r="78" spans="1:16" ht="12.75" customHeight="1">
      <c r="B78" t="s">
        <v>90</v>
      </c>
      <c r="F78" s="142" t="s">
        <v>105</v>
      </c>
    </row>
    <row r="79" spans="1:16" ht="12.75" customHeight="1">
      <c r="B79" t="s">
        <v>91</v>
      </c>
      <c r="F79" s="142" t="s">
        <v>106</v>
      </c>
      <c r="M79" t="s">
        <v>119</v>
      </c>
    </row>
    <row r="80" spans="1:16" ht="12.75" customHeight="1">
      <c r="B80" t="s">
        <v>41</v>
      </c>
      <c r="F80" s="142" t="s">
        <v>106</v>
      </c>
      <c r="M80" t="s">
        <v>120</v>
      </c>
    </row>
    <row r="81" spans="2:13" ht="12.75" customHeight="1">
      <c r="B81" t="s">
        <v>42</v>
      </c>
      <c r="F81" s="142" t="s">
        <v>106</v>
      </c>
      <c r="M81" t="s">
        <v>121</v>
      </c>
    </row>
    <row r="82" spans="2:13" ht="12.75" customHeight="1">
      <c r="B82" t="s">
        <v>43</v>
      </c>
      <c r="F82" s="142" t="s">
        <v>107</v>
      </c>
      <c r="M82" t="s">
        <v>122</v>
      </c>
    </row>
    <row r="83" spans="2:13" ht="12.75" customHeight="1">
      <c r="B83" t="s">
        <v>44</v>
      </c>
      <c r="F83" s="142" t="s">
        <v>106</v>
      </c>
      <c r="M83" t="s">
        <v>127</v>
      </c>
    </row>
    <row r="84" spans="2:13" ht="12.75" customHeight="1">
      <c r="B84" t="s">
        <v>45</v>
      </c>
      <c r="F84" s="142" t="s">
        <v>106</v>
      </c>
      <c r="M84" t="s">
        <v>128</v>
      </c>
    </row>
    <row r="85" spans="2:13">
      <c r="B85" t="s">
        <v>46</v>
      </c>
      <c r="F85" s="142" t="s">
        <v>108</v>
      </c>
      <c r="M85" t="s">
        <v>133</v>
      </c>
    </row>
    <row r="86" spans="2:13">
      <c r="B86" t="s">
        <v>47</v>
      </c>
      <c r="F86" s="142" t="s">
        <v>109</v>
      </c>
      <c r="M86" t="s">
        <v>129</v>
      </c>
    </row>
    <row r="87" spans="2:13">
      <c r="B87" t="s">
        <v>48</v>
      </c>
      <c r="F87" s="142" t="s">
        <v>110</v>
      </c>
      <c r="M87" t="s">
        <v>130</v>
      </c>
    </row>
    <row r="88" spans="2:13">
      <c r="B88" t="s">
        <v>49</v>
      </c>
      <c r="F88" s="142" t="s">
        <v>111</v>
      </c>
      <c r="M88">
        <f>4000-2343</f>
        <v>1657</v>
      </c>
    </row>
    <row r="89" spans="2:13">
      <c r="B89" t="s">
        <v>50</v>
      </c>
      <c r="F89" s="142" t="s">
        <v>112</v>
      </c>
      <c r="M89">
        <v>2343</v>
      </c>
    </row>
    <row r="90" spans="2:13">
      <c r="B90" t="s">
        <v>51</v>
      </c>
      <c r="F90" s="142" t="s">
        <v>113</v>
      </c>
      <c r="M90" s="143">
        <f>M88/M89</f>
        <v>0.70721297481860868</v>
      </c>
    </row>
    <row r="91" spans="2:13">
      <c r="B91" t="s">
        <v>54</v>
      </c>
      <c r="F91" s="142" t="s">
        <v>106</v>
      </c>
    </row>
    <row r="92" spans="2:13">
      <c r="B92" t="s">
        <v>55</v>
      </c>
    </row>
    <row r="93" spans="2:13">
      <c r="B93" t="s">
        <v>56</v>
      </c>
      <c r="M93">
        <f>47/250</f>
        <v>0.188</v>
      </c>
    </row>
    <row r="94" spans="2:13">
      <c r="B94" t="s">
        <v>57</v>
      </c>
    </row>
    <row r="95" spans="2:13">
      <c r="B95" t="s">
        <v>58</v>
      </c>
    </row>
    <row r="96" spans="2:13">
      <c r="B96" t="s">
        <v>59</v>
      </c>
    </row>
    <row r="97" spans="2:3">
      <c r="B97" t="s">
        <v>60</v>
      </c>
    </row>
    <row r="98" spans="2:3">
      <c r="B98" t="s">
        <v>61</v>
      </c>
      <c r="C98" t="s">
        <v>64</v>
      </c>
    </row>
    <row r="99" spans="2:3">
      <c r="B99" t="s">
        <v>62</v>
      </c>
    </row>
    <row r="100" spans="2:3">
      <c r="B100" t="s">
        <v>63</v>
      </c>
    </row>
    <row r="103" spans="2:3">
      <c r="B103" t="s">
        <v>124</v>
      </c>
    </row>
    <row r="104" spans="2:3">
      <c r="B104" t="s">
        <v>125</v>
      </c>
    </row>
    <row r="105" spans="2:3">
      <c r="B105" t="s">
        <v>126</v>
      </c>
    </row>
  </sheetData>
  <pageMargins left="0.75" right="0.75" top="1" bottom="1" header="0.5" footer="0.5"/>
  <pageSetup paperSize="119" orientation="portrait"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X119"/>
  <sheetViews>
    <sheetView showGridLines="0" topLeftCell="A55" zoomScaleNormal="100" workbookViewId="0">
      <selection activeCell="L75" sqref="L75"/>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2018</v>
      </c>
      <c r="C47" s="88">
        <v>0.99</v>
      </c>
      <c r="D47" s="88">
        <v>1</v>
      </c>
      <c r="E47" s="88">
        <v>1.01</v>
      </c>
      <c r="H47" s="156" t="s">
        <v>15</v>
      </c>
      <c r="I47" s="156"/>
      <c r="J47" s="161">
        <v>106406761</v>
      </c>
      <c r="M47" t="s">
        <v>55</v>
      </c>
      <c r="P47" s="2"/>
      <c r="X47" s="127"/>
    </row>
    <row r="48" spans="1:24">
      <c r="B48" s="90">
        <f>B47+1</f>
        <v>2019</v>
      </c>
      <c r="C48" s="88">
        <v>0.98</v>
      </c>
      <c r="D48" s="88">
        <v>1</v>
      </c>
      <c r="E48" s="88">
        <v>1.02</v>
      </c>
      <c r="H48" s="156" t="s">
        <v>99</v>
      </c>
      <c r="I48" s="156"/>
      <c r="J48" s="157">
        <v>251000000</v>
      </c>
      <c r="M48" t="s">
        <v>56</v>
      </c>
      <c r="P48" s="2"/>
      <c r="X48" s="127"/>
    </row>
    <row r="49" spans="2:24">
      <c r="B49" s="90">
        <f>B48+1</f>
        <v>2020</v>
      </c>
      <c r="C49" s="88">
        <v>0.97</v>
      </c>
      <c r="D49" s="88">
        <v>1</v>
      </c>
      <c r="E49" s="88">
        <v>1.03</v>
      </c>
      <c r="H49" s="156" t="s">
        <v>14</v>
      </c>
      <c r="I49" s="156"/>
      <c r="J49" s="157">
        <v>741000000</v>
      </c>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f>((NPV($C56,$J$13:$P$13,$R$13+$R$13*(1+$J$50)/($C56-$J$50)))-$J$49+J48)/$J$47</f>
        <v>-4.6049705431781724</v>
      </c>
      <c r="E56" s="93"/>
      <c r="F56" s="94">
        <f>((NPV($C56,$J$25:$P$25,$R$25+$R$25*(1+$J$50)/($C56-$J$50)))-$J$49+J48)/$J$47</f>
        <v>-4.6049705431781724</v>
      </c>
      <c r="G56" s="93"/>
      <c r="H56" s="123">
        <f>((NPV($C56,$J$38:$P$38,$R$38+$R$38*(1+$J$50)/($C56-$J$50)))-$J$49+J48)/$J$47</f>
        <v>-4.6049705431781724</v>
      </c>
      <c r="I56" s="10"/>
      <c r="J56" s="11"/>
      <c r="M56" s="135" t="s">
        <v>186</v>
      </c>
      <c r="Q56" s="87"/>
      <c r="R56" s="91"/>
      <c r="S56" s="87"/>
      <c r="T56" s="91"/>
    </row>
    <row r="57" spans="2:24">
      <c r="B57" s="84" t="s">
        <v>28</v>
      </c>
      <c r="C57" s="4">
        <v>0.11</v>
      </c>
      <c r="D57" s="96">
        <f>((NPV($C57,$J$13:$P$13,$R$13+$R$13*(1+$J$50)/($C57-$J$50)))-$J$49+J48)/$J$47</f>
        <v>-4.6049705431781724</v>
      </c>
      <c r="E57" s="97"/>
      <c r="F57" s="98">
        <f>((NPV($C57,$J$25:$P$25,$R$25+$R$25*(1+$J$50)/($C57-$J$50)))-$J$49+J48)/$J$47</f>
        <v>-4.6049705431781724</v>
      </c>
      <c r="G57" s="97"/>
      <c r="H57" s="99">
        <f>((NPV($C57,$J$38:$P$38,$R$38+$R$38*(1+$J$50)/($C57-$J$50)))-$J$49+J48)/$J$47</f>
        <v>-4.6049705431781724</v>
      </c>
      <c r="I57" s="44"/>
      <c r="J57" s="43"/>
      <c r="Q57" s="87"/>
      <c r="R57" s="91"/>
      <c r="S57" s="87"/>
      <c r="T57" s="91"/>
    </row>
    <row r="58" spans="2:24">
      <c r="B58" s="8" t="s">
        <v>10</v>
      </c>
      <c r="C58" s="4">
        <v>0.15</v>
      </c>
      <c r="D58" s="100">
        <f>((NPV($C58,$J$13:$P$13,$R$13+$R$13*(1+$J$50)/($C58-$J$50)))-$J$49+J48)/$J$47</f>
        <v>-4.6049705431781724</v>
      </c>
      <c r="E58" s="101"/>
      <c r="F58" s="102">
        <f>((NPV($C58,$J$25:$P$25,$R$25+$R$25*(1+$J$50)/($C58-$J$50)))-$J$49+J48)/$J$47</f>
        <v>-4.6049705431781724</v>
      </c>
      <c r="G58" s="101"/>
      <c r="H58" s="103">
        <f>((NPV($C58,$J$38:$P$38,$R$38+$R$38*(1+$J$50)/($C58-$J$50)))-$J$49+J48)/$J$47</f>
        <v>-4.6049705431781724</v>
      </c>
      <c r="I58" s="44"/>
      <c r="J58" s="43"/>
      <c r="L58" t="s">
        <v>196</v>
      </c>
      <c r="M58" s="178">
        <v>43433</v>
      </c>
      <c r="Q58" s="87"/>
      <c r="R58" s="91"/>
      <c r="S58" s="87"/>
      <c r="T58" s="91"/>
    </row>
    <row r="59" spans="2:24" ht="14.25">
      <c r="C59" s="4"/>
      <c r="D59" s="23"/>
      <c r="I59" s="23"/>
      <c r="J59" s="136"/>
      <c r="L59" t="s">
        <v>187</v>
      </c>
      <c r="M59" s="200" t="s">
        <v>340</v>
      </c>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188</v>
      </c>
      <c r="I62" s="62"/>
      <c r="J62" s="61"/>
      <c r="L62" s="23"/>
      <c r="M62" s="160"/>
      <c r="N62" s="129"/>
      <c r="O62" s="23"/>
      <c r="P62" s="87"/>
      <c r="Q62" s="87"/>
      <c r="R62" s="87"/>
      <c r="S62" s="87"/>
      <c r="T62" s="87"/>
    </row>
    <row r="63" spans="2:24">
      <c r="B63" s="84" t="s">
        <v>8</v>
      </c>
      <c r="C63" s="4">
        <f>C56</f>
        <v>0.08</v>
      </c>
      <c r="D63" s="92">
        <f>((NPV($C63,$J$13:$P$13,$R$13+$R$13*(1+$J$50)/($C63-$J$50)))-$J$49+J48)</f>
        <v>-490000000</v>
      </c>
      <c r="E63" s="93"/>
      <c r="F63" s="94">
        <f>((NPV($C63,$J$25:$P$25,$R$25+$R$25*(1+$J$50)/($C63-$J$50)))-$J$49+J48)</f>
        <v>-490000000</v>
      </c>
      <c r="G63" s="93"/>
      <c r="H63" s="95">
        <f>((NPV($C63,$J$38:$P$38,$R$38+$R$38*(1+$J$50)/($C63-$J$50)))-$J$49+J48)</f>
        <v>-490000000</v>
      </c>
      <c r="I63" s="17"/>
      <c r="J63" s="18"/>
      <c r="L63" s="23"/>
      <c r="M63" s="167"/>
      <c r="N63" s="23"/>
      <c r="O63" s="23"/>
      <c r="P63" s="98"/>
      <c r="Q63" s="97"/>
      <c r="R63" s="98"/>
      <c r="S63" s="97"/>
      <c r="T63" s="98"/>
    </row>
    <row r="64" spans="2:24">
      <c r="B64" s="84" t="s">
        <v>28</v>
      </c>
      <c r="C64" s="4">
        <f>C57</f>
        <v>0.11</v>
      </c>
      <c r="D64" s="96">
        <f>((NPV($C64,$J$13:$P$13,$R$13+$R$13*(1+$J$50)/($C64-$J$50)))-$J$49+J48)</f>
        <v>-490000000</v>
      </c>
      <c r="E64" s="97"/>
      <c r="F64" s="98">
        <f>((NPV($C64,$J$25:$P$25,$R$25+$R$25*(1+$J$50)/($C64-$J$50)))-$J$49+J48)</f>
        <v>-490000000</v>
      </c>
      <c r="G64" s="97"/>
      <c r="H64" s="122">
        <f>((NPV($C64,$J$38:$P$38,$R$38+$R$38*(1+$J$50)/($C64-$J$50)))-$J$49+J48)</f>
        <v>-490000000</v>
      </c>
      <c r="I64" s="17"/>
      <c r="J64" s="18"/>
      <c r="L64" s="23"/>
      <c r="M64" s="167"/>
      <c r="N64" s="23"/>
      <c r="O64" s="23"/>
      <c r="P64" s="98"/>
      <c r="Q64" s="97"/>
      <c r="R64" s="98"/>
      <c r="S64" s="97"/>
      <c r="T64" s="98"/>
    </row>
    <row r="65" spans="1:20">
      <c r="B65" s="8" t="s">
        <v>10</v>
      </c>
      <c r="C65" s="4">
        <f>C58</f>
        <v>0.15</v>
      </c>
      <c r="D65" s="100">
        <f>((NPV($C65,$J$13:$P$13,$R$13+$R$13*(1+$J$50)/($C65-$J$50)))-$J$49+J48)</f>
        <v>-490000000</v>
      </c>
      <c r="E65" s="101"/>
      <c r="F65" s="102">
        <f>((NPV($C65,$J$25:$P$25,$R$25+$R$25*(1+$J$50)/($C65-$J$50)))-$J$49+J48)</f>
        <v>-490000000</v>
      </c>
      <c r="G65" s="101"/>
      <c r="H65" s="103">
        <f>((NPV($C65,$J$38:$P$38,$R$38+$R$38*(1+$J$50)/($C65-$J$50)))-$J$49+J48)</f>
        <v>-490000000</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$741000000.0mm as of 5/16/08.</v>
      </c>
      <c r="F69" s="87"/>
      <c r="G69" s="87"/>
      <c r="H69" s="87"/>
      <c r="I69" s="87"/>
      <c r="J69" s="87"/>
      <c r="L69" s="82"/>
      <c r="M69" s="165"/>
      <c r="N69" s="82"/>
    </row>
    <row r="70" spans="1:20">
      <c r="A70" s="1" t="str">
        <f>"(2)  Assumes outstanding diluted shares of "&amp;TEXT(J47,"0.000")&amp;" million."</f>
        <v>(2)  Assumes outstanding diluted shares of 106406761.000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F107" s="146"/>
    </row>
    <row r="108" spans="1:6">
      <c r="F108" s="146"/>
    </row>
    <row r="109" spans="1:6">
      <c r="F109" s="146"/>
    </row>
    <row r="110" spans="1:6">
      <c r="B110" s="168" t="s">
        <v>192</v>
      </c>
      <c r="F110" s="146"/>
    </row>
    <row r="111" spans="1:6">
      <c r="B111" s="135" t="s">
        <v>193</v>
      </c>
      <c r="F111" s="146"/>
    </row>
    <row r="118" spans="2:2">
      <c r="B118" t="s">
        <v>194</v>
      </c>
    </row>
    <row r="119" spans="2:2">
      <c r="B119" t="s">
        <v>195</v>
      </c>
    </row>
  </sheetData>
  <mergeCells count="1">
    <mergeCell ref="H46:J46"/>
  </mergeCells>
  <conditionalFormatting sqref="B6:T13">
    <cfRule type="expression" dxfId="41" priority="6">
      <formula>MOD(ROW(),2)=0</formula>
    </cfRule>
  </conditionalFormatting>
  <conditionalFormatting sqref="B18:T25">
    <cfRule type="expression" dxfId="40" priority="5">
      <formula>MOD(ROW(),2)=0</formula>
    </cfRule>
  </conditionalFormatting>
  <conditionalFormatting sqref="B31:T39">
    <cfRule type="expression" dxfId="39" priority="4">
      <formula>MOD(ROW(),2)=0</formula>
    </cfRule>
  </conditionalFormatting>
  <conditionalFormatting sqref="D56:H58">
    <cfRule type="expression" dxfId="38" priority="3">
      <formula>MOD(ROW(),2)=0</formula>
    </cfRule>
  </conditionalFormatting>
  <conditionalFormatting sqref="D63:H65">
    <cfRule type="expression" dxfId="37" priority="2">
      <formula>MOD(ROW(),2)=0</formula>
    </cfRule>
  </conditionalFormatting>
  <conditionalFormatting sqref="C47:E51">
    <cfRule type="expression" dxfId="36" priority="1">
      <formula>MOD(ROW(),2)=0</formula>
    </cfRule>
  </conditionalFormatting>
  <pageMargins left="0.75" right="0.75" top="1" bottom="1" header="0.5" footer="0.5"/>
  <pageSetup paperSize="119" orientation="portrait" horizontalDpi="300" verticalDpi="3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119"/>
  <sheetViews>
    <sheetView showGridLines="0" topLeftCell="A13" zoomScaleNormal="100" workbookViewId="0">
      <selection activeCell="J56" sqref="J56"/>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0.42578125" bestFit="1" customWidth="1"/>
    <col min="18" max="18" width="19.7109375" bestFit="1" customWidth="1"/>
    <col min="19" max="19" width="6.85546875" bestFit="1"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2018</v>
      </c>
      <c r="C47" s="88">
        <v>0.99</v>
      </c>
      <c r="D47" s="88">
        <v>1</v>
      </c>
      <c r="E47" s="88">
        <v>1.01</v>
      </c>
      <c r="H47" s="156" t="s">
        <v>15</v>
      </c>
      <c r="I47" s="156"/>
      <c r="J47" s="208">
        <v>71470468</v>
      </c>
      <c r="M47" t="s">
        <v>55</v>
      </c>
      <c r="P47" s="2"/>
      <c r="X47" s="127"/>
    </row>
    <row r="48" spans="1:24">
      <c r="B48" s="90">
        <f>B47+1</f>
        <v>2019</v>
      </c>
      <c r="C48" s="88">
        <v>0.98</v>
      </c>
      <c r="D48" s="88">
        <v>1</v>
      </c>
      <c r="E48" s="88">
        <v>1.02</v>
      </c>
      <c r="H48" s="156" t="s">
        <v>99</v>
      </c>
      <c r="I48" s="156"/>
      <c r="J48" s="157"/>
      <c r="M48" t="s">
        <v>56</v>
      </c>
      <c r="P48" s="2"/>
      <c r="X48" s="127"/>
    </row>
    <row r="49" spans="2:24">
      <c r="B49" s="90">
        <f>B48+1</f>
        <v>2020</v>
      </c>
      <c r="C49" s="88">
        <v>0.97</v>
      </c>
      <c r="D49" s="88">
        <v>1</v>
      </c>
      <c r="E49" s="88">
        <v>1.03</v>
      </c>
      <c r="H49" s="156" t="s">
        <v>14</v>
      </c>
      <c r="I49" s="156"/>
      <c r="J49" s="157"/>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J52">
        <v>63</v>
      </c>
      <c r="M52" t="s">
        <v>61</v>
      </c>
      <c r="P52" s="2"/>
      <c r="X52" s="127"/>
    </row>
    <row r="53" spans="2:24">
      <c r="B53" s="2"/>
      <c r="D53" s="2"/>
      <c r="I53" s="23"/>
      <c r="J53" s="136">
        <f>J47*J52</f>
        <v>4502639484</v>
      </c>
      <c r="M53" t="s">
        <v>62</v>
      </c>
      <c r="P53" s="2"/>
      <c r="X53" s="127"/>
    </row>
    <row r="54" spans="2:24">
      <c r="D54" s="30"/>
      <c r="E54" s="30"/>
      <c r="F54" s="109" t="s">
        <v>12</v>
      </c>
      <c r="G54" s="30"/>
      <c r="H54" s="30"/>
      <c r="I54" s="104"/>
      <c r="J54" s="209">
        <v>6208371649.4980001</v>
      </c>
      <c r="M54" t="s">
        <v>63</v>
      </c>
      <c r="Q54" s="104"/>
      <c r="R54" s="104"/>
      <c r="S54" s="104"/>
      <c r="T54" s="104"/>
    </row>
    <row r="55" spans="2:24">
      <c r="D55" s="85" t="s">
        <v>29</v>
      </c>
      <c r="E55" s="85"/>
      <c r="F55" s="166" t="s">
        <v>31</v>
      </c>
      <c r="G55" s="85"/>
      <c r="H55" s="85" t="s">
        <v>188</v>
      </c>
      <c r="I55" s="108"/>
      <c r="J55" s="106">
        <f>(J54-J53)/J53</f>
        <v>0.37882938919699666</v>
      </c>
      <c r="M55" s="135" t="s">
        <v>176</v>
      </c>
      <c r="Q55" s="87"/>
      <c r="R55" s="87"/>
      <c r="S55" s="87"/>
      <c r="T55" s="87"/>
    </row>
    <row r="56" spans="2:24">
      <c r="B56" s="84" t="s">
        <v>8</v>
      </c>
      <c r="C56" s="4">
        <v>0.08</v>
      </c>
      <c r="D56" s="92">
        <f>((NPV($C56,$J$13:$P$13,$R$13+$R$13*(1+$J$50)/($C56-$J$50)))-$J$49+J48)/$J$47</f>
        <v>0</v>
      </c>
      <c r="E56" s="93"/>
      <c r="F56" s="94">
        <f>((NPV($C56,$J$25:$P$25,$R$25+$R$25*(1+$J$50)/($C56-$J$50)))-$J$49+J48)/$J$47</f>
        <v>0</v>
      </c>
      <c r="G56" s="93"/>
      <c r="H56" s="123">
        <f>((NPV($C56,$J$38:$P$38,$R$38+$R$38*(1+$J$50)/($C56-$J$50)))-$J$49+J48)/$J$47</f>
        <v>0</v>
      </c>
      <c r="I56" s="10"/>
      <c r="J56" s="11"/>
      <c r="M56" s="135" t="s">
        <v>186</v>
      </c>
      <c r="Q56" s="87"/>
      <c r="R56" s="91"/>
      <c r="S56" s="87"/>
      <c r="T56" s="91"/>
    </row>
    <row r="57" spans="2:24">
      <c r="B57" s="84" t="s">
        <v>28</v>
      </c>
      <c r="C57" s="4">
        <v>0.11</v>
      </c>
      <c r="D57" s="96">
        <f>((NPV($C57,$J$13:$P$13,$R$13+$R$13*(1+$J$50)/($C57-$J$50)))-$J$49+J48)/$J$47</f>
        <v>0</v>
      </c>
      <c r="E57" s="97"/>
      <c r="F57" s="98">
        <f>((NPV($C57,$J$25:$P$25,$R$25+$R$25*(1+$J$50)/($C57-$J$50)))-$J$49+J48)/$J$47</f>
        <v>0</v>
      </c>
      <c r="G57" s="97"/>
      <c r="H57" s="99">
        <f>((NPV($C57,$J$38:$P$38,$R$38+$R$38*(1+$J$50)/($C57-$J$50)))-$J$49+J48)/$J$47</f>
        <v>0</v>
      </c>
      <c r="I57" s="44"/>
      <c r="J57" s="43"/>
      <c r="Q57" s="87"/>
      <c r="R57" s="91"/>
      <c r="S57" s="87"/>
      <c r="T57" s="91"/>
    </row>
    <row r="58" spans="2:24">
      <c r="B58" s="8" t="s">
        <v>10</v>
      </c>
      <c r="C58" s="4">
        <v>0.15</v>
      </c>
      <c r="D58" s="100">
        <f>((NPV($C58,$J$13:$P$13,$R$13+$R$13*(1+$J$50)/($C58-$J$50)))-$J$49+J48)/$J$47</f>
        <v>0</v>
      </c>
      <c r="E58" s="101"/>
      <c r="F58" s="102">
        <f>((NPV($C58,$J$25:$P$25,$R$25+$R$25*(1+$J$50)/($C58-$J$50)))-$J$49+J48)/$J$47</f>
        <v>0</v>
      </c>
      <c r="G58" s="101"/>
      <c r="H58" s="103">
        <f>((NPV($C58,$J$38:$P$38,$R$38+$R$38*(1+$J$50)/($C58-$J$50)))-$J$49+J48)/$J$47</f>
        <v>0</v>
      </c>
      <c r="I58" s="44"/>
      <c r="J58" s="43"/>
      <c r="L58" t="s">
        <v>196</v>
      </c>
      <c r="M58" s="178">
        <v>43432</v>
      </c>
      <c r="Q58" s="87"/>
      <c r="R58" s="91"/>
      <c r="S58" s="87"/>
      <c r="T58" s="91"/>
    </row>
    <row r="59" spans="2:24">
      <c r="C59" s="4"/>
      <c r="D59" s="23"/>
      <c r="I59" s="23"/>
      <c r="J59" s="136"/>
      <c r="L59" t="s">
        <v>187</v>
      </c>
      <c r="M59" s="146" t="s">
        <v>328</v>
      </c>
      <c r="O59" t="s">
        <v>329</v>
      </c>
      <c r="Q59" s="23" t="s">
        <v>330</v>
      </c>
      <c r="R59" s="23"/>
      <c r="S59" s="23" t="s">
        <v>332</v>
      </c>
      <c r="T59" s="23"/>
    </row>
    <row r="60" spans="2:24">
      <c r="D60" s="2"/>
      <c r="M60" s="146"/>
      <c r="N60" s="23"/>
      <c r="O60" s="23"/>
      <c r="P60" s="107"/>
      <c r="Q60" s="23" t="s">
        <v>331</v>
      </c>
      <c r="R60" s="23"/>
      <c r="S60" s="23" t="s">
        <v>333</v>
      </c>
      <c r="T60" s="23"/>
    </row>
    <row r="61" spans="2:24">
      <c r="D61" s="30"/>
      <c r="E61" s="30"/>
      <c r="F61" s="109" t="s">
        <v>6</v>
      </c>
      <c r="G61" s="30"/>
      <c r="H61" s="30"/>
      <c r="I61" s="104"/>
      <c r="J61" s="137"/>
      <c r="L61" s="23"/>
      <c r="M61" s="167" t="s">
        <v>334</v>
      </c>
      <c r="N61" s="128"/>
      <c r="O61" s="23" t="s">
        <v>335</v>
      </c>
      <c r="P61" s="128"/>
      <c r="Q61" s="128">
        <v>45.7</v>
      </c>
      <c r="R61" s="128" t="s">
        <v>336</v>
      </c>
      <c r="S61" s="128">
        <v>71.599999999999994</v>
      </c>
      <c r="T61" s="128" t="s">
        <v>336</v>
      </c>
    </row>
    <row r="62" spans="2:24">
      <c r="D62" s="85" t="s">
        <v>29</v>
      </c>
      <c r="E62" s="85"/>
      <c r="F62" s="166" t="s">
        <v>31</v>
      </c>
      <c r="G62" s="85"/>
      <c r="H62" s="85" t="s">
        <v>188</v>
      </c>
      <c r="I62" s="62"/>
      <c r="J62" s="61"/>
      <c r="L62" s="23"/>
      <c r="M62" s="160" t="s">
        <v>337</v>
      </c>
      <c r="N62" s="129"/>
      <c r="O62" s="23" t="s">
        <v>338</v>
      </c>
      <c r="P62" s="87"/>
      <c r="Q62" s="87">
        <v>30.5</v>
      </c>
      <c r="R62" s="87" t="s">
        <v>336</v>
      </c>
      <c r="S62" s="87">
        <v>15.9</v>
      </c>
      <c r="T62" s="87" t="s">
        <v>336</v>
      </c>
    </row>
    <row r="63" spans="2:24">
      <c r="B63" s="84" t="s">
        <v>8</v>
      </c>
      <c r="C63" s="4">
        <f>C56</f>
        <v>0.08</v>
      </c>
      <c r="D63" s="92">
        <f>((NPV($C63,$J$13:$P$13,$R$13+$R$13*(1+$J$50)/($C63-$J$50)))-$J$49+J48)</f>
        <v>0</v>
      </c>
      <c r="E63" s="93"/>
      <c r="F63" s="94">
        <f>((NPV($C63,$J$25:$P$25,$R$25+$R$25*(1+$J$50)/($C63-$J$50)))-$J$49+J48)</f>
        <v>0</v>
      </c>
      <c r="G63" s="93"/>
      <c r="H63" s="95">
        <f>((NPV($C63,$J$38:$P$38,$R$38+$R$38*(1+$J$50)/($C63-$J$50)))-$J$49+J48)</f>
        <v>0</v>
      </c>
      <c r="I63" s="17"/>
      <c r="J63" s="18"/>
      <c r="L63" s="23"/>
      <c r="M63" s="167" t="s">
        <v>339</v>
      </c>
      <c r="N63" s="23"/>
      <c r="O63" s="23" t="s">
        <v>338</v>
      </c>
      <c r="P63" s="98"/>
      <c r="Q63" s="97">
        <v>23.8</v>
      </c>
      <c r="R63" s="98" t="s">
        <v>336</v>
      </c>
      <c r="S63" s="97">
        <v>12.5</v>
      </c>
      <c r="T63" s="98" t="s">
        <v>336</v>
      </c>
    </row>
    <row r="64" spans="2:24">
      <c r="B64" s="84" t="s">
        <v>28</v>
      </c>
      <c r="C64" s="4">
        <f>C57</f>
        <v>0.11</v>
      </c>
      <c r="D64" s="96">
        <f>((NPV($C64,$J$13:$P$13,$R$13+$R$13*(1+$J$50)/($C64-$J$50)))-$J$49+J48)</f>
        <v>0</v>
      </c>
      <c r="E64" s="97"/>
      <c r="F64" s="98">
        <f>((NPV($C64,$J$25:$P$25,$R$25+$R$25*(1+$J$50)/($C64-$J$50)))-$J$49+J48)</f>
        <v>0</v>
      </c>
      <c r="G64" s="97"/>
      <c r="H64" s="122">
        <f>((NPV($C64,$J$38:$P$38,$R$38+$R$38*(1+$J$50)/($C64-$J$50)))-$J$49+J48)</f>
        <v>0</v>
      </c>
      <c r="I64" s="17"/>
      <c r="J64" s="18"/>
      <c r="L64" s="23"/>
      <c r="M64" s="167" t="s">
        <v>249</v>
      </c>
      <c r="N64" s="23"/>
      <c r="O64" s="23"/>
      <c r="P64" s="98"/>
      <c r="Q64" s="97">
        <v>100</v>
      </c>
      <c r="R64" s="98" t="s">
        <v>336</v>
      </c>
      <c r="S64" s="97">
        <v>100</v>
      </c>
      <c r="T64" s="98" t="s">
        <v>336</v>
      </c>
    </row>
    <row r="65" spans="1:20">
      <c r="B65" s="8" t="s">
        <v>10</v>
      </c>
      <c r="C65" s="4">
        <f>C58</f>
        <v>0.15</v>
      </c>
      <c r="D65" s="100">
        <f>((NPV($C65,$J$13:$P$13,$R$13+$R$13*(1+$J$50)/($C65-$J$50)))-$J$49+J48)</f>
        <v>0</v>
      </c>
      <c r="E65" s="101"/>
      <c r="F65" s="102">
        <f>((NPV($C65,$J$25:$P$25,$R$25+$R$25*(1+$J$50)/($C65-$J$50)))-$J$49+J48)</f>
        <v>0</v>
      </c>
      <c r="G65" s="101"/>
      <c r="H65" s="103">
        <f>((NPV($C65,$J$38:$P$38,$R$38+$R$38*(1+$J$50)/($C65-$J$50)))-$J$49+J48)</f>
        <v>0</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71470468.000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F107" s="146"/>
    </row>
    <row r="108" spans="1:6">
      <c r="F108" s="146"/>
    </row>
    <row r="109" spans="1:6">
      <c r="F109" s="146"/>
    </row>
    <row r="110" spans="1:6">
      <c r="B110" s="168" t="s">
        <v>192</v>
      </c>
      <c r="F110" s="146"/>
    </row>
    <row r="111" spans="1:6">
      <c r="B111" s="135" t="s">
        <v>193</v>
      </c>
      <c r="F111" s="146"/>
    </row>
    <row r="118" spans="2:2">
      <c r="B118" t="s">
        <v>194</v>
      </c>
    </row>
    <row r="119" spans="2:2">
      <c r="B119" t="s">
        <v>195</v>
      </c>
    </row>
  </sheetData>
  <mergeCells count="1">
    <mergeCell ref="H46:J46"/>
  </mergeCells>
  <conditionalFormatting sqref="B6:T13">
    <cfRule type="expression" dxfId="35" priority="6">
      <formula>MOD(ROW(),2)=0</formula>
    </cfRule>
  </conditionalFormatting>
  <conditionalFormatting sqref="B18:T25">
    <cfRule type="expression" dxfId="34" priority="5">
      <formula>MOD(ROW(),2)=0</formula>
    </cfRule>
  </conditionalFormatting>
  <conditionalFormatting sqref="B31:T39">
    <cfRule type="expression" dxfId="33" priority="4">
      <formula>MOD(ROW(),2)=0</formula>
    </cfRule>
  </conditionalFormatting>
  <conditionalFormatting sqref="D56:H58">
    <cfRule type="expression" dxfId="32" priority="3">
      <formula>MOD(ROW(),2)=0</formula>
    </cfRule>
  </conditionalFormatting>
  <conditionalFormatting sqref="D63:H65">
    <cfRule type="expression" dxfId="31" priority="2">
      <formula>MOD(ROW(),2)=0</formula>
    </cfRule>
  </conditionalFormatting>
  <conditionalFormatting sqref="C47:E51">
    <cfRule type="expression" dxfId="30" priority="1">
      <formula>MOD(ROW(),2)=0</formula>
    </cfRule>
  </conditionalFormatting>
  <pageMargins left="0.75" right="0.75" top="1" bottom="1" header="0.5" footer="0.5"/>
  <pageSetup paperSize="119"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119"/>
  <sheetViews>
    <sheetView showGridLines="0" topLeftCell="A34" zoomScaleNormal="100" workbookViewId="0">
      <selection activeCell="M59" sqref="M59"/>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2018</v>
      </c>
      <c r="C47" s="88">
        <v>0.99</v>
      </c>
      <c r="D47" s="88">
        <v>1</v>
      </c>
      <c r="E47" s="88">
        <v>1.01</v>
      </c>
      <c r="H47" s="156" t="s">
        <v>15</v>
      </c>
      <c r="I47" s="156"/>
      <c r="J47" s="161"/>
      <c r="M47" t="s">
        <v>55</v>
      </c>
      <c r="P47" s="2"/>
      <c r="X47" s="127"/>
    </row>
    <row r="48" spans="1:24">
      <c r="B48" s="90">
        <f>B47+1</f>
        <v>2019</v>
      </c>
      <c r="C48" s="88">
        <v>0.98</v>
      </c>
      <c r="D48" s="88">
        <v>1</v>
      </c>
      <c r="E48" s="88">
        <v>1.02</v>
      </c>
      <c r="H48" s="156" t="s">
        <v>99</v>
      </c>
      <c r="I48" s="156"/>
      <c r="J48" s="157"/>
      <c r="M48" t="s">
        <v>56</v>
      </c>
      <c r="P48" s="2"/>
      <c r="X48" s="127"/>
    </row>
    <row r="49" spans="2:24">
      <c r="B49" s="90">
        <f>B48+1</f>
        <v>2020</v>
      </c>
      <c r="C49" s="88">
        <v>0.97</v>
      </c>
      <c r="D49" s="88">
        <v>1</v>
      </c>
      <c r="E49" s="88">
        <v>1.03</v>
      </c>
      <c r="H49" s="156" t="s">
        <v>14</v>
      </c>
      <c r="I49" s="156"/>
      <c r="J49" s="157"/>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t="e">
        <f>((NPV($C56,$J$13:$P$13,$R$13+$R$13*(1+$J$50)/($C56-$J$50)))-$J$49+J48)/$J$47</f>
        <v>#DIV/0!</v>
      </c>
      <c r="E56" s="93"/>
      <c r="F56" s="94" t="e">
        <f>((NPV($C56,$J$25:$P$25,$R$25+$R$25*(1+$J$50)/($C56-$J$50)))-$J$49+J48)/$J$47</f>
        <v>#DIV/0!</v>
      </c>
      <c r="G56" s="93"/>
      <c r="H56" s="123" t="e">
        <f>((NPV($C56,$J$38:$P$38,$R$38+$R$38*(1+$J$50)/($C56-$J$50)))-$J$49+J48)/$J$47</f>
        <v>#DIV/0!</v>
      </c>
      <c r="I56" s="10"/>
      <c r="J56" s="11"/>
      <c r="M56" s="135" t="s">
        <v>186</v>
      </c>
      <c r="Q56" s="87"/>
      <c r="R56" s="91"/>
      <c r="S56" s="87"/>
      <c r="T56" s="91"/>
    </row>
    <row r="57" spans="2:24">
      <c r="B57" s="84" t="s">
        <v>28</v>
      </c>
      <c r="C57" s="4">
        <v>0.11</v>
      </c>
      <c r="D57" s="96" t="e">
        <f>((NPV($C57,$J$13:$P$13,$R$13+$R$13*(1+$J$50)/($C57-$J$50)))-$J$49+J48)/$J$47</f>
        <v>#DIV/0!</v>
      </c>
      <c r="E57" s="97"/>
      <c r="F57" s="98" t="e">
        <f>((NPV($C57,$J$25:$P$25,$R$25+$R$25*(1+$J$50)/($C57-$J$50)))-$J$49+J48)/$J$47</f>
        <v>#DIV/0!</v>
      </c>
      <c r="G57" s="97"/>
      <c r="H57" s="99" t="e">
        <f>((NPV($C57,$J$38:$P$38,$R$38+$R$38*(1+$J$50)/($C57-$J$50)))-$J$49+J48)/$J$47</f>
        <v>#DIV/0!</v>
      </c>
      <c r="I57" s="44"/>
      <c r="J57" s="43"/>
      <c r="Q57" s="87"/>
      <c r="R57" s="91"/>
      <c r="S57" s="87"/>
      <c r="T57" s="91"/>
    </row>
    <row r="58" spans="2:24">
      <c r="B58" s="8" t="s">
        <v>10</v>
      </c>
      <c r="C58" s="4">
        <v>0.15</v>
      </c>
      <c r="D58" s="100" t="e">
        <f>((NPV($C58,$J$13:$P$13,$R$13+$R$13*(1+$J$50)/($C58-$J$50)))-$J$49+J48)/$J$47</f>
        <v>#DIV/0!</v>
      </c>
      <c r="E58" s="101"/>
      <c r="F58" s="102" t="e">
        <f>((NPV($C58,$J$25:$P$25,$R$25+$R$25*(1+$J$50)/($C58-$J$50)))-$J$49+J48)/$J$47</f>
        <v>#DIV/0!</v>
      </c>
      <c r="G58" s="101"/>
      <c r="H58" s="103" t="e">
        <f>((NPV($C58,$J$38:$P$38,$R$38+$R$38*(1+$J$50)/($C58-$J$50)))-$J$49+J48)/$J$47</f>
        <v>#DIV/0!</v>
      </c>
      <c r="I58" s="44"/>
      <c r="J58" s="43"/>
      <c r="L58" t="s">
        <v>196</v>
      </c>
      <c r="M58" s="178">
        <v>43419</v>
      </c>
      <c r="Q58" s="87"/>
      <c r="R58" s="91"/>
      <c r="S58" s="87"/>
      <c r="T58" s="91"/>
    </row>
    <row r="59" spans="2:24">
      <c r="C59" s="4"/>
      <c r="D59" s="23"/>
      <c r="I59" s="23"/>
      <c r="J59" s="136"/>
      <c r="L59" t="s">
        <v>187</v>
      </c>
      <c r="M59" s="146"/>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188</v>
      </c>
      <c r="I62" s="62"/>
      <c r="J62" s="61"/>
      <c r="L62" s="23"/>
      <c r="M62" s="160"/>
      <c r="N62" s="129"/>
      <c r="O62" s="23"/>
      <c r="P62" s="87"/>
      <c r="Q62" s="87"/>
      <c r="R62" s="87"/>
      <c r="S62" s="87"/>
      <c r="T62" s="87"/>
    </row>
    <row r="63" spans="2:24">
      <c r="B63" s="84" t="s">
        <v>8</v>
      </c>
      <c r="C63" s="4">
        <f>C56</f>
        <v>0.08</v>
      </c>
      <c r="D63" s="92">
        <f>((NPV($C63,$J$13:$P$13,$R$13+$R$13*(1+$J$50)/($C63-$J$50)))-$J$49+J48)</f>
        <v>0</v>
      </c>
      <c r="E63" s="93"/>
      <c r="F63" s="94">
        <f>((NPV($C63,$J$25:$P$25,$R$25+$R$25*(1+$J$50)/($C63-$J$50)))-$J$49+J48)</f>
        <v>0</v>
      </c>
      <c r="G63" s="93"/>
      <c r="H63" s="95">
        <f>((NPV($C63,$J$38:$P$38,$R$38+$R$38*(1+$J$50)/($C63-$J$50)))-$J$49+J48)</f>
        <v>0</v>
      </c>
      <c r="I63" s="17"/>
      <c r="J63" s="18"/>
      <c r="L63" s="23"/>
      <c r="M63" s="167"/>
      <c r="N63" s="23"/>
      <c r="O63" s="23"/>
      <c r="P63" s="98"/>
      <c r="Q63" s="97"/>
      <c r="R63" s="98"/>
      <c r="S63" s="97"/>
      <c r="T63" s="98"/>
    </row>
    <row r="64" spans="2:24">
      <c r="B64" s="84" t="s">
        <v>28</v>
      </c>
      <c r="C64" s="4">
        <f>C57</f>
        <v>0.11</v>
      </c>
      <c r="D64" s="96">
        <f>((NPV($C64,$J$13:$P$13,$R$13+$R$13*(1+$J$50)/($C64-$J$50)))-$J$49+J48)</f>
        <v>0</v>
      </c>
      <c r="E64" s="97"/>
      <c r="F64" s="98">
        <f>((NPV($C64,$J$25:$P$25,$R$25+$R$25*(1+$J$50)/($C64-$J$50)))-$J$49+J48)</f>
        <v>0</v>
      </c>
      <c r="G64" s="97"/>
      <c r="H64" s="122">
        <f>((NPV($C64,$J$38:$P$38,$R$38+$R$38*(1+$J$50)/($C64-$J$50)))-$J$49+J48)</f>
        <v>0</v>
      </c>
      <c r="I64" s="17"/>
      <c r="J64" s="18"/>
      <c r="L64" s="23"/>
      <c r="M64" s="167"/>
      <c r="N64" s="23"/>
      <c r="O64" s="23"/>
      <c r="P64" s="98"/>
      <c r="Q64" s="97"/>
      <c r="R64" s="98"/>
      <c r="S64" s="97"/>
      <c r="T64" s="98"/>
    </row>
    <row r="65" spans="1:20">
      <c r="B65" s="8" t="s">
        <v>10</v>
      </c>
      <c r="C65" s="4">
        <f>C58</f>
        <v>0.15</v>
      </c>
      <c r="D65" s="100">
        <f>((NPV($C65,$J$13:$P$13,$R$13+$R$13*(1+$J$50)/($C65-$J$50)))-$J$49+J48)</f>
        <v>0</v>
      </c>
      <c r="E65" s="101"/>
      <c r="F65" s="102">
        <f>((NPV($C65,$J$25:$P$25,$R$25+$R$25*(1+$J$50)/($C65-$J$50)))-$J$49+J48)</f>
        <v>0</v>
      </c>
      <c r="G65" s="101"/>
      <c r="H65" s="103">
        <f>((NPV($C65,$J$38:$P$38,$R$38+$R$38*(1+$J$50)/($C65-$J$50)))-$J$49+J48)</f>
        <v>0</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F107" s="146"/>
    </row>
    <row r="108" spans="1:6">
      <c r="F108" s="146"/>
    </row>
    <row r="109" spans="1:6">
      <c r="F109" s="146"/>
    </row>
    <row r="110" spans="1:6">
      <c r="B110" s="168" t="s">
        <v>192</v>
      </c>
      <c r="F110" s="146"/>
    </row>
    <row r="111" spans="1:6">
      <c r="B111" s="135" t="s">
        <v>193</v>
      </c>
      <c r="F111" s="146"/>
    </row>
    <row r="118" spans="2:2">
      <c r="B118" t="s">
        <v>194</v>
      </c>
    </row>
    <row r="119" spans="2:2">
      <c r="B119" t="s">
        <v>195</v>
      </c>
    </row>
  </sheetData>
  <mergeCells count="1">
    <mergeCell ref="H46:J46"/>
  </mergeCells>
  <conditionalFormatting sqref="B6:T13">
    <cfRule type="expression" dxfId="29" priority="6">
      <formula>MOD(ROW(),2)=0</formula>
    </cfRule>
  </conditionalFormatting>
  <conditionalFormatting sqref="B18:T25">
    <cfRule type="expression" dxfId="28" priority="5">
      <formula>MOD(ROW(),2)=0</formula>
    </cfRule>
  </conditionalFormatting>
  <conditionalFormatting sqref="B31:T39">
    <cfRule type="expression" dxfId="27" priority="4">
      <formula>MOD(ROW(),2)=0</formula>
    </cfRule>
  </conditionalFormatting>
  <conditionalFormatting sqref="D56:H58">
    <cfRule type="expression" dxfId="26" priority="3">
      <formula>MOD(ROW(),2)=0</formula>
    </cfRule>
  </conditionalFormatting>
  <conditionalFormatting sqref="D63:H65">
    <cfRule type="expression" dxfId="25" priority="2">
      <formula>MOD(ROW(),2)=0</formula>
    </cfRule>
  </conditionalFormatting>
  <conditionalFormatting sqref="C47:E51">
    <cfRule type="expression" dxfId="24" priority="1">
      <formula>MOD(ROW(),2)=0</formula>
    </cfRule>
  </conditionalFormatting>
  <pageMargins left="0.75" right="0.75" top="1" bottom="1" header="0.5" footer="0.5"/>
  <pageSetup paperSize="119" orientation="portrait" horizontalDpi="300" vertic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X119"/>
  <sheetViews>
    <sheetView showGridLines="0" topLeftCell="A22" zoomScaleNormal="100" workbookViewId="0">
      <selection activeCell="J66" sqref="J66"/>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90000000</v>
      </c>
      <c r="J6" s="75">
        <f>H6*C47</f>
        <v>89100000</v>
      </c>
      <c r="K6" s="121"/>
      <c r="L6" s="75">
        <f>J6*C48</f>
        <v>87318000</v>
      </c>
      <c r="M6" s="121"/>
      <c r="N6" s="75">
        <f>L6*C49</f>
        <v>84698460</v>
      </c>
      <c r="O6" s="75"/>
      <c r="P6" s="75">
        <f>N6*C50</f>
        <v>81310521.599999994</v>
      </c>
      <c r="Q6" s="75"/>
      <c r="R6" s="75">
        <f>P6*C51</f>
        <v>77244995.519999996</v>
      </c>
      <c r="T6" s="4">
        <f>(R6/J6)^(1/4)-1</f>
        <v>-3.506477179553269E-2</v>
      </c>
    </row>
    <row r="7" spans="1:24">
      <c r="B7" s="23" t="s">
        <v>22</v>
      </c>
      <c r="H7" s="71">
        <v>0</v>
      </c>
      <c r="J7" s="71">
        <v>0</v>
      </c>
      <c r="L7" s="71">
        <v>0</v>
      </c>
      <c r="N7" s="71">
        <v>0</v>
      </c>
      <c r="P7" s="71">
        <v>0</v>
      </c>
      <c r="R7" s="71">
        <v>0</v>
      </c>
      <c r="T7" s="4"/>
    </row>
    <row r="8" spans="1:24">
      <c r="B8" t="s">
        <v>27</v>
      </c>
      <c r="H8" s="115">
        <f>H6+H7</f>
        <v>90000000</v>
      </c>
      <c r="I8" s="73"/>
      <c r="J8" s="115">
        <f>J6+J7</f>
        <v>89100000</v>
      </c>
      <c r="K8" s="116"/>
      <c r="L8" s="115">
        <f>L6+L7</f>
        <v>87318000</v>
      </c>
      <c r="M8" s="116"/>
      <c r="N8" s="115">
        <f>N6+N7</f>
        <v>84698460</v>
      </c>
      <c r="O8" s="116"/>
      <c r="P8" s="115">
        <f>P6+P7</f>
        <v>81310521.599999994</v>
      </c>
      <c r="Q8" s="116"/>
      <c r="R8" s="115">
        <f>R6+R7</f>
        <v>77244995.519999996</v>
      </c>
      <c r="T8" s="4">
        <f>(R8/J8)^(1/4)-1</f>
        <v>-3.506477179553269E-2</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90000000</v>
      </c>
      <c r="J10" s="118">
        <f>SUM(J8:J9)</f>
        <v>89100000</v>
      </c>
      <c r="K10" s="119"/>
      <c r="L10" s="118">
        <f>SUM(L8:L9)</f>
        <v>87318000</v>
      </c>
      <c r="M10" s="119"/>
      <c r="N10" s="118">
        <f>SUM(N8:N9)</f>
        <v>84698460</v>
      </c>
      <c r="O10" s="119"/>
      <c r="P10" s="118">
        <f>SUM(P8:P9)</f>
        <v>81310521.599999994</v>
      </c>
      <c r="Q10" s="119"/>
      <c r="R10" s="118">
        <f>SUM(R8:R9)</f>
        <v>77244995.519999996</v>
      </c>
      <c r="T10" s="4">
        <f>(R10/J10)^(1/4)-1</f>
        <v>-3.506477179553269E-2</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90000000</v>
      </c>
      <c r="J13" s="120">
        <f>SUM(J10:J12)</f>
        <v>89100000</v>
      </c>
      <c r="K13" s="114"/>
      <c r="L13" s="120">
        <f>SUM(L10:L12)</f>
        <v>87318000</v>
      </c>
      <c r="M13" s="114"/>
      <c r="N13" s="120">
        <f>SUM(N10:N12)</f>
        <v>84698460</v>
      </c>
      <c r="O13" s="114"/>
      <c r="P13" s="120">
        <f>SUM(P10:P12)</f>
        <v>81310521.599999994</v>
      </c>
      <c r="Q13" s="114"/>
      <c r="R13" s="120">
        <f>SUM(R10:R12)</f>
        <v>77244995.519999996</v>
      </c>
      <c r="T13" s="4">
        <f>(R13/J13)^(1/4)-1</f>
        <v>-3.506477179553269E-2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90000000</v>
      </c>
      <c r="J18" s="75">
        <f>H18*D47</f>
        <v>90000000</v>
      </c>
      <c r="K18" s="121"/>
      <c r="L18" s="75">
        <f>J18*D48</f>
        <v>90000000</v>
      </c>
      <c r="M18" s="121"/>
      <c r="N18" s="75">
        <f>L18*D49</f>
        <v>90000000</v>
      </c>
      <c r="O18" s="75"/>
      <c r="P18" s="75">
        <f>N18*D50</f>
        <v>90000000</v>
      </c>
      <c r="Q18" s="75"/>
      <c r="R18" s="75">
        <f>P18*D51</f>
        <v>90000000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90000000</v>
      </c>
      <c r="I20" s="116"/>
      <c r="J20" s="115">
        <f>J18+J19</f>
        <v>90000000</v>
      </c>
      <c r="K20" s="116"/>
      <c r="L20" s="115">
        <f>L18+L19</f>
        <v>90000000</v>
      </c>
      <c r="M20" s="116"/>
      <c r="N20" s="115">
        <f>N18+N19</f>
        <v>90000000</v>
      </c>
      <c r="O20" s="116"/>
      <c r="P20" s="115">
        <f>P18+P19</f>
        <v>90000000</v>
      </c>
      <c r="Q20" s="116"/>
      <c r="R20" s="115">
        <f>R18+R19</f>
        <v>90000000</v>
      </c>
      <c r="T20" s="4">
        <f>(R20/J20)^(1/4)-1</f>
        <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90000000</v>
      </c>
      <c r="I22" s="119"/>
      <c r="J22" s="118">
        <f>SUM(J20:J21)</f>
        <v>90000000</v>
      </c>
      <c r="K22" s="119"/>
      <c r="L22" s="118">
        <f>SUM(L20:L21)</f>
        <v>90000000</v>
      </c>
      <c r="M22" s="119"/>
      <c r="N22" s="118">
        <f>SUM(N20:N21)</f>
        <v>90000000</v>
      </c>
      <c r="O22" s="119"/>
      <c r="P22" s="118">
        <f>SUM(P20:P21)</f>
        <v>90000000</v>
      </c>
      <c r="Q22" s="119"/>
      <c r="R22" s="118">
        <f>SUM(R20:R21)</f>
        <v>90000000</v>
      </c>
      <c r="S22" s="2"/>
      <c r="T22" s="4">
        <f>(R22/J22)^(1/4)-1</f>
        <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90000000</v>
      </c>
      <c r="I25" s="114"/>
      <c r="J25" s="120">
        <f>SUM(J22:J24)</f>
        <v>90000000</v>
      </c>
      <c r="K25" s="114"/>
      <c r="L25" s="120">
        <f>SUM(L22:L24)</f>
        <v>90000000</v>
      </c>
      <c r="M25" s="114"/>
      <c r="N25" s="120">
        <f>SUM(N22:N24)</f>
        <v>90000000</v>
      </c>
      <c r="O25" s="114"/>
      <c r="P25" s="120">
        <f>SUM(P22:P24)</f>
        <v>90000000</v>
      </c>
      <c r="Q25" s="114"/>
      <c r="R25" s="120">
        <f>SUM(R22:R24)</f>
        <v>90000000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90000000</v>
      </c>
      <c r="J31" s="75">
        <f>H31*E47</f>
        <v>90900000</v>
      </c>
      <c r="K31" s="121"/>
      <c r="L31" s="75">
        <f>J31*E48</f>
        <v>92718000</v>
      </c>
      <c r="M31" s="121"/>
      <c r="N31" s="75">
        <f>L31*E49</f>
        <v>95499540</v>
      </c>
      <c r="O31" s="75"/>
      <c r="P31" s="75">
        <f>N31*E50</f>
        <v>99319521.600000009</v>
      </c>
      <c r="Q31" s="75"/>
      <c r="R31" s="75">
        <f>P31*E51</f>
        <v>104285497.68000001</v>
      </c>
      <c r="T31" s="4">
        <f>(R31/J31)^(1/4)-1</f>
        <v>3.4939609509608838E-2</v>
      </c>
    </row>
    <row r="32" spans="1:20">
      <c r="B32" s="23" t="s">
        <v>22</v>
      </c>
      <c r="H32" s="71">
        <f>H7</f>
        <v>0</v>
      </c>
      <c r="J32" s="71">
        <f>J7</f>
        <v>0</v>
      </c>
      <c r="L32" s="71">
        <f>L7</f>
        <v>0</v>
      </c>
      <c r="N32" s="71">
        <f>N7</f>
        <v>0</v>
      </c>
      <c r="P32" s="71">
        <f>P7</f>
        <v>0</v>
      </c>
      <c r="R32" s="71">
        <f>R7</f>
        <v>0</v>
      </c>
      <c r="T32" s="4"/>
    </row>
    <row r="33" spans="1:24">
      <c r="B33" t="s">
        <v>27</v>
      </c>
      <c r="H33" s="115">
        <f>H31+H32</f>
        <v>90000000</v>
      </c>
      <c r="I33" s="116"/>
      <c r="J33" s="115">
        <f>J31+J32</f>
        <v>90900000</v>
      </c>
      <c r="K33" s="116"/>
      <c r="L33" s="115">
        <f>L31+L32</f>
        <v>92718000</v>
      </c>
      <c r="M33" s="116"/>
      <c r="N33" s="115">
        <f>N31+N32</f>
        <v>95499540</v>
      </c>
      <c r="O33" s="116"/>
      <c r="P33" s="115">
        <f>P31+P32</f>
        <v>99319521.600000009</v>
      </c>
      <c r="Q33" s="116"/>
      <c r="R33" s="115">
        <f>R31+R32</f>
        <v>104285497.68000001</v>
      </c>
      <c r="T33" s="4">
        <f>(R33/J33)^(1/4)-1</f>
        <v>3.4939609509608838E-2</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90000000</v>
      </c>
      <c r="I35" s="119"/>
      <c r="J35" s="118">
        <f>SUM(J33:J34)</f>
        <v>90900000</v>
      </c>
      <c r="K35" s="119"/>
      <c r="L35" s="118">
        <f>SUM(L33:L34)</f>
        <v>92718000</v>
      </c>
      <c r="M35" s="119"/>
      <c r="N35" s="118">
        <f>SUM(N33:N34)</f>
        <v>95499540</v>
      </c>
      <c r="O35" s="119"/>
      <c r="P35" s="118">
        <f>SUM(P33:P34)</f>
        <v>99319521.600000009</v>
      </c>
      <c r="Q35" s="119"/>
      <c r="R35" s="118">
        <f>SUM(R33:R34)</f>
        <v>104285497.68000001</v>
      </c>
      <c r="S35" s="2"/>
      <c r="T35" s="4">
        <f>(R35/J35)^(1/4)-1</f>
        <v>3.4939609509608838E-2</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90000000</v>
      </c>
      <c r="I38" s="153"/>
      <c r="J38" s="120">
        <f>SUM(J35:J37)</f>
        <v>90900000</v>
      </c>
      <c r="K38" s="114"/>
      <c r="L38" s="120">
        <f>SUM(L35:L37)</f>
        <v>92718000</v>
      </c>
      <c r="M38" s="114"/>
      <c r="N38" s="120">
        <f>SUM(N35:N37)</f>
        <v>95499540</v>
      </c>
      <c r="O38" s="114"/>
      <c r="P38" s="120">
        <f>SUM(P35:P37)</f>
        <v>99319521.600000009</v>
      </c>
      <c r="Q38" s="114"/>
      <c r="R38" s="120">
        <f>SUM(R35:R37)</f>
        <v>104285497.68000001</v>
      </c>
      <c r="T38" s="4">
        <f>(R38/J38)^(1/4)-1</f>
        <v>3.4939609509608838E-2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2018</v>
      </c>
      <c r="C47" s="88">
        <v>0.99</v>
      </c>
      <c r="D47" s="88">
        <v>1</v>
      </c>
      <c r="E47" s="88">
        <v>1.01</v>
      </c>
      <c r="H47" s="156" t="s">
        <v>15</v>
      </c>
      <c r="I47" s="156"/>
      <c r="J47" s="161">
        <v>160669329</v>
      </c>
      <c r="M47" t="s">
        <v>55</v>
      </c>
      <c r="P47" s="2"/>
      <c r="X47" s="127"/>
    </row>
    <row r="48" spans="1:24">
      <c r="B48" s="90">
        <f>B47+1</f>
        <v>2019</v>
      </c>
      <c r="C48" s="88">
        <v>0.98</v>
      </c>
      <c r="D48" s="88">
        <v>1</v>
      </c>
      <c r="E48" s="88">
        <v>1.02</v>
      </c>
      <c r="H48" s="156" t="s">
        <v>99</v>
      </c>
      <c r="I48" s="156"/>
      <c r="J48" s="157">
        <v>200000000</v>
      </c>
      <c r="M48" t="s">
        <v>56</v>
      </c>
      <c r="P48" s="2"/>
      <c r="X48" s="127"/>
    </row>
    <row r="49" spans="2:24">
      <c r="B49" s="90">
        <f>B48+1</f>
        <v>2020</v>
      </c>
      <c r="C49" s="88">
        <v>0.97</v>
      </c>
      <c r="D49" s="88">
        <v>1</v>
      </c>
      <c r="E49" s="88">
        <v>1.03</v>
      </c>
      <c r="H49" s="156" t="s">
        <v>14</v>
      </c>
      <c r="I49" s="156"/>
      <c r="J49" s="157">
        <v>667726000</v>
      </c>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f>((NPV($C56,$J$13:$P$13,$R$13+$R$13*(1+$J$50)/($C56-$J$50)))-$J$49+J48)/$J$47</f>
        <v>4.7484281723227371</v>
      </c>
      <c r="E56" s="93"/>
      <c r="F56" s="94">
        <f>((NPV($C56,$J$25:$P$25,$R$25+$R$25*(1+$J$50)/($C56-$J$50)))-$J$49+J48)/$J$47</f>
        <v>5.8063987732137079</v>
      </c>
      <c r="G56" s="93"/>
      <c r="H56" s="123">
        <f>((NPV($C56,$J$38:$P$38,$R$38+$R$38*(1+$J$50)/($C56-$J$50)))-$J$49+J48)/$J$47</f>
        <v>6.985117041716487</v>
      </c>
      <c r="I56" s="10"/>
      <c r="J56" s="11"/>
      <c r="M56" s="135" t="s">
        <v>186</v>
      </c>
      <c r="Q56" s="87"/>
      <c r="R56" s="91"/>
      <c r="S56" s="87"/>
      <c r="T56" s="91"/>
    </row>
    <row r="57" spans="2:24">
      <c r="B57" s="84" t="s">
        <v>28</v>
      </c>
      <c r="C57" s="4">
        <v>0.11</v>
      </c>
      <c r="D57" s="96">
        <f>((NPV($C57,$J$13:$P$13,$R$13+$R$13*(1+$J$50)/($C57-$J$50)))-$J$49+J48)/$J$47</f>
        <v>2.2672664850174455</v>
      </c>
      <c r="E57" s="97"/>
      <c r="F57" s="98">
        <f>((NPV($C57,$J$25:$P$25,$R$25+$R$25*(1+$J$50)/($C57-$J$50)))-$J$49+J48)/$J$47</f>
        <v>2.9266636584271897</v>
      </c>
      <c r="G57" s="97"/>
      <c r="H57" s="99">
        <f>((NPV($C57,$J$38:$P$38,$R$38+$R$38*(1+$J$50)/($C57-$J$50)))-$J$49+J48)/$J$47</f>
        <v>3.659447954018709</v>
      </c>
      <c r="I57" s="44"/>
      <c r="J57" s="43"/>
      <c r="Q57" s="87"/>
      <c r="R57" s="91"/>
      <c r="S57" s="87"/>
      <c r="T57" s="91"/>
    </row>
    <row r="58" spans="2:24">
      <c r="B58" s="8" t="s">
        <v>10</v>
      </c>
      <c r="C58" s="4">
        <v>0.15</v>
      </c>
      <c r="D58" s="100">
        <f>((NPV($C58,$J$13:$P$13,$R$13+$R$13*(1+$J$50)/($C58-$J$50)))-$J$49+J48)/$J$47</f>
        <v>0.73249040129018506</v>
      </c>
      <c r="E58" s="101"/>
      <c r="F58" s="102">
        <f>((NPV($C58,$J$25:$P$25,$R$25+$R$25*(1+$J$50)/($C58-$J$50)))-$J$49+J48)/$J$47</f>
        <v>1.15175201030513</v>
      </c>
      <c r="G58" s="101"/>
      <c r="H58" s="103">
        <f>((NPV($C58,$J$38:$P$38,$R$38+$R$38*(1+$J$50)/($C58-$J$50)))-$J$49+J48)/$J$47</f>
        <v>1.6161305293732748</v>
      </c>
      <c r="I58" s="44"/>
      <c r="J58" s="43"/>
      <c r="L58" t="s">
        <v>196</v>
      </c>
      <c r="M58" s="178">
        <v>43416</v>
      </c>
      <c r="N58">
        <v>531</v>
      </c>
      <c r="Q58" s="87"/>
      <c r="R58" s="91"/>
      <c r="S58" s="87"/>
      <c r="T58" s="91"/>
    </row>
    <row r="59" spans="2:24">
      <c r="C59" s="4"/>
      <c r="D59" s="23"/>
      <c r="I59" s="23"/>
      <c r="J59" s="136"/>
      <c r="L59" t="s">
        <v>187</v>
      </c>
      <c r="M59" s="182" t="s">
        <v>301</v>
      </c>
      <c r="Q59" s="23"/>
      <c r="R59" s="23"/>
      <c r="S59" s="23"/>
      <c r="T59" s="23"/>
    </row>
    <row r="60" spans="2:24">
      <c r="D60" s="2"/>
      <c r="M60" t="s">
        <v>295</v>
      </c>
      <c r="N60" s="23"/>
      <c r="O60" s="23"/>
      <c r="P60" s="107"/>
      <c r="Q60" s="23"/>
      <c r="R60" s="23"/>
      <c r="S60" s="23"/>
      <c r="T60" s="23"/>
    </row>
    <row r="61" spans="2:24">
      <c r="D61" s="30"/>
      <c r="E61" s="30"/>
      <c r="F61" s="109" t="s">
        <v>6</v>
      </c>
      <c r="G61" s="30"/>
      <c r="H61" s="30"/>
      <c r="I61" s="104"/>
      <c r="J61" s="137"/>
      <c r="L61" s="23"/>
      <c r="M61" t="s">
        <v>296</v>
      </c>
      <c r="N61" s="128"/>
      <c r="O61" s="23"/>
      <c r="P61" s="104"/>
      <c r="Q61" s="104"/>
      <c r="R61" s="104"/>
      <c r="S61" s="104"/>
      <c r="T61" s="104"/>
    </row>
    <row r="62" spans="2:24">
      <c r="D62" s="85" t="s">
        <v>29</v>
      </c>
      <c r="E62" s="85"/>
      <c r="F62" s="166" t="s">
        <v>31</v>
      </c>
      <c r="G62" s="85"/>
      <c r="H62" s="85" t="s">
        <v>188</v>
      </c>
      <c r="I62" s="62"/>
      <c r="J62" s="61"/>
      <c r="L62" s="23"/>
      <c r="M62" s="160" t="s">
        <v>297</v>
      </c>
      <c r="N62" s="129"/>
      <c r="O62" s="23"/>
      <c r="P62" s="87"/>
      <c r="Q62" s="87"/>
      <c r="R62" s="87"/>
      <c r="S62" s="87"/>
      <c r="T62" s="87"/>
    </row>
    <row r="63" spans="2:24">
      <c r="B63" s="84" t="s">
        <v>8</v>
      </c>
      <c r="C63" s="4">
        <f>C56</f>
        <v>0.08</v>
      </c>
      <c r="D63" s="92">
        <f>((NPV($C63,$J$13:$P$13,$R$13+$R$13*(1+$J$50)/($C63-$J$50)))-$J$49+J48)</f>
        <v>762926768.25179052</v>
      </c>
      <c r="E63" s="93"/>
      <c r="F63" s="94">
        <f>((NPV($C63,$J$25:$P$25,$R$25+$R$25*(1+$J$50)/($C63-$J$50)))-$J$49+J48)</f>
        <v>932910194.79866958</v>
      </c>
      <c r="G63" s="93"/>
      <c r="H63" s="95">
        <f>((NPV($C63,$J$38:$P$38,$R$38+$R$38*(1+$J$50)/($C63-$J$50)))-$J$49+J48)</f>
        <v>1122294068.0790529</v>
      </c>
      <c r="I63" s="17"/>
      <c r="J63" s="18"/>
      <c r="L63" s="23"/>
      <c r="M63" s="159" t="s">
        <v>298</v>
      </c>
      <c r="N63" s="23"/>
      <c r="O63" s="23"/>
      <c r="P63" s="98"/>
      <c r="Q63" s="97"/>
      <c r="R63" s="98"/>
      <c r="S63" s="97"/>
      <c r="T63" s="98"/>
    </row>
    <row r="64" spans="2:24">
      <c r="B64" s="84" t="s">
        <v>28</v>
      </c>
      <c r="C64" s="4">
        <f>C57</f>
        <v>0.11</v>
      </c>
      <c r="D64" s="96">
        <f>((NPV($C64,$J$13:$P$13,$R$13+$R$13*(1+$J$50)/($C64-$J$50)))-$J$49+J48)</f>
        <v>364280184.8119415</v>
      </c>
      <c r="E64" s="97"/>
      <c r="F64" s="98">
        <f>((NPV($C64,$J$25:$P$25,$R$25+$R$25*(1+$J$50)/($C64-$J$50)))-$J$49+J48)</f>
        <v>470225086.20818174</v>
      </c>
      <c r="G64" s="97"/>
      <c r="H64" s="122">
        <f>((NPV($C64,$J$38:$P$38,$R$38+$R$38*(1+$J$50)/($C64-$J$50)))-$J$49+J48)</f>
        <v>587961047.28260887</v>
      </c>
      <c r="I64" s="17"/>
      <c r="J64" s="18"/>
      <c r="L64" s="23"/>
      <c r="M64" s="167"/>
      <c r="N64" s="23"/>
      <c r="O64" s="23"/>
      <c r="P64" s="98"/>
      <c r="Q64" s="97"/>
      <c r="R64" s="98"/>
      <c r="S64" s="97"/>
      <c r="T64" s="98"/>
    </row>
    <row r="65" spans="1:20">
      <c r="B65" s="8" t="s">
        <v>10</v>
      </c>
      <c r="C65" s="4">
        <f>C58</f>
        <v>0.15</v>
      </c>
      <c r="D65" s="100">
        <f>((NPV($C65,$J$13:$P$13,$R$13+$R$13*(1+$J$50)/($C65-$J$50)))-$J$49+J48)</f>
        <v>117688741.27423477</v>
      </c>
      <c r="E65" s="101"/>
      <c r="F65" s="102">
        <f>((NPV($C65,$J$25:$P$25,$R$25+$R$25*(1+$J$50)/($C65-$J$50)))-$J$49+J48)</f>
        <v>185051222.67012632</v>
      </c>
      <c r="G65" s="101"/>
      <c r="H65" s="103">
        <f>((NPV($C65,$J$38:$P$38,$R$38+$R$38*(1+$J$50)/($C65-$J$50)))-$J$49+J48)</f>
        <v>259662607.73081887</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$667726000.0mm as of 5/16/08.</v>
      </c>
      <c r="F69" s="87"/>
      <c r="G69" s="87"/>
      <c r="H69" s="87"/>
      <c r="I69" s="87"/>
      <c r="J69" s="87"/>
      <c r="L69" s="82"/>
      <c r="M69" s="165"/>
      <c r="N69" s="82"/>
    </row>
    <row r="70" spans="1:20">
      <c r="A70" s="1" t="str">
        <f>"(2)  Assumes outstanding diluted shares of "&amp;TEXT(J47,"0.000")&amp;" million."</f>
        <v>(2)  Assumes outstanding diluted shares of 160669329.000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t="s">
        <v>299</v>
      </c>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203</v>
      </c>
      <c r="C83" s="83"/>
      <c r="E83" t="s">
        <v>300</v>
      </c>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F107" s="146"/>
    </row>
    <row r="108" spans="1:6">
      <c r="F108" s="146"/>
    </row>
    <row r="109" spans="1:6">
      <c r="F109" s="146"/>
    </row>
    <row r="110" spans="1:6">
      <c r="B110" s="168" t="s">
        <v>192</v>
      </c>
      <c r="F110" s="146"/>
    </row>
    <row r="111" spans="1:6">
      <c r="B111" s="135" t="s">
        <v>193</v>
      </c>
      <c r="F111" s="146"/>
    </row>
    <row r="118" spans="2:2">
      <c r="B118" t="s">
        <v>194</v>
      </c>
    </row>
    <row r="119" spans="2:2">
      <c r="B119" t="s">
        <v>195</v>
      </c>
    </row>
  </sheetData>
  <mergeCells count="1">
    <mergeCell ref="H46:J46"/>
  </mergeCells>
  <conditionalFormatting sqref="B6:T13">
    <cfRule type="expression" dxfId="23" priority="6">
      <formula>MOD(ROW(),2)=0</formula>
    </cfRule>
  </conditionalFormatting>
  <conditionalFormatting sqref="B18:T25">
    <cfRule type="expression" dxfId="22" priority="5">
      <formula>MOD(ROW(),2)=0</formula>
    </cfRule>
  </conditionalFormatting>
  <conditionalFormatting sqref="B31:T39">
    <cfRule type="expression" dxfId="21" priority="4">
      <formula>MOD(ROW(),2)=0</formula>
    </cfRule>
  </conditionalFormatting>
  <conditionalFormatting sqref="D56:H58">
    <cfRule type="expression" dxfId="20" priority="3">
      <formula>MOD(ROW(),2)=0</formula>
    </cfRule>
  </conditionalFormatting>
  <conditionalFormatting sqref="D63:H65">
    <cfRule type="expression" dxfId="19" priority="2">
      <formula>MOD(ROW(),2)=0</formula>
    </cfRule>
  </conditionalFormatting>
  <conditionalFormatting sqref="C47:E51">
    <cfRule type="expression" dxfId="18" priority="1">
      <formula>MOD(ROW(),2)=0</formula>
    </cfRule>
  </conditionalFormatting>
  <pageMargins left="0.75" right="0.75" top="1" bottom="1" header="0.5" footer="0.5"/>
  <pageSetup paperSize="119" orientation="portrait" horizontalDpi="300" verticalDpi="30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X119"/>
  <sheetViews>
    <sheetView showGridLines="0" topLeftCell="A50" zoomScaleNormal="100" workbookViewId="0">
      <selection activeCell="F85" sqref="F85"/>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2018</v>
      </c>
      <c r="C47" s="88">
        <v>0.99</v>
      </c>
      <c r="D47" s="88">
        <v>1</v>
      </c>
      <c r="E47" s="88">
        <v>1.01</v>
      </c>
      <c r="H47" s="156" t="s">
        <v>15</v>
      </c>
      <c r="I47" s="156"/>
      <c r="J47" s="161"/>
      <c r="M47" t="s">
        <v>55</v>
      </c>
      <c r="P47" s="2"/>
      <c r="X47" s="127"/>
    </row>
    <row r="48" spans="1:24">
      <c r="B48" s="90">
        <f>B47+1</f>
        <v>2019</v>
      </c>
      <c r="C48" s="88">
        <v>0.98</v>
      </c>
      <c r="D48" s="88">
        <v>1</v>
      </c>
      <c r="E48" s="88">
        <v>1.02</v>
      </c>
      <c r="H48" s="156" t="s">
        <v>99</v>
      </c>
      <c r="I48" s="156"/>
      <c r="J48" s="157"/>
      <c r="M48" t="s">
        <v>56</v>
      </c>
      <c r="P48" s="2"/>
      <c r="X48" s="127"/>
    </row>
    <row r="49" spans="2:24">
      <c r="B49" s="90">
        <f>B48+1</f>
        <v>2020</v>
      </c>
      <c r="C49" s="88">
        <v>0.97</v>
      </c>
      <c r="D49" s="88">
        <v>1</v>
      </c>
      <c r="E49" s="88">
        <v>1.03</v>
      </c>
      <c r="H49" s="156" t="s">
        <v>14</v>
      </c>
      <c r="I49" s="156"/>
      <c r="J49" s="157"/>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t="e">
        <f>((NPV($C56,$J$13:$P$13,$R$13+$R$13*(1+$J$50)/($C56-$J$50)))-$J$49+J48)/$J$47</f>
        <v>#DIV/0!</v>
      </c>
      <c r="E56" s="93"/>
      <c r="F56" s="94" t="e">
        <f>((NPV($C56,$J$25:$P$25,$R$25+$R$25*(1+$J$50)/($C56-$J$50)))-$J$49+J48)/$J$47</f>
        <v>#DIV/0!</v>
      </c>
      <c r="G56" s="93"/>
      <c r="H56" s="123" t="e">
        <f>((NPV($C56,$J$38:$P$38,$R$38+$R$38*(1+$J$50)/($C56-$J$50)))-$J$49+J48)/$J$47</f>
        <v>#DIV/0!</v>
      </c>
      <c r="I56" s="10"/>
      <c r="J56" s="11"/>
      <c r="M56" s="135" t="s">
        <v>186</v>
      </c>
      <c r="Q56" s="87"/>
      <c r="R56" s="91"/>
      <c r="S56" s="87"/>
      <c r="T56" s="91"/>
    </row>
    <row r="57" spans="2:24">
      <c r="B57" s="84" t="s">
        <v>28</v>
      </c>
      <c r="C57" s="4">
        <v>0.11</v>
      </c>
      <c r="D57" s="96" t="e">
        <f>((NPV($C57,$J$13:$P$13,$R$13+$R$13*(1+$J$50)/($C57-$J$50)))-$J$49+J48)/$J$47</f>
        <v>#DIV/0!</v>
      </c>
      <c r="E57" s="97"/>
      <c r="F57" s="98" t="e">
        <f>((NPV($C57,$J$25:$P$25,$R$25+$R$25*(1+$J$50)/($C57-$J$50)))-$J$49+J48)/$J$47</f>
        <v>#DIV/0!</v>
      </c>
      <c r="G57" s="97"/>
      <c r="H57" s="99" t="e">
        <f>((NPV($C57,$J$38:$P$38,$R$38+$R$38*(1+$J$50)/($C57-$J$50)))-$J$49+J48)/$J$47</f>
        <v>#DIV/0!</v>
      </c>
      <c r="I57" s="44"/>
      <c r="J57" s="43"/>
      <c r="Q57" s="87"/>
      <c r="R57" s="91"/>
      <c r="S57" s="87"/>
      <c r="T57" s="91"/>
    </row>
    <row r="58" spans="2:24">
      <c r="B58" s="8" t="s">
        <v>10</v>
      </c>
      <c r="C58" s="4">
        <v>0.15</v>
      </c>
      <c r="D58" s="100" t="e">
        <f>((NPV($C58,$J$13:$P$13,$R$13+$R$13*(1+$J$50)/($C58-$J$50)))-$J$49+J48)/$J$47</f>
        <v>#DIV/0!</v>
      </c>
      <c r="E58" s="101"/>
      <c r="F58" s="102" t="e">
        <f>((NPV($C58,$J$25:$P$25,$R$25+$R$25*(1+$J$50)/($C58-$J$50)))-$J$49+J48)/$J$47</f>
        <v>#DIV/0!</v>
      </c>
      <c r="G58" s="101"/>
      <c r="H58" s="103" t="e">
        <f>((NPV($C58,$J$38:$P$38,$R$38+$R$38*(1+$J$50)/($C58-$J$50)))-$J$49+J48)/$J$47</f>
        <v>#DIV/0!</v>
      </c>
      <c r="I58" s="44"/>
      <c r="J58" s="43"/>
      <c r="L58" t="s">
        <v>196</v>
      </c>
      <c r="M58" s="178">
        <v>43409</v>
      </c>
      <c r="N58" t="s">
        <v>289</v>
      </c>
      <c r="Q58" s="87"/>
      <c r="R58" s="91"/>
      <c r="S58" s="87"/>
      <c r="T58" s="91"/>
    </row>
    <row r="59" spans="2:24">
      <c r="C59" s="4"/>
      <c r="D59" s="23"/>
      <c r="I59" s="23"/>
      <c r="J59" s="136"/>
      <c r="L59" t="s">
        <v>187</v>
      </c>
      <c r="M59" t="s">
        <v>290</v>
      </c>
      <c r="Q59" s="23"/>
      <c r="R59" s="23"/>
      <c r="S59" s="23"/>
      <c r="T59" s="23"/>
    </row>
    <row r="60" spans="2:24">
      <c r="D60" s="2"/>
      <c r="M60" t="s">
        <v>291</v>
      </c>
      <c r="N60" s="23"/>
      <c r="O60" s="23"/>
      <c r="P60" s="107"/>
      <c r="Q60" s="23"/>
      <c r="R60" s="23"/>
      <c r="S60" s="23"/>
      <c r="T60" s="23"/>
    </row>
    <row r="61" spans="2:24">
      <c r="D61" s="30"/>
      <c r="E61" s="30"/>
      <c r="F61" s="109" t="s">
        <v>6</v>
      </c>
      <c r="G61" s="30"/>
      <c r="H61" s="30"/>
      <c r="I61" s="104"/>
      <c r="J61" s="137"/>
      <c r="L61" s="23"/>
      <c r="M61" t="s">
        <v>292</v>
      </c>
      <c r="N61" s="128"/>
      <c r="O61" s="23"/>
      <c r="P61" s="104"/>
      <c r="Q61" s="104"/>
      <c r="R61" s="104"/>
      <c r="S61" s="104"/>
      <c r="T61" s="104"/>
    </row>
    <row r="62" spans="2:24">
      <c r="D62" s="85" t="s">
        <v>29</v>
      </c>
      <c r="E62" s="85"/>
      <c r="F62" s="166" t="s">
        <v>31</v>
      </c>
      <c r="G62" s="85"/>
      <c r="H62" s="85" t="s">
        <v>188</v>
      </c>
      <c r="I62" s="62"/>
      <c r="J62" s="61"/>
      <c r="L62" s="23"/>
      <c r="M62" t="s">
        <v>293</v>
      </c>
      <c r="N62" s="129"/>
      <c r="O62" s="23"/>
      <c r="P62" s="87"/>
      <c r="Q62" s="87"/>
      <c r="R62" s="87"/>
      <c r="S62" s="87"/>
      <c r="T62" s="87"/>
    </row>
    <row r="63" spans="2:24">
      <c r="B63" s="84" t="s">
        <v>8</v>
      </c>
      <c r="C63" s="4">
        <f>C56</f>
        <v>0.08</v>
      </c>
      <c r="D63" s="92">
        <f>((NPV($C63,$J$13:$P$13,$R$13+$R$13*(1+$J$50)/($C63-$J$50)))-$J$49+J48)</f>
        <v>0</v>
      </c>
      <c r="E63" s="93"/>
      <c r="F63" s="94">
        <f>((NPV($C63,$J$25:$P$25,$R$25+$R$25*(1+$J$50)/($C63-$J$50)))-$J$49+J48)</f>
        <v>0</v>
      </c>
      <c r="G63" s="93"/>
      <c r="H63" s="95">
        <f>((NPV($C63,$J$38:$P$38,$R$38+$R$38*(1+$J$50)/($C63-$J$50)))-$J$49+J48)</f>
        <v>0</v>
      </c>
      <c r="I63" s="17"/>
      <c r="J63" s="18"/>
      <c r="L63" s="23"/>
      <c r="M63" s="199" t="s">
        <v>294</v>
      </c>
      <c r="N63" s="23"/>
      <c r="O63" s="23"/>
      <c r="P63" s="98"/>
      <c r="Q63" s="97"/>
      <c r="R63" s="98"/>
      <c r="S63" s="97"/>
      <c r="T63" s="98"/>
    </row>
    <row r="64" spans="2:24">
      <c r="B64" s="84" t="s">
        <v>28</v>
      </c>
      <c r="C64" s="4">
        <f>C57</f>
        <v>0.11</v>
      </c>
      <c r="D64" s="96">
        <f>((NPV($C64,$J$13:$P$13,$R$13+$R$13*(1+$J$50)/($C64-$J$50)))-$J$49+J48)</f>
        <v>0</v>
      </c>
      <c r="E64" s="97"/>
      <c r="F64" s="98">
        <f>((NPV($C64,$J$25:$P$25,$R$25+$R$25*(1+$J$50)/($C64-$J$50)))-$J$49+J48)</f>
        <v>0</v>
      </c>
      <c r="G64" s="97"/>
      <c r="H64" s="122">
        <f>((NPV($C64,$J$38:$P$38,$R$38+$R$38*(1+$J$50)/($C64-$J$50)))-$J$49+J48)</f>
        <v>0</v>
      </c>
      <c r="I64" s="17"/>
      <c r="J64" s="18"/>
      <c r="L64" s="23"/>
      <c r="M64" s="200" t="s">
        <v>305</v>
      </c>
      <c r="N64" s="23"/>
      <c r="O64" s="23"/>
      <c r="P64" s="98"/>
      <c r="Q64" s="97"/>
      <c r="R64" s="98"/>
      <c r="S64" s="97"/>
      <c r="T64" s="98"/>
    </row>
    <row r="65" spans="1:20">
      <c r="B65" s="8" t="s">
        <v>10</v>
      </c>
      <c r="C65" s="4">
        <f>C58</f>
        <v>0.15</v>
      </c>
      <c r="D65" s="100">
        <f>((NPV($C65,$J$13:$P$13,$R$13+$R$13*(1+$J$50)/($C65-$J$50)))-$J$49+J48)</f>
        <v>0</v>
      </c>
      <c r="E65" s="101"/>
      <c r="F65" s="102">
        <f>((NPV($C65,$J$25:$P$25,$R$25+$R$25*(1+$J$50)/($C65-$J$50)))-$J$49+J48)</f>
        <v>0</v>
      </c>
      <c r="G65" s="101"/>
      <c r="H65" s="103">
        <f>((NPV($C65,$J$38:$P$38,$R$38+$R$38*(1+$J$50)/($C65-$J$50)))-$J$49+J48)</f>
        <v>0</v>
      </c>
      <c r="I65" s="17"/>
      <c r="J65" s="18"/>
      <c r="L65" s="23"/>
      <c r="M65" s="200" t="s">
        <v>306</v>
      </c>
      <c r="N65" s="23"/>
      <c r="O65" s="23"/>
      <c r="P65" s="98"/>
      <c r="Q65" s="97"/>
      <c r="R65" s="98"/>
      <c r="S65" s="97"/>
      <c r="T65" s="98"/>
    </row>
    <row r="66" spans="1:20" ht="15.75">
      <c r="E66" s="23"/>
      <c r="F66" s="23"/>
      <c r="G66" s="23"/>
      <c r="H66" s="23"/>
      <c r="I66" s="23"/>
      <c r="J66" s="23"/>
      <c r="L66" s="132"/>
      <c r="M66" s="160" t="s">
        <v>307</v>
      </c>
      <c r="N66" s="111"/>
      <c r="O66" s="23"/>
      <c r="P66" s="23"/>
      <c r="Q66" s="23"/>
      <c r="R66" s="23"/>
      <c r="S66" s="23"/>
      <c r="T66" s="23"/>
    </row>
    <row r="67" spans="1:20">
      <c r="F67" s="23"/>
      <c r="G67" s="23"/>
      <c r="H67" s="125"/>
      <c r="I67" s="23"/>
      <c r="J67" s="23"/>
      <c r="L67" s="110"/>
      <c r="M67" s="201" t="s">
        <v>308</v>
      </c>
    </row>
    <row r="68" spans="1:20">
      <c r="F68" s="124" t="s">
        <v>40</v>
      </c>
      <c r="G68" s="23"/>
      <c r="H68" s="23"/>
      <c r="I68" s="23"/>
      <c r="J68" s="23"/>
      <c r="M68" s="200" t="s">
        <v>309</v>
      </c>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79" t="s">
        <v>310</v>
      </c>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79" t="s">
        <v>311</v>
      </c>
    </row>
    <row r="75" spans="1:20">
      <c r="B75" s="149" t="s">
        <v>138</v>
      </c>
      <c r="C75" s="8"/>
      <c r="D75" s="4"/>
      <c r="E75" s="23"/>
      <c r="F75" s="91"/>
      <c r="G75" s="87"/>
      <c r="H75" s="91"/>
      <c r="I75" s="87"/>
      <c r="J75" s="91"/>
      <c r="M75" s="179" t="s">
        <v>312</v>
      </c>
    </row>
    <row r="76" spans="1:20" ht="12.75" customHeight="1">
      <c r="B76" s="135" t="s">
        <v>139</v>
      </c>
      <c r="C76" s="8"/>
      <c r="D76" s="4"/>
      <c r="E76" s="23"/>
      <c r="F76" s="191"/>
      <c r="G76" s="87"/>
      <c r="H76" s="91"/>
      <c r="I76" s="87"/>
      <c r="J76" s="91"/>
      <c r="M76" s="179" t="s">
        <v>313</v>
      </c>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F107" s="146"/>
    </row>
    <row r="108" spans="1:6">
      <c r="F108" s="146"/>
    </row>
    <row r="109" spans="1:6">
      <c r="F109" s="146"/>
    </row>
    <row r="110" spans="1:6">
      <c r="B110" s="168" t="s">
        <v>192</v>
      </c>
      <c r="F110" s="146"/>
    </row>
    <row r="111" spans="1:6">
      <c r="B111" s="135" t="s">
        <v>193</v>
      </c>
      <c r="F111" s="146"/>
    </row>
    <row r="118" spans="2:2">
      <c r="B118" t="s">
        <v>194</v>
      </c>
    </row>
    <row r="119" spans="2:2">
      <c r="B119" t="s">
        <v>195</v>
      </c>
    </row>
  </sheetData>
  <mergeCells count="1">
    <mergeCell ref="H46:J46"/>
  </mergeCells>
  <conditionalFormatting sqref="B6:T13">
    <cfRule type="expression" dxfId="17" priority="6">
      <formula>MOD(ROW(),2)=0</formula>
    </cfRule>
  </conditionalFormatting>
  <conditionalFormatting sqref="B18:T25">
    <cfRule type="expression" dxfId="16" priority="5">
      <formula>MOD(ROW(),2)=0</formula>
    </cfRule>
  </conditionalFormatting>
  <conditionalFormatting sqref="B31:T39">
    <cfRule type="expression" dxfId="15" priority="4">
      <formula>MOD(ROW(),2)=0</formula>
    </cfRule>
  </conditionalFormatting>
  <conditionalFormatting sqref="D56:H58">
    <cfRule type="expression" dxfId="14" priority="3">
      <formula>MOD(ROW(),2)=0</formula>
    </cfRule>
  </conditionalFormatting>
  <conditionalFormatting sqref="D63:H65">
    <cfRule type="expression" dxfId="13" priority="2">
      <formula>MOD(ROW(),2)=0</formula>
    </cfRule>
  </conditionalFormatting>
  <conditionalFormatting sqref="C47:E51">
    <cfRule type="expression" dxfId="12" priority="1">
      <formula>MOD(ROW(),2)=0</formula>
    </cfRule>
  </conditionalFormatting>
  <pageMargins left="0.75" right="0.75" top="1" bottom="1" header="0.5" footer="0.5"/>
  <pageSetup paperSize="119"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X119"/>
  <sheetViews>
    <sheetView showGridLines="0" topLeftCell="A34" zoomScaleNormal="100" workbookViewId="0">
      <selection activeCell="M67" sqref="M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2018</v>
      </c>
      <c r="C47" s="88">
        <v>0.99</v>
      </c>
      <c r="D47" s="88">
        <v>1</v>
      </c>
      <c r="E47" s="88">
        <v>1.01</v>
      </c>
      <c r="H47" s="156" t="s">
        <v>15</v>
      </c>
      <c r="I47" s="156"/>
      <c r="J47" s="161"/>
      <c r="M47" t="s">
        <v>55</v>
      </c>
      <c r="P47" s="2"/>
      <c r="X47" s="127"/>
    </row>
    <row r="48" spans="1:24">
      <c r="B48" s="90">
        <f>B47+1</f>
        <v>2019</v>
      </c>
      <c r="C48" s="88">
        <v>0.98</v>
      </c>
      <c r="D48" s="88">
        <v>1</v>
      </c>
      <c r="E48" s="88">
        <v>1.02</v>
      </c>
      <c r="H48" s="156" t="s">
        <v>99</v>
      </c>
      <c r="I48" s="156"/>
      <c r="J48" s="157"/>
      <c r="M48" t="s">
        <v>56</v>
      </c>
      <c r="P48" s="2"/>
      <c r="X48" s="127"/>
    </row>
    <row r="49" spans="2:24">
      <c r="B49" s="90">
        <f>B48+1</f>
        <v>2020</v>
      </c>
      <c r="C49" s="88">
        <v>0.97</v>
      </c>
      <c r="D49" s="88">
        <v>1</v>
      </c>
      <c r="E49" s="88">
        <v>1.03</v>
      </c>
      <c r="H49" s="156" t="s">
        <v>14</v>
      </c>
      <c r="I49" s="156"/>
      <c r="J49" s="157"/>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t="e">
        <f>((NPV($C56,$J$13:$P$13,$R$13+$R$13*(1+$J$50)/($C56-$J$50)))-$J$49+J48)/$J$47</f>
        <v>#DIV/0!</v>
      </c>
      <c r="E56" s="93"/>
      <c r="F56" s="94" t="e">
        <f>((NPV($C56,$J$25:$P$25,$R$25+$R$25*(1+$J$50)/($C56-$J$50)))-$J$49+J48)/$J$47</f>
        <v>#DIV/0!</v>
      </c>
      <c r="G56" s="93"/>
      <c r="H56" s="123" t="e">
        <f>((NPV($C56,$J$38:$P$38,$R$38+$R$38*(1+$J$50)/($C56-$J$50)))-$J$49+J48)/$J$47</f>
        <v>#DIV/0!</v>
      </c>
      <c r="I56" s="10"/>
      <c r="J56" s="11"/>
      <c r="M56" s="135" t="s">
        <v>186</v>
      </c>
      <c r="Q56" s="87"/>
      <c r="R56" s="91"/>
      <c r="S56" s="87"/>
      <c r="T56" s="91"/>
    </row>
    <row r="57" spans="2:24">
      <c r="B57" s="84" t="s">
        <v>28</v>
      </c>
      <c r="C57" s="4">
        <v>0.11</v>
      </c>
      <c r="D57" s="96" t="e">
        <f>((NPV($C57,$J$13:$P$13,$R$13+$R$13*(1+$J$50)/($C57-$J$50)))-$J$49+J48)/$J$47</f>
        <v>#DIV/0!</v>
      </c>
      <c r="E57" s="97"/>
      <c r="F57" s="98" t="e">
        <f>((NPV($C57,$J$25:$P$25,$R$25+$R$25*(1+$J$50)/($C57-$J$50)))-$J$49+J48)/$J$47</f>
        <v>#DIV/0!</v>
      </c>
      <c r="G57" s="97"/>
      <c r="H57" s="99" t="e">
        <f>((NPV($C57,$J$38:$P$38,$R$38+$R$38*(1+$J$50)/($C57-$J$50)))-$J$49+J48)/$J$47</f>
        <v>#DIV/0!</v>
      </c>
      <c r="I57" s="44"/>
      <c r="J57" s="43"/>
      <c r="Q57" s="87"/>
      <c r="R57" s="91"/>
      <c r="S57" s="87"/>
      <c r="T57" s="91"/>
    </row>
    <row r="58" spans="2:24">
      <c r="B58" s="8" t="s">
        <v>10</v>
      </c>
      <c r="C58" s="4">
        <v>0.15</v>
      </c>
      <c r="D58" s="100" t="e">
        <f>((NPV($C58,$J$13:$P$13,$R$13+$R$13*(1+$J$50)/($C58-$J$50)))-$J$49+J48)/$J$47</f>
        <v>#DIV/0!</v>
      </c>
      <c r="E58" s="101"/>
      <c r="F58" s="102" t="e">
        <f>((NPV($C58,$J$25:$P$25,$R$25+$R$25*(1+$J$50)/($C58-$J$50)))-$J$49+J48)/$J$47</f>
        <v>#DIV/0!</v>
      </c>
      <c r="G58" s="101"/>
      <c r="H58" s="103" t="e">
        <f>((NPV($C58,$J$38:$P$38,$R$38+$R$38*(1+$J$50)/($C58-$J$50)))-$J$49+J48)/$J$47</f>
        <v>#DIV/0!</v>
      </c>
      <c r="I58" s="44"/>
      <c r="J58" s="43"/>
      <c r="L58" t="s">
        <v>196</v>
      </c>
      <c r="M58" s="178">
        <v>43403</v>
      </c>
      <c r="N58" t="s">
        <v>267</v>
      </c>
      <c r="Q58" s="87"/>
      <c r="R58" s="91"/>
      <c r="S58" s="87"/>
      <c r="T58" s="91"/>
    </row>
    <row r="59" spans="2:24">
      <c r="C59" s="4"/>
      <c r="D59" s="23"/>
      <c r="I59" s="23"/>
      <c r="J59" s="136"/>
      <c r="L59" t="s">
        <v>187</v>
      </c>
      <c r="M59" s="146" t="s">
        <v>263</v>
      </c>
      <c r="Q59" s="23"/>
      <c r="R59" s="23"/>
      <c r="S59" s="23"/>
      <c r="T59" s="23"/>
    </row>
    <row r="60" spans="2:24">
      <c r="D60" s="2"/>
      <c r="M60" s="146" t="s">
        <v>264</v>
      </c>
      <c r="N60" s="23"/>
      <c r="O60" s="23"/>
      <c r="P60" s="107"/>
      <c r="Q60" s="23"/>
      <c r="R60" s="23"/>
      <c r="S60" s="23"/>
      <c r="T60" s="23"/>
    </row>
    <row r="61" spans="2:24">
      <c r="D61" s="30"/>
      <c r="E61" s="30"/>
      <c r="F61" s="109" t="s">
        <v>6</v>
      </c>
      <c r="G61" s="30"/>
      <c r="H61" s="30"/>
      <c r="I61" s="104"/>
      <c r="J61" s="137"/>
      <c r="L61" s="23"/>
      <c r="M61" s="159" t="s">
        <v>265</v>
      </c>
      <c r="N61" s="128"/>
      <c r="O61" s="23"/>
      <c r="P61" s="104"/>
      <c r="Q61" s="104"/>
      <c r="R61" s="104"/>
      <c r="S61" s="104"/>
      <c r="T61" s="104"/>
    </row>
    <row r="62" spans="2:24">
      <c r="D62" s="85" t="s">
        <v>29</v>
      </c>
      <c r="E62" s="85"/>
      <c r="F62" s="166" t="s">
        <v>31</v>
      </c>
      <c r="G62" s="85"/>
      <c r="H62" s="85" t="s">
        <v>188</v>
      </c>
      <c r="I62" s="62"/>
      <c r="J62" s="61"/>
      <c r="L62" s="23"/>
      <c r="M62" s="160" t="s">
        <v>266</v>
      </c>
      <c r="N62" s="129"/>
      <c r="O62" s="23"/>
      <c r="P62" s="87"/>
      <c r="Q62" s="87"/>
      <c r="R62" s="87"/>
      <c r="S62" s="87"/>
      <c r="T62" s="87"/>
    </row>
    <row r="63" spans="2:24">
      <c r="B63" s="84" t="s">
        <v>8</v>
      </c>
      <c r="C63" s="4">
        <f>C56</f>
        <v>0.08</v>
      </c>
      <c r="D63" s="92">
        <f>((NPV($C63,$J$13:$P$13,$R$13+$R$13*(1+$J$50)/($C63-$J$50)))-$J$49+J48)</f>
        <v>0</v>
      </c>
      <c r="E63" s="93"/>
      <c r="F63" s="94">
        <f>((NPV($C63,$J$25:$P$25,$R$25+$R$25*(1+$J$50)/($C63-$J$50)))-$J$49+J48)</f>
        <v>0</v>
      </c>
      <c r="G63" s="93"/>
      <c r="H63" s="95">
        <f>((NPV($C63,$J$38:$P$38,$R$38+$R$38*(1+$J$50)/($C63-$J$50)))-$J$49+J48)</f>
        <v>0</v>
      </c>
      <c r="I63" s="17"/>
      <c r="J63" s="18"/>
      <c r="L63" s="23"/>
      <c r="M63" s="159" t="s">
        <v>268</v>
      </c>
      <c r="N63" s="23"/>
      <c r="O63" s="23"/>
      <c r="P63" s="98"/>
      <c r="Q63" s="97"/>
      <c r="R63" s="98"/>
      <c r="S63" s="97"/>
      <c r="T63" s="98"/>
    </row>
    <row r="64" spans="2:24">
      <c r="B64" s="84" t="s">
        <v>28</v>
      </c>
      <c r="C64" s="4">
        <f>C57</f>
        <v>0.11</v>
      </c>
      <c r="D64" s="96">
        <f>((NPV($C64,$J$13:$P$13,$R$13+$R$13*(1+$J$50)/($C64-$J$50)))-$J$49+J48)</f>
        <v>0</v>
      </c>
      <c r="E64" s="97"/>
      <c r="F64" s="98">
        <f>((NPV($C64,$J$25:$P$25,$R$25+$R$25*(1+$J$50)/($C64-$J$50)))-$J$49+J48)</f>
        <v>0</v>
      </c>
      <c r="G64" s="97"/>
      <c r="H64" s="122">
        <f>((NPV($C64,$J$38:$P$38,$R$38+$R$38*(1+$J$50)/($C64-$J$50)))-$J$49+J48)</f>
        <v>0</v>
      </c>
      <c r="I64" s="17"/>
      <c r="J64" s="18"/>
      <c r="L64" s="23"/>
      <c r="M64" s="159" t="s">
        <v>269</v>
      </c>
      <c r="N64" s="23"/>
      <c r="O64" s="23"/>
      <c r="P64" s="98"/>
      <c r="Q64" s="97"/>
      <c r="R64" s="98"/>
      <c r="S64" s="97"/>
      <c r="T64" s="98"/>
    </row>
    <row r="65" spans="1:20" ht="15">
      <c r="B65" s="8" t="s">
        <v>10</v>
      </c>
      <c r="C65" s="4">
        <f>C58</f>
        <v>0.15</v>
      </c>
      <c r="D65" s="100">
        <f>((NPV($C65,$J$13:$P$13,$R$13+$R$13*(1+$J$50)/($C65-$J$50)))-$J$49+J48)</f>
        <v>0</v>
      </c>
      <c r="E65" s="101"/>
      <c r="F65" s="102">
        <f>((NPV($C65,$J$25:$P$25,$R$25+$R$25*(1+$J$50)/($C65-$J$50)))-$J$49+J48)</f>
        <v>0</v>
      </c>
      <c r="G65" s="101"/>
      <c r="H65" s="103">
        <f>((NPV($C65,$J$38:$P$38,$R$38+$R$38*(1+$J$50)/($C65-$J$50)))-$J$49+J48)</f>
        <v>0</v>
      </c>
      <c r="I65" s="17"/>
      <c r="J65" s="18"/>
      <c r="L65" s="23"/>
      <c r="M65" s="196" t="s">
        <v>270</v>
      </c>
      <c r="N65" s="23"/>
      <c r="O65" s="23"/>
      <c r="P65" s="98"/>
      <c r="Q65" s="97"/>
      <c r="R65" s="98"/>
      <c r="S65" s="97"/>
      <c r="T65" s="98"/>
    </row>
    <row r="66" spans="1:20" ht="15.75">
      <c r="E66" s="23"/>
      <c r="F66" s="23"/>
      <c r="G66" s="23"/>
      <c r="H66" s="23"/>
      <c r="I66" s="23"/>
      <c r="J66" s="23"/>
      <c r="L66" s="132"/>
      <c r="M66" s="159" t="s">
        <v>271</v>
      </c>
      <c r="N66" s="111"/>
      <c r="O66" s="23"/>
      <c r="P66" s="23"/>
      <c r="Q66" s="23"/>
      <c r="R66" s="23"/>
      <c r="S66" s="23"/>
      <c r="T66" s="23"/>
    </row>
    <row r="67" spans="1:20" ht="15">
      <c r="F67" s="23"/>
      <c r="G67" s="23"/>
      <c r="H67" s="125"/>
      <c r="I67" s="23"/>
      <c r="J67" s="23"/>
      <c r="L67" s="110"/>
      <c r="M67" s="196" t="s">
        <v>272</v>
      </c>
    </row>
    <row r="68" spans="1:20">
      <c r="F68" s="124" t="s">
        <v>40</v>
      </c>
      <c r="G68" s="23"/>
      <c r="H68" s="23"/>
      <c r="I68" s="23"/>
      <c r="J68" s="23"/>
      <c r="M68" s="146"/>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F107" s="146"/>
    </row>
    <row r="108" spans="1:6">
      <c r="F108" s="146"/>
    </row>
    <row r="109" spans="1:6">
      <c r="F109" s="146"/>
    </row>
    <row r="110" spans="1:6">
      <c r="B110" s="168" t="s">
        <v>192</v>
      </c>
      <c r="F110" s="146"/>
    </row>
    <row r="111" spans="1:6">
      <c r="B111" s="135" t="s">
        <v>193</v>
      </c>
      <c r="F111" s="146"/>
    </row>
    <row r="118" spans="2:2">
      <c r="B118" t="s">
        <v>194</v>
      </c>
    </row>
    <row r="119" spans="2:2">
      <c r="B119" t="s">
        <v>195</v>
      </c>
    </row>
  </sheetData>
  <mergeCells count="1">
    <mergeCell ref="H46:J46"/>
  </mergeCells>
  <conditionalFormatting sqref="B6:T13">
    <cfRule type="expression" dxfId="11" priority="6">
      <formula>MOD(ROW(),2)=0</formula>
    </cfRule>
  </conditionalFormatting>
  <conditionalFormatting sqref="B18:T25">
    <cfRule type="expression" dxfId="10" priority="5">
      <formula>MOD(ROW(),2)=0</formula>
    </cfRule>
  </conditionalFormatting>
  <conditionalFormatting sqref="B31:T39">
    <cfRule type="expression" dxfId="9" priority="4">
      <formula>MOD(ROW(),2)=0</formula>
    </cfRule>
  </conditionalFormatting>
  <conditionalFormatting sqref="D56:H58">
    <cfRule type="expression" dxfId="8" priority="3">
      <formula>MOD(ROW(),2)=0</formula>
    </cfRule>
  </conditionalFormatting>
  <conditionalFormatting sqref="D63:H65">
    <cfRule type="expression" dxfId="7" priority="2">
      <formula>MOD(ROW(),2)=0</formula>
    </cfRule>
  </conditionalFormatting>
  <conditionalFormatting sqref="C47:E51">
    <cfRule type="expression" dxfId="6" priority="1">
      <formula>MOD(ROW(),2)=0</formula>
    </cfRule>
  </conditionalFormatting>
  <pageMargins left="0.75" right="0.75" top="1" bottom="1" header="0.5" footer="0.5"/>
  <pageSetup paperSize="119"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X119"/>
  <sheetViews>
    <sheetView showGridLines="0" topLeftCell="A40" zoomScaleNormal="100" workbookViewId="0">
      <selection activeCell="M59" sqref="M59"/>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2018</v>
      </c>
      <c r="C47" s="88">
        <v>0.99</v>
      </c>
      <c r="D47" s="88">
        <v>1</v>
      </c>
      <c r="E47" s="88">
        <v>1.01</v>
      </c>
      <c r="H47" s="156" t="s">
        <v>15</v>
      </c>
      <c r="I47" s="156"/>
      <c r="J47" s="161"/>
      <c r="M47" t="s">
        <v>55</v>
      </c>
      <c r="P47" s="2"/>
      <c r="X47" s="127"/>
    </row>
    <row r="48" spans="1:24">
      <c r="B48" s="90">
        <f>B47+1</f>
        <v>2019</v>
      </c>
      <c r="C48" s="88">
        <v>0.98</v>
      </c>
      <c r="D48" s="88">
        <v>1</v>
      </c>
      <c r="E48" s="88">
        <v>1.02</v>
      </c>
      <c r="H48" s="156" t="s">
        <v>99</v>
      </c>
      <c r="I48" s="156"/>
      <c r="J48" s="157"/>
      <c r="M48" t="s">
        <v>56</v>
      </c>
      <c r="P48" s="2"/>
      <c r="X48" s="127"/>
    </row>
    <row r="49" spans="2:24">
      <c r="B49" s="90">
        <f>B48+1</f>
        <v>2020</v>
      </c>
      <c r="C49" s="88">
        <v>0.97</v>
      </c>
      <c r="D49" s="88">
        <v>1</v>
      </c>
      <c r="E49" s="88">
        <v>1.03</v>
      </c>
      <c r="H49" s="156" t="s">
        <v>14</v>
      </c>
      <c r="I49" s="156"/>
      <c r="J49" s="157"/>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t="e">
        <f>((NPV($C56,$J$13:$P$13,$R$13+$R$13*(1+$J$50)/($C56-$J$50)))-$J$49+J48)/$J$47</f>
        <v>#DIV/0!</v>
      </c>
      <c r="E56" s="93"/>
      <c r="F56" s="94" t="e">
        <f>((NPV($C56,$J$25:$P$25,$R$25+$R$25*(1+$J$50)/($C56-$J$50)))-$J$49+J48)/$J$47</f>
        <v>#DIV/0!</v>
      </c>
      <c r="G56" s="93"/>
      <c r="H56" s="123" t="e">
        <f>((NPV($C56,$J$38:$P$38,$R$38+$R$38*(1+$J$50)/($C56-$J$50)))-$J$49+J48)/$J$47</f>
        <v>#DIV/0!</v>
      </c>
      <c r="I56" s="10"/>
      <c r="J56" s="11"/>
      <c r="M56" s="135" t="s">
        <v>186</v>
      </c>
      <c r="Q56" s="87"/>
      <c r="R56" s="91"/>
      <c r="S56" s="87"/>
      <c r="T56" s="91"/>
    </row>
    <row r="57" spans="2:24">
      <c r="B57" s="84" t="s">
        <v>28</v>
      </c>
      <c r="C57" s="4">
        <v>0.11</v>
      </c>
      <c r="D57" s="96" t="e">
        <f>((NPV($C57,$J$13:$P$13,$R$13+$R$13*(1+$J$50)/($C57-$J$50)))-$J$49+J48)/$J$47</f>
        <v>#DIV/0!</v>
      </c>
      <c r="E57" s="97"/>
      <c r="F57" s="98" t="e">
        <f>((NPV($C57,$J$25:$P$25,$R$25+$R$25*(1+$J$50)/($C57-$J$50)))-$J$49+J48)/$J$47</f>
        <v>#DIV/0!</v>
      </c>
      <c r="G57" s="97"/>
      <c r="H57" s="99" t="e">
        <f>((NPV($C57,$J$38:$P$38,$R$38+$R$38*(1+$J$50)/($C57-$J$50)))-$J$49+J48)/$J$47</f>
        <v>#DIV/0!</v>
      </c>
      <c r="I57" s="44"/>
      <c r="J57" s="43"/>
      <c r="Q57" s="87"/>
      <c r="R57" s="91"/>
      <c r="S57" s="87"/>
      <c r="T57" s="91"/>
    </row>
    <row r="58" spans="2:24">
      <c r="B58" s="8" t="s">
        <v>10</v>
      </c>
      <c r="C58" s="4">
        <v>0.15</v>
      </c>
      <c r="D58" s="100" t="e">
        <f>((NPV($C58,$J$13:$P$13,$R$13+$R$13*(1+$J$50)/($C58-$J$50)))-$J$49+J48)/$J$47</f>
        <v>#DIV/0!</v>
      </c>
      <c r="E58" s="101"/>
      <c r="F58" s="102" t="e">
        <f>((NPV($C58,$J$25:$P$25,$R$25+$R$25*(1+$J$50)/($C58-$J$50)))-$J$49+J48)/$J$47</f>
        <v>#DIV/0!</v>
      </c>
      <c r="G58" s="101"/>
      <c r="H58" s="103" t="e">
        <f>((NPV($C58,$J$38:$P$38,$R$38+$R$38*(1+$J$50)/($C58-$J$50)))-$J$49+J48)/$J$47</f>
        <v>#DIV/0!</v>
      </c>
      <c r="I58" s="44"/>
      <c r="J58" s="43"/>
      <c r="L58" t="s">
        <v>196</v>
      </c>
      <c r="M58" s="178">
        <v>43403</v>
      </c>
      <c r="Q58" s="87"/>
      <c r="R58" s="91"/>
      <c r="S58" s="87"/>
      <c r="T58" s="91"/>
    </row>
    <row r="59" spans="2:24">
      <c r="C59" s="4"/>
      <c r="D59" s="23"/>
      <c r="I59" s="23"/>
      <c r="J59" s="136"/>
      <c r="L59" t="s">
        <v>187</v>
      </c>
      <c r="M59" t="s">
        <v>261</v>
      </c>
      <c r="Q59" s="23"/>
      <c r="R59" s="23"/>
      <c r="S59" s="23"/>
      <c r="T59" s="23"/>
    </row>
    <row r="60" spans="2:24">
      <c r="D60" s="2"/>
      <c r="M60" t="s">
        <v>262</v>
      </c>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188</v>
      </c>
      <c r="I62" s="62"/>
      <c r="J62" s="61"/>
      <c r="L62" s="23"/>
      <c r="M62" s="160"/>
      <c r="N62" s="129"/>
      <c r="O62" s="23"/>
      <c r="P62" s="87"/>
      <c r="Q62" s="87"/>
      <c r="R62" s="87"/>
      <c r="S62" s="87"/>
      <c r="T62" s="87"/>
    </row>
    <row r="63" spans="2:24">
      <c r="B63" s="84" t="s">
        <v>8</v>
      </c>
      <c r="C63" s="4">
        <f>C56</f>
        <v>0.08</v>
      </c>
      <c r="D63" s="92">
        <f>((NPV($C63,$J$13:$P$13,$R$13+$R$13*(1+$J$50)/($C63-$J$50)))-$J$49+J48)</f>
        <v>0</v>
      </c>
      <c r="E63" s="93"/>
      <c r="F63" s="94">
        <f>((NPV($C63,$J$25:$P$25,$R$25+$R$25*(1+$J$50)/($C63-$J$50)))-$J$49+J48)</f>
        <v>0</v>
      </c>
      <c r="G63" s="93"/>
      <c r="H63" s="95">
        <f>((NPV($C63,$J$38:$P$38,$R$38+$R$38*(1+$J$50)/($C63-$J$50)))-$J$49+J48)</f>
        <v>0</v>
      </c>
      <c r="I63" s="17"/>
      <c r="J63" s="18"/>
      <c r="L63" s="23"/>
      <c r="M63" s="167"/>
      <c r="N63" s="23"/>
      <c r="O63" s="23"/>
      <c r="P63" s="98"/>
      <c r="Q63" s="97"/>
      <c r="R63" s="98"/>
      <c r="S63" s="97"/>
      <c r="T63" s="98"/>
    </row>
    <row r="64" spans="2:24">
      <c r="B64" s="84" t="s">
        <v>28</v>
      </c>
      <c r="C64" s="4">
        <f>C57</f>
        <v>0.11</v>
      </c>
      <c r="D64" s="96">
        <f>((NPV($C64,$J$13:$P$13,$R$13+$R$13*(1+$J$50)/($C64-$J$50)))-$J$49+J48)</f>
        <v>0</v>
      </c>
      <c r="E64" s="97"/>
      <c r="F64" s="98">
        <f>((NPV($C64,$J$25:$P$25,$R$25+$R$25*(1+$J$50)/($C64-$J$50)))-$J$49+J48)</f>
        <v>0</v>
      </c>
      <c r="G64" s="97"/>
      <c r="H64" s="122">
        <f>((NPV($C64,$J$38:$P$38,$R$38+$R$38*(1+$J$50)/($C64-$J$50)))-$J$49+J48)</f>
        <v>0</v>
      </c>
      <c r="I64" s="17"/>
      <c r="J64" s="18"/>
      <c r="L64" s="23"/>
      <c r="M64" s="167"/>
      <c r="N64" s="23"/>
      <c r="O64" s="23"/>
      <c r="P64" s="98"/>
      <c r="Q64" s="97"/>
      <c r="R64" s="98"/>
      <c r="S64" s="97"/>
      <c r="T64" s="98"/>
    </row>
    <row r="65" spans="1:20">
      <c r="B65" s="8" t="s">
        <v>10</v>
      </c>
      <c r="C65" s="4">
        <f>C58</f>
        <v>0.15</v>
      </c>
      <c r="D65" s="100">
        <f>((NPV($C65,$J$13:$P$13,$R$13+$R$13*(1+$J$50)/($C65-$J$50)))-$J$49+J48)</f>
        <v>0</v>
      </c>
      <c r="E65" s="101"/>
      <c r="F65" s="102">
        <f>((NPV($C65,$J$25:$P$25,$R$25+$R$25*(1+$J$50)/($C65-$J$50)))-$J$49+J48)</f>
        <v>0</v>
      </c>
      <c r="G65" s="101"/>
      <c r="H65" s="103">
        <f>((NPV($C65,$J$38:$P$38,$R$38+$R$38*(1+$J$50)/($C65-$J$50)))-$J$49+J48)</f>
        <v>0</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F107" s="146"/>
    </row>
    <row r="108" spans="1:6">
      <c r="F108" s="146"/>
    </row>
    <row r="109" spans="1:6">
      <c r="F109" s="146"/>
    </row>
    <row r="110" spans="1:6">
      <c r="B110" s="168" t="s">
        <v>192</v>
      </c>
      <c r="F110" s="146"/>
    </row>
    <row r="111" spans="1:6">
      <c r="B111" s="135" t="s">
        <v>193</v>
      </c>
      <c r="F111" s="146"/>
    </row>
    <row r="118" spans="2:2">
      <c r="B118" t="s">
        <v>194</v>
      </c>
    </row>
    <row r="119" spans="2:2">
      <c r="B119" t="s">
        <v>195</v>
      </c>
    </row>
  </sheetData>
  <mergeCells count="1">
    <mergeCell ref="H46:J46"/>
  </mergeCells>
  <conditionalFormatting sqref="B6:T13">
    <cfRule type="expression" dxfId="5" priority="6">
      <formula>MOD(ROW(),2)=0</formula>
    </cfRule>
  </conditionalFormatting>
  <conditionalFormatting sqref="B18:T25">
    <cfRule type="expression" dxfId="4" priority="5">
      <formula>MOD(ROW(),2)=0</formula>
    </cfRule>
  </conditionalFormatting>
  <conditionalFormatting sqref="B31:T39">
    <cfRule type="expression" dxfId="3" priority="4">
      <formula>MOD(ROW(),2)=0</formula>
    </cfRule>
  </conditionalFormatting>
  <conditionalFormatting sqref="D56:H58">
    <cfRule type="expression" dxfId="2" priority="3">
      <formula>MOD(ROW(),2)=0</formula>
    </cfRule>
  </conditionalFormatting>
  <conditionalFormatting sqref="D63:H65">
    <cfRule type="expression" dxfId="1" priority="2">
      <formula>MOD(ROW(),2)=0</formula>
    </cfRule>
  </conditionalFormatting>
  <conditionalFormatting sqref="C47:E51">
    <cfRule type="expression" dxfId="0" priority="1">
      <formula>MOD(ROW(),2)=0</formula>
    </cfRule>
  </conditionalFormatting>
  <pageMargins left="0.75" right="0.75" top="1" bottom="1" header="0.5" footer="0.5"/>
  <pageSetup paperSize="119" orientation="portrait" horizontalDpi="300" verticalDpi="30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X52"/>
  <sheetViews>
    <sheetView showGridLines="0" topLeftCell="A13" workbookViewId="0">
      <selection activeCell="P37" sqref="P37:T38"/>
    </sheetView>
  </sheetViews>
  <sheetFormatPr defaultRowHeight="12.75"/>
  <cols>
    <col min="1" max="1" width="1.7109375" customWidth="1"/>
    <col min="2" max="2" width="10.7109375" customWidth="1"/>
    <col min="3" max="3" width="1.7109375" customWidth="1"/>
    <col min="4" max="4" width="9.28515625" customWidth="1"/>
    <col min="5" max="5" width="1.7109375" customWidth="1"/>
    <col min="6" max="6" width="9.28515625" customWidth="1"/>
    <col min="7" max="7" width="1.7109375" customWidth="1"/>
    <col min="8" max="8" width="9.28515625" customWidth="1"/>
    <col min="9" max="9" width="1.7109375" customWidth="1"/>
    <col min="10" max="10" width="9.28515625" customWidth="1"/>
    <col min="11" max="11" width="1.7109375" customWidth="1"/>
    <col min="12" max="12" width="9.28515625" customWidth="1"/>
    <col min="13" max="13" width="1.7109375" customWidth="1"/>
    <col min="14" max="14" width="9.28515625" customWidth="1"/>
    <col min="15" max="15" width="1.7109375" customWidth="1"/>
    <col min="16" max="16" width="9.28515625" customWidth="1"/>
    <col min="17" max="17" width="1.7109375" customWidth="1"/>
    <col min="18" max="18" width="9.28515625" customWidth="1"/>
    <col min="19" max="19" width="1.7109375" customWidth="1"/>
    <col min="20" max="20" width="9.28515625" customWidth="1"/>
    <col min="21" max="21" width="1.7109375" customWidth="1"/>
    <col min="22" max="22" width="9.28515625" customWidth="1"/>
    <col min="23" max="23" width="1.7109375" customWidth="1"/>
    <col min="24" max="24" width="9.28515625" customWidth="1"/>
  </cols>
  <sheetData>
    <row r="1" spans="1:20">
      <c r="A1" s="24" t="s">
        <v>20</v>
      </c>
      <c r="B1" s="30"/>
      <c r="C1" s="30"/>
      <c r="D1" s="30"/>
      <c r="E1" s="30"/>
      <c r="F1" s="30"/>
      <c r="G1" s="30"/>
      <c r="H1" s="31"/>
      <c r="I1" s="30"/>
      <c r="J1" s="30"/>
      <c r="K1" s="30"/>
      <c r="L1" s="30"/>
      <c r="M1" s="30"/>
      <c r="N1" s="30"/>
      <c r="O1" s="30"/>
      <c r="P1" s="30"/>
      <c r="Q1" s="30"/>
      <c r="R1" s="30"/>
      <c r="S1" s="30"/>
      <c r="T1" s="30"/>
    </row>
    <row r="3" spans="1:20">
      <c r="H3" s="24" t="s">
        <v>18</v>
      </c>
      <c r="I3" s="25"/>
      <c r="J3" s="25"/>
      <c r="K3" s="25"/>
      <c r="L3" s="25"/>
      <c r="M3" s="25"/>
      <c r="N3" s="25"/>
      <c r="O3" s="25"/>
      <c r="P3" s="25"/>
      <c r="Q3" s="25"/>
      <c r="R3" s="25"/>
      <c r="T3" s="3" t="s">
        <v>0</v>
      </c>
    </row>
    <row r="4" spans="1:20">
      <c r="H4" s="26">
        <v>2007</v>
      </c>
      <c r="J4" s="27">
        <f>H4+1</f>
        <v>2008</v>
      </c>
      <c r="K4" s="20"/>
      <c r="L4" s="27">
        <f>J4+1</f>
        <v>2009</v>
      </c>
      <c r="M4" s="20"/>
      <c r="N4" s="60">
        <f>L4+1</f>
        <v>2010</v>
      </c>
      <c r="O4" s="21"/>
      <c r="P4" s="60">
        <f>N4+1</f>
        <v>2011</v>
      </c>
      <c r="Q4" s="21"/>
      <c r="R4" s="60">
        <f>P4+1</f>
        <v>2012</v>
      </c>
      <c r="T4" s="28" t="s">
        <v>1</v>
      </c>
    </row>
    <row r="5" spans="1:20" ht="5.0999999999999996" customHeight="1"/>
    <row r="6" spans="1:20">
      <c r="A6" t="s">
        <v>26</v>
      </c>
      <c r="H6" s="40">
        <v>120</v>
      </c>
      <c r="J6" s="40">
        <v>126.2</v>
      </c>
      <c r="L6" s="40">
        <v>133.19999999999999</v>
      </c>
      <c r="N6" s="40">
        <v>137.74736842105301</v>
      </c>
      <c r="O6" s="41"/>
      <c r="P6" s="40">
        <v>142.449981283223</v>
      </c>
      <c r="Q6" s="41"/>
      <c r="R6" s="40">
        <v>147.31313853898001</v>
      </c>
      <c r="T6" s="4">
        <f>(R6/J6)^(1/4)-1</f>
        <v>3.9430681149916991E-2</v>
      </c>
    </row>
    <row r="7" spans="1:20">
      <c r="A7" s="23" t="s">
        <v>22</v>
      </c>
      <c r="H7" s="71">
        <v>0</v>
      </c>
      <c r="J7" s="71">
        <v>0</v>
      </c>
      <c r="L7" s="71">
        <v>0</v>
      </c>
      <c r="N7" s="71">
        <v>0</v>
      </c>
      <c r="P7" s="71">
        <v>0</v>
      </c>
      <c r="R7" s="71">
        <v>0</v>
      </c>
      <c r="T7" s="4"/>
    </row>
    <row r="8" spans="1:20">
      <c r="B8" t="s">
        <v>27</v>
      </c>
      <c r="H8" s="72">
        <f>H6+H7</f>
        <v>120</v>
      </c>
      <c r="I8" s="73"/>
      <c r="J8" s="72">
        <f>J6+J7</f>
        <v>126.2</v>
      </c>
      <c r="K8" s="73"/>
      <c r="L8" s="72">
        <f>L6+L7</f>
        <v>133.19999999999999</v>
      </c>
      <c r="M8" s="73"/>
      <c r="N8" s="72">
        <f>N6+N7</f>
        <v>137.74736842105301</v>
      </c>
      <c r="O8" s="73"/>
      <c r="P8" s="72">
        <f>P6+P7</f>
        <v>142.449981283223</v>
      </c>
      <c r="Q8" s="73"/>
      <c r="R8" s="72">
        <f>R6+R7</f>
        <v>147.31313853898001</v>
      </c>
      <c r="T8" s="4">
        <f>(R8/J8)^(1/4)-1</f>
        <v>3.9430681149916991E-2</v>
      </c>
    </row>
    <row r="9" spans="1:20" s="39" customFormat="1">
      <c r="A9" s="39" t="s">
        <v>21</v>
      </c>
      <c r="H9" s="37">
        <f>-H8*$X$17</f>
        <v>-42</v>
      </c>
      <c r="I9"/>
      <c r="J9" s="37">
        <f>-J8*$X$17</f>
        <v>-44.17</v>
      </c>
      <c r="K9"/>
      <c r="L9" s="37">
        <f>-L8*$X$17</f>
        <v>-46.61999999999999</v>
      </c>
      <c r="M9"/>
      <c r="N9" s="37">
        <f>-N8*$X$17</f>
        <v>-48.211578947368551</v>
      </c>
      <c r="O9"/>
      <c r="P9" s="37">
        <f>-P8*$X$17</f>
        <v>-49.857493449128043</v>
      </c>
      <c r="Q9"/>
      <c r="R9" s="37">
        <f>-R8*$X$17</f>
        <v>-51.559598488643005</v>
      </c>
    </row>
    <row r="10" spans="1:20" s="2" customFormat="1">
      <c r="B10" s="2" t="s">
        <v>3</v>
      </c>
      <c r="H10" s="19">
        <f>SUM(H8:H9)</f>
        <v>78</v>
      </c>
      <c r="J10" s="19">
        <f>SUM(J8:J9)</f>
        <v>82.03</v>
      </c>
      <c r="L10" s="19">
        <f>SUM(L8:L9)</f>
        <v>86.58</v>
      </c>
      <c r="N10" s="19">
        <f>SUM(N8:N9)</f>
        <v>89.53578947368446</v>
      </c>
      <c r="P10" s="19">
        <f>SUM(P8:P9)</f>
        <v>92.592487834094953</v>
      </c>
      <c r="R10" s="19">
        <f>SUM(R8:R9)</f>
        <v>95.753540050337008</v>
      </c>
      <c r="T10" s="4">
        <f>(R10/J10)^(1/4)-1</f>
        <v>3.9430681149916991E-2</v>
      </c>
    </row>
    <row r="11" spans="1:20" ht="5.0999999999999996" customHeight="1"/>
    <row r="12" spans="1:20">
      <c r="A12" s="10" t="s">
        <v>25</v>
      </c>
      <c r="H12" s="5">
        <v>15.3</v>
      </c>
      <c r="I12" s="41"/>
      <c r="J12" s="5">
        <v>15.9</v>
      </c>
      <c r="K12" s="41"/>
      <c r="L12" s="5">
        <v>16.7</v>
      </c>
      <c r="M12" s="41"/>
      <c r="N12" s="5">
        <v>16</v>
      </c>
      <c r="O12" s="41"/>
      <c r="P12" s="5">
        <v>15.6</v>
      </c>
      <c r="Q12" s="41"/>
      <c r="R12" s="5">
        <v>15.4</v>
      </c>
    </row>
    <row r="13" spans="1:20">
      <c r="A13" t="s">
        <v>23</v>
      </c>
      <c r="H13" s="5">
        <v>-18</v>
      </c>
      <c r="I13" s="41"/>
      <c r="J13" s="5">
        <v>-16</v>
      </c>
      <c r="K13" s="41"/>
      <c r="L13" s="5">
        <v>-14.1</v>
      </c>
      <c r="M13" s="41"/>
      <c r="N13" s="5">
        <v>-14.581365576102399</v>
      </c>
      <c r="O13" s="41"/>
      <c r="P13" s="5">
        <v>-15.0791646853862</v>
      </c>
      <c r="Q13" s="41"/>
      <c r="R13" s="5">
        <v>-15.593958358856</v>
      </c>
    </row>
    <row r="14" spans="1:20">
      <c r="A14" t="s">
        <v>24</v>
      </c>
      <c r="H14" s="36">
        <v>-9.5</v>
      </c>
      <c r="I14" s="41"/>
      <c r="J14" s="36">
        <v>8.3000000000000007</v>
      </c>
      <c r="K14" s="41"/>
      <c r="L14" s="36">
        <v>3.1</v>
      </c>
      <c r="M14" s="41"/>
      <c r="N14" s="36">
        <v>3.2058321479374099</v>
      </c>
      <c r="O14" s="41"/>
      <c r="P14" s="36">
        <v>3.3152773421771</v>
      </c>
      <c r="Q14" s="41"/>
      <c r="R14" s="36">
        <v>3.42845892996124</v>
      </c>
    </row>
    <row r="15" spans="1:20">
      <c r="B15" s="2" t="s">
        <v>19</v>
      </c>
      <c r="H15" s="19">
        <f>SUM(H10:H14)</f>
        <v>65.8</v>
      </c>
      <c r="J15" s="19">
        <f>SUM(J10:J14)</f>
        <v>90.23</v>
      </c>
      <c r="L15" s="19">
        <f>SUM(L10:L14)</f>
        <v>92.28</v>
      </c>
      <c r="N15" s="19">
        <f>SUM(N10:N14)</f>
        <v>94.160256045519475</v>
      </c>
      <c r="P15" s="19">
        <f>SUM(P10:P14)</f>
        <v>96.428600490885842</v>
      </c>
      <c r="R15" s="19">
        <f>SUM(R10:R14)</f>
        <v>98.988040621442252</v>
      </c>
      <c r="T15" s="4">
        <f>(R15/J15)^(1/4)-1</f>
        <v>2.342952691596123E-2</v>
      </c>
    </row>
    <row r="16" spans="1:20">
      <c r="A16" s="2"/>
      <c r="H16" s="19"/>
      <c r="J16" s="19"/>
      <c r="L16" s="19"/>
      <c r="N16" s="19"/>
      <c r="P16" s="19"/>
      <c r="R16" s="19"/>
      <c r="T16" s="4"/>
    </row>
    <row r="17" spans="1:24">
      <c r="V17" t="s">
        <v>2</v>
      </c>
      <c r="X17" s="38">
        <v>0.35</v>
      </c>
    </row>
    <row r="18" spans="1:24">
      <c r="A18" s="24" t="s">
        <v>4</v>
      </c>
      <c r="B18" s="30"/>
      <c r="C18" s="30"/>
      <c r="D18" s="30"/>
      <c r="E18" s="30"/>
      <c r="F18" s="30"/>
      <c r="G18" s="30"/>
      <c r="H18" s="31"/>
      <c r="I18" s="30"/>
      <c r="J18" s="30"/>
      <c r="K18" s="30"/>
      <c r="L18" s="30"/>
      <c r="M18" s="30"/>
      <c r="N18" s="30"/>
      <c r="O18" s="30"/>
      <c r="P18" s="30"/>
      <c r="Q18" s="30"/>
      <c r="R18" s="30"/>
      <c r="S18" s="30"/>
      <c r="T18" s="30"/>
      <c r="V18" t="s">
        <v>14</v>
      </c>
      <c r="X18" s="35">
        <v>83.394000000000005</v>
      </c>
    </row>
    <row r="19" spans="1:24">
      <c r="A19" s="6"/>
      <c r="H19" s="7"/>
      <c r="V19" t="s">
        <v>15</v>
      </c>
      <c r="X19" s="22">
        <v>35.021206088992997</v>
      </c>
    </row>
    <row r="20" spans="1:24">
      <c r="F20" s="2" t="s">
        <v>5</v>
      </c>
      <c r="P20" s="2" t="s">
        <v>6</v>
      </c>
    </row>
    <row r="21" spans="1:24">
      <c r="F21" s="30" t="s">
        <v>7</v>
      </c>
      <c r="G21" s="30"/>
      <c r="H21" s="30"/>
      <c r="I21" s="30"/>
      <c r="J21" s="30"/>
      <c r="P21" s="30" t="str">
        <f>F21</f>
        <v>Terminal EBITDA Multiple</v>
      </c>
      <c r="Q21" s="30"/>
      <c r="R21" s="30"/>
      <c r="S21" s="30"/>
      <c r="T21" s="30"/>
    </row>
    <row r="22" spans="1:24">
      <c r="F22" s="33">
        <v>7.5</v>
      </c>
      <c r="G22" s="34"/>
      <c r="H22" s="33">
        <v>8</v>
      </c>
      <c r="I22" s="34"/>
      <c r="J22" s="33">
        <v>8.5</v>
      </c>
      <c r="P22" s="32">
        <f>F22</f>
        <v>7.5</v>
      </c>
      <c r="Q22" s="29"/>
      <c r="R22" s="32">
        <f>H22</f>
        <v>8</v>
      </c>
      <c r="S22" s="29"/>
      <c r="T22" s="32">
        <f>J22</f>
        <v>8.5</v>
      </c>
    </row>
    <row r="23" spans="1:24">
      <c r="C23" s="8" t="s">
        <v>8</v>
      </c>
      <c r="D23" s="38">
        <v>0.1</v>
      </c>
      <c r="E23" s="42"/>
      <c r="F23" s="11">
        <f>NPV($D23,$J$15:$P$15,$R$15+F$22*$R$6)</f>
        <v>1042.3855629700186</v>
      </c>
      <c r="G23" s="10"/>
      <c r="H23" s="11">
        <f>NPV($D23,$J$15:$P$15,$R$15+H$22*$R$6)</f>
        <v>1088.1204974128286</v>
      </c>
      <c r="I23" s="10"/>
      <c r="J23" s="49">
        <f>NPV($D23,$J$15:$P$15,$R$15+J$22*$R$6)</f>
        <v>1133.8554318556387</v>
      </c>
      <c r="M23" s="8" t="s">
        <v>8</v>
      </c>
      <c r="N23" s="4">
        <f>$D$23</f>
        <v>0.1</v>
      </c>
      <c r="O23" s="42"/>
      <c r="P23" s="11">
        <f>F23-$X$18</f>
        <v>958.99156297001855</v>
      </c>
      <c r="Q23" s="10"/>
      <c r="R23" s="11">
        <f>H23-$X$18</f>
        <v>1004.7264974128286</v>
      </c>
      <c r="S23" s="10"/>
      <c r="T23" s="49">
        <f>J23-$X$18</f>
        <v>1050.4614318556387</v>
      </c>
    </row>
    <row r="24" spans="1:24">
      <c r="C24" s="8" t="s">
        <v>9</v>
      </c>
      <c r="D24" s="38">
        <f>D23+0.01</f>
        <v>0.11</v>
      </c>
      <c r="E24" s="42"/>
      <c r="F24" s="43">
        <f>NPV($D24,$J$15:$P$15,$R$15+F$22*$R$6)</f>
        <v>1002.9728970133747</v>
      </c>
      <c r="G24" s="44"/>
      <c r="H24" s="43">
        <f>NPV($D24,$J$15:$P$15,$R$15+H$22*$R$6)</f>
        <v>1046.6844858665909</v>
      </c>
      <c r="I24" s="44"/>
      <c r="J24" s="50">
        <f>NPV($D24,$J$15:$P$15,$R$15+J$22*$R$6)</f>
        <v>1090.3960747198071</v>
      </c>
      <c r="M24" s="8" t="s">
        <v>9</v>
      </c>
      <c r="N24" s="4">
        <f>$D$24</f>
        <v>0.11</v>
      </c>
      <c r="O24" s="42"/>
      <c r="P24" s="43">
        <f>F24-$X$18</f>
        <v>919.57889701337467</v>
      </c>
      <c r="Q24" s="44"/>
      <c r="R24" s="43">
        <f>H24-$X$18</f>
        <v>963.29048586659087</v>
      </c>
      <c r="S24" s="44"/>
      <c r="T24" s="50">
        <f>J24-$X$18</f>
        <v>1007.0020747198071</v>
      </c>
    </row>
    <row r="25" spans="1:24">
      <c r="C25" s="8" t="s">
        <v>10</v>
      </c>
      <c r="D25" s="38">
        <f>D24+0.01</f>
        <v>0.12</v>
      </c>
      <c r="E25" s="42"/>
      <c r="F25" s="45">
        <f>NPV($D25,$J$15:$P$15,$R$15+F$22*$R$6)</f>
        <v>965.5202854875555</v>
      </c>
      <c r="G25" s="46"/>
      <c r="H25" s="45">
        <f>NPV($D25,$J$15:$P$15,$R$15+H$22*$R$6)</f>
        <v>1007.3150009911616</v>
      </c>
      <c r="I25" s="46"/>
      <c r="J25" s="55">
        <f>NPV($D25,$J$15:$P$15,$R$15+J$22*$R$6)</f>
        <v>1049.1097164947676</v>
      </c>
      <c r="M25" s="8" t="s">
        <v>10</v>
      </c>
      <c r="N25" s="4">
        <f>$D$25</f>
        <v>0.12</v>
      </c>
      <c r="O25" s="42"/>
      <c r="P25" s="45">
        <f>F25-$X$18</f>
        <v>882.12628548755549</v>
      </c>
      <c r="Q25" s="46"/>
      <c r="R25" s="45">
        <f>H25-$X$18</f>
        <v>923.92100099116158</v>
      </c>
      <c r="S25" s="46"/>
      <c r="T25" s="55">
        <f>J25-$X$18</f>
        <v>965.71571649476755</v>
      </c>
    </row>
    <row r="26" spans="1:24">
      <c r="E26" s="23"/>
      <c r="F26" s="23"/>
      <c r="O26" s="23"/>
      <c r="P26" s="23"/>
    </row>
    <row r="27" spans="1:24">
      <c r="F27" s="2" t="s">
        <v>11</v>
      </c>
      <c r="P27" s="2" t="s">
        <v>12</v>
      </c>
    </row>
    <row r="28" spans="1:24">
      <c r="F28" s="30" t="str">
        <f>F21</f>
        <v>Terminal EBITDA Multiple</v>
      </c>
      <c r="G28" s="30"/>
      <c r="H28" s="30"/>
      <c r="I28" s="30"/>
      <c r="J28" s="30"/>
      <c r="P28" s="30" t="str">
        <f>F28</f>
        <v>Terminal EBITDA Multiple</v>
      </c>
      <c r="Q28" s="30"/>
      <c r="R28" s="30"/>
      <c r="S28" s="30"/>
      <c r="T28" s="30"/>
    </row>
    <row r="29" spans="1:24">
      <c r="F29" s="32">
        <f>F22</f>
        <v>7.5</v>
      </c>
      <c r="G29" s="29"/>
      <c r="H29" s="32">
        <f>H22</f>
        <v>8</v>
      </c>
      <c r="I29" s="29"/>
      <c r="J29" s="32">
        <f>J22</f>
        <v>8.5</v>
      </c>
      <c r="P29" s="32">
        <f>P22</f>
        <v>7.5</v>
      </c>
      <c r="Q29" s="29"/>
      <c r="R29" s="32">
        <f>R22</f>
        <v>8</v>
      </c>
      <c r="S29" s="29"/>
      <c r="T29" s="32">
        <f>T22</f>
        <v>8.5</v>
      </c>
    </row>
    <row r="30" spans="1:24">
      <c r="C30" s="8" t="s">
        <v>8</v>
      </c>
      <c r="D30" s="4">
        <f>$D$23</f>
        <v>0.1</v>
      </c>
      <c r="E30" s="42"/>
      <c r="F30" s="61">
        <f>(F$29*$R$6*$D30-$R$15)/(F$29*$R$6+$R$15)</f>
        <v>9.5501444938677557E-3</v>
      </c>
      <c r="G30" s="62"/>
      <c r="H30" s="61">
        <f>(H$29*$R$6*$D30-$R$15)/(H$29*$R$6+$R$15)</f>
        <v>1.4765222205294864E-2</v>
      </c>
      <c r="I30" s="62"/>
      <c r="J30" s="63">
        <f>(J$29*$R$6*$D30-$R$15)/(J$29*$R$6+$R$15)</f>
        <v>1.9411710473934772E-2</v>
      </c>
      <c r="M30" s="8" t="s">
        <v>8</v>
      </c>
      <c r="N30" s="4">
        <f>$D$23</f>
        <v>0.1</v>
      </c>
      <c r="O30" s="42"/>
      <c r="P30" s="15">
        <f>P23/$X$19</f>
        <v>27.383167802191288</v>
      </c>
      <c r="Q30" s="14"/>
      <c r="R30" s="15">
        <f>R23/$X$19</f>
        <v>28.689088972541398</v>
      </c>
      <c r="S30" s="14"/>
      <c r="T30" s="51">
        <f>T23/$X$19</f>
        <v>29.995010142891505</v>
      </c>
    </row>
    <row r="31" spans="1:24">
      <c r="C31" s="8" t="s">
        <v>9</v>
      </c>
      <c r="D31" s="4">
        <f>$D$24</f>
        <v>0.11</v>
      </c>
      <c r="E31" s="42"/>
      <c r="F31" s="61">
        <f>(F$29*$R$6*$D31-$R$15)/(F$29*$R$6+$R$15)</f>
        <v>1.8727873080175639E-2</v>
      </c>
      <c r="G31" s="62"/>
      <c r="H31" s="61">
        <f>(H$29*$R$6*$D31-$R$15)/(H$29*$R$6+$R$15)</f>
        <v>2.3990360588979354E-2</v>
      </c>
      <c r="I31" s="62"/>
      <c r="J31" s="64">
        <f>(J$29*$R$6*$D31-$R$15)/(J$29*$R$6+$R$15)</f>
        <v>2.8679089660061451E-2</v>
      </c>
      <c r="M31" s="8" t="s">
        <v>9</v>
      </c>
      <c r="N31" s="4">
        <f>$D$24</f>
        <v>0.11</v>
      </c>
      <c r="O31" s="42"/>
      <c r="P31" s="47">
        <f>P24/$X$19</f>
        <v>26.257773495196503</v>
      </c>
      <c r="Q31" s="48"/>
      <c r="R31" s="47">
        <f>R24/$X$19</f>
        <v>27.50591979667281</v>
      </c>
      <c r="S31" s="48"/>
      <c r="T31" s="52">
        <f>T24/$X$19</f>
        <v>28.754066098149121</v>
      </c>
    </row>
    <row r="32" spans="1:24">
      <c r="C32" s="8" t="s">
        <v>10</v>
      </c>
      <c r="D32" s="4">
        <f>$D$25</f>
        <v>0.12</v>
      </c>
      <c r="E32" s="42"/>
      <c r="F32" s="66">
        <f>(F$29*$R$6*$D32-$R$15)/(F$29*$R$6+$R$15)</f>
        <v>2.7905601666483513E-2</v>
      </c>
      <c r="G32" s="65"/>
      <c r="H32" s="66">
        <f>(H$29*$R$6*$D32-$R$15)/(H$29*$R$6+$R$15)</f>
        <v>3.3215498972663869E-2</v>
      </c>
      <c r="I32" s="65"/>
      <c r="J32" s="67">
        <f>(J$29*$R$6*$D32-$R$15)/(J$29*$R$6+$R$15)</f>
        <v>3.7946468846188131E-2</v>
      </c>
      <c r="M32" s="8" t="s">
        <v>10</v>
      </c>
      <c r="N32" s="4">
        <f>$D$25</f>
        <v>0.12</v>
      </c>
      <c r="O32" s="42"/>
      <c r="P32" s="57">
        <f>P25/$X$19</f>
        <v>25.188346833229243</v>
      </c>
      <c r="Q32" s="56"/>
      <c r="R32" s="57">
        <f>R25/$X$19</f>
        <v>26.381758487796503</v>
      </c>
      <c r="S32" s="56"/>
      <c r="T32" s="58">
        <f>T25/$X$19</f>
        <v>27.57517014236376</v>
      </c>
    </row>
    <row r="33" spans="1:20">
      <c r="C33" s="8"/>
      <c r="D33" s="9"/>
      <c r="E33" s="23"/>
      <c r="F33" s="13"/>
      <c r="G33" s="12"/>
      <c r="H33" s="13"/>
      <c r="I33" s="12"/>
      <c r="J33" s="13"/>
      <c r="M33" s="8"/>
      <c r="N33" s="9"/>
      <c r="O33" s="23"/>
      <c r="P33" s="15"/>
      <c r="Q33" s="14"/>
      <c r="R33" s="15"/>
      <c r="S33" s="14"/>
      <c r="T33" s="15"/>
    </row>
    <row r="35" spans="1:20">
      <c r="A35" s="24" t="s">
        <v>13</v>
      </c>
      <c r="B35" s="30"/>
      <c r="C35" s="30"/>
      <c r="D35" s="30"/>
      <c r="E35" s="30"/>
      <c r="F35" s="30"/>
      <c r="G35" s="30"/>
      <c r="H35" s="31"/>
      <c r="I35" s="30"/>
      <c r="J35" s="30"/>
      <c r="K35" s="30"/>
      <c r="L35" s="30"/>
      <c r="M35" s="30"/>
      <c r="N35" s="30"/>
      <c r="O35" s="30"/>
      <c r="P35" s="30"/>
      <c r="Q35" s="30"/>
      <c r="R35" s="30"/>
      <c r="S35" s="30"/>
      <c r="T35" s="30"/>
    </row>
    <row r="36" spans="1:20">
      <c r="H36" s="16"/>
    </row>
    <row r="37" spans="1:20">
      <c r="F37" s="2" t="s">
        <v>5</v>
      </c>
      <c r="P37" s="2" t="s">
        <v>6</v>
      </c>
    </row>
    <row r="38" spans="1:20">
      <c r="F38" s="30" t="s">
        <v>16</v>
      </c>
      <c r="G38" s="30"/>
      <c r="H38" s="30"/>
      <c r="I38" s="30"/>
      <c r="J38" s="30"/>
      <c r="P38" s="30" t="str">
        <f>F38</f>
        <v>Terminal Perpetuity Growth Rate</v>
      </c>
      <c r="Q38" s="30"/>
      <c r="R38" s="30"/>
      <c r="S38" s="30"/>
      <c r="T38" s="30"/>
    </row>
    <row r="39" spans="1:20" ht="12.75" customHeight="1">
      <c r="F39" s="68">
        <v>0.03</v>
      </c>
      <c r="G39" s="69"/>
      <c r="H39" s="70">
        <v>3.5000000000000003E-2</v>
      </c>
      <c r="I39" s="69"/>
      <c r="J39" s="68">
        <v>0.04</v>
      </c>
      <c r="P39" s="66">
        <f>F39</f>
        <v>0.03</v>
      </c>
      <c r="Q39" s="65"/>
      <c r="R39" s="66">
        <f>H39</f>
        <v>3.5000000000000003E-2</v>
      </c>
      <c r="S39" s="65"/>
      <c r="T39" s="66">
        <f>J39</f>
        <v>0.04</v>
      </c>
    </row>
    <row r="40" spans="1:20" ht="12.75" customHeight="1">
      <c r="C40" s="8" t="s">
        <v>8</v>
      </c>
      <c r="D40" s="4">
        <f>$D$23</f>
        <v>0.1</v>
      </c>
      <c r="E40" s="42"/>
      <c r="F40" s="11">
        <f>NPV($D40,$J$15:$P$15,$R$15+$R$15*(1+F$39)/($D40-F$39))</f>
        <v>1260.7572421020147</v>
      </c>
      <c r="G40" s="10"/>
      <c r="H40" s="11">
        <f>NPV($D40,$J$15:$P$15,$R$15+$R$15*(1+H$39)/($D40-H$39))</f>
        <v>1335.0541252500029</v>
      </c>
      <c r="I40" s="10"/>
      <c r="J40" s="49">
        <f>NPV($D40,$J$15:$P$15,$R$15+$R$15*(1+J$39)/($D40-J$39))</f>
        <v>1421.7338222559895</v>
      </c>
      <c r="M40" s="8" t="s">
        <v>8</v>
      </c>
      <c r="N40" s="4">
        <f>$D$23</f>
        <v>0.1</v>
      </c>
      <c r="O40" s="42"/>
      <c r="P40" s="11">
        <f>F40-$X$18</f>
        <v>1177.3632421020147</v>
      </c>
      <c r="Q40" s="10"/>
      <c r="R40" s="11">
        <f>H40-$X$18</f>
        <v>1251.6601252500029</v>
      </c>
      <c r="S40" s="10"/>
      <c r="T40" s="49">
        <f>J40-$X$18</f>
        <v>1338.3398222559895</v>
      </c>
    </row>
    <row r="41" spans="1:20" ht="12.75" customHeight="1">
      <c r="C41" s="8" t="s">
        <v>9</v>
      </c>
      <c r="D41" s="4">
        <f>$D$24</f>
        <v>0.11</v>
      </c>
      <c r="E41" s="42"/>
      <c r="F41" s="43">
        <f>NPV($D41,$J$15:$P$15,$R$15+$R$15*(1+F$39)/($D41-F$39))</f>
        <v>1103.6355853872681</v>
      </c>
      <c r="G41" s="44"/>
      <c r="H41" s="43">
        <f>NPV($D41,$J$15:$P$15,$R$15+$R$15*(1+H$39)/($D41-H$39))</f>
        <v>1157.9743257433242</v>
      </c>
      <c r="I41" s="44"/>
      <c r="J41" s="50">
        <f>NPV($D41,$J$15:$P$15,$R$15+$R$15*(1+J$39)/($D41-J$39))</f>
        <v>1220.0757432931027</v>
      </c>
      <c r="M41" s="8" t="s">
        <v>9</v>
      </c>
      <c r="N41" s="4">
        <f>$D$24</f>
        <v>0.11</v>
      </c>
      <c r="O41" s="42"/>
      <c r="P41" s="43">
        <f>F41-$X$18</f>
        <v>1020.2415853872681</v>
      </c>
      <c r="Q41" s="44"/>
      <c r="R41" s="43">
        <f>H41-$X$18</f>
        <v>1074.5803257433242</v>
      </c>
      <c r="S41" s="44"/>
      <c r="T41" s="50">
        <f>J41-$X$18</f>
        <v>1136.6817432931027</v>
      </c>
    </row>
    <row r="42" spans="1:20" ht="12.75" customHeight="1">
      <c r="C42" s="8" t="s">
        <v>10</v>
      </c>
      <c r="D42" s="4">
        <f>$D$25</f>
        <v>0.12</v>
      </c>
      <c r="E42" s="42"/>
      <c r="F42" s="45">
        <f>NPV($D42,$J$15:$P$15,$R$15+$R$15*(1+F$39)/($D42-F$39))</f>
        <v>981.41651763210086</v>
      </c>
      <c r="G42" s="46"/>
      <c r="H42" s="45">
        <f>NPV($D42,$J$15:$P$15,$R$15+$R$15*(1+H$39)/($D42-H$39))</f>
        <v>1022.5333080639952</v>
      </c>
      <c r="I42" s="46"/>
      <c r="J42" s="55">
        <f>NPV($D42,$J$15:$P$15,$R$15+$R$15*(1+J$39)/($D42-J$39))</f>
        <v>1068.7896972998765</v>
      </c>
      <c r="M42" s="8" t="s">
        <v>10</v>
      </c>
      <c r="N42" s="4">
        <f>$D$25</f>
        <v>0.12</v>
      </c>
      <c r="O42" s="42"/>
      <c r="P42" s="45">
        <f>F42-$X$18</f>
        <v>898.02251763210086</v>
      </c>
      <c r="Q42" s="46"/>
      <c r="R42" s="45">
        <f>H42-$X$18</f>
        <v>939.13930806399514</v>
      </c>
      <c r="S42" s="46"/>
      <c r="T42" s="55">
        <f>J42-$X$18</f>
        <v>985.39569729987647</v>
      </c>
    </row>
    <row r="43" spans="1:20" ht="12.75" customHeight="1">
      <c r="E43" s="23"/>
      <c r="F43" s="23"/>
      <c r="O43" s="23"/>
      <c r="P43" s="23"/>
    </row>
    <row r="44" spans="1:20" ht="12.75" customHeight="1">
      <c r="F44" s="2" t="s">
        <v>17</v>
      </c>
      <c r="P44" s="2" t="s">
        <v>12</v>
      </c>
    </row>
    <row r="45" spans="1:20" ht="12.75" customHeight="1">
      <c r="F45" s="30" t="str">
        <f>F38</f>
        <v>Terminal Perpetuity Growth Rate</v>
      </c>
      <c r="G45" s="30"/>
      <c r="H45" s="30"/>
      <c r="I45" s="30"/>
      <c r="J45" s="30"/>
      <c r="P45" s="30" t="str">
        <f>F45</f>
        <v>Terminal Perpetuity Growth Rate</v>
      </c>
      <c r="Q45" s="30"/>
      <c r="R45" s="30"/>
      <c r="S45" s="30"/>
      <c r="T45" s="30"/>
    </row>
    <row r="46" spans="1:20" ht="12.75" customHeight="1">
      <c r="F46" s="66">
        <f>F39</f>
        <v>0.03</v>
      </c>
      <c r="G46" s="65"/>
      <c r="H46" s="66">
        <f>H39</f>
        <v>3.5000000000000003E-2</v>
      </c>
      <c r="I46" s="65"/>
      <c r="J46" s="66">
        <f>J39</f>
        <v>0.04</v>
      </c>
      <c r="P46" s="66">
        <f>P39</f>
        <v>0.03</v>
      </c>
      <c r="Q46" s="65"/>
      <c r="R46" s="66">
        <f>R39</f>
        <v>3.5000000000000003E-2</v>
      </c>
      <c r="S46" s="65"/>
      <c r="T46" s="66">
        <f>T39</f>
        <v>0.04</v>
      </c>
    </row>
    <row r="47" spans="1:20" ht="12.75" customHeight="1">
      <c r="C47" s="8" t="s">
        <v>8</v>
      </c>
      <c r="D47" s="4">
        <f>$D$23</f>
        <v>0.1</v>
      </c>
      <c r="E47" s="42"/>
      <c r="F47" s="18">
        <f>$R$15*(1+F$46)/($D47-F$46)/$R$6</f>
        <v>9.887361890778072</v>
      </c>
      <c r="G47" s="12"/>
      <c r="H47" s="18">
        <f>$R$15*(1+H$46)/($D47-H$46)/$R$6</f>
        <v>10.699617161865143</v>
      </c>
      <c r="I47" s="17"/>
      <c r="J47" s="53">
        <f>$R$15*(1+J$46)/($D47-J$46)/$R$6</f>
        <v>11.647248311466727</v>
      </c>
      <c r="M47" s="8" t="s">
        <v>8</v>
      </c>
      <c r="N47" s="4">
        <f>$D$23</f>
        <v>0.1</v>
      </c>
      <c r="O47" s="42"/>
      <c r="P47" s="15">
        <f>P40/$X$19</f>
        <v>33.618580671099572</v>
      </c>
      <c r="Q47" s="14"/>
      <c r="R47" s="15">
        <f>R40/$X$19</f>
        <v>35.74006337958172</v>
      </c>
      <c r="S47" s="14"/>
      <c r="T47" s="51">
        <f>T40/$X$19</f>
        <v>38.215126539477559</v>
      </c>
    </row>
    <row r="48" spans="1:20" ht="12.75" customHeight="1">
      <c r="C48" s="8" t="s">
        <v>9</v>
      </c>
      <c r="D48" s="4">
        <f>$D$24</f>
        <v>0.11</v>
      </c>
      <c r="E48" s="42"/>
      <c r="F48" s="18">
        <f>$R$15*(1+F$46)/($D48-F$46)/$R$6</f>
        <v>8.6514416544308155</v>
      </c>
      <c r="G48" s="17"/>
      <c r="H48" s="18">
        <f>$R$15*(1+H$46)/($D48-H$46)/$R$6</f>
        <v>9.2730015402831238</v>
      </c>
      <c r="I48" s="17"/>
      <c r="J48" s="54">
        <f>$R$15*(1+J$46)/($D48-J$46)/$R$6</f>
        <v>9.9833556955429099</v>
      </c>
      <c r="M48" s="8" t="s">
        <v>9</v>
      </c>
      <c r="N48" s="4">
        <f>$D$24</f>
        <v>0.11</v>
      </c>
      <c r="O48" s="42"/>
      <c r="P48" s="47">
        <f>P41/$X$19</f>
        <v>29.132108779883662</v>
      </c>
      <c r="Q48" s="48"/>
      <c r="R48" s="47">
        <f>R41/$X$19</f>
        <v>30.683704125228854</v>
      </c>
      <c r="S48" s="48"/>
      <c r="T48" s="52">
        <f>T41/$X$19</f>
        <v>32.456955948480498</v>
      </c>
    </row>
    <row r="49" spans="1:20" ht="12.75" customHeight="1">
      <c r="C49" s="8" t="s">
        <v>10</v>
      </c>
      <c r="D49" s="4">
        <f>$D$25</f>
        <v>0.12</v>
      </c>
      <c r="E49" s="42"/>
      <c r="F49" s="32">
        <f>$R$15*(1+F$46)/($D49-F$46)/$R$6</f>
        <v>7.6901703594940587</v>
      </c>
      <c r="G49" s="34"/>
      <c r="H49" s="32">
        <f>$R$15*(1+H$46)/($D49-H$46)/$R$6</f>
        <v>8.1820601826027577</v>
      </c>
      <c r="I49" s="34"/>
      <c r="J49" s="59">
        <f>$R$15*(1+J$46)/($D49-J$46)/$R$6</f>
        <v>8.7354362336000477</v>
      </c>
      <c r="M49" s="8" t="s">
        <v>10</v>
      </c>
      <c r="N49" s="4">
        <f>$D$25</f>
        <v>0.12</v>
      </c>
      <c r="O49" s="42"/>
      <c r="P49" s="57">
        <f>P42/$X$19</f>
        <v>25.642249879976156</v>
      </c>
      <c r="Q49" s="56"/>
      <c r="R49" s="57">
        <f>R42/$X$19</f>
        <v>26.816303975298048</v>
      </c>
      <c r="S49" s="56"/>
      <c r="T49" s="58">
        <f>T42/$X$19</f>
        <v>28.137114832535186</v>
      </c>
    </row>
    <row r="50" spans="1:20" ht="12.75" customHeight="1">
      <c r="E50" s="23"/>
      <c r="F50" s="23"/>
      <c r="O50" s="23"/>
      <c r="P50" s="23"/>
    </row>
    <row r="51" spans="1:20" ht="12.75" customHeight="1">
      <c r="A51" s="1" t="str">
        <f>"(1)  Assumes net debt of "&amp;TEXT(X18,"$0.0")&amp;"mm as of 5/16/08."</f>
        <v>(1)  Assumes net debt of $83.4mm as of 5/16/08.</v>
      </c>
    </row>
    <row r="52" spans="1:20" ht="12.75" customHeight="1">
      <c r="A52" s="1" t="str">
        <f>"(2)  Assumes outstanding diluted shares of "&amp;TEXT(X19,"0.000")&amp;" million."</f>
        <v>(2)  Assumes outstanding diluted shares of 35.021 million.</v>
      </c>
    </row>
  </sheetData>
  <pageMargins left="0.75" right="0.75" top="1" bottom="1" header="0.5" footer="0.5"/>
  <pageSetup paperSize="11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X118"/>
  <sheetViews>
    <sheetView showGridLines="0" topLeftCell="A51" zoomScaleNormal="100" workbookViewId="0">
      <selection activeCell="F67" sqref="F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112">
        <v>500000000</v>
      </c>
      <c r="J6" s="75">
        <f>H6*C47</f>
        <v>495000000</v>
      </c>
      <c r="K6" s="121"/>
      <c r="L6" s="75">
        <f>J6*C48</f>
        <v>485100000</v>
      </c>
      <c r="M6" s="121"/>
      <c r="N6" s="75">
        <f>L6*C49</f>
        <v>470547000</v>
      </c>
      <c r="O6" s="75"/>
      <c r="P6" s="75">
        <f>N6*C50</f>
        <v>451725120</v>
      </c>
      <c r="Q6" s="75"/>
      <c r="R6" s="75">
        <f>P6*C51</f>
        <v>429138864</v>
      </c>
      <c r="T6" s="4">
        <f>(R6/J6)^(1/4)-1</f>
        <v>-3.5064771795532579E-2</v>
      </c>
    </row>
    <row r="7" spans="1:24">
      <c r="B7" s="23" t="s">
        <v>22</v>
      </c>
      <c r="H7" s="71">
        <v>0</v>
      </c>
      <c r="J7" s="71">
        <v>0</v>
      </c>
      <c r="L7" s="71">
        <v>0</v>
      </c>
      <c r="N7" s="71">
        <v>0</v>
      </c>
      <c r="P7" s="71">
        <v>0</v>
      </c>
      <c r="R7" s="71">
        <v>0</v>
      </c>
      <c r="T7" s="4"/>
    </row>
    <row r="8" spans="1:24">
      <c r="B8" t="s">
        <v>27</v>
      </c>
      <c r="H8" s="115">
        <f>H6+H7</f>
        <v>500000000</v>
      </c>
      <c r="I8" s="73"/>
      <c r="J8" s="115">
        <f>J6+J7</f>
        <v>495000000</v>
      </c>
      <c r="K8" s="116"/>
      <c r="L8" s="115">
        <f>L6+L7</f>
        <v>485100000</v>
      </c>
      <c r="M8" s="116"/>
      <c r="N8" s="115">
        <f>N6+N7</f>
        <v>470547000</v>
      </c>
      <c r="O8" s="116"/>
      <c r="P8" s="115">
        <f>P6+P7</f>
        <v>451725120</v>
      </c>
      <c r="Q8" s="116"/>
      <c r="R8" s="115">
        <f>R6+R7</f>
        <v>429138864</v>
      </c>
      <c r="T8" s="4">
        <f>(R8/J8)^(1/4)-1</f>
        <v>-3.5064771795532579E-2</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500000000</v>
      </c>
      <c r="J10" s="118">
        <f>SUM(J8:J9)</f>
        <v>495000000</v>
      </c>
      <c r="K10" s="119"/>
      <c r="L10" s="118">
        <f>SUM(L8:L9)</f>
        <v>485100000</v>
      </c>
      <c r="M10" s="119"/>
      <c r="N10" s="118">
        <f>SUM(N8:N9)</f>
        <v>470547000</v>
      </c>
      <c r="O10" s="119"/>
      <c r="P10" s="118">
        <f>SUM(P8:P9)</f>
        <v>451725120</v>
      </c>
      <c r="Q10" s="119"/>
      <c r="R10" s="118">
        <f>SUM(R8:R9)</f>
        <v>429138864</v>
      </c>
      <c r="T10" s="4">
        <f>(R10/J10)^(1/4)-1</f>
        <v>-3.5064771795532579E-2</v>
      </c>
    </row>
    <row r="11" spans="1:24">
      <c r="B11" s="10" t="s">
        <v>25</v>
      </c>
      <c r="H11" s="112"/>
      <c r="I11" s="112"/>
      <c r="J11" s="112">
        <f>H11</f>
        <v>0</v>
      </c>
      <c r="K11" s="112"/>
      <c r="L11" s="112">
        <f>J11</f>
        <v>0</v>
      </c>
      <c r="M11" s="112"/>
      <c r="N11" s="112">
        <f>L11</f>
        <v>0</v>
      </c>
      <c r="O11" s="112"/>
      <c r="P11" s="112">
        <f>N11</f>
        <v>0</v>
      </c>
      <c r="Q11" s="112"/>
      <c r="R11" s="112">
        <f>P11</f>
        <v>0</v>
      </c>
    </row>
    <row r="12" spans="1:24">
      <c r="B12" t="s">
        <v>23</v>
      </c>
      <c r="H12" s="112">
        <v>-100000000</v>
      </c>
      <c r="I12" s="112"/>
      <c r="J12" s="112">
        <f>H12</f>
        <v>-100000000</v>
      </c>
      <c r="K12" s="112"/>
      <c r="L12" s="112">
        <f>J12</f>
        <v>-100000000</v>
      </c>
      <c r="M12" s="112"/>
      <c r="N12" s="112">
        <f>L12</f>
        <v>-100000000</v>
      </c>
      <c r="O12" s="112"/>
      <c r="P12" s="112">
        <f>N12</f>
        <v>-100000000</v>
      </c>
      <c r="Q12" s="112"/>
      <c r="R12" s="112">
        <f>P12</f>
        <v>-100000000</v>
      </c>
      <c r="X12" s="81"/>
    </row>
    <row r="13" spans="1:24">
      <c r="B13" s="2" t="s">
        <v>19</v>
      </c>
      <c r="H13" s="120">
        <f>SUM(H10:H12)</f>
        <v>400000000</v>
      </c>
      <c r="J13" s="120">
        <f>SUM(J10:J12)</f>
        <v>395000000</v>
      </c>
      <c r="K13" s="114"/>
      <c r="L13" s="120">
        <f>SUM(L10:L12)</f>
        <v>385100000</v>
      </c>
      <c r="M13" s="114"/>
      <c r="N13" s="120">
        <f>SUM(N10:N12)</f>
        <v>370547000</v>
      </c>
      <c r="O13" s="114"/>
      <c r="P13" s="120">
        <f>SUM(P10:P12)</f>
        <v>351725120</v>
      </c>
      <c r="Q13" s="114"/>
      <c r="R13" s="120">
        <f>SUM(R10:R12)</f>
        <v>329138864</v>
      </c>
      <c r="T13" s="4">
        <f>(R13/J13)^(1/4)-1</f>
        <v>-4.4577383516312019E-2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500000000</v>
      </c>
      <c r="J18" s="75">
        <f>H18*D47</f>
        <v>500000000</v>
      </c>
      <c r="K18" s="121"/>
      <c r="L18" s="75">
        <f>J18*D48</f>
        <v>500000000</v>
      </c>
      <c r="M18" s="121"/>
      <c r="N18" s="75">
        <f>L18*D49</f>
        <v>500000000</v>
      </c>
      <c r="O18" s="75"/>
      <c r="P18" s="75">
        <f>N18*D50</f>
        <v>500000000</v>
      </c>
      <c r="Q18" s="75"/>
      <c r="R18" s="75">
        <f>P18*D51</f>
        <v>500000000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500000000</v>
      </c>
      <c r="I20" s="116"/>
      <c r="J20" s="115">
        <f>J18+J19</f>
        <v>500000000</v>
      </c>
      <c r="K20" s="116"/>
      <c r="L20" s="115">
        <f>L18+L19</f>
        <v>500000000</v>
      </c>
      <c r="M20" s="116"/>
      <c r="N20" s="115">
        <f>N18+N19</f>
        <v>500000000</v>
      </c>
      <c r="O20" s="116"/>
      <c r="P20" s="115">
        <f>P18+P19</f>
        <v>500000000</v>
      </c>
      <c r="Q20" s="116"/>
      <c r="R20" s="115">
        <f>R18+R19</f>
        <v>500000000</v>
      </c>
      <c r="T20" s="4">
        <f>(R20/J20)^(1/4)-1</f>
        <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500000000</v>
      </c>
      <c r="I22" s="119"/>
      <c r="J22" s="118">
        <f>SUM(J20:J21)</f>
        <v>500000000</v>
      </c>
      <c r="K22" s="119"/>
      <c r="L22" s="118">
        <f>SUM(L20:L21)</f>
        <v>500000000</v>
      </c>
      <c r="M22" s="119"/>
      <c r="N22" s="118">
        <f>SUM(N20:N21)</f>
        <v>500000000</v>
      </c>
      <c r="O22" s="119"/>
      <c r="P22" s="118">
        <f>SUM(P20:P21)</f>
        <v>500000000</v>
      </c>
      <c r="Q22" s="119"/>
      <c r="R22" s="118">
        <f>SUM(R20:R21)</f>
        <v>500000000</v>
      </c>
      <c r="S22" s="2"/>
      <c r="T22" s="4">
        <f>(R22/J22)^(1/4)-1</f>
        <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-100000000</v>
      </c>
      <c r="I24" s="112"/>
      <c r="J24" s="112">
        <f>J12</f>
        <v>-100000000</v>
      </c>
      <c r="K24" s="112"/>
      <c r="L24" s="112">
        <f>L12</f>
        <v>-100000000</v>
      </c>
      <c r="M24" s="112"/>
      <c r="N24" s="112">
        <f>N12</f>
        <v>-100000000</v>
      </c>
      <c r="O24" s="112"/>
      <c r="P24" s="112">
        <f>P12</f>
        <v>-100000000</v>
      </c>
      <c r="Q24" s="112"/>
      <c r="R24" s="112">
        <f>R12</f>
        <v>-100000000</v>
      </c>
    </row>
    <row r="25" spans="1:20">
      <c r="B25" s="2" t="s">
        <v>19</v>
      </c>
      <c r="H25" s="120">
        <f>SUM(H22:H24)</f>
        <v>400000000</v>
      </c>
      <c r="I25" s="114"/>
      <c r="J25" s="120">
        <f>SUM(J22:J24)</f>
        <v>400000000</v>
      </c>
      <c r="K25" s="114"/>
      <c r="L25" s="120">
        <f>SUM(L22:L24)</f>
        <v>400000000</v>
      </c>
      <c r="M25" s="114"/>
      <c r="N25" s="120">
        <f>SUM(N22:N24)</f>
        <v>400000000</v>
      </c>
      <c r="O25" s="114"/>
      <c r="P25" s="120">
        <f>SUM(P22:P24)</f>
        <v>400000000</v>
      </c>
      <c r="Q25" s="114"/>
      <c r="R25" s="120">
        <f>SUM(R22:R24)</f>
        <v>400000000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500000000</v>
      </c>
      <c r="J31" s="75">
        <f>H31*E47</f>
        <v>550000000</v>
      </c>
      <c r="K31" s="121"/>
      <c r="L31" s="75">
        <f>J31*E48</f>
        <v>605000000</v>
      </c>
      <c r="M31" s="121"/>
      <c r="N31" s="75">
        <f>L31*E49</f>
        <v>665500000</v>
      </c>
      <c r="O31" s="75"/>
      <c r="P31" s="75">
        <f>N31*E50</f>
        <v>732050000</v>
      </c>
      <c r="Q31" s="75"/>
      <c r="R31" s="75">
        <f>P31*E51</f>
        <v>805255000.00000012</v>
      </c>
      <c r="T31" s="4">
        <f>(R31/J31)^(1/4)-1</f>
        <v>0.10000000000000009</v>
      </c>
    </row>
    <row r="32" spans="1:20">
      <c r="B32" s="23" t="s">
        <v>22</v>
      </c>
      <c r="H32" s="71">
        <f>H7</f>
        <v>0</v>
      </c>
      <c r="J32" s="71">
        <f>J7</f>
        <v>0</v>
      </c>
      <c r="L32" s="71">
        <f>L7</f>
        <v>0</v>
      </c>
      <c r="N32" s="71">
        <f>N7</f>
        <v>0</v>
      </c>
      <c r="P32" s="71">
        <f>P7</f>
        <v>0</v>
      </c>
      <c r="R32" s="71">
        <f>R7</f>
        <v>0</v>
      </c>
      <c r="T32" s="4"/>
    </row>
    <row r="33" spans="1:24">
      <c r="B33" t="s">
        <v>27</v>
      </c>
      <c r="H33" s="115">
        <f>H31+H32</f>
        <v>500000000</v>
      </c>
      <c r="I33" s="116"/>
      <c r="J33" s="115">
        <f>J31+J32</f>
        <v>550000000</v>
      </c>
      <c r="K33" s="116"/>
      <c r="L33" s="115">
        <f>L31+L32</f>
        <v>605000000</v>
      </c>
      <c r="M33" s="116"/>
      <c r="N33" s="115">
        <f>N31+N32</f>
        <v>665500000</v>
      </c>
      <c r="O33" s="116"/>
      <c r="P33" s="115">
        <f>P31+P32</f>
        <v>732050000</v>
      </c>
      <c r="Q33" s="116"/>
      <c r="R33" s="115">
        <f>R31+R32</f>
        <v>805255000.00000012</v>
      </c>
      <c r="T33" s="4">
        <f>(R33/J33)^(1/4)-1</f>
        <v>0.10000000000000009</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500000000</v>
      </c>
      <c r="I35" s="119"/>
      <c r="J35" s="118">
        <f>SUM(J33:J34)</f>
        <v>550000000</v>
      </c>
      <c r="K35" s="119"/>
      <c r="L35" s="118">
        <f>SUM(L33:L34)</f>
        <v>605000000</v>
      </c>
      <c r="M35" s="119"/>
      <c r="N35" s="118">
        <f>SUM(N33:N34)</f>
        <v>665500000</v>
      </c>
      <c r="O35" s="119"/>
      <c r="P35" s="118">
        <f>SUM(P33:P34)</f>
        <v>732050000</v>
      </c>
      <c r="Q35" s="119"/>
      <c r="R35" s="118">
        <f>SUM(R33:R34)</f>
        <v>805255000.00000012</v>
      </c>
      <c r="S35" s="2"/>
      <c r="T35" s="4">
        <f>(R35/J35)^(1/4)-1</f>
        <v>0.10000000000000009</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-100000000</v>
      </c>
      <c r="I37" s="112"/>
      <c r="J37" s="112">
        <f>J12</f>
        <v>-100000000</v>
      </c>
      <c r="K37" s="112"/>
      <c r="L37" s="112">
        <f>L12</f>
        <v>-100000000</v>
      </c>
      <c r="M37" s="112"/>
      <c r="N37" s="112">
        <f>N12</f>
        <v>-100000000</v>
      </c>
      <c r="O37" s="112"/>
      <c r="P37" s="112">
        <f>P12</f>
        <v>-100000000</v>
      </c>
      <c r="Q37" s="112"/>
      <c r="R37" s="112">
        <f>R12</f>
        <v>-100000000</v>
      </c>
    </row>
    <row r="38" spans="1:24">
      <c r="B38" s="2" t="s">
        <v>19</v>
      </c>
      <c r="H38" s="120">
        <f>SUM(H35:H37)</f>
        <v>400000000</v>
      </c>
      <c r="I38" s="153"/>
      <c r="J38" s="120">
        <f>SUM(J35:J37)</f>
        <v>450000000</v>
      </c>
      <c r="K38" s="114"/>
      <c r="L38" s="120">
        <f>SUM(L35:L37)</f>
        <v>505000000</v>
      </c>
      <c r="M38" s="114"/>
      <c r="N38" s="120">
        <f>SUM(N35:N37)</f>
        <v>565500000</v>
      </c>
      <c r="O38" s="114"/>
      <c r="P38" s="120">
        <f>SUM(P35:P37)</f>
        <v>632050000</v>
      </c>
      <c r="Q38" s="114"/>
      <c r="R38" s="120">
        <f>SUM(R35:R37)</f>
        <v>705255000.00000012</v>
      </c>
      <c r="T38" s="4">
        <f>(R38/J38)^(1/4)-1</f>
        <v>0.1188797529746628</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F46" s="121"/>
      <c r="H46" s="294" t="s">
        <v>181</v>
      </c>
      <c r="I46" s="294"/>
      <c r="J46" s="294"/>
      <c r="M46" s="2" t="s">
        <v>57</v>
      </c>
      <c r="P46" s="2"/>
      <c r="X46" s="127"/>
    </row>
    <row r="47" spans="1:24">
      <c r="B47" s="90">
        <v>2018</v>
      </c>
      <c r="C47" s="88">
        <v>0.99</v>
      </c>
      <c r="D47" s="88">
        <v>1</v>
      </c>
      <c r="E47" s="88">
        <v>1.1000000000000001</v>
      </c>
      <c r="H47" s="156" t="s">
        <v>15</v>
      </c>
      <c r="I47" s="156"/>
      <c r="J47" s="161">
        <v>169136958</v>
      </c>
      <c r="M47" t="s">
        <v>55</v>
      </c>
      <c r="P47" s="2"/>
      <c r="X47" s="127"/>
    </row>
    <row r="48" spans="1:24">
      <c r="B48" s="90">
        <f>B47+1</f>
        <v>2019</v>
      </c>
      <c r="C48" s="88">
        <v>0.98</v>
      </c>
      <c r="D48" s="88">
        <v>1</v>
      </c>
      <c r="E48" s="88">
        <v>1.1000000000000001</v>
      </c>
      <c r="H48" s="156" t="s">
        <v>99</v>
      </c>
      <c r="I48" s="156"/>
      <c r="J48" s="157">
        <v>1433000000</v>
      </c>
      <c r="L48" s="163"/>
      <c r="M48" t="s">
        <v>56</v>
      </c>
      <c r="P48" s="2"/>
      <c r="X48" s="127"/>
    </row>
    <row r="49" spans="2:24">
      <c r="B49" s="90">
        <f>B48+1</f>
        <v>2020</v>
      </c>
      <c r="C49" s="88">
        <v>0.97</v>
      </c>
      <c r="D49" s="88">
        <v>1</v>
      </c>
      <c r="E49" s="88">
        <v>1.1000000000000001</v>
      </c>
      <c r="H49" s="156" t="s">
        <v>14</v>
      </c>
      <c r="I49" s="156"/>
      <c r="J49" s="157">
        <v>0</v>
      </c>
      <c r="M49" t="s">
        <v>58</v>
      </c>
      <c r="P49" s="2"/>
      <c r="X49" s="127"/>
    </row>
    <row r="50" spans="2:24">
      <c r="B50" s="90">
        <f>B49+1</f>
        <v>2021</v>
      </c>
      <c r="C50" s="88">
        <v>0.96</v>
      </c>
      <c r="D50" s="88">
        <v>1</v>
      </c>
      <c r="E50" s="88">
        <v>1.1000000000000001</v>
      </c>
      <c r="H50" s="155" t="s">
        <v>16</v>
      </c>
      <c r="I50" s="156"/>
      <c r="J50" s="158">
        <v>0.02</v>
      </c>
      <c r="M50" t="s">
        <v>59</v>
      </c>
      <c r="P50" s="2"/>
      <c r="X50" s="127"/>
    </row>
    <row r="51" spans="2:24">
      <c r="B51" s="90">
        <f>B50+1</f>
        <v>2022</v>
      </c>
      <c r="C51" s="88">
        <v>0.95</v>
      </c>
      <c r="D51" s="88">
        <v>1</v>
      </c>
      <c r="E51" s="88">
        <v>1.1000000000000001</v>
      </c>
      <c r="H51" s="156" t="s">
        <v>2</v>
      </c>
      <c r="I51" s="156"/>
      <c r="J51" s="158"/>
      <c r="M51" t="s">
        <v>60</v>
      </c>
      <c r="P51" s="2"/>
      <c r="X51" s="127"/>
    </row>
    <row r="52" spans="2:24">
      <c r="B52" s="2"/>
      <c r="D52" s="2"/>
      <c r="M52" t="s">
        <v>61</v>
      </c>
      <c r="P52" s="2"/>
      <c r="X52" s="127"/>
    </row>
    <row r="53" spans="2:24">
      <c r="B53" s="2"/>
      <c r="D53" s="2"/>
      <c r="I53" s="23"/>
      <c r="J53" s="180">
        <v>2000000000</v>
      </c>
      <c r="M53" t="s">
        <v>62</v>
      </c>
      <c r="P53" s="2"/>
      <c r="X53" s="127"/>
    </row>
    <row r="54" spans="2:24">
      <c r="D54" s="30"/>
      <c r="E54" s="30"/>
      <c r="F54" s="109" t="s">
        <v>12</v>
      </c>
      <c r="G54" s="30"/>
      <c r="H54" s="30"/>
      <c r="I54" s="104"/>
      <c r="J54" s="104">
        <v>0.19</v>
      </c>
      <c r="M54" t="s">
        <v>63</v>
      </c>
      <c r="Q54" s="104"/>
      <c r="R54" s="104"/>
      <c r="S54" s="104"/>
      <c r="T54" s="104"/>
    </row>
    <row r="55" spans="2:24">
      <c r="D55" s="85" t="s">
        <v>29</v>
      </c>
      <c r="E55" s="85"/>
      <c r="F55" s="166" t="s">
        <v>31</v>
      </c>
      <c r="G55" s="85"/>
      <c r="H55" s="85" t="s">
        <v>188</v>
      </c>
      <c r="I55" s="108"/>
      <c r="J55" s="181">
        <f>J53*J54</f>
        <v>380000000</v>
      </c>
      <c r="M55" s="135" t="s">
        <v>176</v>
      </c>
      <c r="Q55" s="87"/>
      <c r="R55" s="87"/>
      <c r="S55" s="87"/>
      <c r="T55" s="87"/>
    </row>
    <row r="56" spans="2:24">
      <c r="B56" s="84" t="s">
        <v>8</v>
      </c>
      <c r="C56" s="4">
        <v>0.08</v>
      </c>
      <c r="D56" s="92">
        <f>((NPV($C56,$J$13:$P$13,$R$13+$R$13*(1+$J$50)/($C56-$J$50)))-$J$49+J48)/$J$47</f>
        <v>39.693852037683392</v>
      </c>
      <c r="E56" s="93"/>
      <c r="F56" s="94">
        <f>((NPV($C56,$J$25:$P$25,$R$25+$R$25*(1+$J$50)/($C56-$J$50)))-$J$49+J48)/$J$47</f>
        <v>45.277211114679943</v>
      </c>
      <c r="G56" s="93"/>
      <c r="H56" s="123">
        <f>((NPV($C56,$J$38:$P$38,$R$38+$R$38*(1+$J$50)/($C56-$J$50)))-$J$49+J48)/$J$47</f>
        <v>69.977817437799047</v>
      </c>
      <c r="I56" s="10"/>
      <c r="J56" s="11"/>
      <c r="M56" s="135" t="s">
        <v>186</v>
      </c>
      <c r="Q56" s="87"/>
      <c r="R56" s="91"/>
      <c r="S56" s="87"/>
      <c r="T56" s="91"/>
    </row>
    <row r="57" spans="2:24">
      <c r="B57" s="84" t="s">
        <v>28</v>
      </c>
      <c r="C57" s="4">
        <v>0.11</v>
      </c>
      <c r="D57" s="96">
        <f>((NPV($C57,$J$13:$P$13,$R$13+$R$13*(1+$J$50)/($C57-$J$50)))-$J$49+J48)/$J$47</f>
        <v>29.639227097391199</v>
      </c>
      <c r="E57" s="97"/>
      <c r="F57" s="98">
        <f>((NPV($C57,$J$25:$P$25,$R$25+$R$25*(1+$J$50)/($C57-$J$50)))-$J$49+J48)/$J$47</f>
        <v>33.119145339356194</v>
      </c>
      <c r="G57" s="97"/>
      <c r="H57" s="99">
        <f>((NPV($C57,$J$38:$P$38,$R$38+$R$38*(1+$J$50)/($C57-$J$50)))-$J$49+J48)/$J$47</f>
        <v>48.71815227056171</v>
      </c>
      <c r="I57" s="44"/>
      <c r="J57" s="43"/>
      <c r="Q57" s="87"/>
      <c r="R57" s="91"/>
      <c r="S57" s="87"/>
      <c r="T57" s="91"/>
    </row>
    <row r="58" spans="2:24">
      <c r="B58" s="8" t="s">
        <v>10</v>
      </c>
      <c r="C58" s="4">
        <v>0.15</v>
      </c>
      <c r="D58" s="100">
        <f>((NPV($C58,$J$13:$P$13,$R$13+$R$13*(1+$J$50)/($C58-$J$50)))-$J$49+J48)/$J$47</f>
        <v>23.412955629727975</v>
      </c>
      <c r="E58" s="101"/>
      <c r="F58" s="102">
        <f>((NPV($C58,$J$25:$P$25,$R$25+$R$25*(1+$J$50)/($C58-$J$50)))-$J$49+J48)/$J$47</f>
        <v>25.625576763395006</v>
      </c>
      <c r="G58" s="101"/>
      <c r="H58" s="103">
        <f>((NPV($C58,$J$38:$P$38,$R$38+$R$38*(1+$J$50)/($C58-$J$50)))-$J$49+J48)/$J$47</f>
        <v>35.717458723480071</v>
      </c>
      <c r="I58" s="44"/>
      <c r="J58" s="43"/>
      <c r="L58" t="s">
        <v>196</v>
      </c>
      <c r="Q58" s="87"/>
      <c r="R58" s="91"/>
      <c r="S58" s="87"/>
      <c r="T58" s="91"/>
    </row>
    <row r="59" spans="2:24">
      <c r="C59" s="4"/>
      <c r="D59" s="23"/>
      <c r="I59" s="23"/>
      <c r="J59" s="136"/>
      <c r="L59" t="s">
        <v>187</v>
      </c>
      <c r="M59" s="146"/>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188</v>
      </c>
      <c r="I62" s="62"/>
      <c r="J62" s="61"/>
      <c r="L62" s="23"/>
      <c r="M62" s="160"/>
      <c r="N62" s="129"/>
      <c r="O62" s="23"/>
      <c r="P62" s="87"/>
      <c r="Q62" s="87"/>
      <c r="R62" s="87"/>
      <c r="S62" s="87"/>
      <c r="T62" s="87"/>
    </row>
    <row r="63" spans="2:24">
      <c r="B63" s="84" t="s">
        <v>8</v>
      </c>
      <c r="C63" s="4">
        <f>C56</f>
        <v>0.08</v>
      </c>
      <c r="D63" s="92">
        <f>((NPV($C63,$J$13:$P$13,$R$13+$R$13*(1+$J$50)/($C63-$J$50)))-$J$49+J48)</f>
        <v>6713697384.9558706</v>
      </c>
      <c r="E63" s="93"/>
      <c r="F63" s="94">
        <f>((NPV($C63,$J$25:$P$25,$R$25+$R$25*(1+$J$50)/($C63-$J$50)))-$J$49+J48)</f>
        <v>7658049754.6607542</v>
      </c>
      <c r="G63" s="93"/>
      <c r="H63" s="95">
        <f>((NPV($C63,$J$38:$P$38,$R$38+$R$38*(1+$J$50)/($C63-$J$50)))-$J$49+J48)</f>
        <v>11835835168.908684</v>
      </c>
      <c r="I63" s="17"/>
      <c r="J63" s="18"/>
      <c r="L63" s="23"/>
      <c r="M63" s="167"/>
      <c r="N63" s="23"/>
      <c r="O63" s="23"/>
      <c r="P63" s="98"/>
      <c r="Q63" s="97"/>
      <c r="R63" s="98"/>
      <c r="S63" s="97"/>
      <c r="T63" s="98"/>
    </row>
    <row r="64" spans="2:24">
      <c r="B64" s="84" t="s">
        <v>28</v>
      </c>
      <c r="C64" s="4">
        <f>C57</f>
        <v>0.11</v>
      </c>
      <c r="D64" s="96">
        <f>((NPV($C64,$J$13:$P$13,$R$13+$R$13*(1+$J$50)/($C64-$J$50)))-$J$49+J48)</f>
        <v>5013088708.723917</v>
      </c>
      <c r="E64" s="97"/>
      <c r="F64" s="98">
        <f>((NPV($C64,$J$25:$P$25,$R$25+$R$25*(1+$J$50)/($C64-$J$50)))-$J$49+J48)</f>
        <v>5601671494.258585</v>
      </c>
      <c r="G64" s="97"/>
      <c r="H64" s="122">
        <f>((NPV($C64,$J$38:$P$38,$R$38+$R$38*(1+$J$50)/($C64-$J$50)))-$J$49+J48)</f>
        <v>8240040074.4236002</v>
      </c>
      <c r="I64" s="17"/>
      <c r="J64" s="18"/>
      <c r="L64" s="23"/>
      <c r="M64" s="167"/>
      <c r="N64" s="23"/>
      <c r="O64" s="23"/>
      <c r="P64" s="98"/>
      <c r="Q64" s="97"/>
      <c r="R64" s="98"/>
      <c r="S64" s="97"/>
      <c r="T64" s="98"/>
    </row>
    <row r="65" spans="1:20">
      <c r="B65" s="8" t="s">
        <v>10</v>
      </c>
      <c r="C65" s="4">
        <f>C58</f>
        <v>0.15</v>
      </c>
      <c r="D65" s="100">
        <f>((NPV($C65,$J$13:$P$13,$R$13+$R$13*(1+$J$50)/($C65-$J$50)))-$J$49+J48)</f>
        <v>3959996093.001164</v>
      </c>
      <c r="E65" s="101"/>
      <c r="F65" s="102">
        <f>((NPV($C65,$J$25:$P$25,$R$25+$R$25*(1+$J$50)/($C65-$J$50)))-$J$49+J48)</f>
        <v>4334232100.7561169</v>
      </c>
      <c r="G65" s="101"/>
      <c r="H65" s="103">
        <f>((NPV($C65,$J$38:$P$38,$R$38+$R$38*(1+$J$50)/($C65-$J$50)))-$J$49+J48)</f>
        <v>6041142315.9799824</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169136958.000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91"/>
      <c r="G76" s="87"/>
      <c r="H76" s="91"/>
      <c r="I76" s="87"/>
      <c r="J76" s="91"/>
      <c r="M76" s="146"/>
      <c r="P76" s="79"/>
    </row>
    <row r="77" spans="1:20" ht="12.75" customHeight="1">
      <c r="B77" s="135" t="s">
        <v>140</v>
      </c>
      <c r="F77" s="23"/>
      <c r="G77" s="23"/>
      <c r="H77" s="23"/>
      <c r="I77" s="23"/>
      <c r="J77" s="23"/>
      <c r="M77" s="146"/>
    </row>
    <row r="78" spans="1:20" ht="12.75" customHeight="1">
      <c r="B78" s="135" t="s">
        <v>141</v>
      </c>
      <c r="C78" s="83"/>
      <c r="F78" s="87"/>
      <c r="G78" s="87"/>
      <c r="H78" s="87"/>
      <c r="I78" s="87"/>
      <c r="J78" s="87"/>
      <c r="M78" s="146"/>
    </row>
    <row r="79" spans="1:20" ht="12.75" customHeight="1">
      <c r="B79" s="135"/>
      <c r="C79" s="83"/>
      <c r="F79" s="87"/>
      <c r="G79" s="87"/>
      <c r="H79" s="87"/>
      <c r="I79" s="87"/>
      <c r="J79" s="87"/>
      <c r="M79" s="146"/>
    </row>
    <row r="80" spans="1:20" ht="12.75" customHeight="1">
      <c r="B80" s="148" t="s">
        <v>174</v>
      </c>
      <c r="C80" s="83"/>
      <c r="F80" s="87"/>
      <c r="G80" s="87"/>
      <c r="H80" s="87"/>
      <c r="I80" s="87"/>
      <c r="J80" s="87"/>
      <c r="M80" s="146"/>
    </row>
    <row r="81" spans="1:13" ht="12.75" customHeight="1">
      <c r="B81" s="135" t="s">
        <v>175</v>
      </c>
      <c r="C81" s="83"/>
      <c r="F81" s="87"/>
      <c r="G81" s="87"/>
      <c r="H81" s="87"/>
      <c r="I81" s="87"/>
      <c r="J81" s="87"/>
      <c r="M81" s="146"/>
    </row>
    <row r="82" spans="1:13" ht="12.75" customHeight="1">
      <c r="B82" s="135" t="s">
        <v>39</v>
      </c>
      <c r="C82" s="83"/>
      <c r="F82" s="87"/>
      <c r="G82" s="87"/>
      <c r="H82" s="87"/>
      <c r="I82" s="87"/>
      <c r="J82" s="87"/>
      <c r="M82" s="146"/>
    </row>
    <row r="83" spans="1:13" ht="12.75" customHeight="1">
      <c r="B83" s="135"/>
      <c r="C83" s="83"/>
      <c r="F83" s="87"/>
      <c r="G83" s="87"/>
      <c r="H83" s="87"/>
      <c r="I83" s="87"/>
      <c r="J83" s="87"/>
      <c r="M83" s="146"/>
    </row>
    <row r="84" spans="1:13" ht="12.75" customHeight="1">
      <c r="B84" s="150" t="s">
        <v>142</v>
      </c>
      <c r="C84" s="83"/>
      <c r="F84" s="87"/>
      <c r="G84" s="87"/>
      <c r="H84" s="87"/>
      <c r="I84" s="87"/>
      <c r="J84" s="87"/>
      <c r="M84" s="146"/>
    </row>
    <row r="85" spans="1:13" ht="12.75" customHeight="1">
      <c r="A85" s="151" t="s">
        <v>149</v>
      </c>
      <c r="B85" s="135" t="s">
        <v>100</v>
      </c>
      <c r="C85" s="8"/>
      <c r="D85" s="4"/>
      <c r="E85" s="23"/>
      <c r="F85" s="98"/>
      <c r="G85" s="97"/>
      <c r="H85" s="98"/>
      <c r="I85" s="97"/>
      <c r="J85" s="98"/>
      <c r="M85" s="146"/>
    </row>
    <row r="86" spans="1:13" ht="12.75" customHeight="1">
      <c r="A86" s="151" t="s">
        <v>155</v>
      </c>
      <c r="B86" s="135" t="s">
        <v>101</v>
      </c>
      <c r="C86" s="8"/>
      <c r="D86" s="4"/>
      <c r="E86" s="23"/>
      <c r="F86" s="98"/>
      <c r="G86" s="97"/>
      <c r="H86" s="98"/>
      <c r="I86" s="97"/>
      <c r="J86" s="98"/>
      <c r="M86" s="146"/>
    </row>
    <row r="87" spans="1:13" ht="12.75" customHeight="1">
      <c r="A87" s="151" t="s">
        <v>156</v>
      </c>
      <c r="B87" s="135" t="s">
        <v>143</v>
      </c>
      <c r="C87" s="8"/>
      <c r="D87" s="4"/>
      <c r="E87" s="23"/>
      <c r="F87" s="98"/>
      <c r="G87" s="97"/>
      <c r="H87" s="98"/>
      <c r="I87" s="97"/>
      <c r="J87" s="98"/>
      <c r="M87" s="146"/>
    </row>
    <row r="88" spans="1:13" ht="12.75" customHeight="1">
      <c r="A88" s="151" t="s">
        <v>157</v>
      </c>
      <c r="B88" s="135" t="s">
        <v>144</v>
      </c>
      <c r="F88" s="145"/>
      <c r="J88" s="142"/>
      <c r="M88" s="146"/>
    </row>
    <row r="89" spans="1:13" ht="12.75" customHeight="1">
      <c r="A89" s="151" t="s">
        <v>158</v>
      </c>
      <c r="B89" s="135" t="s">
        <v>145</v>
      </c>
      <c r="J89" s="142"/>
      <c r="M89" s="146"/>
    </row>
    <row r="90" spans="1:13" ht="12.75" customHeight="1">
      <c r="A90" s="151" t="s">
        <v>159</v>
      </c>
      <c r="B90" s="135" t="s">
        <v>154</v>
      </c>
      <c r="J90" s="146"/>
      <c r="M90" s="146"/>
    </row>
    <row r="91" spans="1:13" ht="12.75" customHeight="1">
      <c r="A91" s="151" t="s">
        <v>160</v>
      </c>
      <c r="B91" s="135" t="s">
        <v>41</v>
      </c>
      <c r="J91" s="146"/>
      <c r="M91" s="146"/>
    </row>
    <row r="92" spans="1:13" ht="12.75" customHeight="1">
      <c r="A92" s="151" t="s">
        <v>161</v>
      </c>
      <c r="B92" s="135" t="s">
        <v>146</v>
      </c>
      <c r="J92" s="146"/>
      <c r="M92" s="146"/>
    </row>
    <row r="93" spans="1:13" ht="12.75" customHeight="1">
      <c r="A93" s="151" t="s">
        <v>162</v>
      </c>
      <c r="B93" s="135" t="s">
        <v>148</v>
      </c>
      <c r="J93" s="146"/>
    </row>
    <row r="94" spans="1:13" ht="12.75" customHeight="1">
      <c r="A94" s="151" t="s">
        <v>163</v>
      </c>
      <c r="B94" s="135" t="s">
        <v>147</v>
      </c>
      <c r="J94" s="146"/>
    </row>
    <row r="95" spans="1:13">
      <c r="A95" s="151" t="s">
        <v>164</v>
      </c>
      <c r="B95" s="135" t="s">
        <v>150</v>
      </c>
    </row>
    <row r="96" spans="1:13">
      <c r="A96" s="151" t="s">
        <v>165</v>
      </c>
      <c r="B96" s="135" t="s">
        <v>151</v>
      </c>
    </row>
    <row r="97" spans="1:2">
      <c r="A97" s="151" t="s">
        <v>166</v>
      </c>
      <c r="B97" s="135" t="s">
        <v>152</v>
      </c>
    </row>
    <row r="98" spans="1:2">
      <c r="A98" s="151" t="s">
        <v>167</v>
      </c>
      <c r="B98" s="135" t="s">
        <v>153</v>
      </c>
    </row>
    <row r="99" spans="1:2">
      <c r="A99" s="151" t="s">
        <v>171</v>
      </c>
      <c r="B99" s="135" t="s">
        <v>168</v>
      </c>
    </row>
    <row r="100" spans="1:2">
      <c r="A100" s="151" t="s">
        <v>172</v>
      </c>
      <c r="B100" s="135" t="s">
        <v>170</v>
      </c>
    </row>
    <row r="101" spans="1:2">
      <c r="A101" s="151" t="s">
        <v>173</v>
      </c>
      <c r="B101" s="135" t="s">
        <v>169</v>
      </c>
    </row>
    <row r="102" spans="1:2">
      <c r="A102" s="151" t="s">
        <v>177</v>
      </c>
      <c r="B102" s="135" t="s">
        <v>178</v>
      </c>
    </row>
    <row r="103" spans="1:2">
      <c r="A103">
        <v>19</v>
      </c>
      <c r="B103" s="135" t="s">
        <v>189</v>
      </c>
    </row>
    <row r="104" spans="1:2">
      <c r="A104">
        <v>20</v>
      </c>
      <c r="B104" s="135" t="s">
        <v>190</v>
      </c>
    </row>
    <row r="105" spans="1:2">
      <c r="A105">
        <v>21</v>
      </c>
      <c r="B105" s="135" t="s">
        <v>191</v>
      </c>
    </row>
    <row r="109" spans="1:2">
      <c r="B109" s="168" t="s">
        <v>192</v>
      </c>
    </row>
    <row r="110" spans="1:2">
      <c r="B110" s="135" t="s">
        <v>193</v>
      </c>
    </row>
    <row r="117" spans="2:2">
      <c r="B117" t="s">
        <v>194</v>
      </c>
    </row>
    <row r="118" spans="2:2">
      <c r="B118" t="s">
        <v>195</v>
      </c>
    </row>
  </sheetData>
  <mergeCells count="1">
    <mergeCell ref="H46:J46"/>
  </mergeCells>
  <conditionalFormatting sqref="B6:T13">
    <cfRule type="expression" dxfId="203" priority="6">
      <formula>MOD(ROW(),2)=0</formula>
    </cfRule>
  </conditionalFormatting>
  <conditionalFormatting sqref="B18:T25">
    <cfRule type="expression" dxfId="202" priority="5">
      <formula>MOD(ROW(),2)=0</formula>
    </cfRule>
  </conditionalFormatting>
  <conditionalFormatting sqref="B31:T39">
    <cfRule type="expression" dxfId="201" priority="4">
      <formula>MOD(ROW(),2)=0</formula>
    </cfRule>
  </conditionalFormatting>
  <conditionalFormatting sqref="D56:H58">
    <cfRule type="expression" dxfId="200" priority="3">
      <formula>MOD(ROW(),2)=0</formula>
    </cfRule>
  </conditionalFormatting>
  <conditionalFormatting sqref="D63:H65">
    <cfRule type="expression" dxfId="199" priority="2">
      <formula>MOD(ROW(),2)=0</formula>
    </cfRule>
  </conditionalFormatting>
  <conditionalFormatting sqref="C47:E51">
    <cfRule type="expression" dxfId="198" priority="1">
      <formula>MOD(ROW(),2)=0</formula>
    </cfRule>
  </conditionalFormatting>
  <pageMargins left="0.75" right="0.75" top="1" bottom="1" header="0.5" footer="0.5"/>
  <pageSetup paperSize="119" orientation="portrait" horizontalDpi="300" verticalDpi="3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Z52"/>
  <sheetViews>
    <sheetView showGridLines="0" workbookViewId="0">
      <selection activeCell="F37" sqref="F37"/>
    </sheetView>
  </sheetViews>
  <sheetFormatPr defaultRowHeight="12.75"/>
  <cols>
    <col min="1" max="1" width="6.85546875" customWidth="1"/>
    <col min="2" max="2" width="13.42578125" customWidth="1"/>
    <col min="3" max="3" width="8.28515625" bestFit="1" customWidth="1"/>
    <col min="4" max="4" width="7.42578125" bestFit="1" customWidth="1"/>
    <col min="5" max="5" width="2" customWidth="1"/>
    <col min="6" max="6" width="23.7109375" customWidth="1"/>
    <col min="7" max="7" width="1.7109375" customWidth="1"/>
    <col min="8" max="8" width="17.7109375" bestFit="1" customWidth="1"/>
    <col min="9" max="9" width="1.7109375" customWidth="1"/>
    <col min="10" max="10" width="17.7109375" bestFit="1" customWidth="1"/>
    <col min="11" max="11" width="1.7109375" customWidth="1"/>
    <col min="12" max="12" width="14.42578125" bestFit="1" customWidth="1"/>
    <col min="13" max="13" width="8.28515625" bestFit="1" customWidth="1"/>
    <col min="14" max="14" width="14.42578125" bestFit="1" customWidth="1"/>
    <col min="15" max="15" width="1.7109375" customWidth="1"/>
    <col min="16" max="16" width="20.85546875" bestFit="1" customWidth="1"/>
    <col min="17" max="17" width="1.7109375" customWidth="1"/>
    <col min="18" max="18" width="17.7109375" bestFit="1" customWidth="1"/>
    <col min="19" max="19" width="1.7109375" customWidth="1"/>
    <col min="20" max="20" width="17.7109375" bestFit="1" customWidth="1"/>
    <col min="21" max="21" width="1.7109375" customWidth="1"/>
    <col min="22" max="22" width="8.42578125" bestFit="1" customWidth="1"/>
    <col min="23" max="23" width="1.7109375" customWidth="1"/>
    <col min="24" max="24" width="16"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H4" s="26">
        <v>2016</v>
      </c>
      <c r="J4" s="27">
        <f>H4+1</f>
        <v>2017</v>
      </c>
      <c r="K4" s="20"/>
      <c r="L4" s="27">
        <f>J4+1</f>
        <v>2018</v>
      </c>
      <c r="M4" s="20"/>
      <c r="N4" s="60">
        <f>L4+1</f>
        <v>2019</v>
      </c>
      <c r="O4" s="21"/>
      <c r="P4" s="60">
        <f>N4+1</f>
        <v>2020</v>
      </c>
      <c r="Q4" s="21"/>
      <c r="R4" s="60">
        <f>P4+1</f>
        <v>2021</v>
      </c>
      <c r="T4" s="28" t="s">
        <v>1</v>
      </c>
    </row>
    <row r="5" spans="1:24" ht="5.0999999999999996" customHeight="1"/>
    <row r="6" spans="1:24">
      <c r="A6" t="s">
        <v>26</v>
      </c>
      <c r="H6" s="75">
        <v>162883000</v>
      </c>
      <c r="J6" s="40">
        <f>H6*1.1</f>
        <v>179171300</v>
      </c>
      <c r="L6" s="40">
        <f>J6*1.1</f>
        <v>197088430.00000003</v>
      </c>
      <c r="N6" s="40">
        <f>L6*1.05</f>
        <v>206942851.50000003</v>
      </c>
      <c r="O6" s="41"/>
      <c r="P6" s="40">
        <f>N6*1.05</f>
        <v>217289994.07500005</v>
      </c>
      <c r="Q6" s="41"/>
      <c r="R6" s="40">
        <f>P6*1.05</f>
        <v>228154493.77875006</v>
      </c>
      <c r="T6" s="4">
        <f>(R6/J6)^(1/4)-1</f>
        <v>6.2282790108521668E-2</v>
      </c>
      <c r="X6" s="74">
        <f>R6*13</f>
        <v>2966008419.1237507</v>
      </c>
    </row>
    <row r="7" spans="1:24">
      <c r="A7" s="23" t="s">
        <v>22</v>
      </c>
      <c r="H7" s="71">
        <v>0</v>
      </c>
      <c r="J7" s="71">
        <v>0</v>
      </c>
      <c r="L7" s="71">
        <v>0</v>
      </c>
      <c r="N7" s="71">
        <v>0</v>
      </c>
      <c r="P7" s="71">
        <v>0</v>
      </c>
      <c r="R7" s="71">
        <v>0</v>
      </c>
      <c r="T7" s="4"/>
    </row>
    <row r="8" spans="1:24">
      <c r="B8" t="s">
        <v>27</v>
      </c>
      <c r="H8" s="72">
        <f>H6+H7</f>
        <v>162883000</v>
      </c>
      <c r="I8" s="73"/>
      <c r="J8" s="72">
        <f>J6+J7</f>
        <v>179171300</v>
      </c>
      <c r="K8" s="73"/>
      <c r="L8" s="72">
        <f>L6+L7</f>
        <v>197088430.00000003</v>
      </c>
      <c r="M8" s="73"/>
      <c r="N8" s="72">
        <f>N6+N7</f>
        <v>206942851.50000003</v>
      </c>
      <c r="O8" s="73"/>
      <c r="P8" s="72">
        <f>P6+P7</f>
        <v>217289994.07500005</v>
      </c>
      <c r="Q8" s="73"/>
      <c r="R8" s="72">
        <f>R6+R7</f>
        <v>228154493.77875006</v>
      </c>
      <c r="T8" s="4">
        <f>(R8/J8)^(1/4)-1</f>
        <v>6.2282790108521668E-2</v>
      </c>
    </row>
    <row r="9" spans="1:24" s="39" customFormat="1">
      <c r="A9" s="39" t="s">
        <v>21</v>
      </c>
      <c r="H9" s="37">
        <f>-$X$17*H8</f>
        <v>-57009050</v>
      </c>
      <c r="I9"/>
      <c r="J9" s="37">
        <f>-$X$17*J8</f>
        <v>-62709954.999999993</v>
      </c>
      <c r="K9"/>
      <c r="L9" s="37">
        <f>-$X$17*L8</f>
        <v>-68980950.5</v>
      </c>
      <c r="M9"/>
      <c r="N9" s="37">
        <f>-$X$17*N8</f>
        <v>-72429998.025000006</v>
      </c>
      <c r="O9"/>
      <c r="P9" s="37">
        <f>-$X$17*P8</f>
        <v>-76051497.926250011</v>
      </c>
      <c r="Q9"/>
      <c r="R9" s="37">
        <f>-$X$17*R8</f>
        <v>-79854072.822562516</v>
      </c>
    </row>
    <row r="10" spans="1:24" s="2" customFormat="1">
      <c r="B10" s="2" t="s">
        <v>3</v>
      </c>
      <c r="H10" s="19">
        <f>SUM(H8:H9)</f>
        <v>105873950</v>
      </c>
      <c r="J10" s="19">
        <f>SUM(J8:J9)</f>
        <v>116461345</v>
      </c>
      <c r="L10" s="19">
        <f>SUM(L8:L9)</f>
        <v>128107479.50000003</v>
      </c>
      <c r="N10" s="19">
        <f>SUM(N8:N9)</f>
        <v>134512853.47500002</v>
      </c>
      <c r="P10" s="19">
        <f>SUM(P8:P9)</f>
        <v>141238496.14875004</v>
      </c>
      <c r="R10" s="19">
        <f>SUM(R8:R9)</f>
        <v>148300420.95618755</v>
      </c>
      <c r="T10" s="4">
        <f>(R10/J10)^(1/4)-1</f>
        <v>6.2282790108521668E-2</v>
      </c>
    </row>
    <row r="11" spans="1:24" ht="5.0999999999999996" customHeight="1"/>
    <row r="12" spans="1:24">
      <c r="A12" s="10" t="s">
        <v>25</v>
      </c>
      <c r="H12" s="5">
        <v>0</v>
      </c>
      <c r="I12" s="41"/>
      <c r="J12" s="5">
        <v>0</v>
      </c>
      <c r="K12" s="41"/>
      <c r="L12" s="5">
        <v>0</v>
      </c>
      <c r="M12" s="41"/>
      <c r="N12" s="5">
        <v>0</v>
      </c>
      <c r="O12" s="41"/>
      <c r="P12" s="5">
        <v>0</v>
      </c>
      <c r="Q12" s="41"/>
      <c r="R12" s="5">
        <v>0</v>
      </c>
    </row>
    <row r="13" spans="1:24">
      <c r="A13" t="s">
        <v>23</v>
      </c>
      <c r="H13" s="5">
        <v>0</v>
      </c>
      <c r="I13" s="41"/>
      <c r="J13" s="5">
        <v>0</v>
      </c>
      <c r="K13" s="41"/>
      <c r="L13" s="5">
        <v>0</v>
      </c>
      <c r="M13" s="41"/>
      <c r="N13" s="5">
        <v>0</v>
      </c>
      <c r="O13" s="41"/>
      <c r="P13" s="5">
        <v>0</v>
      </c>
      <c r="Q13" s="41"/>
      <c r="R13" s="5">
        <v>0</v>
      </c>
    </row>
    <row r="14" spans="1:24">
      <c r="A14" t="s">
        <v>24</v>
      </c>
      <c r="H14" s="36">
        <v>0</v>
      </c>
      <c r="I14" s="41"/>
      <c r="J14" s="36">
        <v>0</v>
      </c>
      <c r="K14" s="41"/>
      <c r="L14" s="5">
        <v>0</v>
      </c>
      <c r="M14" s="41"/>
      <c r="N14" s="5">
        <v>0</v>
      </c>
      <c r="O14" s="41"/>
      <c r="P14" s="5">
        <v>0</v>
      </c>
      <c r="Q14" s="41"/>
      <c r="R14" s="5">
        <v>0</v>
      </c>
    </row>
    <row r="15" spans="1:24">
      <c r="B15" s="2" t="s">
        <v>19</v>
      </c>
      <c r="H15" s="19">
        <f>SUM(H10:H14)</f>
        <v>105873950</v>
      </c>
      <c r="J15" s="19">
        <f>SUM(J10:J14)</f>
        <v>116461345</v>
      </c>
      <c r="L15" s="77">
        <f>SUM(L10:L14)</f>
        <v>128107479.50000003</v>
      </c>
      <c r="N15" s="77">
        <f>SUM(N10:N14)</f>
        <v>134512853.47500002</v>
      </c>
      <c r="P15" s="77">
        <f>SUM(P10:P14)</f>
        <v>141238496.14875004</v>
      </c>
      <c r="R15" s="77">
        <f>SUM(R10:R14)</f>
        <v>148300420.95618755</v>
      </c>
      <c r="T15" s="4">
        <f>(R15/J15)^(1/4)-1</f>
        <v>6.2282790108521668E-2</v>
      </c>
    </row>
    <row r="16" spans="1:24">
      <c r="A16" s="2"/>
      <c r="H16" s="19"/>
      <c r="J16" s="19"/>
      <c r="L16" s="19"/>
      <c r="N16" s="19"/>
      <c r="P16" s="19"/>
      <c r="R16" s="19"/>
      <c r="T16" s="4"/>
    </row>
    <row r="17" spans="1:26">
      <c r="V17" t="s">
        <v>2</v>
      </c>
      <c r="X17" s="38">
        <v>0.35</v>
      </c>
    </row>
    <row r="18" spans="1:26">
      <c r="A18" s="24" t="s">
        <v>13</v>
      </c>
      <c r="B18" s="30"/>
      <c r="C18" s="30"/>
      <c r="D18" s="30"/>
      <c r="E18" s="30"/>
      <c r="F18" s="30"/>
      <c r="G18" s="30"/>
      <c r="H18" s="31"/>
      <c r="I18" s="30"/>
      <c r="J18" s="30"/>
      <c r="K18" s="30"/>
      <c r="L18" s="30"/>
      <c r="M18" s="30"/>
      <c r="N18" s="30"/>
      <c r="O18" s="30"/>
      <c r="P18" s="30"/>
      <c r="Q18" s="30"/>
      <c r="R18" s="30"/>
      <c r="S18" s="30"/>
      <c r="T18" s="30"/>
      <c r="V18" t="s">
        <v>14</v>
      </c>
      <c r="X18" s="35">
        <v>13000000</v>
      </c>
    </row>
    <row r="19" spans="1:26" ht="15">
      <c r="H19" s="16"/>
      <c r="V19" t="s">
        <v>15</v>
      </c>
      <c r="X19" s="76">
        <v>35052000</v>
      </c>
    </row>
    <row r="20" spans="1:26">
      <c r="F20" s="2" t="s">
        <v>5</v>
      </c>
      <c r="P20" s="2" t="s">
        <v>6</v>
      </c>
    </row>
    <row r="21" spans="1:26">
      <c r="F21" s="30" t="s">
        <v>16</v>
      </c>
      <c r="G21" s="30"/>
      <c r="H21" s="30"/>
      <c r="I21" s="30"/>
      <c r="J21" s="30"/>
      <c r="P21" s="30" t="str">
        <f>F21</f>
        <v>Terminal Perpetuity Growth Rate</v>
      </c>
      <c r="Q21" s="30"/>
      <c r="R21" s="30"/>
      <c r="S21" s="30"/>
      <c r="T21" s="30"/>
    </row>
    <row r="22" spans="1:26">
      <c r="F22" s="68">
        <v>0.01</v>
      </c>
      <c r="G22" s="69"/>
      <c r="H22" s="70">
        <v>0.02</v>
      </c>
      <c r="I22" s="69"/>
      <c r="J22" s="68">
        <v>2.5000000000000001E-2</v>
      </c>
      <c r="P22" s="66">
        <f>F22</f>
        <v>0.01</v>
      </c>
      <c r="Q22" s="65"/>
      <c r="R22" s="66">
        <f>H22</f>
        <v>0.02</v>
      </c>
      <c r="S22" s="65"/>
      <c r="T22" s="66">
        <f>J22</f>
        <v>2.5000000000000001E-2</v>
      </c>
      <c r="X22" s="78">
        <f>H15/X19</f>
        <v>3.0204824261097798</v>
      </c>
    </row>
    <row r="23" spans="1:26">
      <c r="C23" s="8" t="s">
        <v>8</v>
      </c>
      <c r="D23" s="4">
        <v>0.04</v>
      </c>
      <c r="E23" s="42"/>
      <c r="F23" s="11">
        <f>NPV($D23,$J$15:$P$15,$R$15+$R$15*(1+F$22)/($D23-F$22))</f>
        <v>4696331369.4762211</v>
      </c>
      <c r="G23" s="10"/>
      <c r="H23" s="11">
        <f>NPV($D23,$J$15:$P$15,$R$15+$R$15*(1+H$22)/($D23-H$22))</f>
        <v>6809128392.2232475</v>
      </c>
      <c r="I23" s="10"/>
      <c r="J23" s="49">
        <f>NPV($D23,$J$15:$P$15,$R$15+$R$15*(1+J$22)/($D23-J$22))</f>
        <v>8921925414.9702759</v>
      </c>
      <c r="M23" s="8" t="s">
        <v>8</v>
      </c>
      <c r="N23" s="4">
        <f>D23</f>
        <v>0.04</v>
      </c>
      <c r="O23" s="42"/>
      <c r="P23" s="11">
        <f>F23-$X$18</f>
        <v>4683331369.4762211</v>
      </c>
      <c r="Q23" s="10"/>
      <c r="R23" s="11">
        <f>H23-$X$18</f>
        <v>6796128392.2232475</v>
      </c>
      <c r="S23" s="10"/>
      <c r="T23" s="49">
        <f>J23-$X$18</f>
        <v>8908925414.9702759</v>
      </c>
      <c r="X23" s="78">
        <f>R15/X19</f>
        <v>4.2308690219156553</v>
      </c>
      <c r="Z23" s="80">
        <f>(X23-X22)/X22</f>
        <v>0.40072625000000045</v>
      </c>
    </row>
    <row r="24" spans="1:26">
      <c r="C24" s="8" t="s">
        <v>9</v>
      </c>
      <c r="D24" s="4">
        <v>0.15</v>
      </c>
      <c r="E24" s="42"/>
      <c r="F24" s="43">
        <f>NPV($D24,$J$15:$P$15,$R$15+$R$15*(1+F$22)/($D24-F$22))</f>
        <v>972988111.66412425</v>
      </c>
      <c r="G24" s="44"/>
      <c r="H24" s="43">
        <f>NPV($D24,$J$15:$P$15,$R$15+$R$15*(1+H$22)/($D24-H$22))</f>
        <v>1019576708.9193511</v>
      </c>
      <c r="I24" s="44"/>
      <c r="J24" s="50">
        <f>NPV($D24,$J$15:$P$15,$R$15+$R$15*(1+J$22)/($D24-J$22))</f>
        <v>1045666323.3822784</v>
      </c>
      <c r="M24" s="8" t="s">
        <v>9</v>
      </c>
      <c r="N24" s="4">
        <f>D24</f>
        <v>0.15</v>
      </c>
      <c r="O24" s="42"/>
      <c r="P24" s="43">
        <f>F24-$X$18</f>
        <v>959988111.66412425</v>
      </c>
      <c r="Q24" s="44"/>
      <c r="R24" s="43">
        <f>H24-$X$18</f>
        <v>1006576708.9193511</v>
      </c>
      <c r="S24" s="44"/>
      <c r="T24" s="50">
        <f>J24-$X$18</f>
        <v>1032666323.3822784</v>
      </c>
    </row>
    <row r="25" spans="1:26">
      <c r="C25" s="8" t="s">
        <v>10</v>
      </c>
      <c r="D25" s="4">
        <v>0.08</v>
      </c>
      <c r="E25" s="42"/>
      <c r="F25" s="45">
        <f>NPV($D25,$J$15:$P$15,$R$15+$R$15*(1+F$22)/($D25-F$22))</f>
        <v>1985478910.5046761</v>
      </c>
      <c r="G25" s="46"/>
      <c r="H25" s="45">
        <f>NPV($D25,$J$15:$P$15,$R$15+$R$15*(1+H$22)/($D25-H$22))</f>
        <v>2245015188.0881968</v>
      </c>
      <c r="I25" s="46"/>
      <c r="J25" s="55">
        <f>NPV($D25,$J$15:$P$15,$R$15+$R$15*(1+J$22)/($D25-J$22))</f>
        <v>2410174637.459528</v>
      </c>
      <c r="M25" s="8" t="s">
        <v>10</v>
      </c>
      <c r="N25" s="4">
        <f>D25</f>
        <v>0.08</v>
      </c>
      <c r="O25" s="42"/>
      <c r="P25" s="45">
        <f>F25-$X$18</f>
        <v>1972478910.5046761</v>
      </c>
      <c r="Q25" s="46"/>
      <c r="R25" s="45">
        <f>H25-$X$18</f>
        <v>2232015188.0881968</v>
      </c>
      <c r="S25" s="46"/>
      <c r="T25" s="55">
        <f>J25-$X$18</f>
        <v>2397174637.459528</v>
      </c>
    </row>
    <row r="26" spans="1:26">
      <c r="E26" s="23"/>
      <c r="F26" s="23"/>
      <c r="O26" s="23"/>
      <c r="P26" s="23"/>
    </row>
    <row r="27" spans="1:26">
      <c r="F27" s="2" t="s">
        <v>17</v>
      </c>
      <c r="P27" s="2" t="s">
        <v>12</v>
      </c>
    </row>
    <row r="28" spans="1:26">
      <c r="F28" s="30" t="str">
        <f>F21</f>
        <v>Terminal Perpetuity Growth Rate</v>
      </c>
      <c r="G28" s="30"/>
      <c r="H28" s="30"/>
      <c r="I28" s="30"/>
      <c r="J28" s="30"/>
      <c r="P28" s="30" t="str">
        <f>F28</f>
        <v>Terminal Perpetuity Growth Rate</v>
      </c>
      <c r="Q28" s="30"/>
      <c r="R28" s="30"/>
      <c r="S28" s="30"/>
      <c r="T28" s="30"/>
    </row>
    <row r="29" spans="1:26">
      <c r="F29" s="66">
        <f>F22</f>
        <v>0.01</v>
      </c>
      <c r="G29" s="65"/>
      <c r="H29" s="66">
        <f>H22</f>
        <v>0.02</v>
      </c>
      <c r="I29" s="65"/>
      <c r="J29" s="66">
        <f>J22</f>
        <v>2.5000000000000001E-2</v>
      </c>
      <c r="P29" s="66">
        <f>P22</f>
        <v>0.01</v>
      </c>
      <c r="Q29" s="65"/>
      <c r="R29" s="66">
        <f>R22</f>
        <v>0.02</v>
      </c>
      <c r="S29" s="65"/>
      <c r="T29" s="66">
        <f>T22</f>
        <v>2.5000000000000001E-2</v>
      </c>
    </row>
    <row r="30" spans="1:26">
      <c r="C30" s="8" t="s">
        <v>8</v>
      </c>
      <c r="D30" s="4">
        <f>D23</f>
        <v>0.04</v>
      </c>
      <c r="E30" s="42"/>
      <c r="F30" s="18">
        <f>$R$15*(1+F$29)/($D30-F$29)/$R$6</f>
        <v>21.883333333333336</v>
      </c>
      <c r="G30" s="12"/>
      <c r="H30" s="18">
        <f>$R$15*(1+H$29)/($D30-H$29)/$R$6</f>
        <v>33.15</v>
      </c>
      <c r="I30" s="17"/>
      <c r="J30" s="53">
        <f>$R$15*(1+J$29)/($D30-J$29)/$R$6</f>
        <v>44.416666666666664</v>
      </c>
      <c r="M30" s="8" t="s">
        <v>8</v>
      </c>
      <c r="N30" s="4">
        <f>D30</f>
        <v>0.04</v>
      </c>
      <c r="O30" s="42"/>
      <c r="P30" s="15">
        <f>P23/$X$19</f>
        <v>133.61095998733941</v>
      </c>
      <c r="Q30" s="14"/>
      <c r="R30" s="15">
        <f>R23/$X$19</f>
        <v>193.88703618119501</v>
      </c>
      <c r="S30" s="14"/>
      <c r="T30" s="51">
        <f>T23/$X$19</f>
        <v>254.16311237505067</v>
      </c>
    </row>
    <row r="31" spans="1:26">
      <c r="C31" s="8" t="s">
        <v>9</v>
      </c>
      <c r="D31" s="4">
        <f>D24</f>
        <v>0.15</v>
      </c>
      <c r="E31" s="42"/>
      <c r="F31" s="18">
        <f>$R$15*(1+F$29)/($D31-F$29)/$R$6</f>
        <v>4.6892857142857149</v>
      </c>
      <c r="G31" s="17"/>
      <c r="H31" s="18">
        <f>$R$15*(1+H$29)/($D31-H$29)/$R$6</f>
        <v>5.0999999999999996</v>
      </c>
      <c r="I31" s="17"/>
      <c r="J31" s="54">
        <f>$R$15*(1+J$29)/($D31-J$29)/$R$6</f>
        <v>5.33</v>
      </c>
      <c r="M31" s="8" t="s">
        <v>9</v>
      </c>
      <c r="N31" s="4">
        <f>D31</f>
        <v>0.15</v>
      </c>
      <c r="O31" s="42"/>
      <c r="P31" s="47">
        <f>P24/$X$19</f>
        <v>27.387541699878017</v>
      </c>
      <c r="Q31" s="48"/>
      <c r="R31" s="47">
        <f>R24/$X$19</f>
        <v>28.71666977403147</v>
      </c>
      <c r="S31" s="48"/>
      <c r="T31" s="52">
        <f>T24/$X$19</f>
        <v>29.460981495557412</v>
      </c>
    </row>
    <row r="32" spans="1:26">
      <c r="C32" s="8" t="s">
        <v>10</v>
      </c>
      <c r="D32" s="4">
        <f>D25</f>
        <v>0.08</v>
      </c>
      <c r="E32" s="42"/>
      <c r="F32" s="32">
        <f>$R$15*(1+F$29)/($D32-F$29)/$R$6</f>
        <v>9.3785714285714281</v>
      </c>
      <c r="G32" s="34"/>
      <c r="H32" s="32">
        <f>$R$15*(1+H$29)/($D32-H$29)/$R$6</f>
        <v>11.049999999999999</v>
      </c>
      <c r="I32" s="34"/>
      <c r="J32" s="59">
        <f>$R$15*(1+J$29)/($D32-J$29)/$R$6</f>
        <v>12.113636363636363</v>
      </c>
      <c r="M32" s="8" t="s">
        <v>10</v>
      </c>
      <c r="N32" s="4">
        <f>D32</f>
        <v>0.08</v>
      </c>
      <c r="O32" s="42"/>
      <c r="P32" s="57">
        <f>P25/$X$19</f>
        <v>56.27293479700662</v>
      </c>
      <c r="Q32" s="56"/>
      <c r="R32" s="57">
        <f>R25/$X$19</f>
        <v>63.677256307434575</v>
      </c>
      <c r="S32" s="56"/>
      <c r="T32" s="58">
        <f>T25/$X$19</f>
        <v>68.389097268615998</v>
      </c>
    </row>
    <row r="33" spans="1:18">
      <c r="E33" s="23"/>
      <c r="F33" s="23"/>
      <c r="O33" s="23"/>
      <c r="P33" s="23"/>
    </row>
    <row r="34" spans="1:18">
      <c r="A34" s="1" t="str">
        <f>"(1)  Assumes net debt of "&amp;TEXT(X18,"$0.0")&amp;"mm as of 5/16/08."</f>
        <v>(1)  Assumes net debt of $13000000.0mm as of 5/16/08.</v>
      </c>
    </row>
    <row r="35" spans="1:18">
      <c r="A35" s="1" t="str">
        <f>"(2)  Assumes outstanding diluted shares of "&amp;TEXT(X19,"0.000")&amp;" million."</f>
        <v>(2)  Assumes outstanding diluted shares of 35052000.000 million.</v>
      </c>
    </row>
    <row r="36" spans="1:18">
      <c r="P36">
        <v>30</v>
      </c>
    </row>
    <row r="37" spans="1:18">
      <c r="P37">
        <v>56</v>
      </c>
    </row>
    <row r="38" spans="1:18">
      <c r="P38">
        <f>P37-P36</f>
        <v>26</v>
      </c>
    </row>
    <row r="39" spans="1:18" ht="12.75" customHeight="1">
      <c r="P39" s="79">
        <f>P38/P36</f>
        <v>0.8666666666666667</v>
      </c>
      <c r="R39">
        <f>P39/5</f>
        <v>0.17333333333333334</v>
      </c>
    </row>
    <row r="40" spans="1:18" ht="12.75" customHeight="1"/>
    <row r="41" spans="1:18" ht="12.75" customHeight="1"/>
    <row r="42" spans="1:18" ht="12.75" customHeight="1"/>
    <row r="43" spans="1:18" ht="12.75" customHeight="1"/>
    <row r="44" spans="1:18" ht="12.75" customHeight="1"/>
    <row r="45" spans="1:18" ht="12.75" customHeight="1"/>
    <row r="46" spans="1:18" ht="12.75" customHeight="1"/>
    <row r="47" spans="1:18" ht="12.75" customHeight="1"/>
    <row r="48" spans="1:18" ht="12.75" customHeight="1"/>
    <row r="49" ht="12.75" customHeight="1"/>
    <row r="50" ht="12.75" customHeight="1"/>
    <row r="51" ht="12.75" customHeight="1"/>
    <row r="52" ht="12.75" customHeight="1"/>
  </sheetData>
  <phoneticPr fontId="12" type="noConversion"/>
  <pageMargins left="0.75" right="0.75" top="1" bottom="1" header="0.5" footer="0.5"/>
  <pageSetup paperSize="11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39997558519241921"/>
  </sheetPr>
  <dimension ref="A1:BB175"/>
  <sheetViews>
    <sheetView showGridLines="0" topLeftCell="A34" zoomScaleNormal="100" workbookViewId="0">
      <selection activeCell="A55" sqref="A55"/>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 bestFit="1"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 min="35" max="35" width="17.5703125" bestFit="1" customWidth="1"/>
    <col min="36" max="36" width="12" bestFit="1" customWidth="1"/>
    <col min="38" max="38" width="18.42578125" bestFit="1" customWidth="1"/>
    <col min="39" max="39" width="9.5703125" bestFit="1" customWidth="1"/>
    <col min="40" max="40" width="8.7109375" bestFit="1" customWidth="1"/>
    <col min="41" max="41" width="10.140625" bestFit="1" customWidth="1"/>
    <col min="42" max="42" width="7.28515625" bestFit="1" customWidth="1"/>
    <col min="43" max="43" width="9" bestFit="1" customWidth="1"/>
    <col min="44" max="44" width="11.28515625" bestFit="1" customWidth="1"/>
    <col min="45" max="45" width="6.42578125" bestFit="1" customWidth="1"/>
    <col min="46" max="46" width="4" bestFit="1" customWidth="1"/>
    <col min="47" max="47" width="5.28515625" bestFit="1" customWidth="1"/>
    <col min="52" max="52" width="30.5703125" bestFit="1" customWidth="1"/>
    <col min="53" max="53" width="32.7109375" bestFit="1" customWidth="1"/>
    <col min="54" max="54" width="10.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2019</v>
      </c>
      <c r="J4" s="27">
        <f>H4+1</f>
        <v>2020</v>
      </c>
      <c r="K4" s="20"/>
      <c r="L4" s="27">
        <f>J4+1</f>
        <v>2021</v>
      </c>
      <c r="M4" s="20"/>
      <c r="N4" s="60">
        <f>L4+1</f>
        <v>2022</v>
      </c>
      <c r="O4" s="21"/>
      <c r="P4" s="60">
        <f>N4+1</f>
        <v>2023</v>
      </c>
      <c r="Q4" s="21"/>
      <c r="R4" s="60">
        <f>P4+1</f>
        <v>2024</v>
      </c>
      <c r="T4" s="28" t="s">
        <v>33</v>
      </c>
    </row>
    <row r="5" spans="1:24" ht="5.0999999999999996" customHeight="1"/>
    <row r="6" spans="1:24">
      <c r="B6" t="s">
        <v>26</v>
      </c>
      <c r="H6" s="75">
        <v>7000000000</v>
      </c>
      <c r="J6" s="75">
        <f>H6*C47</f>
        <v>6860000000</v>
      </c>
      <c r="K6" s="121"/>
      <c r="L6" s="75">
        <f>J6*C48</f>
        <v>6722800000</v>
      </c>
      <c r="M6" s="121"/>
      <c r="N6" s="75">
        <f>L6*C49</f>
        <v>6521116000</v>
      </c>
      <c r="O6" s="75"/>
      <c r="P6" s="75">
        <f>N6*C50</f>
        <v>6260271360</v>
      </c>
      <c r="Q6" s="75"/>
      <c r="R6" s="75">
        <f>P6*C51</f>
        <v>5947257792</v>
      </c>
      <c r="T6" s="4">
        <f>(R6/J6)^(1/4)-1</f>
        <v>-3.5064771795532579E-2</v>
      </c>
    </row>
    <row r="7" spans="1:24">
      <c r="B7" s="23" t="s">
        <v>22</v>
      </c>
      <c r="H7" s="71">
        <v>0</v>
      </c>
      <c r="J7" s="71">
        <v>0</v>
      </c>
      <c r="L7" s="71">
        <v>0</v>
      </c>
      <c r="N7" s="71">
        <v>0</v>
      </c>
      <c r="P7" s="71">
        <v>0</v>
      </c>
      <c r="R7" s="71">
        <v>0</v>
      </c>
      <c r="T7" s="4"/>
    </row>
    <row r="8" spans="1:24">
      <c r="B8" t="s">
        <v>27</v>
      </c>
      <c r="H8" s="115">
        <f>H6+H7</f>
        <v>7000000000</v>
      </c>
      <c r="I8" s="73"/>
      <c r="J8" s="115">
        <f>J6+J7</f>
        <v>6860000000</v>
      </c>
      <c r="K8" s="116"/>
      <c r="L8" s="115">
        <f>L6+L7</f>
        <v>6722800000</v>
      </c>
      <c r="M8" s="116"/>
      <c r="N8" s="115">
        <f>N6+N7</f>
        <v>6521116000</v>
      </c>
      <c r="O8" s="116"/>
      <c r="P8" s="115">
        <f>P6+P7</f>
        <v>6260271360</v>
      </c>
      <c r="Q8" s="116"/>
      <c r="R8" s="115">
        <f>R6+R7</f>
        <v>5947257792</v>
      </c>
      <c r="T8" s="4">
        <f>(R8/J8)^(1/4)-1</f>
        <v>-3.5064771795532579E-2</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7000000000</v>
      </c>
      <c r="J10" s="118">
        <f>SUM(J8:J9)</f>
        <v>6860000000</v>
      </c>
      <c r="K10" s="119"/>
      <c r="L10" s="118">
        <f>SUM(L8:L9)</f>
        <v>6722800000</v>
      </c>
      <c r="M10" s="119"/>
      <c r="N10" s="118">
        <f>SUM(N8:N9)</f>
        <v>6521116000</v>
      </c>
      <c r="O10" s="119"/>
      <c r="P10" s="118">
        <f>SUM(P8:P9)</f>
        <v>6260271360</v>
      </c>
      <c r="Q10" s="119"/>
      <c r="R10" s="118">
        <f>SUM(R8:R9)</f>
        <v>5947257792</v>
      </c>
      <c r="T10" s="4">
        <f>(R10/J10)^(1/4)-1</f>
        <v>-3.5064771795532579E-2</v>
      </c>
    </row>
    <row r="11" spans="1:24">
      <c r="B11" s="10" t="s">
        <v>25</v>
      </c>
      <c r="H11" s="112">
        <v>464000000</v>
      </c>
      <c r="I11" s="112"/>
      <c r="J11" s="112">
        <f>H11</f>
        <v>464000000</v>
      </c>
      <c r="K11" s="112"/>
      <c r="L11" s="112">
        <f>J11</f>
        <v>464000000</v>
      </c>
      <c r="M11" s="112"/>
      <c r="N11" s="112">
        <f>L11</f>
        <v>464000000</v>
      </c>
      <c r="O11" s="112"/>
      <c r="P11" s="112">
        <f>N11</f>
        <v>464000000</v>
      </c>
      <c r="Q11" s="112"/>
      <c r="R11" s="112">
        <f>P11</f>
        <v>464000000</v>
      </c>
    </row>
    <row r="12" spans="1:24">
      <c r="B12" t="s">
        <v>23</v>
      </c>
      <c r="H12" s="112">
        <v>-700000000</v>
      </c>
      <c r="I12" s="112"/>
      <c r="J12" s="112">
        <f>H12</f>
        <v>-700000000</v>
      </c>
      <c r="K12" s="112"/>
      <c r="L12" s="112">
        <f>J12</f>
        <v>-700000000</v>
      </c>
      <c r="M12" s="112"/>
      <c r="N12" s="112">
        <f>L12</f>
        <v>-700000000</v>
      </c>
      <c r="O12" s="112"/>
      <c r="P12" s="112">
        <f>N12</f>
        <v>-700000000</v>
      </c>
      <c r="Q12" s="112"/>
      <c r="R12" s="112">
        <f>P12</f>
        <v>-700000000</v>
      </c>
      <c r="X12" s="81"/>
    </row>
    <row r="13" spans="1:24">
      <c r="B13" s="2" t="s">
        <v>19</v>
      </c>
      <c r="H13" s="120">
        <f>SUM(H10:H12)</f>
        <v>6764000000</v>
      </c>
      <c r="J13" s="120">
        <f>SUM(J10:J12)</f>
        <v>6624000000</v>
      </c>
      <c r="K13" s="114"/>
      <c r="L13" s="120">
        <f>SUM(L10:L12)</f>
        <v>6486800000</v>
      </c>
      <c r="M13" s="114"/>
      <c r="N13" s="120">
        <f>SUM(N10:N12)</f>
        <v>6285116000</v>
      </c>
      <c r="O13" s="114"/>
      <c r="P13" s="120">
        <f>SUM(P10:P12)</f>
        <v>6024271360</v>
      </c>
      <c r="Q13" s="114"/>
      <c r="R13" s="120">
        <f>SUM(R10:R12)</f>
        <v>5711257792</v>
      </c>
      <c r="T13" s="4">
        <f>(R13/J13)^(1/4)-1</f>
        <v>-3.6386535016767252E-2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f>H4</f>
        <v>2019</v>
      </c>
      <c r="J16" s="27">
        <f>H16+1</f>
        <v>2020</v>
      </c>
      <c r="K16" s="20"/>
      <c r="L16" s="27">
        <f>J16+1</f>
        <v>2021</v>
      </c>
      <c r="M16" s="20"/>
      <c r="N16" s="60">
        <f>L16+1</f>
        <v>2022</v>
      </c>
      <c r="O16" s="21"/>
      <c r="P16" s="60">
        <f>N16+1</f>
        <v>2023</v>
      </c>
      <c r="Q16" s="21"/>
      <c r="R16" s="60">
        <f>P16+1</f>
        <v>2024</v>
      </c>
      <c r="T16" s="28" t="s">
        <v>33</v>
      </c>
    </row>
    <row r="18" spans="1:20">
      <c r="B18" t="s">
        <v>26</v>
      </c>
      <c r="H18" s="75">
        <f>H6</f>
        <v>7000000000</v>
      </c>
      <c r="J18" s="75">
        <f>H18*D47</f>
        <v>7000000000</v>
      </c>
      <c r="K18" s="121"/>
      <c r="L18" s="75">
        <f>J18*D48</f>
        <v>7000000000</v>
      </c>
      <c r="M18" s="121"/>
      <c r="N18" s="75">
        <f>L18*D49</f>
        <v>7000000000</v>
      </c>
      <c r="O18" s="75"/>
      <c r="P18" s="75">
        <f>N18*D50</f>
        <v>7000000000</v>
      </c>
      <c r="Q18" s="75"/>
      <c r="R18" s="75">
        <f>P18*D51</f>
        <v>7000000000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7000000000</v>
      </c>
      <c r="I20" s="116"/>
      <c r="J20" s="115">
        <f>J18+J19</f>
        <v>7000000000</v>
      </c>
      <c r="K20" s="116"/>
      <c r="L20" s="115">
        <f>L18+L19</f>
        <v>7000000000</v>
      </c>
      <c r="M20" s="116"/>
      <c r="N20" s="115">
        <f>N18+N19</f>
        <v>7000000000</v>
      </c>
      <c r="O20" s="116"/>
      <c r="P20" s="115">
        <f>P18+P19</f>
        <v>7000000000</v>
      </c>
      <c r="Q20" s="116"/>
      <c r="R20" s="115">
        <f>R18+R19</f>
        <v>7000000000</v>
      </c>
      <c r="T20" s="4">
        <f>(R20/J20)^(1/4)-1</f>
        <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7000000000</v>
      </c>
      <c r="I22" s="119"/>
      <c r="J22" s="118">
        <f>SUM(J20:J21)</f>
        <v>7000000000</v>
      </c>
      <c r="K22" s="119"/>
      <c r="L22" s="118">
        <f>SUM(L20:L21)</f>
        <v>7000000000</v>
      </c>
      <c r="M22" s="119"/>
      <c r="N22" s="118">
        <f>SUM(N20:N21)</f>
        <v>7000000000</v>
      </c>
      <c r="O22" s="119"/>
      <c r="P22" s="118">
        <f>SUM(P20:P21)</f>
        <v>7000000000</v>
      </c>
      <c r="Q22" s="119"/>
      <c r="R22" s="118">
        <f>SUM(R20:R21)</f>
        <v>7000000000</v>
      </c>
      <c r="S22" s="2"/>
      <c r="T22" s="4">
        <f>(R22/J22)^(1/4)-1</f>
        <v>0</v>
      </c>
    </row>
    <row r="23" spans="1:20">
      <c r="B23" s="10" t="s">
        <v>25</v>
      </c>
      <c r="H23" s="112">
        <f>H11</f>
        <v>464000000</v>
      </c>
      <c r="I23" s="112"/>
      <c r="J23" s="112">
        <f>J11</f>
        <v>464000000</v>
      </c>
      <c r="K23" s="112"/>
      <c r="L23" s="112">
        <f>L11</f>
        <v>464000000</v>
      </c>
      <c r="M23" s="112"/>
      <c r="N23" s="112">
        <f>N11</f>
        <v>464000000</v>
      </c>
      <c r="O23" s="112"/>
      <c r="P23" s="112">
        <f>P11</f>
        <v>464000000</v>
      </c>
      <c r="Q23" s="112"/>
      <c r="R23" s="112">
        <f>R11</f>
        <v>464000000</v>
      </c>
    </row>
    <row r="24" spans="1:20">
      <c r="B24" t="s">
        <v>23</v>
      </c>
      <c r="H24" s="112">
        <f>H12</f>
        <v>-700000000</v>
      </c>
      <c r="I24" s="112"/>
      <c r="J24" s="112">
        <f>J12</f>
        <v>-700000000</v>
      </c>
      <c r="K24" s="112"/>
      <c r="L24" s="112">
        <f>L12</f>
        <v>-700000000</v>
      </c>
      <c r="M24" s="112"/>
      <c r="N24" s="112">
        <f>N12</f>
        <v>-700000000</v>
      </c>
      <c r="O24" s="112"/>
      <c r="P24" s="112">
        <f>P12</f>
        <v>-700000000</v>
      </c>
      <c r="Q24" s="112"/>
      <c r="R24" s="112">
        <f>R12</f>
        <v>-700000000</v>
      </c>
    </row>
    <row r="25" spans="1:20">
      <c r="B25" s="2" t="s">
        <v>19</v>
      </c>
      <c r="H25" s="120">
        <f>SUM(H22:H24)</f>
        <v>6764000000</v>
      </c>
      <c r="I25" s="114"/>
      <c r="J25" s="120">
        <f>SUM(J22:J24)</f>
        <v>6764000000</v>
      </c>
      <c r="K25" s="114"/>
      <c r="L25" s="120">
        <f>SUM(L22:L24)</f>
        <v>6764000000</v>
      </c>
      <c r="M25" s="114"/>
      <c r="N25" s="120">
        <f>SUM(N22:N24)</f>
        <v>6764000000</v>
      </c>
      <c r="O25" s="114"/>
      <c r="P25" s="120">
        <f>SUM(P22:P24)</f>
        <v>6764000000</v>
      </c>
      <c r="Q25" s="114"/>
      <c r="R25" s="120">
        <f>SUM(R22:R24)</f>
        <v>6764000000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f>H4</f>
        <v>2019</v>
      </c>
      <c r="J29" s="27">
        <f>H29+1</f>
        <v>2020</v>
      </c>
      <c r="K29" s="20"/>
      <c r="L29" s="27">
        <f>J29+1</f>
        <v>2021</v>
      </c>
      <c r="M29" s="20"/>
      <c r="N29" s="60">
        <f>L29+1</f>
        <v>2022</v>
      </c>
      <c r="O29" s="21"/>
      <c r="P29" s="60">
        <f>N29+1</f>
        <v>2023</v>
      </c>
      <c r="Q29" s="21"/>
      <c r="R29" s="60">
        <f>P29+1</f>
        <v>2024</v>
      </c>
      <c r="T29" s="28" t="s">
        <v>33</v>
      </c>
    </row>
    <row r="31" spans="1:20">
      <c r="B31" t="s">
        <v>26</v>
      </c>
      <c r="H31" s="75">
        <f>H6</f>
        <v>7000000000</v>
      </c>
      <c r="J31" s="75">
        <f>H31*E47</f>
        <v>7070000000</v>
      </c>
      <c r="K31" s="121"/>
      <c r="L31" s="75">
        <f>J31*E48</f>
        <v>8484000000</v>
      </c>
      <c r="M31" s="121"/>
      <c r="N31" s="75">
        <f>L31*E49</f>
        <v>10180800000</v>
      </c>
      <c r="O31" s="75"/>
      <c r="P31" s="75">
        <f>N31*E50</f>
        <v>12216960000</v>
      </c>
      <c r="Q31" s="75"/>
      <c r="R31" s="75">
        <f>P31*E51</f>
        <v>14660352000</v>
      </c>
      <c r="T31" s="4">
        <f>(R31/J31)^(1/4)-1</f>
        <v>0.19999999999999996</v>
      </c>
    </row>
    <row r="32" spans="1:20">
      <c r="B32" s="23" t="s">
        <v>22</v>
      </c>
      <c r="H32" s="71">
        <f>H7</f>
        <v>0</v>
      </c>
      <c r="J32" s="71">
        <f>J7</f>
        <v>0</v>
      </c>
      <c r="L32" s="71">
        <f>L7</f>
        <v>0</v>
      </c>
      <c r="N32" s="71">
        <f>N7</f>
        <v>0</v>
      </c>
      <c r="P32" s="71">
        <f>P7</f>
        <v>0</v>
      </c>
      <c r="R32" s="71">
        <f>R7</f>
        <v>0</v>
      </c>
      <c r="T32" s="4"/>
    </row>
    <row r="33" spans="1:24">
      <c r="B33" t="s">
        <v>27</v>
      </c>
      <c r="H33" s="115">
        <f>H31+H32</f>
        <v>7000000000</v>
      </c>
      <c r="I33" s="116"/>
      <c r="J33" s="115">
        <f>J31+J32</f>
        <v>7070000000</v>
      </c>
      <c r="K33" s="116"/>
      <c r="L33" s="115">
        <f>L31+L32</f>
        <v>8484000000</v>
      </c>
      <c r="M33" s="116"/>
      <c r="N33" s="115">
        <f>N31+N32</f>
        <v>10180800000</v>
      </c>
      <c r="O33" s="116"/>
      <c r="P33" s="115">
        <f>P31+P32</f>
        <v>12216960000</v>
      </c>
      <c r="Q33" s="116"/>
      <c r="R33" s="115">
        <f>R31+R32</f>
        <v>14660352000</v>
      </c>
      <c r="T33" s="4">
        <f>(R33/J33)^(1/4)-1</f>
        <v>0.19999999999999996</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7000000000</v>
      </c>
      <c r="I35" s="119"/>
      <c r="J35" s="118">
        <f>SUM(J33:J34)</f>
        <v>7070000000</v>
      </c>
      <c r="K35" s="119"/>
      <c r="L35" s="118">
        <f>SUM(L33:L34)</f>
        <v>8484000000</v>
      </c>
      <c r="M35" s="119"/>
      <c r="N35" s="118">
        <f>SUM(N33:N34)</f>
        <v>10180800000</v>
      </c>
      <c r="O35" s="119"/>
      <c r="P35" s="118">
        <f>SUM(P33:P34)</f>
        <v>12216960000</v>
      </c>
      <c r="Q35" s="119"/>
      <c r="R35" s="118">
        <f>SUM(R33:R34)</f>
        <v>14660352000</v>
      </c>
      <c r="S35" s="2"/>
      <c r="T35" s="4">
        <f>(R35/J35)^(1/4)-1</f>
        <v>0.19999999999999996</v>
      </c>
    </row>
    <row r="36" spans="1:24">
      <c r="B36" s="10" t="s">
        <v>25</v>
      </c>
      <c r="H36" s="112">
        <f>H11</f>
        <v>464000000</v>
      </c>
      <c r="I36" s="112"/>
      <c r="J36" s="112">
        <f>J11</f>
        <v>464000000</v>
      </c>
      <c r="K36" s="112"/>
      <c r="L36" s="112">
        <f>L11</f>
        <v>464000000</v>
      </c>
      <c r="M36" s="112"/>
      <c r="N36" s="112">
        <f>N11</f>
        <v>464000000</v>
      </c>
      <c r="O36" s="112"/>
      <c r="P36" s="112">
        <f>P11</f>
        <v>464000000</v>
      </c>
      <c r="Q36" s="112"/>
      <c r="R36" s="112">
        <f>R11</f>
        <v>464000000</v>
      </c>
    </row>
    <row r="37" spans="1:24">
      <c r="B37" t="s">
        <v>23</v>
      </c>
      <c r="H37" s="112">
        <f>H12</f>
        <v>-700000000</v>
      </c>
      <c r="I37" s="112"/>
      <c r="J37" s="112">
        <f>J12</f>
        <v>-700000000</v>
      </c>
      <c r="K37" s="112"/>
      <c r="L37" s="112">
        <f>L12</f>
        <v>-700000000</v>
      </c>
      <c r="M37" s="112"/>
      <c r="N37" s="112">
        <f>N12</f>
        <v>-700000000</v>
      </c>
      <c r="O37" s="112"/>
      <c r="P37" s="112">
        <f>P12</f>
        <v>-700000000</v>
      </c>
      <c r="Q37" s="112"/>
      <c r="R37" s="112">
        <f>R12</f>
        <v>-700000000</v>
      </c>
    </row>
    <row r="38" spans="1:24">
      <c r="B38" s="2" t="s">
        <v>19</v>
      </c>
      <c r="H38" s="120">
        <f>SUM(H35:H37)</f>
        <v>6764000000</v>
      </c>
      <c r="I38" s="153"/>
      <c r="J38" s="120">
        <f>SUM(J35:J37)</f>
        <v>6834000000</v>
      </c>
      <c r="K38" s="114"/>
      <c r="L38" s="120">
        <f>SUM(L35:L37)</f>
        <v>8248000000</v>
      </c>
      <c r="M38" s="114"/>
      <c r="N38" s="120">
        <f>SUM(N35:N37)</f>
        <v>9944800000</v>
      </c>
      <c r="O38" s="114"/>
      <c r="P38" s="120">
        <f>SUM(P35:P37)</f>
        <v>11980960000</v>
      </c>
      <c r="Q38" s="114"/>
      <c r="R38" s="120">
        <f>SUM(R35:R37)</f>
        <v>14424352000</v>
      </c>
      <c r="T38" s="4">
        <f>(R38/J38)^(1/4)-1</f>
        <v>0.2053282469080191</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ht="15.75">
      <c r="B46" s="88" t="s">
        <v>32</v>
      </c>
      <c r="C46" s="89" t="s">
        <v>29</v>
      </c>
      <c r="D46" s="89" t="s">
        <v>31</v>
      </c>
      <c r="E46" s="152" t="s">
        <v>188</v>
      </c>
      <c r="H46" s="294" t="s">
        <v>181</v>
      </c>
      <c r="I46" s="294"/>
      <c r="J46" s="294"/>
      <c r="K46" s="135"/>
      <c r="L46" s="135"/>
      <c r="M46" s="2" t="s">
        <v>57</v>
      </c>
      <c r="P46" s="2"/>
      <c r="R46" s="147" t="s">
        <v>136</v>
      </c>
      <c r="X46" s="127"/>
    </row>
    <row r="47" spans="1:24" ht="15.75">
      <c r="B47" s="90">
        <v>2020</v>
      </c>
      <c r="C47" s="88">
        <v>0.98</v>
      </c>
      <c r="D47" s="88">
        <v>1</v>
      </c>
      <c r="E47" s="88">
        <v>1.01</v>
      </c>
      <c r="H47" s="156" t="s">
        <v>15</v>
      </c>
      <c r="I47" s="156"/>
      <c r="J47" s="161">
        <v>163190000</v>
      </c>
      <c r="K47" s="140"/>
      <c r="L47" s="221"/>
      <c r="M47" t="s">
        <v>55</v>
      </c>
      <c r="P47" s="2"/>
      <c r="R47" s="147" t="s">
        <v>137</v>
      </c>
      <c r="X47" s="127"/>
    </row>
    <row r="48" spans="1:24">
      <c r="B48" s="90">
        <f>B47+1</f>
        <v>2021</v>
      </c>
      <c r="C48" s="88">
        <v>0.98</v>
      </c>
      <c r="D48" s="88">
        <v>1</v>
      </c>
      <c r="E48" s="152">
        <v>1.2</v>
      </c>
      <c r="H48" s="156" t="s">
        <v>99</v>
      </c>
      <c r="I48" s="156"/>
      <c r="J48" s="161">
        <f>2913700000+1562200000</f>
        <v>4475900000</v>
      </c>
      <c r="L48" s="163"/>
      <c r="M48" t="s">
        <v>56</v>
      </c>
      <c r="P48" s="2"/>
      <c r="X48" s="127"/>
    </row>
    <row r="49" spans="2:54">
      <c r="B49" s="90">
        <f>B48+1</f>
        <v>2022</v>
      </c>
      <c r="C49" s="88">
        <v>0.97</v>
      </c>
      <c r="D49" s="88">
        <v>1</v>
      </c>
      <c r="E49" s="88">
        <v>1.2</v>
      </c>
      <c r="H49" s="156" t="s">
        <v>14</v>
      </c>
      <c r="I49" s="156"/>
      <c r="J49" s="157">
        <f>4459000000+1495800000</f>
        <v>5954800000</v>
      </c>
      <c r="M49" t="s">
        <v>58</v>
      </c>
      <c r="P49" s="2"/>
      <c r="X49" s="127"/>
    </row>
    <row r="50" spans="2:54">
      <c r="B50" s="90">
        <f>B49+1</f>
        <v>2023</v>
      </c>
      <c r="C50" s="88">
        <v>0.96</v>
      </c>
      <c r="D50" s="88">
        <v>1</v>
      </c>
      <c r="E50" s="88">
        <v>1.2</v>
      </c>
      <c r="H50" s="155" t="s">
        <v>16</v>
      </c>
      <c r="I50" s="156"/>
      <c r="J50" s="158">
        <v>0.02</v>
      </c>
      <c r="M50" t="s">
        <v>59</v>
      </c>
      <c r="P50" s="2"/>
      <c r="X50" s="127"/>
    </row>
    <row r="51" spans="2:54">
      <c r="B51" s="90">
        <f>B50+1</f>
        <v>2024</v>
      </c>
      <c r="C51" s="88">
        <v>0.95</v>
      </c>
      <c r="D51" s="88">
        <v>1</v>
      </c>
      <c r="E51" s="88">
        <v>1.2</v>
      </c>
      <c r="H51" s="156" t="s">
        <v>2</v>
      </c>
      <c r="I51" s="156"/>
      <c r="J51" s="158">
        <v>0</v>
      </c>
      <c r="M51" t="s">
        <v>60</v>
      </c>
      <c r="P51" s="2"/>
      <c r="X51" s="127"/>
    </row>
    <row r="52" spans="2:54">
      <c r="B52" s="2"/>
      <c r="D52" s="2"/>
      <c r="M52" t="s">
        <v>61</v>
      </c>
      <c r="P52" s="2"/>
      <c r="X52" s="127"/>
    </row>
    <row r="53" spans="2:54">
      <c r="B53" s="2"/>
      <c r="D53" s="2"/>
      <c r="I53" s="23"/>
      <c r="J53" s="23"/>
      <c r="M53" t="s">
        <v>62</v>
      </c>
      <c r="P53" s="2"/>
      <c r="X53" s="127"/>
    </row>
    <row r="54" spans="2:54">
      <c r="D54" s="30"/>
      <c r="E54" s="30"/>
      <c r="F54" s="109" t="s">
        <v>12</v>
      </c>
      <c r="G54" s="30"/>
      <c r="H54" s="30"/>
      <c r="I54" s="104"/>
      <c r="J54" s="104"/>
      <c r="K54" s="140"/>
      <c r="M54" t="s">
        <v>63</v>
      </c>
      <c r="Q54" s="104"/>
      <c r="R54" s="104"/>
      <c r="S54" s="104"/>
      <c r="T54" s="104"/>
    </row>
    <row r="55" spans="2:54">
      <c r="D55" s="85" t="s">
        <v>29</v>
      </c>
      <c r="E55" s="85"/>
      <c r="F55" s="166" t="s">
        <v>31</v>
      </c>
      <c r="G55" s="85"/>
      <c r="H55" s="85" t="s">
        <v>188</v>
      </c>
      <c r="I55" s="108"/>
      <c r="J55" s="106"/>
      <c r="K55" s="140">
        <f>J47*258</f>
        <v>42103020000</v>
      </c>
      <c r="M55" s="135" t="s">
        <v>176</v>
      </c>
      <c r="Q55" s="87"/>
      <c r="R55" s="87"/>
      <c r="S55" s="87"/>
      <c r="T55" s="87"/>
    </row>
    <row r="56" spans="2:54">
      <c r="B56" s="84" t="s">
        <v>8</v>
      </c>
      <c r="C56" s="4">
        <v>0.08</v>
      </c>
      <c r="D56" s="92">
        <f>((NPV($C56,$J$13:$P$13,$R$13+$R$13*(1+$J$50)/($C56-$J$50)))-$J$49+J48)/$J$47</f>
        <v>549.04660440042051</v>
      </c>
      <c r="E56" s="93"/>
      <c r="F56" s="94">
        <f>((NPV($C56,$J$25:$P$25,$R$25+$R$25*(1+$J$50)/($C56-$J$50)))-$J$49+J48)/$J$47</f>
        <v>635.98683345372478</v>
      </c>
      <c r="G56" s="93"/>
      <c r="H56" s="123">
        <f>((NPV($C56,$J$38:$P$38,$R$38+$R$38*(1+$J$50)/($C56-$J$50)))-$J$49+J48)/$J$47</f>
        <v>1258.2055474642332</v>
      </c>
      <c r="I56" s="10"/>
      <c r="J56" s="11"/>
      <c r="M56" s="135" t="s">
        <v>186</v>
      </c>
      <c r="Q56" s="87"/>
      <c r="R56" s="91"/>
      <c r="S56" s="87"/>
      <c r="T56" s="91"/>
    </row>
    <row r="57" spans="2:54" ht="13.5" thickBot="1">
      <c r="B57" s="84" t="s">
        <v>28</v>
      </c>
      <c r="C57" s="4">
        <v>0.11</v>
      </c>
      <c r="D57" s="96">
        <f>((NPV($C57,$J$13:$P$13,$R$13+$R$13*(1+$J$50)/($C57-$J$50)))-$J$49+J48)/$J$47</f>
        <v>368.4020070129734</v>
      </c>
      <c r="E57" s="97"/>
      <c r="F57" s="98">
        <f>((NPV($C57,$J$25:$P$25,$R$25+$R$25*(1+$J$50)/($C57-$J$50)))-$J$49+J48)/$J$47</f>
        <v>422.90174010608905</v>
      </c>
      <c r="G57" s="97"/>
      <c r="H57" s="99">
        <f>((NPV($C57,$J$38:$P$38,$R$38+$R$38*(1+$J$50)/($C57-$J$50)))-$J$49+J48)/$J$47</f>
        <v>809.55385693513847</v>
      </c>
      <c r="I57" s="44"/>
      <c r="J57" s="43"/>
      <c r="Q57" s="87"/>
      <c r="R57" s="91"/>
      <c r="S57" s="87"/>
      <c r="T57" s="91"/>
    </row>
    <row r="58" spans="2:54" ht="15.75" thickBot="1">
      <c r="B58" s="174" t="s">
        <v>407</v>
      </c>
      <c r="C58" s="4">
        <v>0.15</v>
      </c>
      <c r="D58" s="100">
        <f>((NPV($C58,$J$13:$P$13,$R$13+$R$13*(1+$J$50)/($C58-$J$50)))-$J$49+J48)/$J$47</f>
        <v>256.64384411253781</v>
      </c>
      <c r="E58" s="101"/>
      <c r="F58" s="102">
        <f>((NPV($C58,$J$25:$P$25,$R$25+$R$25*(1+$J$50)/($C58-$J$50)))-$J$49+J48)/$J$47</f>
        <v>291.56771140257331</v>
      </c>
      <c r="G58" s="101"/>
      <c r="H58" s="103">
        <f>((NPV($C58,$J$38:$P$38,$R$38+$R$38*(1+$J$50)/($C58-$J$50)))-$J$49+J48)/$J$47</f>
        <v>536.36357398420648</v>
      </c>
      <c r="I58" s="44"/>
      <c r="J58" s="43"/>
      <c r="Q58" s="87"/>
      <c r="R58" s="91"/>
      <c r="S58" s="87"/>
      <c r="T58" s="91"/>
      <c r="AI58" s="239"/>
      <c r="AJ58" s="301"/>
      <c r="AK58" s="302"/>
      <c r="AL58" s="240"/>
      <c r="AM58" s="240"/>
      <c r="AN58" s="240"/>
      <c r="AO58" s="240"/>
      <c r="AP58" s="241"/>
      <c r="AQ58" s="241"/>
      <c r="AR58" s="241"/>
      <c r="AS58" s="241"/>
      <c r="AT58" s="241"/>
      <c r="AU58" s="242"/>
      <c r="AZ58" s="276"/>
      <c r="BA58" s="276"/>
      <c r="BB58" s="276"/>
    </row>
    <row r="59" spans="2:54">
      <c r="C59" s="4"/>
      <c r="D59" s="23"/>
      <c r="I59" s="23"/>
      <c r="J59" s="136"/>
      <c r="Q59" s="23"/>
      <c r="R59" s="23"/>
      <c r="S59" s="23"/>
      <c r="T59" s="23"/>
      <c r="AI59" s="303"/>
      <c r="AJ59" s="303"/>
      <c r="AK59" s="303"/>
      <c r="AL59" s="303"/>
      <c r="AM59" s="303"/>
      <c r="AN59" s="303"/>
      <c r="AO59" s="303"/>
      <c r="AP59" s="303"/>
      <c r="AQ59" s="303"/>
      <c r="AR59" s="303"/>
      <c r="AS59" s="303"/>
      <c r="AT59" s="303"/>
      <c r="AU59" s="303"/>
      <c r="AZ59" s="277"/>
      <c r="BA59" s="126"/>
      <c r="BB59" s="220"/>
    </row>
    <row r="60" spans="2:54">
      <c r="D60" s="2"/>
      <c r="M60" s="140"/>
      <c r="N60" s="23"/>
      <c r="O60" s="23"/>
      <c r="P60" s="107"/>
      <c r="Q60" s="23"/>
      <c r="R60" s="190"/>
      <c r="S60" s="23"/>
      <c r="T60" s="23"/>
      <c r="AI60" s="243"/>
      <c r="AJ60" s="295"/>
      <c r="AK60" s="296"/>
      <c r="AL60" s="244"/>
      <c r="AM60" s="245"/>
      <c r="AN60" s="244"/>
      <c r="AO60" s="244"/>
      <c r="AP60" s="246"/>
      <c r="AQ60" s="246"/>
      <c r="AR60" s="247"/>
      <c r="AS60" s="246"/>
      <c r="AT60" s="246"/>
      <c r="AU60" s="248"/>
    </row>
    <row r="61" spans="2:54" ht="15">
      <c r="D61" s="30"/>
      <c r="E61" s="30"/>
      <c r="F61" s="109" t="s">
        <v>6</v>
      </c>
      <c r="G61" s="30"/>
      <c r="H61" s="30"/>
      <c r="I61" s="104"/>
      <c r="J61" s="137"/>
      <c r="L61" s="23"/>
      <c r="M61" s="200"/>
      <c r="N61" s="128"/>
      <c r="O61" s="23"/>
      <c r="P61" s="104"/>
      <c r="Q61" s="104"/>
      <c r="R61" s="104"/>
      <c r="S61" s="104"/>
      <c r="T61" s="104"/>
      <c r="AI61" s="243"/>
      <c r="AJ61" s="295"/>
      <c r="AK61" s="296"/>
      <c r="AL61" s="244"/>
      <c r="AM61" s="245"/>
      <c r="AN61" s="244"/>
      <c r="AO61" s="244"/>
      <c r="AP61" s="246"/>
      <c r="AQ61" s="246"/>
      <c r="AR61" s="247"/>
      <c r="AS61" s="246"/>
      <c r="AT61" s="246"/>
      <c r="AU61" s="248"/>
      <c r="AZ61" s="278"/>
      <c r="BA61" s="278"/>
    </row>
    <row r="62" spans="2:54">
      <c r="D62" s="85" t="s">
        <v>29</v>
      </c>
      <c r="E62" s="85"/>
      <c r="F62" s="166" t="s">
        <v>31</v>
      </c>
      <c r="G62" s="85"/>
      <c r="H62" s="85" t="s">
        <v>188</v>
      </c>
      <c r="I62" s="62"/>
      <c r="J62" s="61"/>
      <c r="L62" s="23"/>
      <c r="M62" s="160"/>
      <c r="N62" s="129"/>
      <c r="O62" s="23"/>
      <c r="P62" s="87"/>
      <c r="Q62" s="87"/>
      <c r="R62" s="87"/>
      <c r="S62" s="87"/>
      <c r="T62" s="87"/>
      <c r="AI62" s="243"/>
      <c r="AJ62" s="295"/>
      <c r="AK62" s="296"/>
      <c r="AL62" s="244"/>
      <c r="AM62" s="245"/>
      <c r="AN62" s="244"/>
      <c r="AO62" s="244"/>
      <c r="AP62" s="246"/>
      <c r="AQ62" s="246"/>
      <c r="AR62" s="247"/>
      <c r="AS62" s="246"/>
      <c r="AT62" s="246"/>
      <c r="AU62" s="248"/>
      <c r="AZ62" s="279"/>
      <c r="BA62" s="280"/>
      <c r="BB62" s="281"/>
    </row>
    <row r="63" spans="2:54">
      <c r="B63" s="84" t="s">
        <v>8</v>
      </c>
      <c r="C63" s="4">
        <f>C56</f>
        <v>0.08</v>
      </c>
      <c r="D63" s="92">
        <f>((NPV($C63,$J$13:$P$13,$R$13+$R$13*(1+$J$50)/($C63-$J$50)))-$J$49+J48)</f>
        <v>89598915372.10463</v>
      </c>
      <c r="E63" s="93"/>
      <c r="F63" s="94">
        <f>((NPV($C63,$J$25:$P$25,$R$25+$R$25*(1+$J$50)/($C63-$J$50)))-$J$49+J48)</f>
        <v>103786691351.31335</v>
      </c>
      <c r="G63" s="93"/>
      <c r="H63" s="95">
        <f>((NPV($C63,$J$38:$P$38,$R$38+$R$38*(1+$J$50)/($C63-$J$50)))-$J$49+J48)</f>
        <v>205326563290.6882</v>
      </c>
      <c r="I63" s="17"/>
      <c r="J63" s="18"/>
      <c r="L63" s="23"/>
      <c r="M63" s="167"/>
      <c r="N63" s="23"/>
      <c r="O63" s="23"/>
      <c r="P63" s="98"/>
      <c r="Q63" s="97"/>
      <c r="R63" s="98"/>
      <c r="S63" s="97"/>
      <c r="T63" s="98"/>
      <c r="AI63" s="243"/>
      <c r="AJ63" s="295"/>
      <c r="AK63" s="296"/>
      <c r="AL63" s="244"/>
      <c r="AM63" s="245"/>
      <c r="AN63" s="244"/>
      <c r="AO63" s="244"/>
      <c r="AP63" s="246"/>
      <c r="AQ63" s="246"/>
      <c r="AR63" s="247"/>
      <c r="AS63" s="246"/>
      <c r="AT63" s="246"/>
      <c r="AU63" s="248"/>
    </row>
    <row r="64" spans="2:54">
      <c r="B64" s="84" t="s">
        <v>28</v>
      </c>
      <c r="C64" s="4">
        <f>C57</f>
        <v>0.11</v>
      </c>
      <c r="D64" s="96">
        <f>((NPV($C64,$J$13:$P$13,$R$13+$R$13*(1+$J$50)/($C64-$J$50)))-$J$49+J48)</f>
        <v>60119523524.447128</v>
      </c>
      <c r="E64" s="97"/>
      <c r="F64" s="98">
        <f>((NPV($C64,$J$25:$P$25,$R$25+$R$25*(1+$J$50)/($C64-$J$50)))-$J$49+J48)</f>
        <v>69013334967.912674</v>
      </c>
      <c r="G64" s="97"/>
      <c r="H64" s="122">
        <f>((NPV($C64,$J$38:$P$38,$R$38+$R$38*(1+$J$50)/($C64-$J$50)))-$J$49+J48)</f>
        <v>132111093913.24525</v>
      </c>
      <c r="I64" s="17"/>
      <c r="J64" s="18"/>
      <c r="L64" s="23"/>
      <c r="M64" s="167"/>
      <c r="N64" s="23"/>
      <c r="O64" s="23"/>
      <c r="P64" s="98"/>
      <c r="Q64" s="97"/>
      <c r="R64" s="98"/>
      <c r="S64" s="97"/>
      <c r="T64" s="98"/>
      <c r="AI64" s="243"/>
      <c r="AJ64" s="295"/>
      <c r="AK64" s="296"/>
      <c r="AL64" s="244"/>
      <c r="AM64" s="245"/>
      <c r="AN64" s="244"/>
      <c r="AO64" s="244"/>
      <c r="AP64" s="246"/>
      <c r="AQ64" s="246"/>
      <c r="AR64" s="247"/>
      <c r="AS64" s="246"/>
      <c r="AT64" s="246"/>
      <c r="AU64" s="248"/>
    </row>
    <row r="65" spans="1:53">
      <c r="B65" s="174" t="s">
        <v>407</v>
      </c>
      <c r="C65" s="4">
        <f>C58</f>
        <v>0.15</v>
      </c>
      <c r="D65" s="100">
        <f>((NPV($C65,$J$13:$P$13,$R$13+$R$13*(1+$J$50)/($C65-$J$50)))-$J$49+J48)</f>
        <v>41881708920.725044</v>
      </c>
      <c r="E65" s="101"/>
      <c r="F65" s="102">
        <f>((NPV($C65,$J$25:$P$25,$R$25+$R$25*(1+$J$50)/($C65-$J$50)))-$J$49+J48)</f>
        <v>47580934823.785942</v>
      </c>
      <c r="G65" s="101"/>
      <c r="H65" s="103">
        <f>((NPV($C65,$J$38:$P$38,$R$38+$R$38*(1+$J$50)/($C65-$J$50)))-$J$49+J48)</f>
        <v>87529171638.482651</v>
      </c>
      <c r="I65" s="17"/>
      <c r="J65" s="18"/>
      <c r="L65" s="23"/>
      <c r="M65" s="160"/>
      <c r="N65" s="23"/>
      <c r="O65" s="23"/>
      <c r="P65" s="98"/>
      <c r="Q65" s="97"/>
      <c r="R65" s="98"/>
      <c r="S65" s="97"/>
      <c r="T65" s="98"/>
      <c r="AI65" s="243"/>
      <c r="AJ65" s="295"/>
      <c r="AK65" s="296"/>
      <c r="AL65" s="244"/>
      <c r="AM65" s="245"/>
      <c r="AN65" s="244"/>
      <c r="AO65" s="244"/>
      <c r="AP65" s="246"/>
      <c r="AQ65" s="246"/>
      <c r="AR65" s="247"/>
      <c r="AS65" s="246"/>
      <c r="AT65" s="246"/>
      <c r="AU65" s="248"/>
    </row>
    <row r="66" spans="1:53" ht="15.75">
      <c r="E66" s="23"/>
      <c r="F66" s="23"/>
      <c r="G66" s="23"/>
      <c r="H66" s="23"/>
      <c r="I66" s="23"/>
      <c r="J66" s="23"/>
      <c r="L66" s="132"/>
      <c r="M66" s="160"/>
      <c r="N66" s="111"/>
      <c r="O66" s="23"/>
      <c r="P66" s="23"/>
      <c r="Q66" s="23"/>
      <c r="R66" s="23"/>
      <c r="S66" s="23"/>
      <c r="T66" s="23"/>
      <c r="AI66" s="243"/>
      <c r="AJ66" s="295"/>
      <c r="AK66" s="296"/>
      <c r="AL66" s="244"/>
      <c r="AM66" s="245"/>
      <c r="AN66" s="244"/>
      <c r="AO66" s="244"/>
      <c r="AP66" s="246"/>
      <c r="AQ66" s="246"/>
      <c r="AR66" s="247"/>
      <c r="AS66" s="246"/>
      <c r="AT66" s="246"/>
      <c r="AU66" s="248"/>
      <c r="AZ66" s="126"/>
      <c r="BA66" s="126"/>
    </row>
    <row r="67" spans="1:53">
      <c r="F67" s="23"/>
      <c r="G67" s="23"/>
      <c r="H67" s="125"/>
      <c r="I67" s="23"/>
      <c r="J67" s="23"/>
      <c r="L67" s="110"/>
      <c r="M67" s="146"/>
      <c r="AI67" s="243"/>
      <c r="AJ67" s="295"/>
      <c r="AK67" s="296"/>
      <c r="AL67" s="244"/>
      <c r="AM67" s="245"/>
      <c r="AN67" s="244"/>
      <c r="AO67" s="244"/>
      <c r="AP67" s="246"/>
      <c r="AQ67" s="246"/>
      <c r="AR67" s="247"/>
      <c r="AS67" s="246"/>
      <c r="AT67" s="246"/>
      <c r="AU67" s="248"/>
    </row>
    <row r="68" spans="1:53">
      <c r="F68" s="124" t="s">
        <v>40</v>
      </c>
      <c r="G68" s="23"/>
      <c r="H68" s="23"/>
      <c r="I68" s="23"/>
      <c r="J68" s="23"/>
      <c r="M68" s="146"/>
      <c r="AI68" s="243"/>
      <c r="AJ68" s="295"/>
      <c r="AK68" s="296"/>
      <c r="AL68" s="244"/>
      <c r="AM68" s="245"/>
      <c r="AN68" s="244"/>
      <c r="AO68" s="244"/>
      <c r="AP68" s="246"/>
      <c r="AQ68" s="246"/>
      <c r="AR68" s="247"/>
      <c r="AS68" s="246"/>
      <c r="AT68" s="246"/>
      <c r="AU68" s="248"/>
      <c r="AZ68" s="126"/>
    </row>
    <row r="69" spans="1:53">
      <c r="A69" s="1" t="str">
        <f>"(1)  Assumes net debt of "&amp;TEXT(J49,"$0.0")&amp;"mm as of 5/16/08."</f>
        <v>(1)  Assumes net debt of $5954800000.0mm as of 5/16/08.</v>
      </c>
      <c r="F69" s="87"/>
      <c r="G69" s="87"/>
      <c r="H69" s="87"/>
      <c r="I69" s="87"/>
      <c r="J69" s="87"/>
      <c r="L69" s="82"/>
      <c r="M69" s="165"/>
      <c r="N69" s="82"/>
      <c r="AI69" s="249"/>
      <c r="AJ69" s="250"/>
      <c r="AK69" s="249"/>
      <c r="AL69" s="251"/>
      <c r="AM69" s="252"/>
      <c r="AN69" s="251"/>
      <c r="AO69" s="251"/>
      <c r="AP69" s="253"/>
      <c r="AQ69" s="253"/>
      <c r="AR69" s="254"/>
      <c r="AS69" s="253"/>
      <c r="AT69" s="253"/>
      <c r="AU69" s="255"/>
      <c r="AZ69" s="126"/>
    </row>
    <row r="70" spans="1:53">
      <c r="A70" s="1" t="str">
        <f>"(2)  Assumes outstanding diluted shares of "&amp;TEXT(J47,"0.000")&amp;" million."</f>
        <v>(2)  Assumes outstanding diluted shares of 163190000.000 million.</v>
      </c>
      <c r="C70" s="8"/>
      <c r="D70" s="4"/>
      <c r="E70" s="23"/>
      <c r="F70" s="91"/>
      <c r="G70" s="87"/>
      <c r="H70" s="91"/>
      <c r="I70" s="87"/>
      <c r="J70" s="91"/>
      <c r="M70" s="146"/>
      <c r="AI70" s="249"/>
      <c r="AJ70" s="250"/>
      <c r="AK70" s="249"/>
      <c r="AL70" s="251"/>
      <c r="AM70" s="252"/>
      <c r="AN70" s="251"/>
      <c r="AO70" s="251"/>
      <c r="AP70" s="253"/>
      <c r="AQ70" s="253"/>
      <c r="AR70" s="254"/>
      <c r="AS70" s="253"/>
      <c r="AT70" s="253"/>
      <c r="AU70" s="255"/>
      <c r="AZ70" s="140"/>
    </row>
    <row r="71" spans="1:53">
      <c r="B71" s="2"/>
      <c r="C71" s="8"/>
      <c r="D71" s="4"/>
      <c r="E71" s="23"/>
      <c r="F71" s="91"/>
      <c r="G71" s="87"/>
      <c r="H71" s="91"/>
      <c r="I71" s="87"/>
      <c r="J71" s="91"/>
      <c r="M71" s="146"/>
      <c r="AI71" s="249"/>
      <c r="AJ71" s="250"/>
      <c r="AK71" s="249"/>
      <c r="AL71" s="251"/>
      <c r="AM71" s="252"/>
      <c r="AN71" s="251"/>
      <c r="AO71" s="251"/>
      <c r="AP71" s="253"/>
      <c r="AQ71" s="253"/>
      <c r="AR71" s="254"/>
      <c r="AS71" s="253"/>
      <c r="AT71" s="253"/>
      <c r="AU71" s="255"/>
    </row>
    <row r="72" spans="1:53">
      <c r="C72" s="8"/>
      <c r="D72" s="4"/>
      <c r="E72" s="23"/>
      <c r="F72" s="91"/>
      <c r="G72" s="87"/>
      <c r="H72" s="91"/>
      <c r="I72" s="87"/>
      <c r="J72" s="91"/>
      <c r="M72" s="146"/>
      <c r="AI72" s="249"/>
      <c r="AJ72" s="250"/>
      <c r="AK72" s="249"/>
      <c r="AL72" s="251"/>
      <c r="AM72" s="252"/>
      <c r="AN72" s="251"/>
      <c r="AO72" s="251"/>
      <c r="AP72" s="253"/>
      <c r="AQ72" s="253"/>
      <c r="AR72" s="254"/>
      <c r="AS72" s="253"/>
      <c r="AT72" s="253"/>
      <c r="AU72" s="255"/>
    </row>
    <row r="73" spans="1:53" ht="13.5" thickBot="1">
      <c r="C73" s="8"/>
      <c r="D73" s="4"/>
      <c r="E73" s="23"/>
      <c r="F73" s="91"/>
      <c r="G73" s="87"/>
      <c r="H73" s="91"/>
      <c r="I73" s="87"/>
      <c r="J73" s="91"/>
      <c r="M73" s="146"/>
      <c r="AI73" s="256"/>
      <c r="AJ73" s="257"/>
      <c r="AK73" s="256"/>
      <c r="AL73" s="258"/>
      <c r="AM73" s="259"/>
      <c r="AN73" s="258"/>
      <c r="AO73" s="258"/>
      <c r="AP73" s="260"/>
      <c r="AQ73" s="260"/>
      <c r="AR73" s="261"/>
      <c r="AS73" s="260"/>
      <c r="AT73" s="260"/>
      <c r="AU73" s="262"/>
    </row>
    <row r="74" spans="1:53" ht="15.75">
      <c r="B74" s="147"/>
      <c r="C74" s="8"/>
      <c r="D74" s="4"/>
      <c r="E74" s="23"/>
      <c r="F74" s="91"/>
      <c r="G74" s="87"/>
      <c r="H74" s="91"/>
      <c r="I74" s="87"/>
      <c r="J74" s="91"/>
      <c r="M74" s="146"/>
      <c r="AI74" s="264"/>
      <c r="AJ74" s="297"/>
      <c r="AK74" s="298"/>
      <c r="AL74" s="265"/>
      <c r="AM74" s="266"/>
      <c r="AN74" s="265"/>
      <c r="AO74" s="265"/>
      <c r="AP74" s="267"/>
      <c r="AQ74" s="267"/>
      <c r="AR74" s="268"/>
      <c r="AS74" s="267"/>
      <c r="AT74" s="267"/>
    </row>
    <row r="75" spans="1:53" ht="13.5" thickBot="1">
      <c r="E75" s="23"/>
      <c r="F75" s="91"/>
      <c r="G75" s="87"/>
      <c r="H75" s="91"/>
      <c r="I75" s="87"/>
      <c r="J75" s="91"/>
      <c r="M75" s="146"/>
      <c r="AI75" s="269"/>
      <c r="AJ75" s="299"/>
      <c r="AK75" s="300"/>
      <c r="AL75" s="270"/>
      <c r="AM75" s="271"/>
      <c r="AN75" s="270"/>
      <c r="AO75" s="270"/>
      <c r="AP75" s="272"/>
      <c r="AQ75" s="272"/>
      <c r="AR75" s="273"/>
      <c r="AS75" s="272"/>
      <c r="AT75" s="272"/>
    </row>
    <row r="76" spans="1:53" ht="12.75" customHeight="1">
      <c r="E76" s="177"/>
      <c r="F76" s="191"/>
      <c r="G76" s="87"/>
      <c r="H76" s="91"/>
      <c r="I76" s="87"/>
      <c r="J76" s="91"/>
      <c r="M76" s="146"/>
      <c r="P76" s="79"/>
      <c r="AQ76" s="263"/>
      <c r="AR76" s="215"/>
    </row>
    <row r="77" spans="1:53" ht="12.75" customHeight="1">
      <c r="E77" s="205"/>
      <c r="F77" s="160"/>
      <c r="G77" s="23"/>
      <c r="H77" s="23"/>
      <c r="I77" s="23"/>
      <c r="J77" s="23"/>
      <c r="M77" s="146"/>
      <c r="AR77" s="263"/>
    </row>
    <row r="78" spans="1:53" ht="12.75" customHeight="1">
      <c r="E78" s="135"/>
      <c r="F78" s="160"/>
      <c r="G78" s="87"/>
      <c r="H78" s="87"/>
      <c r="I78" s="87"/>
      <c r="J78" s="87"/>
      <c r="M78" s="146"/>
      <c r="AR78" s="215"/>
    </row>
    <row r="79" spans="1:53" ht="12.75" customHeight="1">
      <c r="F79" s="160"/>
      <c r="G79" s="87"/>
      <c r="H79" s="87"/>
      <c r="I79" s="87"/>
      <c r="J79" s="87"/>
      <c r="M79" s="146"/>
    </row>
    <row r="80" spans="1:53" ht="12.75" customHeight="1">
      <c r="F80" s="160"/>
      <c r="G80" s="87"/>
      <c r="H80" s="87"/>
      <c r="I80" s="87"/>
      <c r="J80" s="87"/>
      <c r="M80" s="146"/>
      <c r="AO80" s="215"/>
    </row>
    <row r="81" spans="5:47" ht="12.75" customHeight="1">
      <c r="E81" s="135"/>
      <c r="F81" s="160"/>
      <c r="G81" s="87"/>
      <c r="H81" s="87"/>
      <c r="I81" s="87"/>
      <c r="J81" s="87"/>
      <c r="M81" s="146"/>
    </row>
    <row r="82" spans="5:47" ht="12.75" customHeight="1">
      <c r="F82" s="160"/>
      <c r="G82" s="87"/>
      <c r="H82" s="87"/>
      <c r="I82" s="87"/>
      <c r="J82" s="87"/>
      <c r="M82" s="146"/>
    </row>
    <row r="83" spans="5:47" ht="12.75" customHeight="1">
      <c r="E83" s="135"/>
      <c r="F83" s="160"/>
      <c r="G83" s="87"/>
      <c r="H83" s="87"/>
      <c r="I83" s="87"/>
      <c r="J83" s="87"/>
      <c r="M83" s="146"/>
    </row>
    <row r="84" spans="5:47" ht="12.75" customHeight="1">
      <c r="F84" s="160"/>
      <c r="G84" s="87"/>
      <c r="H84" s="87"/>
      <c r="I84" s="87"/>
      <c r="J84" s="87"/>
      <c r="M84" s="146"/>
      <c r="AI84" s="243"/>
      <c r="AJ84" s="295"/>
      <c r="AK84" s="296"/>
      <c r="AL84" s="245"/>
      <c r="AM84" s="245"/>
      <c r="AN84" s="244"/>
      <c r="AO84" s="244"/>
      <c r="AP84" s="246"/>
      <c r="AQ84" s="246"/>
      <c r="AR84" s="247"/>
      <c r="AS84" s="246"/>
      <c r="AT84" s="246"/>
      <c r="AU84" s="248"/>
    </row>
    <row r="85" spans="5:47" ht="12.75" customHeight="1">
      <c r="F85" s="160"/>
      <c r="G85" s="87"/>
      <c r="H85" s="87"/>
      <c r="I85" s="87"/>
      <c r="J85" s="87"/>
      <c r="M85" s="146"/>
      <c r="AI85" s="243"/>
      <c r="AJ85" s="295"/>
      <c r="AK85" s="296"/>
      <c r="AL85" s="245"/>
      <c r="AM85" s="245"/>
      <c r="AN85" s="244"/>
      <c r="AO85" s="244"/>
      <c r="AP85" s="246"/>
      <c r="AQ85" s="246"/>
      <c r="AR85" s="247"/>
      <c r="AS85" s="246"/>
      <c r="AT85" s="246"/>
      <c r="AU85" s="248"/>
    </row>
    <row r="86" spans="5:47" ht="12.75" customHeight="1">
      <c r="E86" s="23"/>
      <c r="F86" s="141"/>
      <c r="G86" s="97"/>
      <c r="H86" s="98"/>
      <c r="I86" s="97"/>
      <c r="J86" s="98"/>
      <c r="M86" s="146"/>
      <c r="AI86" s="243"/>
      <c r="AJ86" s="295"/>
      <c r="AK86" s="296"/>
      <c r="AL86" s="245"/>
      <c r="AM86" s="245"/>
      <c r="AN86" s="244"/>
      <c r="AO86" s="244"/>
      <c r="AP86" s="246"/>
      <c r="AQ86" s="246"/>
      <c r="AR86" s="247"/>
      <c r="AS86" s="246"/>
      <c r="AT86" s="246"/>
      <c r="AU86" s="248"/>
    </row>
    <row r="87" spans="5:47" ht="12.75" customHeight="1">
      <c r="E87" s="23"/>
      <c r="F87" s="141"/>
      <c r="G87" s="97"/>
      <c r="H87" s="98"/>
      <c r="I87" s="97"/>
      <c r="J87" s="98"/>
      <c r="M87" s="146"/>
      <c r="AR87" s="215"/>
    </row>
    <row r="88" spans="5:47" ht="12.75" customHeight="1">
      <c r="E88" s="23"/>
      <c r="F88" s="141"/>
      <c r="G88" s="97"/>
      <c r="H88" s="98"/>
      <c r="I88" s="97"/>
      <c r="J88" s="98"/>
      <c r="M88" s="146"/>
    </row>
    <row r="89" spans="5:47" ht="12.75" customHeight="1">
      <c r="F89" s="142"/>
      <c r="J89" s="142"/>
      <c r="M89" s="146"/>
      <c r="AP89" s="275"/>
      <c r="AQ89" s="275"/>
      <c r="AR89" s="274"/>
    </row>
    <row r="90" spans="5:47" ht="12.75" customHeight="1">
      <c r="F90" s="146"/>
      <c r="J90" s="142"/>
      <c r="M90" s="146"/>
    </row>
    <row r="91" spans="5:47" ht="12.75" customHeight="1">
      <c r="F91" s="146"/>
      <c r="J91" s="146"/>
      <c r="M91" s="146"/>
    </row>
    <row r="92" spans="5:47" ht="12.75" customHeight="1">
      <c r="F92" s="146"/>
      <c r="J92" s="146"/>
      <c r="M92" s="146"/>
      <c r="AQ92" s="81"/>
      <c r="AR92" s="215"/>
    </row>
    <row r="93" spans="5:47" ht="12.75" customHeight="1">
      <c r="F93" s="146"/>
      <c r="J93" s="146"/>
      <c r="M93" s="146"/>
      <c r="AR93" s="126"/>
    </row>
    <row r="94" spans="5:47" ht="12.75" customHeight="1">
      <c r="F94" s="146"/>
      <c r="J94" s="146"/>
      <c r="AR94" s="215"/>
    </row>
    <row r="95" spans="5:47" ht="12.75" customHeight="1">
      <c r="F95" s="146"/>
      <c r="J95" s="146"/>
      <c r="AR95" s="133"/>
    </row>
    <row r="96" spans="5:47">
      <c r="F96" s="146"/>
      <c r="AR96" s="215"/>
    </row>
    <row r="97" spans="6:44">
      <c r="F97" s="146"/>
      <c r="AR97" s="263"/>
    </row>
    <row r="98" spans="6:44">
      <c r="F98" s="146"/>
      <c r="AR98" s="215"/>
    </row>
    <row r="99" spans="6:44">
      <c r="F99" s="146"/>
    </row>
    <row r="100" spans="6:44">
      <c r="F100" s="146"/>
    </row>
    <row r="101" spans="6:44">
      <c r="F101" s="146"/>
    </row>
    <row r="102" spans="6:44">
      <c r="F102" s="146"/>
    </row>
    <row r="103" spans="6:44">
      <c r="F103" s="146"/>
    </row>
    <row r="104" spans="6:44">
      <c r="F104" s="146"/>
    </row>
    <row r="105" spans="6:44">
      <c r="F105" s="146"/>
    </row>
    <row r="106" spans="6:44">
      <c r="F106" s="146"/>
    </row>
    <row r="107" spans="6:44">
      <c r="F107" s="146"/>
    </row>
    <row r="108" spans="6:44">
      <c r="F108" s="146"/>
    </row>
    <row r="109" spans="6:44">
      <c r="F109" s="146"/>
    </row>
    <row r="110" spans="6:44">
      <c r="F110" s="146"/>
    </row>
    <row r="111" spans="6:44">
      <c r="F111" s="146"/>
    </row>
    <row r="112" spans="6:44">
      <c r="F112" s="146"/>
    </row>
    <row r="113" spans="2:6">
      <c r="F113" s="146"/>
    </row>
    <row r="114" spans="2:6">
      <c r="F114" s="146"/>
    </row>
    <row r="115" spans="2:6">
      <c r="F115" s="146"/>
    </row>
    <row r="122" spans="2:6">
      <c r="B122" s="182"/>
    </row>
    <row r="133" spans="3:10">
      <c r="C133" t="s">
        <v>422</v>
      </c>
    </row>
    <row r="134" spans="3:10">
      <c r="C134" t="s">
        <v>423</v>
      </c>
    </row>
    <row r="135" spans="3:10">
      <c r="C135" t="s">
        <v>424</v>
      </c>
      <c r="D135" t="s">
        <v>425</v>
      </c>
      <c r="I135" t="s">
        <v>426</v>
      </c>
    </row>
    <row r="136" spans="3:10">
      <c r="C136" t="s">
        <v>424</v>
      </c>
      <c r="D136" t="s">
        <v>427</v>
      </c>
      <c r="I136" t="s">
        <v>428</v>
      </c>
      <c r="J136" s="79" t="s">
        <v>429</v>
      </c>
    </row>
    <row r="137" spans="3:10">
      <c r="C137" t="s">
        <v>430</v>
      </c>
      <c r="D137">
        <v>2019</v>
      </c>
      <c r="G137">
        <v>2018</v>
      </c>
      <c r="H137">
        <v>2017</v>
      </c>
      <c r="J137" s="79"/>
    </row>
    <row r="138" spans="3:10">
      <c r="C138" t="s">
        <v>431</v>
      </c>
    </row>
    <row r="139" spans="3:10">
      <c r="C139" t="s">
        <v>432</v>
      </c>
      <c r="D139">
        <v>4432.7</v>
      </c>
      <c r="E139" s="79">
        <v>0.38952354171426562</v>
      </c>
      <c r="F139" s="85"/>
      <c r="G139">
        <v>4274.1000000000004</v>
      </c>
      <c r="H139">
        <v>4214</v>
      </c>
      <c r="I139">
        <v>3.7107227252520865E-2</v>
      </c>
      <c r="J139">
        <v>1.4261983863312854E-2</v>
      </c>
    </row>
    <row r="140" spans="3:10">
      <c r="C140" t="s">
        <v>433</v>
      </c>
      <c r="D140">
        <v>2101.8000000000002</v>
      </c>
      <c r="E140" s="79">
        <v>0.18469568885217669</v>
      </c>
      <c r="F140" s="85"/>
      <c r="G140">
        <v>2363</v>
      </c>
      <c r="H140">
        <v>2645.8</v>
      </c>
      <c r="I140">
        <v>-0.11053745239102827</v>
      </c>
      <c r="J140">
        <v>-0.106886385970217</v>
      </c>
    </row>
    <row r="141" spans="3:10">
      <c r="C141" t="s">
        <v>434</v>
      </c>
      <c r="D141">
        <v>1892.2</v>
      </c>
      <c r="E141" s="79">
        <v>0.16627708747078157</v>
      </c>
      <c r="F141" s="85"/>
      <c r="G141">
        <v>1864</v>
      </c>
      <c r="H141">
        <v>1973.1</v>
      </c>
      <c r="I141">
        <v>1.5128755364806892E-2</v>
      </c>
      <c r="J141">
        <v>-5.52937002686128E-2</v>
      </c>
    </row>
    <row r="142" spans="3:10">
      <c r="C142" t="s">
        <v>435</v>
      </c>
      <c r="D142">
        <v>5.5</v>
      </c>
      <c r="E142" s="79">
        <v>4.8331253624844025E-4</v>
      </c>
      <c r="F142" s="85"/>
      <c r="G142" t="s">
        <v>201</v>
      </c>
      <c r="H142" t="s">
        <v>201</v>
      </c>
      <c r="I142" t="s">
        <v>436</v>
      </c>
      <c r="J142" t="s">
        <v>436</v>
      </c>
    </row>
    <row r="143" spans="3:10">
      <c r="C143" t="s">
        <v>437</v>
      </c>
      <c r="D143">
        <v>97.1</v>
      </c>
      <c r="E143" s="79">
        <v>8.5326631399497352E-3</v>
      </c>
      <c r="F143" s="85"/>
      <c r="G143">
        <v>92.7</v>
      </c>
      <c r="H143">
        <v>91.6</v>
      </c>
      <c r="I143">
        <v>4.746494066882407E-2</v>
      </c>
      <c r="J143">
        <v>1.2008733624454242E-2</v>
      </c>
    </row>
    <row r="144" spans="3:10">
      <c r="C144" t="s">
        <v>438</v>
      </c>
      <c r="D144" t="s">
        <v>201</v>
      </c>
      <c r="E144" s="79"/>
      <c r="F144" s="280"/>
      <c r="G144">
        <v>1.4</v>
      </c>
      <c r="H144">
        <v>52.7</v>
      </c>
    </row>
    <row r="145" spans="3:10">
      <c r="C145" t="s">
        <v>439</v>
      </c>
      <c r="D145">
        <v>8529.2999999999993</v>
      </c>
      <c r="E145" s="79"/>
      <c r="F145" s="280">
        <v>0.74951229371342198</v>
      </c>
      <c r="G145">
        <v>8595.2000000000007</v>
      </c>
      <c r="H145">
        <v>8977.2000000000007</v>
      </c>
      <c r="I145">
        <v>-7.667069992554152E-3</v>
      </c>
      <c r="J145" t="s">
        <v>440</v>
      </c>
    </row>
    <row r="146" spans="3:10">
      <c r="C146" t="s">
        <v>441</v>
      </c>
      <c r="E146" s="79"/>
      <c r="F146" s="280"/>
    </row>
    <row r="147" spans="3:10">
      <c r="C147" t="s">
        <v>442</v>
      </c>
      <c r="D147">
        <v>2097</v>
      </c>
      <c r="E147" s="79">
        <v>0.18427388882054169</v>
      </c>
      <c r="F147" s="280"/>
      <c r="G147">
        <v>1724.2</v>
      </c>
      <c r="H147">
        <v>883.7</v>
      </c>
      <c r="I147">
        <v>0.21621621621621617</v>
      </c>
      <c r="J147">
        <v>0.95111463166232879</v>
      </c>
    </row>
    <row r="148" spans="3:10">
      <c r="C148" t="s">
        <v>443</v>
      </c>
      <c r="E148" s="79"/>
      <c r="F148" s="280"/>
    </row>
    <row r="149" spans="3:10">
      <c r="C149" t="s">
        <v>444</v>
      </c>
      <c r="D149">
        <v>486.2</v>
      </c>
      <c r="E149" s="79">
        <v>4.2724828204362117E-2</v>
      </c>
      <c r="F149" s="280"/>
      <c r="G149">
        <v>485.2</v>
      </c>
      <c r="H149">
        <v>370.8</v>
      </c>
      <c r="I149">
        <v>-2.0610057708161582E-3</v>
      </c>
      <c r="J149">
        <v>0.30852211434735699</v>
      </c>
    </row>
    <row r="150" spans="3:10">
      <c r="C150" t="s">
        <v>445</v>
      </c>
      <c r="D150">
        <v>184</v>
      </c>
      <c r="E150" s="79">
        <v>1.6169001212675092E-2</v>
      </c>
      <c r="F150" s="280"/>
      <c r="G150">
        <v>16.7</v>
      </c>
      <c r="H150" t="s">
        <v>201</v>
      </c>
      <c r="I150">
        <v>10.017964071856289</v>
      </c>
      <c r="J150" t="s">
        <v>436</v>
      </c>
    </row>
    <row r="151" spans="3:10">
      <c r="C151" t="s">
        <v>446</v>
      </c>
      <c r="D151">
        <v>68.099999999999994</v>
      </c>
      <c r="E151" s="79">
        <v>5.9842879488215964E-3</v>
      </c>
      <c r="F151" s="280"/>
      <c r="G151">
        <v>43.2</v>
      </c>
      <c r="H151">
        <v>9</v>
      </c>
      <c r="I151">
        <v>0.57638888888888862</v>
      </c>
      <c r="J151">
        <v>3.8000000000000003</v>
      </c>
    </row>
    <row r="152" spans="3:10">
      <c r="C152" t="s">
        <v>447</v>
      </c>
      <c r="D152">
        <v>738.3</v>
      </c>
      <c r="E152" s="79"/>
      <c r="F152" s="280">
        <v>6.4878117365858801E-2</v>
      </c>
      <c r="G152">
        <v>545.1</v>
      </c>
      <c r="H152">
        <v>379.8</v>
      </c>
      <c r="I152">
        <v>0.35443037974683528</v>
      </c>
      <c r="J152">
        <v>0.43522906793048977</v>
      </c>
    </row>
    <row r="153" spans="3:10">
      <c r="C153" t="s">
        <v>448</v>
      </c>
      <c r="E153" s="79"/>
      <c r="F153" s="280"/>
    </row>
    <row r="154" spans="3:10">
      <c r="C154" t="s">
        <v>449</v>
      </c>
      <c r="D154">
        <v>15.2</v>
      </c>
      <c r="E154" s="79">
        <v>1.3357001001775076E-3</v>
      </c>
      <c r="F154" s="85"/>
      <c r="G154">
        <v>22.3</v>
      </c>
      <c r="H154">
        <v>39.6</v>
      </c>
      <c r="I154">
        <v>-0.31838565022421528</v>
      </c>
      <c r="J154">
        <v>-0.43686868686868685</v>
      </c>
    </row>
    <row r="155" spans="3:10">
      <c r="C155" t="s">
        <v>450</v>
      </c>
      <c r="F155" s="85"/>
    </row>
    <row r="156" spans="3:10">
      <c r="C156" t="s">
        <v>451</v>
      </c>
      <c r="D156" t="s">
        <v>201</v>
      </c>
      <c r="G156" t="s">
        <v>201</v>
      </c>
      <c r="H156">
        <v>48.4</v>
      </c>
      <c r="I156" t="s">
        <v>436</v>
      </c>
      <c r="J156" t="s">
        <v>436</v>
      </c>
    </row>
    <row r="157" spans="3:10">
      <c r="C157" t="s">
        <v>452</v>
      </c>
      <c r="D157" t="s">
        <v>201</v>
      </c>
      <c r="G157" t="s">
        <v>201</v>
      </c>
      <c r="H157">
        <v>26</v>
      </c>
      <c r="I157" t="s">
        <v>436</v>
      </c>
      <c r="J157" t="s">
        <v>436</v>
      </c>
    </row>
    <row r="158" spans="3:10">
      <c r="C158" t="s">
        <v>453</v>
      </c>
      <c r="D158" t="s">
        <v>201</v>
      </c>
      <c r="G158" t="s">
        <v>201</v>
      </c>
      <c r="H158">
        <v>74.400000000000006</v>
      </c>
      <c r="I158" t="s">
        <v>436</v>
      </c>
      <c r="J158" t="s">
        <v>436</v>
      </c>
    </row>
    <row r="159" spans="3:10">
      <c r="C159" t="s">
        <v>454</v>
      </c>
      <c r="D159">
        <v>11379.8</v>
      </c>
      <c r="G159">
        <v>10886.8</v>
      </c>
      <c r="H159">
        <v>10354.700000000001</v>
      </c>
      <c r="I159">
        <v>4.5284197376639607E-2</v>
      </c>
      <c r="J159">
        <v>5.1387292726974079E-2</v>
      </c>
    </row>
    <row r="160" spans="3:10">
      <c r="C160" t="s">
        <v>455</v>
      </c>
    </row>
    <row r="161" spans="3:11">
      <c r="C161" t="s">
        <v>456</v>
      </c>
    </row>
    <row r="162" spans="3:11">
      <c r="E162" t="s">
        <v>457</v>
      </c>
    </row>
    <row r="164" spans="3:11">
      <c r="F164" s="282">
        <v>2020</v>
      </c>
      <c r="G164" s="283"/>
      <c r="H164" s="283">
        <v>2021</v>
      </c>
      <c r="I164" s="283"/>
      <c r="J164" s="284">
        <v>2022</v>
      </c>
    </row>
    <row r="165" spans="3:11">
      <c r="F165" s="285">
        <f>D139*0.86</f>
        <v>3812.1219999999998</v>
      </c>
      <c r="G165" s="221"/>
      <c r="H165" s="221">
        <f>F165/2</f>
        <v>1906.0609999999999</v>
      </c>
      <c r="I165" s="221"/>
      <c r="J165" s="286">
        <f>H165/2</f>
        <v>953.03049999999996</v>
      </c>
    </row>
    <row r="166" spans="3:11">
      <c r="F166" s="285">
        <f>D140*0.86</f>
        <v>1807.5480000000002</v>
      </c>
      <c r="G166" s="221"/>
      <c r="H166" s="221">
        <v>1807.5480000000002</v>
      </c>
      <c r="I166" s="221"/>
      <c r="J166" s="286">
        <v>1807.5480000000002</v>
      </c>
    </row>
    <row r="167" spans="3:11">
      <c r="F167" s="285">
        <f>D141*0.86</f>
        <v>1627.2919999999999</v>
      </c>
      <c r="G167" s="221"/>
      <c r="H167" s="221">
        <v>1627.2919999999999</v>
      </c>
      <c r="I167" s="221"/>
      <c r="J167" s="286">
        <v>1627.2919999999999</v>
      </c>
    </row>
    <row r="168" spans="3:11">
      <c r="F168" s="285">
        <f>D142*0.86</f>
        <v>4.7299999999999995</v>
      </c>
      <c r="G168" s="221"/>
      <c r="H168" s="221">
        <v>4.7299999999999995</v>
      </c>
      <c r="I168" s="221"/>
      <c r="J168" s="286">
        <v>4.7299999999999995</v>
      </c>
    </row>
    <row r="169" spans="3:11">
      <c r="F169" s="285">
        <f>D143*0.86</f>
        <v>83.506</v>
      </c>
      <c r="G169" s="221"/>
      <c r="H169" s="221">
        <v>83.506</v>
      </c>
      <c r="I169" s="221"/>
      <c r="J169" s="286">
        <v>83.506</v>
      </c>
    </row>
    <row r="170" spans="3:11">
      <c r="F170" s="287">
        <f>SUM(F165:F169)</f>
        <v>7335.1979999999994</v>
      </c>
      <c r="G170" s="288"/>
      <c r="H170" s="289">
        <f>SUM(H165:H169)</f>
        <v>5429.1369999999997</v>
      </c>
      <c r="I170" s="288"/>
      <c r="J170" s="290">
        <f>SUM(J165:J169)</f>
        <v>4476.1064999999999</v>
      </c>
      <c r="K170" s="81">
        <v>4476.1064999999999</v>
      </c>
    </row>
    <row r="172" spans="3:11">
      <c r="E172" s="135" t="s">
        <v>458</v>
      </c>
      <c r="H172" s="291">
        <v>1000</v>
      </c>
      <c r="J172" s="291">
        <v>2000</v>
      </c>
      <c r="K172">
        <v>2500</v>
      </c>
    </row>
    <row r="173" spans="3:11">
      <c r="F173">
        <v>7000</v>
      </c>
      <c r="H173" s="140">
        <f>H170+H172</f>
        <v>6429.1369999999997</v>
      </c>
      <c r="J173" s="140">
        <f>J170+J172</f>
        <v>6476.1064999999999</v>
      </c>
      <c r="K173" s="140">
        <f>K170+K172</f>
        <v>6976.1064999999999</v>
      </c>
    </row>
    <row r="175" spans="3:11">
      <c r="J175" s="80">
        <f>6700/44000</f>
        <v>0.15227272727272728</v>
      </c>
      <c r="K175" s="135" t="s">
        <v>459</v>
      </c>
    </row>
  </sheetData>
  <mergeCells count="17">
    <mergeCell ref="H46:J46"/>
    <mergeCell ref="AJ58:AK58"/>
    <mergeCell ref="AI59:AU59"/>
    <mergeCell ref="AJ60:AK60"/>
    <mergeCell ref="AJ61:AK61"/>
    <mergeCell ref="AJ85:AK85"/>
    <mergeCell ref="AJ86:AK86"/>
    <mergeCell ref="AJ62:AK62"/>
    <mergeCell ref="AJ63:AK63"/>
    <mergeCell ref="AJ64:AK64"/>
    <mergeCell ref="AJ65:AK65"/>
    <mergeCell ref="AJ66:AK66"/>
    <mergeCell ref="AJ74:AK74"/>
    <mergeCell ref="AJ75:AK75"/>
    <mergeCell ref="AJ67:AK67"/>
    <mergeCell ref="AJ68:AK68"/>
    <mergeCell ref="AJ84:AK84"/>
  </mergeCells>
  <conditionalFormatting sqref="B6:T13">
    <cfRule type="expression" dxfId="197" priority="6">
      <formula>MOD(ROW(),2)=0</formula>
    </cfRule>
  </conditionalFormatting>
  <conditionalFormatting sqref="B18:T25">
    <cfRule type="expression" dxfId="196" priority="5">
      <formula>MOD(ROW(),2)=0</formula>
    </cfRule>
  </conditionalFormatting>
  <conditionalFormatting sqref="B31:T39">
    <cfRule type="expression" dxfId="195" priority="4">
      <formula>MOD(ROW(),2)=0</formula>
    </cfRule>
  </conditionalFormatting>
  <conditionalFormatting sqref="D56:H58">
    <cfRule type="expression" dxfId="194" priority="3">
      <formula>MOD(ROW(),2)=0</formula>
    </cfRule>
  </conditionalFormatting>
  <conditionalFormatting sqref="D63:H65">
    <cfRule type="expression" dxfId="193" priority="2">
      <formula>MOD(ROW(),2)=0</formula>
    </cfRule>
  </conditionalFormatting>
  <conditionalFormatting sqref="C47:E51">
    <cfRule type="expression" dxfId="192" priority="1">
      <formula>MOD(ROW(),2)=0</formula>
    </cfRule>
  </conditionalFormatting>
  <pageMargins left="0.75" right="0.75" top="1" bottom="1" header="0.5" footer="0.5"/>
  <pageSetup paperSize="11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39997558519241921"/>
  </sheetPr>
  <dimension ref="A1:AB123"/>
  <sheetViews>
    <sheetView showGridLines="0" topLeftCell="A22" zoomScaleNormal="100" workbookViewId="0">
      <selection activeCell="AB56" sqref="AB56"/>
    </sheetView>
  </sheetViews>
  <sheetFormatPr defaultRowHeight="12.75"/>
  <cols>
    <col min="1" max="1" width="8.28515625" customWidth="1"/>
    <col min="2" max="2" width="5" customWidth="1"/>
    <col min="3" max="3" width="7.42578125" customWidth="1"/>
    <col min="4" max="4" width="16.42578125" bestFit="1" customWidth="1"/>
    <col min="5" max="5" width="12.28515625" customWidth="1"/>
    <col min="6" max="6" width="20.85546875" bestFit="1"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30.5703125" bestFit="1" customWidth="1"/>
    <col min="25" max="25" width="32.7109375" bestFit="1" customWidth="1"/>
    <col min="26" max="26" width="17.425781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2019</v>
      </c>
      <c r="J4" s="27">
        <f>H4+1</f>
        <v>2020</v>
      </c>
      <c r="K4" s="20"/>
      <c r="L4" s="27">
        <f>J4+1</f>
        <v>2021</v>
      </c>
      <c r="M4" s="20"/>
      <c r="N4" s="60">
        <f>L4+1</f>
        <v>2022</v>
      </c>
      <c r="O4" s="21"/>
      <c r="P4" s="60">
        <f>N4+1</f>
        <v>2023</v>
      </c>
      <c r="Q4" s="21"/>
      <c r="R4" s="60">
        <f>P4+1</f>
        <v>2024</v>
      </c>
      <c r="T4" s="28" t="s">
        <v>33</v>
      </c>
    </row>
    <row r="5" spans="1:24" ht="5.0999999999999996" customHeight="1"/>
    <row r="6" spans="1:24">
      <c r="B6" t="s">
        <v>26</v>
      </c>
      <c r="H6" s="75">
        <v>24198000000</v>
      </c>
      <c r="J6" s="75">
        <f>H6*C47</f>
        <v>13308900000.000002</v>
      </c>
      <c r="K6" s="121"/>
      <c r="L6" s="75">
        <f>J6*C48</f>
        <v>13308900000.000002</v>
      </c>
      <c r="M6" s="121"/>
      <c r="N6" s="75">
        <f>L6*C49</f>
        <v>13308900000.000002</v>
      </c>
      <c r="O6" s="75"/>
      <c r="P6" s="75">
        <f>N6*C50</f>
        <v>13308900000.000002</v>
      </c>
      <c r="Q6" s="75"/>
      <c r="R6" s="75">
        <f>P6*C51</f>
        <v>13308900000.000002</v>
      </c>
      <c r="T6" s="4">
        <f>(R6/J6)^(1/4)-1</f>
        <v>0</v>
      </c>
    </row>
    <row r="7" spans="1:24">
      <c r="B7" s="23" t="s">
        <v>22</v>
      </c>
      <c r="H7" s="71">
        <v>0</v>
      </c>
      <c r="J7" s="71">
        <v>0</v>
      </c>
      <c r="L7" s="71">
        <v>0</v>
      </c>
      <c r="N7" s="71">
        <v>0</v>
      </c>
      <c r="P7" s="71">
        <v>0</v>
      </c>
      <c r="R7" s="71">
        <v>0</v>
      </c>
      <c r="T7" s="4"/>
    </row>
    <row r="8" spans="1:24">
      <c r="B8" t="s">
        <v>27</v>
      </c>
      <c r="H8" s="115">
        <f>H6+H7</f>
        <v>24198000000</v>
      </c>
      <c r="I8" s="73"/>
      <c r="J8" s="115">
        <f>J6+J7</f>
        <v>13308900000.000002</v>
      </c>
      <c r="K8" s="116"/>
      <c r="L8" s="115">
        <f>L6+L7</f>
        <v>13308900000.000002</v>
      </c>
      <c r="M8" s="116"/>
      <c r="N8" s="115">
        <f>N6+N7</f>
        <v>13308900000.000002</v>
      </c>
      <c r="O8" s="116"/>
      <c r="P8" s="115">
        <f>P6+P7</f>
        <v>13308900000.000002</v>
      </c>
      <c r="Q8" s="116"/>
      <c r="R8" s="115">
        <f>R6+R7</f>
        <v>13308900000.000002</v>
      </c>
      <c r="T8" s="4">
        <f>(R8/J8)^(1/4)-1</f>
        <v>0</v>
      </c>
    </row>
    <row r="9" spans="1:24" s="39" customFormat="1">
      <c r="B9" s="39" t="s">
        <v>21</v>
      </c>
      <c r="H9" s="117">
        <f>-$J$51*H8</f>
        <v>-4839600000</v>
      </c>
      <c r="I9"/>
      <c r="J9" s="117">
        <f>-$J$51*J8</f>
        <v>-2661780000.0000005</v>
      </c>
      <c r="K9" s="114"/>
      <c r="L9" s="117">
        <f>-$J$51*L8</f>
        <v>-2661780000.0000005</v>
      </c>
      <c r="M9" s="114"/>
      <c r="N9" s="117">
        <f>-$J$51*N8</f>
        <v>-2661780000.0000005</v>
      </c>
      <c r="O9" s="114"/>
      <c r="P9" s="117">
        <f>-$J$51*P8</f>
        <v>-2661780000.0000005</v>
      </c>
      <c r="Q9" s="114"/>
      <c r="R9" s="117">
        <f>-$J$51*R8</f>
        <v>-2661780000.0000005</v>
      </c>
    </row>
    <row r="10" spans="1:24" s="2" customFormat="1">
      <c r="B10" s="2" t="s">
        <v>3</v>
      </c>
      <c r="H10" s="118">
        <f>SUM(H8:H9)</f>
        <v>19358400000</v>
      </c>
      <c r="J10" s="118">
        <f>SUM(J8:J9)</f>
        <v>10647120000.000002</v>
      </c>
      <c r="K10" s="119"/>
      <c r="L10" s="118">
        <f>SUM(L8:L9)</f>
        <v>10647120000.000002</v>
      </c>
      <c r="M10" s="119"/>
      <c r="N10" s="118">
        <f>SUM(N8:N9)</f>
        <v>10647120000.000002</v>
      </c>
      <c r="O10" s="119"/>
      <c r="P10" s="118">
        <f>SUM(P8:P9)</f>
        <v>10647120000.000002</v>
      </c>
      <c r="Q10" s="119"/>
      <c r="R10" s="118">
        <f>SUM(R8:R9)</f>
        <v>10647120000.000002</v>
      </c>
      <c r="T10" s="4">
        <f>(R10/J10)^(1/4)-1</f>
        <v>0</v>
      </c>
    </row>
    <row r="11" spans="1:24">
      <c r="B11" s="10" t="s">
        <v>25</v>
      </c>
      <c r="H11" s="112">
        <v>5593000000</v>
      </c>
      <c r="I11" s="112"/>
      <c r="J11" s="112">
        <f>H11</f>
        <v>5593000000</v>
      </c>
      <c r="K11" s="112"/>
      <c r="L11" s="112">
        <f>J11</f>
        <v>5593000000</v>
      </c>
      <c r="M11" s="112"/>
      <c r="N11" s="112">
        <f>L11</f>
        <v>5593000000</v>
      </c>
      <c r="O11" s="112"/>
      <c r="P11" s="112">
        <f>N11</f>
        <v>5593000000</v>
      </c>
      <c r="Q11" s="112"/>
      <c r="R11" s="112">
        <f>P11</f>
        <v>5593000000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24951400000</v>
      </c>
      <c r="J13" s="120">
        <f>SUM(J10:J12)</f>
        <v>16240120000.000002</v>
      </c>
      <c r="K13" s="114"/>
      <c r="L13" s="120">
        <f>SUM(L10:L12)</f>
        <v>16240120000.000002</v>
      </c>
      <c r="M13" s="114"/>
      <c r="N13" s="120">
        <f>SUM(N10:N12)</f>
        <v>16240120000.000002</v>
      </c>
      <c r="O13" s="114"/>
      <c r="P13" s="120">
        <f>SUM(P10:P12)</f>
        <v>16240120000.000002</v>
      </c>
      <c r="Q13" s="114"/>
      <c r="R13" s="120">
        <f>SUM(R10:R12)</f>
        <v>16240120000.000002</v>
      </c>
      <c r="T13" s="4">
        <f>(R13/J13)^(1/4)-1</f>
        <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f>H4</f>
        <v>2019</v>
      </c>
      <c r="J16" s="27">
        <f>H16+1</f>
        <v>2020</v>
      </c>
      <c r="K16" s="20"/>
      <c r="L16" s="27">
        <f>J16+1</f>
        <v>2021</v>
      </c>
      <c r="M16" s="20"/>
      <c r="N16" s="60">
        <f>L16+1</f>
        <v>2022</v>
      </c>
      <c r="O16" s="21"/>
      <c r="P16" s="60">
        <f>N16+1</f>
        <v>2023</v>
      </c>
      <c r="Q16" s="21"/>
      <c r="R16" s="60">
        <f>P16+1</f>
        <v>2024</v>
      </c>
      <c r="T16" s="28" t="s">
        <v>33</v>
      </c>
    </row>
    <row r="18" spans="1:20">
      <c r="B18" t="s">
        <v>26</v>
      </c>
      <c r="H18" s="75">
        <f>H6</f>
        <v>24198000000</v>
      </c>
      <c r="J18" s="75">
        <f>H18*D47</f>
        <v>13308900000.000002</v>
      </c>
      <c r="K18" s="121"/>
      <c r="L18" s="75">
        <f>J18*D48</f>
        <v>19963350000.000004</v>
      </c>
      <c r="M18" s="121"/>
      <c r="N18" s="75">
        <f>L18*D49</f>
        <v>29945025000.000008</v>
      </c>
      <c r="O18" s="75"/>
      <c r="P18" s="75">
        <f>N18*D50</f>
        <v>29945025000.000008</v>
      </c>
      <c r="Q18" s="75"/>
      <c r="R18" s="75">
        <f>P18*D51</f>
        <v>29945025000.000008</v>
      </c>
      <c r="T18" s="4">
        <f>(R18/J18)^(1/4)-1</f>
        <v>0.22474487139158916</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24198000000</v>
      </c>
      <c r="I20" s="116"/>
      <c r="J20" s="115">
        <f>J18+J19</f>
        <v>13308900000.000002</v>
      </c>
      <c r="K20" s="116"/>
      <c r="L20" s="115">
        <f>L18+L19</f>
        <v>19963350000.000004</v>
      </c>
      <c r="M20" s="116"/>
      <c r="N20" s="115">
        <f>N18+N19</f>
        <v>29945025000.000008</v>
      </c>
      <c r="O20" s="116"/>
      <c r="P20" s="115">
        <f>P18+P19</f>
        <v>29945025000.000008</v>
      </c>
      <c r="Q20" s="116"/>
      <c r="R20" s="115">
        <f>R18+R19</f>
        <v>29945025000.000008</v>
      </c>
      <c r="T20" s="4">
        <f>(R20/J20)^(1/4)-1</f>
        <v>0.22474487139158916</v>
      </c>
    </row>
    <row r="21" spans="1:20">
      <c r="B21" s="39" t="s">
        <v>21</v>
      </c>
      <c r="C21" s="39"/>
      <c r="D21" s="39"/>
      <c r="E21" s="39"/>
      <c r="F21" s="39"/>
      <c r="G21" s="39"/>
      <c r="H21" s="117">
        <f>-$J$51*H20</f>
        <v>-4839600000</v>
      </c>
      <c r="I21" s="114"/>
      <c r="J21" s="117">
        <f>-$J$51*J20</f>
        <v>-2661780000.0000005</v>
      </c>
      <c r="K21" s="114"/>
      <c r="L21" s="117">
        <f>-$J$51*L20</f>
        <v>-3992670000.000001</v>
      </c>
      <c r="M21" s="114"/>
      <c r="N21" s="117">
        <f>-$J$51*N20</f>
        <v>-5989005000.0000019</v>
      </c>
      <c r="O21" s="114"/>
      <c r="P21" s="117">
        <f>-$J$51*P20</f>
        <v>-5989005000.0000019</v>
      </c>
      <c r="Q21" s="114"/>
      <c r="R21" s="117">
        <f>-$J$51*R20</f>
        <v>-5989005000.0000019</v>
      </c>
      <c r="S21" s="39"/>
      <c r="T21" s="39"/>
    </row>
    <row r="22" spans="1:20">
      <c r="A22" s="2"/>
      <c r="B22" s="2" t="s">
        <v>3</v>
      </c>
      <c r="C22" s="2"/>
      <c r="D22" s="2"/>
      <c r="E22" s="2"/>
      <c r="F22" s="2"/>
      <c r="G22" s="2"/>
      <c r="H22" s="118">
        <f>SUM(H20:H21)</f>
        <v>19358400000</v>
      </c>
      <c r="I22" s="119"/>
      <c r="J22" s="118">
        <f>SUM(J20:J21)</f>
        <v>10647120000.000002</v>
      </c>
      <c r="K22" s="119"/>
      <c r="L22" s="118">
        <f>SUM(L20:L21)</f>
        <v>15970680000.000004</v>
      </c>
      <c r="M22" s="119"/>
      <c r="N22" s="118">
        <f>SUM(N20:N21)</f>
        <v>23956020000.000008</v>
      </c>
      <c r="O22" s="119"/>
      <c r="P22" s="118">
        <f>SUM(P20:P21)</f>
        <v>23956020000.000008</v>
      </c>
      <c r="Q22" s="119"/>
      <c r="R22" s="118">
        <f>SUM(R20:R21)</f>
        <v>23956020000.000008</v>
      </c>
      <c r="S22" s="2"/>
      <c r="T22" s="4">
        <f>(R22/J22)^(1/4)-1</f>
        <v>0.22474487139158916</v>
      </c>
    </row>
    <row r="23" spans="1:20">
      <c r="B23" s="10" t="s">
        <v>25</v>
      </c>
      <c r="H23" s="112">
        <f>H11</f>
        <v>5593000000</v>
      </c>
      <c r="I23" s="112"/>
      <c r="J23" s="112">
        <f>J11</f>
        <v>5593000000</v>
      </c>
      <c r="K23" s="112"/>
      <c r="L23" s="112">
        <f>L11</f>
        <v>5593000000</v>
      </c>
      <c r="M23" s="112"/>
      <c r="N23" s="112">
        <f>N11</f>
        <v>5593000000</v>
      </c>
      <c r="O23" s="112"/>
      <c r="P23" s="112">
        <f>P11</f>
        <v>5593000000</v>
      </c>
      <c r="Q23" s="112"/>
      <c r="R23" s="112">
        <f>R11</f>
        <v>5593000000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24951400000</v>
      </c>
      <c r="I25" s="114"/>
      <c r="J25" s="120">
        <f>SUM(J22:J24)</f>
        <v>16240120000.000002</v>
      </c>
      <c r="K25" s="114"/>
      <c r="L25" s="120">
        <f>SUM(L22:L24)</f>
        <v>21563680000.000004</v>
      </c>
      <c r="M25" s="114"/>
      <c r="N25" s="120">
        <f>SUM(N22:N24)</f>
        <v>29549020000.000008</v>
      </c>
      <c r="O25" s="114"/>
      <c r="P25" s="120">
        <f>SUM(P22:P24)</f>
        <v>29549020000.000008</v>
      </c>
      <c r="Q25" s="114"/>
      <c r="R25" s="120">
        <f>SUM(R22:R24)</f>
        <v>29549020000.000008</v>
      </c>
      <c r="T25" s="4">
        <f>(R25/J25)^(1/4)-1</f>
        <v>0.16141775779121792</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f>H4</f>
        <v>2019</v>
      </c>
      <c r="J29" s="27">
        <f>H29+1</f>
        <v>2020</v>
      </c>
      <c r="K29" s="20"/>
      <c r="L29" s="27">
        <f>J29+1</f>
        <v>2021</v>
      </c>
      <c r="M29" s="20"/>
      <c r="N29" s="60">
        <f>L29+1</f>
        <v>2022</v>
      </c>
      <c r="O29" s="21"/>
      <c r="P29" s="60">
        <f>N29+1</f>
        <v>2023</v>
      </c>
      <c r="Q29" s="21"/>
      <c r="R29" s="60">
        <f>P29+1</f>
        <v>2024</v>
      </c>
      <c r="T29" s="28" t="s">
        <v>33</v>
      </c>
    </row>
    <row r="31" spans="1:20">
      <c r="B31" t="s">
        <v>26</v>
      </c>
      <c r="H31" s="75">
        <f>H6</f>
        <v>24198000000</v>
      </c>
      <c r="J31" s="75">
        <f>H31*E47</f>
        <v>13308900000.000002</v>
      </c>
      <c r="K31" s="121"/>
      <c r="L31" s="75">
        <f>J31*E48</f>
        <v>19963350000.000004</v>
      </c>
      <c r="M31" s="121"/>
      <c r="N31" s="75">
        <f>L31*E49</f>
        <v>23956020000.000004</v>
      </c>
      <c r="O31" s="75"/>
      <c r="P31" s="75">
        <f>N31*E50</f>
        <v>23956020000.000004</v>
      </c>
      <c r="Q31" s="75"/>
      <c r="R31" s="75">
        <f>P31*E51</f>
        <v>23956020000.000004</v>
      </c>
      <c r="T31" s="4">
        <f>(R31/J31)^(1/4)-1</f>
        <v>0.15829218528826905</v>
      </c>
    </row>
    <row r="32" spans="1:20">
      <c r="B32" s="23" t="s">
        <v>22</v>
      </c>
      <c r="H32" s="71">
        <f>H7</f>
        <v>0</v>
      </c>
      <c r="J32" s="71">
        <f>J7</f>
        <v>0</v>
      </c>
      <c r="L32" s="71">
        <f>L7</f>
        <v>0</v>
      </c>
      <c r="N32" s="71">
        <f>N7</f>
        <v>0</v>
      </c>
      <c r="P32" s="71">
        <f>P7</f>
        <v>0</v>
      </c>
      <c r="R32" s="71">
        <f>R7</f>
        <v>0</v>
      </c>
      <c r="T32" s="4"/>
    </row>
    <row r="33" spans="1:24">
      <c r="B33" t="s">
        <v>27</v>
      </c>
      <c r="H33" s="115">
        <f>H31+H32</f>
        <v>24198000000</v>
      </c>
      <c r="I33" s="116"/>
      <c r="J33" s="115">
        <f>J31+J32</f>
        <v>13308900000.000002</v>
      </c>
      <c r="K33" s="116"/>
      <c r="L33" s="115">
        <f>L31+L32</f>
        <v>19963350000.000004</v>
      </c>
      <c r="M33" s="116"/>
      <c r="N33" s="115">
        <f>N31+N32</f>
        <v>23956020000.000004</v>
      </c>
      <c r="O33" s="116"/>
      <c r="P33" s="115">
        <f>P31+P32</f>
        <v>23956020000.000004</v>
      </c>
      <c r="Q33" s="116"/>
      <c r="R33" s="115">
        <f>R31+R32</f>
        <v>23956020000.000004</v>
      </c>
      <c r="T33" s="4">
        <f>(R33/J33)^(1/4)-1</f>
        <v>0.15829218528826905</v>
      </c>
    </row>
    <row r="34" spans="1:24">
      <c r="B34" s="39" t="s">
        <v>21</v>
      </c>
      <c r="C34" s="39"/>
      <c r="D34" s="39"/>
      <c r="E34" s="39"/>
      <c r="F34" s="39"/>
      <c r="G34" s="39"/>
      <c r="H34" s="117">
        <f>-$J$51*H33</f>
        <v>-4839600000</v>
      </c>
      <c r="I34" s="114"/>
      <c r="J34" s="117">
        <f>-$J$51*J33</f>
        <v>-2661780000.0000005</v>
      </c>
      <c r="K34" s="114"/>
      <c r="L34" s="117">
        <f>-$J$51*L33</f>
        <v>-3992670000.000001</v>
      </c>
      <c r="M34" s="114"/>
      <c r="N34" s="117">
        <f>-$J$51*N33</f>
        <v>-4791204000.000001</v>
      </c>
      <c r="O34" s="114"/>
      <c r="P34" s="117">
        <f>-$J$51*P33</f>
        <v>-4791204000.000001</v>
      </c>
      <c r="Q34" s="114"/>
      <c r="R34" s="117">
        <f>-$J$51*R33</f>
        <v>-4791204000.000001</v>
      </c>
      <c r="S34" s="39"/>
      <c r="T34" s="39"/>
    </row>
    <row r="35" spans="1:24">
      <c r="A35" s="2"/>
      <c r="B35" s="2" t="s">
        <v>3</v>
      </c>
      <c r="C35" s="2"/>
      <c r="D35" s="2"/>
      <c r="E35" s="2"/>
      <c r="F35" s="2"/>
      <c r="G35" s="2"/>
      <c r="H35" s="118">
        <f>SUM(H33:H34)</f>
        <v>19358400000</v>
      </c>
      <c r="I35" s="119"/>
      <c r="J35" s="118">
        <f>SUM(J33:J34)</f>
        <v>10647120000.000002</v>
      </c>
      <c r="K35" s="119"/>
      <c r="L35" s="118">
        <f>SUM(L33:L34)</f>
        <v>15970680000.000004</v>
      </c>
      <c r="M35" s="119"/>
      <c r="N35" s="118">
        <f>SUM(N33:N34)</f>
        <v>19164816000.000004</v>
      </c>
      <c r="O35" s="119"/>
      <c r="P35" s="118">
        <f>SUM(P33:P34)</f>
        <v>19164816000.000004</v>
      </c>
      <c r="Q35" s="119"/>
      <c r="R35" s="118">
        <f>SUM(R33:R34)</f>
        <v>19164816000.000004</v>
      </c>
      <c r="S35" s="2"/>
      <c r="T35" s="4">
        <f>(R35/J35)^(1/4)-1</f>
        <v>0.15829218528826905</v>
      </c>
    </row>
    <row r="36" spans="1:24">
      <c r="B36" s="10" t="s">
        <v>25</v>
      </c>
      <c r="H36" s="112">
        <f>H11</f>
        <v>5593000000</v>
      </c>
      <c r="I36" s="112"/>
      <c r="J36" s="112">
        <f>J11</f>
        <v>5593000000</v>
      </c>
      <c r="K36" s="112"/>
      <c r="L36" s="112">
        <f>L11</f>
        <v>5593000000</v>
      </c>
      <c r="M36" s="112"/>
      <c r="N36" s="112">
        <f>N11</f>
        <v>5593000000</v>
      </c>
      <c r="O36" s="112"/>
      <c r="P36" s="112">
        <f>P11</f>
        <v>5593000000</v>
      </c>
      <c r="Q36" s="112"/>
      <c r="R36" s="112">
        <f>R11</f>
        <v>5593000000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24951400000</v>
      </c>
      <c r="I38" s="153"/>
      <c r="J38" s="120">
        <f>SUM(J35:J37)</f>
        <v>16240120000.000002</v>
      </c>
      <c r="K38" s="114"/>
      <c r="L38" s="120">
        <f>SUM(L35:L37)</f>
        <v>21563680000.000004</v>
      </c>
      <c r="M38" s="114"/>
      <c r="N38" s="120">
        <f>SUM(N35:N37)</f>
        <v>24757816000.000004</v>
      </c>
      <c r="O38" s="114"/>
      <c r="P38" s="120">
        <f>SUM(P35:P37)</f>
        <v>24757816000.000004</v>
      </c>
      <c r="Q38" s="114"/>
      <c r="R38" s="120">
        <f>SUM(R35:R37)</f>
        <v>24757816000.000004</v>
      </c>
      <c r="T38" s="4">
        <f>(R38/J38)^(1/4)-1</f>
        <v>0.11117068233040261</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2020</v>
      </c>
      <c r="C47" s="88">
        <v>0.55000000000000004</v>
      </c>
      <c r="D47" s="88">
        <v>0.55000000000000004</v>
      </c>
      <c r="E47" s="88">
        <v>0.55000000000000004</v>
      </c>
      <c r="F47" s="74"/>
      <c r="H47" s="156" t="s">
        <v>15</v>
      </c>
      <c r="I47" s="156"/>
      <c r="J47" s="219">
        <v>4105000000</v>
      </c>
      <c r="L47" s="218"/>
      <c r="M47" t="s">
        <v>55</v>
      </c>
      <c r="P47" s="2"/>
      <c r="X47" s="127"/>
    </row>
    <row r="48" spans="1:24">
      <c r="B48" s="90">
        <f>B47+1</f>
        <v>2021</v>
      </c>
      <c r="C48" s="88">
        <v>1</v>
      </c>
      <c r="D48" s="88">
        <v>1.5</v>
      </c>
      <c r="E48" s="88">
        <v>1.5</v>
      </c>
      <c r="H48" s="156" t="s">
        <v>99</v>
      </c>
      <c r="I48" s="156"/>
      <c r="J48" s="157"/>
      <c r="K48" s="157"/>
      <c r="L48" s="220"/>
      <c r="M48" t="s">
        <v>56</v>
      </c>
      <c r="P48" s="2"/>
      <c r="X48" s="127"/>
    </row>
    <row r="49" spans="2:28">
      <c r="B49" s="90">
        <f>B48+1</f>
        <v>2022</v>
      </c>
      <c r="C49" s="88">
        <v>1</v>
      </c>
      <c r="D49" s="88">
        <v>1.5</v>
      </c>
      <c r="E49" s="88">
        <v>1.2</v>
      </c>
      <c r="H49" s="156" t="s">
        <v>14</v>
      </c>
      <c r="I49" s="156"/>
      <c r="J49" s="157"/>
      <c r="K49" s="157"/>
      <c r="M49" t="s">
        <v>58</v>
      </c>
      <c r="P49" s="2"/>
      <c r="X49" s="127"/>
    </row>
    <row r="50" spans="2:28">
      <c r="B50" s="90">
        <f>B49+1</f>
        <v>2023</v>
      </c>
      <c r="C50" s="88">
        <v>1</v>
      </c>
      <c r="D50" s="88">
        <v>1</v>
      </c>
      <c r="E50" s="88">
        <v>1</v>
      </c>
      <c r="H50" s="155" t="s">
        <v>16</v>
      </c>
      <c r="I50" s="156"/>
      <c r="J50" s="158">
        <v>0.02</v>
      </c>
      <c r="M50" t="s">
        <v>59</v>
      </c>
      <c r="P50" s="2"/>
      <c r="X50" s="127"/>
    </row>
    <row r="51" spans="2:28">
      <c r="B51" s="90">
        <f>B50+1</f>
        <v>2024</v>
      </c>
      <c r="C51" s="88">
        <v>1</v>
      </c>
      <c r="D51" s="88">
        <v>1</v>
      </c>
      <c r="E51" s="88">
        <v>1</v>
      </c>
      <c r="H51" s="156" t="s">
        <v>2</v>
      </c>
      <c r="I51" s="156"/>
      <c r="J51" s="158">
        <v>0.2</v>
      </c>
      <c r="M51" t="s">
        <v>60</v>
      </c>
      <c r="P51" s="2"/>
      <c r="X51" s="127"/>
    </row>
    <row r="52" spans="2:28">
      <c r="B52" s="2"/>
      <c r="D52" s="2"/>
      <c r="M52" t="s">
        <v>61</v>
      </c>
      <c r="P52" s="2"/>
      <c r="X52" s="127"/>
    </row>
    <row r="53" spans="2:28">
      <c r="B53" s="2"/>
      <c r="D53" s="2"/>
      <c r="I53" s="23"/>
      <c r="J53" s="23"/>
      <c r="M53" t="s">
        <v>62</v>
      </c>
      <c r="P53" s="2"/>
      <c r="X53" s="127"/>
    </row>
    <row r="54" spans="2:28">
      <c r="D54" s="30"/>
      <c r="E54" s="30"/>
      <c r="F54" s="109" t="s">
        <v>12</v>
      </c>
      <c r="G54" s="30"/>
      <c r="H54" s="30"/>
      <c r="I54" s="104"/>
      <c r="J54" s="104"/>
      <c r="M54" t="s">
        <v>63</v>
      </c>
      <c r="Q54" s="104"/>
      <c r="R54" s="104"/>
      <c r="S54" s="104"/>
      <c r="T54" s="104"/>
    </row>
    <row r="55" spans="2:28" ht="15">
      <c r="D55" s="85" t="s">
        <v>29</v>
      </c>
      <c r="E55" s="85"/>
      <c r="F55" s="166" t="s">
        <v>31</v>
      </c>
      <c r="G55" s="85"/>
      <c r="H55" s="85" t="s">
        <v>188</v>
      </c>
      <c r="I55" s="108"/>
      <c r="J55" s="106"/>
      <c r="M55" s="135" t="s">
        <v>176</v>
      </c>
      <c r="Q55" s="87"/>
      <c r="R55" s="87"/>
      <c r="S55" s="87"/>
      <c r="T55" s="87"/>
      <c r="X55" s="276" t="s">
        <v>417</v>
      </c>
      <c r="Y55" s="276" t="s">
        <v>418</v>
      </c>
      <c r="Z55" s="276" t="s">
        <v>419</v>
      </c>
    </row>
    <row r="56" spans="2:28">
      <c r="B56" s="84" t="s">
        <v>8</v>
      </c>
      <c r="C56" s="4">
        <v>0.08</v>
      </c>
      <c r="D56" s="92">
        <f>((NPV($C56,$J$13:$P$13,$R$13+$R$13*(1+$J$50)/($C56-$J$50)))-$J$49+J48)/$J$47</f>
        <v>61.568547516237047</v>
      </c>
      <c r="E56" s="93"/>
      <c r="F56" s="94">
        <f>((NPV($C56,$J$25:$P$25,$R$25+$R$25*(1+$J$50)/($C56-$J$50)))-$J$49+J48)/$J$47</f>
        <v>107.35471418338616</v>
      </c>
      <c r="G56" s="93"/>
      <c r="H56" s="123">
        <f>((NPV($C56,$J$38:$P$38,$R$38+$R$38*(1+$J$50)/($C56-$J$50)))-$J$49+J48)/$J$47</f>
        <v>91.271955833413216</v>
      </c>
      <c r="I56" s="10"/>
      <c r="J56" s="11"/>
      <c r="M56" s="135" t="s">
        <v>186</v>
      </c>
      <c r="Q56" s="87"/>
      <c r="R56" s="91"/>
      <c r="S56" s="87"/>
      <c r="T56" s="91"/>
      <c r="X56" s="277">
        <f>201000+51700+50000</f>
        <v>302700</v>
      </c>
      <c r="Y56" s="110">
        <v>181199</v>
      </c>
      <c r="Z56" s="220">
        <f>X56-Y56</f>
        <v>121501</v>
      </c>
      <c r="AB56">
        <f>Z56/Y56</f>
        <v>0.67053902063477167</v>
      </c>
    </row>
    <row r="57" spans="2:28">
      <c r="B57" s="84" t="s">
        <v>28</v>
      </c>
      <c r="C57" s="4">
        <v>0.11</v>
      </c>
      <c r="D57" s="96">
        <f>((NPV($C57,$J$13:$P$13,$R$13+$R$13*(1+$J$50)/($C57-$J$50)))-$J$49+J48)/$J$47</f>
        <v>41.230039773044304</v>
      </c>
      <c r="E57" s="97"/>
      <c r="F57" s="98">
        <f>((NPV($C57,$J$25:$P$25,$R$25+$R$25*(1+$J$50)/($C57-$J$50)))-$J$49+J48)/$J$47</f>
        <v>70.518711890891851</v>
      </c>
      <c r="G57" s="97"/>
      <c r="H57" s="99">
        <f>((NPV($C57,$J$38:$P$38,$R$38+$R$38*(1+$J$50)/($C57-$J$50)))-$J$49+J48)/$J$47</f>
        <v>60.353708188992776</v>
      </c>
      <c r="I57" s="44"/>
      <c r="J57" s="43"/>
      <c r="Q57" s="87"/>
      <c r="R57" s="91"/>
      <c r="S57" s="87"/>
      <c r="T57" s="91"/>
    </row>
    <row r="58" spans="2:28" ht="15">
      <c r="B58" s="8" t="s">
        <v>10</v>
      </c>
      <c r="C58" s="4">
        <v>0.2</v>
      </c>
      <c r="D58" s="100">
        <f>((NPV($C58,$J$13:$P$13,$R$13+$R$13*(1+$J$50)/($C58-$J$50)))-$J$49+J48)/$J$47</f>
        <v>20.840834753529194</v>
      </c>
      <c r="E58" s="101"/>
      <c r="F58" s="102">
        <f>((NPV($C58,$J$25:$P$25,$R$25+$R$25*(1+$J$50)/($C58-$J$50)))-$J$49+J48)/$J$47</f>
        <v>33.86740575120843</v>
      </c>
      <c r="G58" s="101"/>
      <c r="H58" s="103">
        <f>((NPV($C58,$J$38:$P$38,$R$38+$R$38*(1+$J$50)/($C58-$J$50)))-$J$49+J48)/$J$47</f>
        <v>29.502052128706506</v>
      </c>
      <c r="I58" s="44"/>
      <c r="J58" s="43"/>
      <c r="L58" t="s">
        <v>196</v>
      </c>
      <c r="Q58" s="87"/>
      <c r="R58" s="91"/>
      <c r="S58" s="87"/>
      <c r="T58" s="91"/>
      <c r="X58" s="278" t="s">
        <v>420</v>
      </c>
      <c r="Y58" s="278" t="s">
        <v>421</v>
      </c>
    </row>
    <row r="59" spans="2:28">
      <c r="C59" s="4"/>
      <c r="D59" s="23"/>
      <c r="I59" s="23"/>
      <c r="J59" s="136"/>
      <c r="L59" t="s">
        <v>187</v>
      </c>
      <c r="M59" s="146" t="s">
        <v>399</v>
      </c>
      <c r="Q59" s="23"/>
      <c r="R59" s="23"/>
      <c r="S59" s="23"/>
      <c r="T59" s="23"/>
      <c r="X59" s="277">
        <f>X56*Y59</f>
        <v>90810</v>
      </c>
      <c r="Y59" s="280">
        <v>0.3</v>
      </c>
    </row>
    <row r="60" spans="2:28">
      <c r="D60" s="2"/>
      <c r="M60" s="146" t="s">
        <v>400</v>
      </c>
      <c r="N60" s="23"/>
      <c r="O60" s="23"/>
      <c r="P60" s="107"/>
      <c r="Q60" s="23"/>
      <c r="R60" s="23"/>
      <c r="S60" s="23"/>
      <c r="T60" s="23"/>
    </row>
    <row r="61" spans="2:28" ht="15">
      <c r="D61" s="30"/>
      <c r="E61" s="30"/>
      <c r="F61" s="109" t="s">
        <v>6</v>
      </c>
      <c r="G61" s="30"/>
      <c r="H61" s="30"/>
      <c r="I61" s="104"/>
      <c r="J61" s="137"/>
      <c r="L61" s="23"/>
      <c r="M61" s="167"/>
      <c r="N61" s="128"/>
      <c r="O61" s="23"/>
      <c r="P61" s="104"/>
      <c r="Q61" s="104"/>
      <c r="R61" s="104"/>
      <c r="S61" s="104"/>
      <c r="T61" s="104"/>
      <c r="X61" s="292" t="s">
        <v>463</v>
      </c>
      <c r="Y61" s="276" t="s">
        <v>464</v>
      </c>
      <c r="Z61" s="109" t="s">
        <v>465</v>
      </c>
    </row>
    <row r="62" spans="2:28">
      <c r="D62" s="85" t="s">
        <v>29</v>
      </c>
      <c r="E62" s="85"/>
      <c r="F62" s="166" t="s">
        <v>31</v>
      </c>
      <c r="G62" s="85"/>
      <c r="H62" s="85" t="s">
        <v>188</v>
      </c>
      <c r="I62" s="62"/>
      <c r="J62" s="61"/>
      <c r="L62" s="23"/>
      <c r="M62" s="159" t="s">
        <v>460</v>
      </c>
      <c r="N62" s="129"/>
      <c r="O62" s="23"/>
      <c r="P62" s="87"/>
      <c r="Q62" s="87"/>
      <c r="R62" s="87"/>
      <c r="S62" s="87"/>
      <c r="T62" s="87"/>
      <c r="X62" s="110">
        <f>X56*0.3</f>
        <v>90810</v>
      </c>
      <c r="Y62" s="293">
        <f>Y56-X59</f>
        <v>90389</v>
      </c>
      <c r="Z62" s="293">
        <f>Y62-X62</f>
        <v>-421</v>
      </c>
    </row>
    <row r="63" spans="2:28">
      <c r="B63" s="84" t="s">
        <v>8</v>
      </c>
      <c r="C63" s="4">
        <f>C56</f>
        <v>0.08</v>
      </c>
      <c r="D63" s="92">
        <f>((NPV($C63,$J$13:$P$13,$R$13+$R$13*(1+$J$50)/($C63-$J$50)))-$J$49+J48)</f>
        <v>252738887554.15308</v>
      </c>
      <c r="E63" s="93"/>
      <c r="F63" s="94">
        <f>((NPV($C63,$J$25:$P$25,$R$25+$R$25*(1+$J$50)/($C63-$J$50)))-$J$49+J48)</f>
        <v>440691101722.80023</v>
      </c>
      <c r="G63" s="93"/>
      <c r="H63" s="95">
        <f>((NPV($C63,$J$38:$P$38,$R$38+$R$38*(1+$J$50)/($C63-$J$50)))-$J$49+J48)</f>
        <v>374671378696.16125</v>
      </c>
      <c r="I63" s="17"/>
      <c r="J63" s="18"/>
      <c r="L63" s="23"/>
      <c r="M63" s="159" t="s">
        <v>461</v>
      </c>
      <c r="N63" s="23"/>
      <c r="O63" s="23"/>
      <c r="P63" s="98"/>
      <c r="Q63" s="97"/>
      <c r="R63" s="98"/>
      <c r="S63" s="97"/>
      <c r="T63" s="98"/>
    </row>
    <row r="64" spans="2:28">
      <c r="B64" s="84" t="s">
        <v>28</v>
      </c>
      <c r="C64" s="4">
        <f>C57</f>
        <v>0.11</v>
      </c>
      <c r="D64" s="96">
        <f>((NPV($C64,$J$13:$P$13,$R$13+$R$13*(1+$J$50)/($C64-$J$50)))-$J$49+J48)</f>
        <v>169249313268.34686</v>
      </c>
      <c r="E64" s="97"/>
      <c r="F64" s="98">
        <f>((NPV($C64,$J$25:$P$25,$R$25+$R$25*(1+$J$50)/($C64-$J$50)))-$J$49+J48)</f>
        <v>289479312312.11102</v>
      </c>
      <c r="G64" s="97"/>
      <c r="H64" s="122">
        <f>((NPV($C64,$J$38:$P$38,$R$38+$R$38*(1+$J$50)/($C64-$J$50)))-$J$49+J48)</f>
        <v>247751972115.81534</v>
      </c>
      <c r="I64" s="17"/>
      <c r="J64" s="18"/>
      <c r="L64" s="23"/>
      <c r="M64" s="159" t="s">
        <v>462</v>
      </c>
      <c r="N64" s="23"/>
      <c r="O64" s="23"/>
      <c r="P64" s="98"/>
      <c r="Q64" s="97"/>
      <c r="R64" s="98"/>
      <c r="S64" s="97"/>
      <c r="T64" s="98"/>
    </row>
    <row r="65" spans="1:24">
      <c r="B65" s="8" t="s">
        <v>10</v>
      </c>
      <c r="C65" s="4">
        <f>C58</f>
        <v>0.2</v>
      </c>
      <c r="D65" s="100">
        <f>((NPV($C65,$J$13:$P$13,$R$13+$R$13*(1+$J$50)/($C65-$J$50)))-$J$49+J48)</f>
        <v>85551626663.237335</v>
      </c>
      <c r="E65" s="101"/>
      <c r="F65" s="102">
        <f>((NPV($C65,$J$25:$P$25,$R$25+$R$25*(1+$J$50)/($C65-$J$50)))-$J$49+J48)</f>
        <v>139025700608.7106</v>
      </c>
      <c r="G65" s="101"/>
      <c r="H65" s="103">
        <f>((NPV($C65,$J$38:$P$38,$R$38+$R$38*(1+$J$50)/($C65-$J$50)))-$J$49+J48)</f>
        <v>121105923988.34021</v>
      </c>
      <c r="I65" s="17"/>
      <c r="J65" s="18"/>
      <c r="L65" s="23"/>
      <c r="M65" s="160" t="s">
        <v>466</v>
      </c>
      <c r="N65" s="23"/>
      <c r="O65" s="23"/>
      <c r="P65" s="98"/>
      <c r="Q65" s="97"/>
      <c r="R65" s="98"/>
      <c r="S65" s="97"/>
      <c r="T65" s="98"/>
      <c r="X65" s="215"/>
    </row>
    <row r="66" spans="1:24" ht="15.75">
      <c r="E66" s="23"/>
      <c r="F66" s="23"/>
      <c r="G66" s="23"/>
      <c r="H66" s="23"/>
      <c r="I66" s="23"/>
      <c r="J66" s="23"/>
      <c r="L66" s="132"/>
      <c r="M66" s="160" t="s">
        <v>467</v>
      </c>
      <c r="N66" s="111"/>
      <c r="O66" s="23"/>
      <c r="P66" s="23"/>
      <c r="Q66" s="23"/>
      <c r="R66" s="23"/>
      <c r="S66" s="23"/>
      <c r="T66" s="23"/>
    </row>
    <row r="67" spans="1:24">
      <c r="F67" s="23"/>
      <c r="G67" s="23"/>
      <c r="H67" s="125"/>
      <c r="I67" s="23"/>
      <c r="J67" s="23"/>
      <c r="L67" s="110"/>
      <c r="M67" s="179" t="s">
        <v>468</v>
      </c>
      <c r="X67">
        <v>55988</v>
      </c>
    </row>
    <row r="68" spans="1:24">
      <c r="F68" s="124" t="s">
        <v>40</v>
      </c>
      <c r="G68" s="23"/>
      <c r="H68" s="23"/>
      <c r="I68" s="23"/>
      <c r="J68" s="23"/>
      <c r="M68" s="146"/>
      <c r="X68" s="163">
        <v>176904</v>
      </c>
    </row>
    <row r="69" spans="1:24">
      <c r="A69" s="1" t="str">
        <f>"(1)  Assumes net debt of "&amp;TEXT(J49,"$0.0")&amp;"mm as of 5/16/08."</f>
        <v>(1)  Assumes net debt of $0.0mm as of 5/16/08.</v>
      </c>
      <c r="F69" s="87"/>
      <c r="G69" s="87"/>
      <c r="H69" s="87"/>
      <c r="I69" s="87"/>
      <c r="J69" s="87"/>
      <c r="L69" s="82"/>
      <c r="M69" s="165"/>
      <c r="N69" s="82"/>
      <c r="X69">
        <f>SUM(X67:X68)</f>
        <v>232892</v>
      </c>
    </row>
    <row r="70" spans="1:24">
      <c r="A70" s="1" t="str">
        <f>"(2)  Assumes outstanding diluted shares of "&amp;TEXT(J47,"0.000")&amp;" million."</f>
        <v>(2)  Assumes outstanding diluted shares of 4105000000.000 million.</v>
      </c>
      <c r="C70" s="8"/>
      <c r="D70" s="4"/>
      <c r="E70" s="23"/>
      <c r="F70" s="91"/>
      <c r="G70" s="87"/>
      <c r="H70" s="91"/>
      <c r="I70" s="87"/>
      <c r="J70" s="91"/>
      <c r="M70" s="146"/>
    </row>
    <row r="71" spans="1:24">
      <c r="B71" s="2"/>
      <c r="C71" s="8"/>
      <c r="D71" s="4"/>
      <c r="E71" s="23"/>
      <c r="F71" s="91"/>
      <c r="G71" s="87"/>
      <c r="H71" s="91"/>
      <c r="I71" s="87"/>
      <c r="J71" s="91"/>
      <c r="M71" s="146"/>
      <c r="N71" s="82"/>
      <c r="P71" s="82"/>
    </row>
    <row r="72" spans="1:24" ht="15.75">
      <c r="B72" s="147" t="s">
        <v>136</v>
      </c>
      <c r="C72" s="8"/>
      <c r="D72" s="4"/>
      <c r="E72" s="23"/>
      <c r="F72" s="91"/>
      <c r="G72" s="87"/>
      <c r="H72" s="91"/>
      <c r="I72" s="87"/>
      <c r="J72" s="91"/>
      <c r="M72" s="146"/>
    </row>
    <row r="73" spans="1:24" ht="15.75">
      <c r="B73" s="147" t="s">
        <v>137</v>
      </c>
      <c r="C73" s="8"/>
      <c r="D73" s="4"/>
      <c r="E73" s="23"/>
      <c r="F73" s="91"/>
      <c r="G73" s="87"/>
      <c r="H73" s="91"/>
      <c r="I73" s="87"/>
      <c r="J73" s="91"/>
      <c r="M73" s="146"/>
    </row>
    <row r="74" spans="1:24" ht="15.75">
      <c r="B74" s="147"/>
      <c r="C74" s="8"/>
      <c r="D74" s="4"/>
      <c r="E74" s="23"/>
      <c r="F74" s="91"/>
      <c r="G74" s="87"/>
      <c r="H74" s="91"/>
      <c r="I74" s="87"/>
      <c r="J74" s="91"/>
      <c r="M74" s="146"/>
    </row>
    <row r="75" spans="1:24">
      <c r="B75" s="149" t="s">
        <v>138</v>
      </c>
      <c r="C75" s="8"/>
      <c r="D75" s="4"/>
      <c r="E75" s="23"/>
      <c r="F75" s="91"/>
      <c r="G75" s="87"/>
      <c r="H75" s="91"/>
      <c r="I75" s="87"/>
      <c r="J75" s="91"/>
      <c r="M75" s="146"/>
    </row>
    <row r="76" spans="1:24" ht="12.75" customHeight="1">
      <c r="B76" s="135" t="s">
        <v>139</v>
      </c>
      <c r="C76" s="8"/>
      <c r="D76" s="4"/>
      <c r="E76" s="23"/>
      <c r="F76" s="191"/>
      <c r="G76" s="87"/>
      <c r="H76" s="91"/>
      <c r="I76" s="87"/>
      <c r="J76" s="91"/>
      <c r="M76" s="146"/>
      <c r="P76" s="263"/>
    </row>
    <row r="77" spans="1:24" ht="12.75" customHeight="1">
      <c r="B77" s="135" t="s">
        <v>140</v>
      </c>
      <c r="F77" s="160"/>
      <c r="G77" s="23"/>
      <c r="H77" s="23"/>
      <c r="I77" s="23"/>
      <c r="J77" s="23"/>
      <c r="M77" s="146"/>
    </row>
    <row r="78" spans="1:24" ht="12.75" customHeight="1">
      <c r="B78" s="135" t="s">
        <v>141</v>
      </c>
      <c r="C78" s="83"/>
      <c r="F78" s="160"/>
      <c r="G78" s="87"/>
      <c r="H78" s="87"/>
      <c r="I78" s="87"/>
      <c r="J78" s="87"/>
      <c r="M78" s="146"/>
    </row>
    <row r="79" spans="1:24" ht="12.75" customHeight="1">
      <c r="B79" s="135"/>
      <c r="C79" s="83"/>
      <c r="F79" s="160"/>
      <c r="G79" s="87"/>
      <c r="H79" s="87"/>
      <c r="I79" s="87"/>
      <c r="J79" s="87"/>
      <c r="M79" s="146"/>
    </row>
    <row r="80" spans="1:24"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203</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189</v>
      </c>
      <c r="F104" s="146"/>
    </row>
    <row r="105" spans="1:6">
      <c r="A105">
        <v>20</v>
      </c>
      <c r="B105" s="135" t="s">
        <v>190</v>
      </c>
      <c r="F105" s="146"/>
    </row>
    <row r="106" spans="1:6">
      <c r="A106">
        <v>21</v>
      </c>
      <c r="B106" s="135" t="s">
        <v>191</v>
      </c>
      <c r="F106" s="146"/>
    </row>
    <row r="107" spans="1:6">
      <c r="A107">
        <v>22</v>
      </c>
      <c r="B107" s="135" t="s">
        <v>363</v>
      </c>
      <c r="F107" s="146"/>
    </row>
    <row r="108" spans="1:6">
      <c r="A108">
        <v>23</v>
      </c>
      <c r="B108" s="135" t="s">
        <v>364</v>
      </c>
      <c r="F108" s="146"/>
    </row>
    <row r="109" spans="1:6">
      <c r="A109">
        <v>24</v>
      </c>
      <c r="B109" s="135" t="s">
        <v>365</v>
      </c>
      <c r="F109" s="146"/>
    </row>
    <row r="110" spans="1:6">
      <c r="A110">
        <v>25</v>
      </c>
      <c r="B110" s="135" t="s">
        <v>366</v>
      </c>
      <c r="F110" s="146"/>
    </row>
    <row r="111" spans="1:6">
      <c r="A111">
        <v>26</v>
      </c>
      <c r="B111" s="135" t="s">
        <v>367</v>
      </c>
      <c r="F111" s="146"/>
    </row>
    <row r="112" spans="1:6">
      <c r="A112">
        <v>27</v>
      </c>
      <c r="B112" s="135" t="s">
        <v>368</v>
      </c>
      <c r="F112" s="146"/>
    </row>
    <row r="113" spans="2:6">
      <c r="B113" s="135"/>
      <c r="F113" s="146"/>
    </row>
    <row r="114" spans="2:6">
      <c r="B114" s="168" t="s">
        <v>192</v>
      </c>
      <c r="F114" s="146"/>
    </row>
    <row r="115" spans="2:6">
      <c r="B115" s="135" t="s">
        <v>193</v>
      </c>
      <c r="F115" s="146"/>
    </row>
    <row r="122" spans="2:6">
      <c r="B122" t="s">
        <v>194</v>
      </c>
    </row>
    <row r="123" spans="2:6">
      <c r="B123" t="s">
        <v>195</v>
      </c>
    </row>
  </sheetData>
  <mergeCells count="1">
    <mergeCell ref="H46:J46"/>
  </mergeCells>
  <conditionalFormatting sqref="B6:T13">
    <cfRule type="expression" dxfId="191" priority="6">
      <formula>MOD(ROW(),2)=0</formula>
    </cfRule>
  </conditionalFormatting>
  <conditionalFormatting sqref="B18:T25">
    <cfRule type="expression" dxfId="190" priority="5">
      <formula>MOD(ROW(),2)=0</formula>
    </cfRule>
  </conditionalFormatting>
  <conditionalFormatting sqref="B31:T39">
    <cfRule type="expression" dxfId="189" priority="4">
      <formula>MOD(ROW(),2)=0</formula>
    </cfRule>
  </conditionalFormatting>
  <conditionalFormatting sqref="D56:H58">
    <cfRule type="expression" dxfId="188" priority="3">
      <formula>MOD(ROW(),2)=0</formula>
    </cfRule>
  </conditionalFormatting>
  <conditionalFormatting sqref="D63:H65">
    <cfRule type="expression" dxfId="187" priority="2">
      <formula>MOD(ROW(),2)=0</formula>
    </cfRule>
  </conditionalFormatting>
  <conditionalFormatting sqref="C47:E51">
    <cfRule type="expression" dxfId="186" priority="1">
      <formula>MOD(ROW(),2)=0</formula>
    </cfRule>
  </conditionalFormatting>
  <pageMargins left="0.75" right="0.75" top="1" bottom="1" header="0.5" footer="0.5"/>
  <pageSetup paperSize="119"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122"/>
  <sheetViews>
    <sheetView showGridLines="0" topLeftCell="A33" zoomScaleNormal="100" workbookViewId="0">
      <selection activeCell="J64" sqref="J64"/>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 bestFit="1"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2019</v>
      </c>
      <c r="J4" s="27">
        <f>H4+1</f>
        <v>2020</v>
      </c>
      <c r="K4" s="20"/>
      <c r="L4" s="27">
        <f>J4+1</f>
        <v>2021</v>
      </c>
      <c r="M4" s="20"/>
      <c r="N4" s="60">
        <f>L4+1</f>
        <v>2022</v>
      </c>
      <c r="O4" s="21"/>
      <c r="P4" s="60">
        <f>N4+1</f>
        <v>2023</v>
      </c>
      <c r="Q4" s="21"/>
      <c r="R4" s="60">
        <f>P4+1</f>
        <v>2024</v>
      </c>
      <c r="T4" s="28" t="s">
        <v>33</v>
      </c>
    </row>
    <row r="5" spans="1:24" ht="5.0999999999999996" customHeight="1"/>
    <row r="6" spans="1:24">
      <c r="B6" t="s">
        <v>26</v>
      </c>
      <c r="H6" s="75">
        <v>4706000000</v>
      </c>
      <c r="J6" s="75">
        <f>H6*C47</f>
        <v>4658940000</v>
      </c>
      <c r="K6" s="121"/>
      <c r="L6" s="75">
        <f>J6*C48</f>
        <v>4565761200</v>
      </c>
      <c r="M6" s="121"/>
      <c r="N6" s="75">
        <f>L6*C49</f>
        <v>4428788364</v>
      </c>
      <c r="O6" s="75"/>
      <c r="P6" s="75">
        <f>N6*C50</f>
        <v>4251636829.4400001</v>
      </c>
      <c r="Q6" s="75"/>
      <c r="R6" s="75">
        <f>P6*C51</f>
        <v>4039054987.9679999</v>
      </c>
      <c r="T6" s="4">
        <f>(R6/J6)^(1/4)-1</f>
        <v>-3.5064771795532579E-2</v>
      </c>
    </row>
    <row r="7" spans="1:24">
      <c r="B7" s="23" t="s">
        <v>22</v>
      </c>
      <c r="H7" s="71">
        <v>0</v>
      </c>
      <c r="J7" s="71">
        <v>0</v>
      </c>
      <c r="L7" s="71">
        <v>0</v>
      </c>
      <c r="N7" s="71">
        <v>0</v>
      </c>
      <c r="P7" s="71">
        <v>0</v>
      </c>
      <c r="R7" s="71">
        <v>0</v>
      </c>
      <c r="T7" s="4"/>
    </row>
    <row r="8" spans="1:24">
      <c r="B8" t="s">
        <v>27</v>
      </c>
      <c r="H8" s="115">
        <f>H6+H7</f>
        <v>4706000000</v>
      </c>
      <c r="I8" s="73"/>
      <c r="J8" s="115">
        <f>J6+J7</f>
        <v>4658940000</v>
      </c>
      <c r="K8" s="116"/>
      <c r="L8" s="115">
        <f>L6+L7</f>
        <v>4565761200</v>
      </c>
      <c r="M8" s="116"/>
      <c r="N8" s="115">
        <f>N6+N7</f>
        <v>4428788364</v>
      </c>
      <c r="O8" s="116"/>
      <c r="P8" s="115">
        <f>P6+P7</f>
        <v>4251636829.4400001</v>
      </c>
      <c r="Q8" s="116"/>
      <c r="R8" s="115">
        <f>R6+R7</f>
        <v>4039054987.9679999</v>
      </c>
      <c r="T8" s="4">
        <f>(R8/J8)^(1/4)-1</f>
        <v>-3.5064771795532579E-2</v>
      </c>
    </row>
    <row r="9" spans="1:24" s="39" customFormat="1">
      <c r="B9" s="39" t="s">
        <v>21</v>
      </c>
      <c r="H9" s="117">
        <f>-$J$51*H8</f>
        <v>-941200000</v>
      </c>
      <c r="I9"/>
      <c r="J9" s="117">
        <f>-$J$51*J8</f>
        <v>-931788000</v>
      </c>
      <c r="K9" s="114"/>
      <c r="L9" s="117">
        <f>-$J$51*L8</f>
        <v>-913152240</v>
      </c>
      <c r="M9" s="114"/>
      <c r="N9" s="117">
        <f>-$J$51*N8</f>
        <v>-885757672.80000007</v>
      </c>
      <c r="O9" s="114"/>
      <c r="P9" s="117">
        <f>-$J$51*P8</f>
        <v>-850327365.88800001</v>
      </c>
      <c r="Q9" s="114"/>
      <c r="R9" s="117">
        <f>-$J$51*R8</f>
        <v>-807810997.59360003</v>
      </c>
    </row>
    <row r="10" spans="1:24" s="2" customFormat="1">
      <c r="B10" s="2" t="s">
        <v>3</v>
      </c>
      <c r="H10" s="118">
        <f>SUM(H8:H9)</f>
        <v>3764800000</v>
      </c>
      <c r="J10" s="118">
        <f>SUM(J8:J9)</f>
        <v>3727152000</v>
      </c>
      <c r="K10" s="119"/>
      <c r="L10" s="118">
        <f>SUM(L8:L9)</f>
        <v>3652608960</v>
      </c>
      <c r="M10" s="119"/>
      <c r="N10" s="118">
        <f>SUM(N8:N9)</f>
        <v>3543030691.1999998</v>
      </c>
      <c r="O10" s="119"/>
      <c r="P10" s="118">
        <f>SUM(P8:P9)</f>
        <v>3401309463.552</v>
      </c>
      <c r="Q10" s="119"/>
      <c r="R10" s="118">
        <f>SUM(R8:R9)</f>
        <v>3231243990.3744001</v>
      </c>
      <c r="T10" s="4">
        <f>(R10/J10)^(1/4)-1</f>
        <v>-3.5064771795532579E-2</v>
      </c>
    </row>
    <row r="11" spans="1:24">
      <c r="B11" s="10" t="s">
        <v>25</v>
      </c>
      <c r="H11" s="112">
        <f>2500000000+4500000000</f>
        <v>7000000000</v>
      </c>
      <c r="I11" s="112"/>
      <c r="J11" s="112">
        <f>H11</f>
        <v>7000000000</v>
      </c>
      <c r="K11" s="112"/>
      <c r="L11" s="112">
        <f>J11</f>
        <v>7000000000</v>
      </c>
      <c r="M11" s="112"/>
      <c r="N11" s="112">
        <f>L11</f>
        <v>7000000000</v>
      </c>
      <c r="O11" s="112"/>
      <c r="P11" s="112">
        <f>N11</f>
        <v>7000000000</v>
      </c>
      <c r="Q11" s="112"/>
      <c r="R11" s="112">
        <f>P11</f>
        <v>7000000000</v>
      </c>
    </row>
    <row r="12" spans="1:24">
      <c r="B12" t="s">
        <v>23</v>
      </c>
      <c r="H12" s="112">
        <v>-6000000000</v>
      </c>
      <c r="I12" s="112"/>
      <c r="J12" s="112">
        <f>H12</f>
        <v>-6000000000</v>
      </c>
      <c r="K12" s="112"/>
      <c r="L12" s="112">
        <f>J12</f>
        <v>-6000000000</v>
      </c>
      <c r="M12" s="112"/>
      <c r="N12" s="112">
        <f>L12</f>
        <v>-6000000000</v>
      </c>
      <c r="O12" s="112"/>
      <c r="P12" s="112">
        <f>N12</f>
        <v>-6000000000</v>
      </c>
      <c r="Q12" s="112"/>
      <c r="R12" s="112">
        <f>P12</f>
        <v>-6000000000</v>
      </c>
      <c r="X12" s="81"/>
    </row>
    <row r="13" spans="1:24">
      <c r="B13" s="2" t="s">
        <v>19</v>
      </c>
      <c r="H13" s="120">
        <f>SUM(H10:H12)</f>
        <v>4764800000</v>
      </c>
      <c r="J13" s="120">
        <f>SUM(J10:J12)</f>
        <v>4727152000</v>
      </c>
      <c r="K13" s="114"/>
      <c r="L13" s="120">
        <f>SUM(L10:L12)</f>
        <v>4652608960</v>
      </c>
      <c r="M13" s="114"/>
      <c r="N13" s="120">
        <f>SUM(N10:N12)</f>
        <v>4543030691.2000008</v>
      </c>
      <c r="O13" s="114"/>
      <c r="P13" s="120">
        <f>SUM(P10:P12)</f>
        <v>4401309463.552</v>
      </c>
      <c r="Q13" s="114"/>
      <c r="R13" s="120">
        <f>SUM(R10:R12)</f>
        <v>4231243990.3744011</v>
      </c>
      <c r="T13" s="4">
        <f>(R13/J13)^(1/4)-1</f>
        <v>-2.7326406789690338E-2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f>H4</f>
        <v>2019</v>
      </c>
      <c r="J16" s="27">
        <f>H16+1</f>
        <v>2020</v>
      </c>
      <c r="K16" s="20"/>
      <c r="L16" s="27">
        <f>J16+1</f>
        <v>2021</v>
      </c>
      <c r="M16" s="20"/>
      <c r="N16" s="60">
        <f>L16+1</f>
        <v>2022</v>
      </c>
      <c r="O16" s="21"/>
      <c r="P16" s="60">
        <f>N16+1</f>
        <v>2023</v>
      </c>
      <c r="Q16" s="21"/>
      <c r="R16" s="60">
        <f>P16+1</f>
        <v>2024</v>
      </c>
      <c r="T16" s="28" t="s">
        <v>33</v>
      </c>
    </row>
    <row r="18" spans="1:20">
      <c r="B18" t="s">
        <v>26</v>
      </c>
      <c r="H18" s="75">
        <f>H6</f>
        <v>4706000000</v>
      </c>
      <c r="J18" s="75">
        <f>H18*D47</f>
        <v>4706000000</v>
      </c>
      <c r="K18" s="121"/>
      <c r="L18" s="75">
        <f>J18*D48</f>
        <v>4706000000</v>
      </c>
      <c r="M18" s="121"/>
      <c r="N18" s="75">
        <f>L18*D49</f>
        <v>4706000000</v>
      </c>
      <c r="O18" s="75"/>
      <c r="P18" s="75">
        <f>N18*D50</f>
        <v>4706000000</v>
      </c>
      <c r="Q18" s="75"/>
      <c r="R18" s="75">
        <f>P18*D51</f>
        <v>4706000000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4706000000</v>
      </c>
      <c r="I20" s="116"/>
      <c r="J20" s="115">
        <f>J18+J19</f>
        <v>4706000000</v>
      </c>
      <c r="K20" s="116"/>
      <c r="L20" s="115">
        <f>L18+L19</f>
        <v>4706000000</v>
      </c>
      <c r="M20" s="116"/>
      <c r="N20" s="115">
        <f>N18+N19</f>
        <v>4706000000</v>
      </c>
      <c r="O20" s="116"/>
      <c r="P20" s="115">
        <f>P18+P19</f>
        <v>4706000000</v>
      </c>
      <c r="Q20" s="116"/>
      <c r="R20" s="115">
        <f>R18+R19</f>
        <v>4706000000</v>
      </c>
      <c r="T20" s="4">
        <f>(R20/J20)^(1/4)-1</f>
        <v>0</v>
      </c>
    </row>
    <row r="21" spans="1:20">
      <c r="B21" s="39" t="s">
        <v>21</v>
      </c>
      <c r="C21" s="39"/>
      <c r="D21" s="39"/>
      <c r="E21" s="39"/>
      <c r="F21" s="39"/>
      <c r="G21" s="39"/>
      <c r="H21" s="117">
        <f>-$J$51*H20</f>
        <v>-941200000</v>
      </c>
      <c r="I21" s="114"/>
      <c r="J21" s="117">
        <f>-$J$51*J20</f>
        <v>-941200000</v>
      </c>
      <c r="K21" s="114"/>
      <c r="L21" s="117">
        <f>-$J$51*L20</f>
        <v>-941200000</v>
      </c>
      <c r="M21" s="114"/>
      <c r="N21" s="117">
        <f>-$J$51*N20</f>
        <v>-941200000</v>
      </c>
      <c r="O21" s="114"/>
      <c r="P21" s="117">
        <f>-$J$51*P20</f>
        <v>-941200000</v>
      </c>
      <c r="Q21" s="114"/>
      <c r="R21" s="117">
        <f>-$J$51*R20</f>
        <v>-941200000</v>
      </c>
      <c r="S21" s="39"/>
      <c r="T21" s="39"/>
    </row>
    <row r="22" spans="1:20">
      <c r="A22" s="2"/>
      <c r="B22" s="2" t="s">
        <v>3</v>
      </c>
      <c r="C22" s="2"/>
      <c r="D22" s="2"/>
      <c r="E22" s="2"/>
      <c r="F22" s="2"/>
      <c r="G22" s="2"/>
      <c r="H22" s="118">
        <f>SUM(H20:H21)</f>
        <v>3764800000</v>
      </c>
      <c r="I22" s="119"/>
      <c r="J22" s="118">
        <f>SUM(J20:J21)</f>
        <v>3764800000</v>
      </c>
      <c r="K22" s="119"/>
      <c r="L22" s="118">
        <f>SUM(L20:L21)</f>
        <v>3764800000</v>
      </c>
      <c r="M22" s="119"/>
      <c r="N22" s="118">
        <f>SUM(N20:N21)</f>
        <v>3764800000</v>
      </c>
      <c r="O22" s="119"/>
      <c r="P22" s="118">
        <f>SUM(P20:P21)</f>
        <v>3764800000</v>
      </c>
      <c r="Q22" s="119"/>
      <c r="R22" s="118">
        <f>SUM(R20:R21)</f>
        <v>3764800000</v>
      </c>
      <c r="S22" s="2"/>
      <c r="T22" s="4">
        <f>(R22/J22)^(1/4)-1</f>
        <v>0</v>
      </c>
    </row>
    <row r="23" spans="1:20">
      <c r="B23" s="10" t="s">
        <v>25</v>
      </c>
      <c r="H23" s="112">
        <f>H11</f>
        <v>7000000000</v>
      </c>
      <c r="I23" s="112"/>
      <c r="J23" s="112">
        <f>J11</f>
        <v>7000000000</v>
      </c>
      <c r="K23" s="112"/>
      <c r="L23" s="112">
        <f>L11</f>
        <v>7000000000</v>
      </c>
      <c r="M23" s="112"/>
      <c r="N23" s="112">
        <f>N11</f>
        <v>7000000000</v>
      </c>
      <c r="O23" s="112"/>
      <c r="P23" s="112">
        <f>P11</f>
        <v>7000000000</v>
      </c>
      <c r="Q23" s="112"/>
      <c r="R23" s="112">
        <f>R11</f>
        <v>7000000000</v>
      </c>
    </row>
    <row r="24" spans="1:20">
      <c r="B24" t="s">
        <v>23</v>
      </c>
      <c r="H24" s="112">
        <f>H12</f>
        <v>-6000000000</v>
      </c>
      <c r="I24" s="112"/>
      <c r="J24" s="112">
        <f>J12</f>
        <v>-6000000000</v>
      </c>
      <c r="K24" s="112"/>
      <c r="L24" s="112">
        <f>L12</f>
        <v>-6000000000</v>
      </c>
      <c r="M24" s="112"/>
      <c r="N24" s="112">
        <f>N12</f>
        <v>-6000000000</v>
      </c>
      <c r="O24" s="112"/>
      <c r="P24" s="112">
        <f>P12</f>
        <v>-6000000000</v>
      </c>
      <c r="Q24" s="112"/>
      <c r="R24" s="112">
        <f>R12</f>
        <v>-6000000000</v>
      </c>
    </row>
    <row r="25" spans="1:20">
      <c r="B25" s="2" t="s">
        <v>19</v>
      </c>
      <c r="H25" s="120">
        <f>SUM(H22:H24)</f>
        <v>4764800000</v>
      </c>
      <c r="I25" s="114"/>
      <c r="J25" s="120">
        <f>SUM(J22:J24)</f>
        <v>4764800000</v>
      </c>
      <c r="K25" s="114"/>
      <c r="L25" s="120">
        <f>SUM(L22:L24)</f>
        <v>4764800000</v>
      </c>
      <c r="M25" s="114"/>
      <c r="N25" s="120">
        <f>SUM(N22:N24)</f>
        <v>4764800000</v>
      </c>
      <c r="O25" s="114"/>
      <c r="P25" s="120">
        <f>SUM(P22:P24)</f>
        <v>4764800000</v>
      </c>
      <c r="Q25" s="114"/>
      <c r="R25" s="120">
        <f>SUM(R22:R24)</f>
        <v>4764800000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f>H4</f>
        <v>2019</v>
      </c>
      <c r="J29" s="27">
        <f>H29+1</f>
        <v>2020</v>
      </c>
      <c r="K29" s="20"/>
      <c r="L29" s="27">
        <f>J29+1</f>
        <v>2021</v>
      </c>
      <c r="M29" s="20"/>
      <c r="N29" s="60">
        <f>L29+1</f>
        <v>2022</v>
      </c>
      <c r="O29" s="21"/>
      <c r="P29" s="60">
        <f>N29+1</f>
        <v>2023</v>
      </c>
      <c r="Q29" s="21"/>
      <c r="R29" s="60">
        <f>P29+1</f>
        <v>2024</v>
      </c>
      <c r="T29" s="28" t="s">
        <v>33</v>
      </c>
    </row>
    <row r="31" spans="1:20">
      <c r="B31" t="s">
        <v>26</v>
      </c>
      <c r="H31" s="75">
        <f>H6</f>
        <v>4706000000</v>
      </c>
      <c r="J31" s="75">
        <f>H31*E47</f>
        <v>4753060000</v>
      </c>
      <c r="K31" s="121"/>
      <c r="L31" s="75">
        <f>J31*E48</f>
        <v>4848121200</v>
      </c>
      <c r="M31" s="121"/>
      <c r="N31" s="75">
        <f>L31*E49</f>
        <v>4993564836</v>
      </c>
      <c r="O31" s="75"/>
      <c r="P31" s="75">
        <f>N31*E50</f>
        <v>5193307429.4400005</v>
      </c>
      <c r="Q31" s="75"/>
      <c r="R31" s="75">
        <f>P31*E51</f>
        <v>5452972800.9120007</v>
      </c>
      <c r="T31" s="4">
        <f>(R31/J31)^(1/4)-1</f>
        <v>3.4939609509608838E-2</v>
      </c>
    </row>
    <row r="32" spans="1:20">
      <c r="B32" s="23" t="s">
        <v>22</v>
      </c>
      <c r="H32" s="71">
        <f>H7</f>
        <v>0</v>
      </c>
      <c r="J32" s="71">
        <f>J7</f>
        <v>0</v>
      </c>
      <c r="L32" s="71">
        <f>L7</f>
        <v>0</v>
      </c>
      <c r="N32" s="71">
        <f>N7</f>
        <v>0</v>
      </c>
      <c r="P32" s="71">
        <f>P7</f>
        <v>0</v>
      </c>
      <c r="R32" s="71">
        <f>R7</f>
        <v>0</v>
      </c>
      <c r="T32" s="4"/>
    </row>
    <row r="33" spans="1:24">
      <c r="B33" t="s">
        <v>27</v>
      </c>
      <c r="H33" s="115">
        <f>H31+H32</f>
        <v>4706000000</v>
      </c>
      <c r="I33" s="116"/>
      <c r="J33" s="115">
        <f>J31+J32</f>
        <v>4753060000</v>
      </c>
      <c r="K33" s="116"/>
      <c r="L33" s="115">
        <f>L31+L32</f>
        <v>4848121200</v>
      </c>
      <c r="M33" s="116"/>
      <c r="N33" s="115">
        <f>N31+N32</f>
        <v>4993564836</v>
      </c>
      <c r="O33" s="116"/>
      <c r="P33" s="115">
        <f>P31+P32</f>
        <v>5193307429.4400005</v>
      </c>
      <c r="Q33" s="116"/>
      <c r="R33" s="115">
        <f>R31+R32</f>
        <v>5452972800.9120007</v>
      </c>
      <c r="T33" s="4">
        <f>(R33/J33)^(1/4)-1</f>
        <v>3.4939609509608838E-2</v>
      </c>
    </row>
    <row r="34" spans="1:24">
      <c r="B34" s="39" t="s">
        <v>21</v>
      </c>
      <c r="C34" s="39"/>
      <c r="D34" s="39"/>
      <c r="E34" s="39"/>
      <c r="F34" s="39"/>
      <c r="G34" s="39"/>
      <c r="H34" s="117">
        <f>-$J$51*H33</f>
        <v>-941200000</v>
      </c>
      <c r="I34" s="114"/>
      <c r="J34" s="117">
        <f>-$J$51*J33</f>
        <v>-950612000</v>
      </c>
      <c r="K34" s="114"/>
      <c r="L34" s="117">
        <f>-$J$51*L33</f>
        <v>-969624240</v>
      </c>
      <c r="M34" s="114"/>
      <c r="N34" s="117">
        <f>-$J$51*N33</f>
        <v>-998712967.20000005</v>
      </c>
      <c r="O34" s="114"/>
      <c r="P34" s="117">
        <f>-$J$51*P33</f>
        <v>-1038661485.8880001</v>
      </c>
      <c r="Q34" s="114"/>
      <c r="R34" s="117">
        <f>-$J$51*R33</f>
        <v>-1090594560.1824002</v>
      </c>
      <c r="S34" s="39"/>
      <c r="T34" s="39"/>
    </row>
    <row r="35" spans="1:24">
      <c r="A35" s="2"/>
      <c r="B35" s="2" t="s">
        <v>3</v>
      </c>
      <c r="C35" s="2"/>
      <c r="D35" s="2"/>
      <c r="E35" s="2"/>
      <c r="F35" s="2"/>
      <c r="G35" s="2"/>
      <c r="H35" s="118">
        <f>SUM(H33:H34)</f>
        <v>3764800000</v>
      </c>
      <c r="I35" s="119"/>
      <c r="J35" s="118">
        <f>SUM(J33:J34)</f>
        <v>3802448000</v>
      </c>
      <c r="K35" s="119"/>
      <c r="L35" s="118">
        <f>SUM(L33:L34)</f>
        <v>3878496960</v>
      </c>
      <c r="M35" s="119"/>
      <c r="N35" s="118">
        <f>SUM(N33:N34)</f>
        <v>3994851868.8000002</v>
      </c>
      <c r="O35" s="119"/>
      <c r="P35" s="118">
        <f>SUM(P33:P34)</f>
        <v>4154645943.5520005</v>
      </c>
      <c r="Q35" s="119"/>
      <c r="R35" s="118">
        <f>SUM(R33:R34)</f>
        <v>4362378240.7296009</v>
      </c>
      <c r="S35" s="2"/>
      <c r="T35" s="4">
        <f>(R35/J35)^(1/4)-1</f>
        <v>3.493960950960906E-2</v>
      </c>
    </row>
    <row r="36" spans="1:24">
      <c r="B36" s="10" t="s">
        <v>25</v>
      </c>
      <c r="H36" s="112">
        <f>H11</f>
        <v>7000000000</v>
      </c>
      <c r="I36" s="112"/>
      <c r="J36" s="112">
        <f>J11</f>
        <v>7000000000</v>
      </c>
      <c r="K36" s="112"/>
      <c r="L36" s="112">
        <f>L11</f>
        <v>7000000000</v>
      </c>
      <c r="M36" s="112"/>
      <c r="N36" s="112">
        <f>N11</f>
        <v>7000000000</v>
      </c>
      <c r="O36" s="112"/>
      <c r="P36" s="112">
        <f>P11</f>
        <v>7000000000</v>
      </c>
      <c r="Q36" s="112"/>
      <c r="R36" s="112">
        <f>R11</f>
        <v>7000000000</v>
      </c>
    </row>
    <row r="37" spans="1:24">
      <c r="B37" t="s">
        <v>23</v>
      </c>
      <c r="H37" s="112">
        <f>H12</f>
        <v>-6000000000</v>
      </c>
      <c r="I37" s="112"/>
      <c r="J37" s="112">
        <f>J12</f>
        <v>-6000000000</v>
      </c>
      <c r="K37" s="112"/>
      <c r="L37" s="112">
        <f>L12</f>
        <v>-6000000000</v>
      </c>
      <c r="M37" s="112"/>
      <c r="N37" s="112">
        <f>N12</f>
        <v>-6000000000</v>
      </c>
      <c r="O37" s="112"/>
      <c r="P37" s="112">
        <f>P12</f>
        <v>-6000000000</v>
      </c>
      <c r="Q37" s="112"/>
      <c r="R37" s="112">
        <f>R12</f>
        <v>-6000000000</v>
      </c>
    </row>
    <row r="38" spans="1:24">
      <c r="B38" s="2" t="s">
        <v>19</v>
      </c>
      <c r="H38" s="120">
        <f>SUM(H35:H37)</f>
        <v>4764800000</v>
      </c>
      <c r="I38" s="153"/>
      <c r="J38" s="120">
        <f>SUM(J35:J37)</f>
        <v>4802448000</v>
      </c>
      <c r="K38" s="114"/>
      <c r="L38" s="120">
        <f>SUM(L35:L37)</f>
        <v>4878496960</v>
      </c>
      <c r="M38" s="114"/>
      <c r="N38" s="120">
        <f>SUM(N35:N37)</f>
        <v>4994851868.7999992</v>
      </c>
      <c r="O38" s="114"/>
      <c r="P38" s="120">
        <f>SUM(P35:P37)</f>
        <v>5154645943.552</v>
      </c>
      <c r="Q38" s="114"/>
      <c r="R38" s="120">
        <f>SUM(R35:R37)</f>
        <v>5362378240.7296009</v>
      </c>
      <c r="T38" s="4">
        <f>(R38/J38)^(1/4)-1</f>
        <v>2.7954029449993145E-2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ht="15.75">
      <c r="B46" s="88" t="s">
        <v>32</v>
      </c>
      <c r="C46" s="89" t="s">
        <v>29</v>
      </c>
      <c r="D46" s="89" t="s">
        <v>31</v>
      </c>
      <c r="E46" s="152" t="s">
        <v>188</v>
      </c>
      <c r="H46" s="294" t="s">
        <v>181</v>
      </c>
      <c r="I46" s="294"/>
      <c r="J46" s="294"/>
      <c r="K46" s="135"/>
      <c r="L46" s="135"/>
      <c r="M46" s="2" t="s">
        <v>57</v>
      </c>
      <c r="P46" s="2"/>
      <c r="R46" s="147" t="s">
        <v>136</v>
      </c>
      <c r="X46" s="127"/>
    </row>
    <row r="47" spans="1:24" ht="15.75">
      <c r="B47" s="90">
        <v>2020</v>
      </c>
      <c r="C47" s="88">
        <v>0.99</v>
      </c>
      <c r="D47" s="88">
        <v>1</v>
      </c>
      <c r="E47" s="88">
        <v>1.01</v>
      </c>
      <c r="H47" s="156" t="s">
        <v>15</v>
      </c>
      <c r="I47" s="156"/>
      <c r="J47" s="161">
        <v>1567800000</v>
      </c>
      <c r="K47" s="140"/>
      <c r="L47" s="221"/>
      <c r="M47" t="s">
        <v>55</v>
      </c>
      <c r="P47" s="2"/>
      <c r="R47" s="147" t="s">
        <v>137</v>
      </c>
      <c r="X47" s="127"/>
    </row>
    <row r="48" spans="1:24">
      <c r="B48" s="90">
        <f>B47+1</f>
        <v>2021</v>
      </c>
      <c r="C48" s="88">
        <v>0.98</v>
      </c>
      <c r="D48" s="88">
        <v>1</v>
      </c>
      <c r="E48" s="152">
        <v>1.02</v>
      </c>
      <c r="H48" s="156" t="s">
        <v>99</v>
      </c>
      <c r="I48" s="156"/>
      <c r="J48" s="157"/>
      <c r="L48" s="163"/>
      <c r="M48" t="s">
        <v>56</v>
      </c>
      <c r="P48" s="2"/>
      <c r="X48" s="127"/>
    </row>
    <row r="49" spans="2:24">
      <c r="B49" s="90">
        <f>B48+1</f>
        <v>2022</v>
      </c>
      <c r="C49" s="88">
        <v>0.97</v>
      </c>
      <c r="D49" s="88">
        <v>1</v>
      </c>
      <c r="E49" s="88">
        <v>1.03</v>
      </c>
      <c r="H49" s="156" t="s">
        <v>14</v>
      </c>
      <c r="I49" s="156"/>
      <c r="J49" s="157"/>
      <c r="M49" t="s">
        <v>58</v>
      </c>
      <c r="P49" s="2"/>
      <c r="X49" s="127"/>
    </row>
    <row r="50" spans="2:24">
      <c r="B50" s="90">
        <f>B49+1</f>
        <v>2023</v>
      </c>
      <c r="C50" s="88">
        <v>0.96</v>
      </c>
      <c r="D50" s="88">
        <v>1</v>
      </c>
      <c r="E50" s="88">
        <v>1.04</v>
      </c>
      <c r="H50" s="155" t="s">
        <v>16</v>
      </c>
      <c r="I50" s="156"/>
      <c r="J50" s="158">
        <v>0.02</v>
      </c>
      <c r="M50" t="s">
        <v>59</v>
      </c>
      <c r="P50" s="2"/>
      <c r="X50" s="127"/>
    </row>
    <row r="51" spans="2:24">
      <c r="B51" s="90">
        <f>B50+1</f>
        <v>2024</v>
      </c>
      <c r="C51" s="88">
        <v>0.95</v>
      </c>
      <c r="D51" s="88">
        <v>1</v>
      </c>
      <c r="E51" s="88">
        <v>1.05</v>
      </c>
      <c r="H51" s="156" t="s">
        <v>2</v>
      </c>
      <c r="I51" s="156"/>
      <c r="J51" s="158">
        <v>0.2</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188</v>
      </c>
      <c r="I55" s="108"/>
      <c r="J55" s="106"/>
      <c r="M55" s="135" t="s">
        <v>176</v>
      </c>
      <c r="Q55" s="87"/>
      <c r="R55" s="87"/>
      <c r="S55" s="87"/>
      <c r="T55" s="87"/>
    </row>
    <row r="56" spans="2:24">
      <c r="B56" s="84" t="s">
        <v>8</v>
      </c>
      <c r="C56" s="4">
        <v>0.08</v>
      </c>
      <c r="D56" s="92">
        <f>((NPV($C56,$J$13:$P$13,$R$13+$R$13*(1+$J$50)/($C56-$J$50)))-$J$49+J48)/$J$47</f>
        <v>42.761957567667451</v>
      </c>
      <c r="E56" s="93"/>
      <c r="F56" s="94">
        <f>((NPV($C56,$J$25:$P$25,$R$25+$R$25*(1+$J$50)/($C56-$J$50)))-$J$49+J48)/$J$47</f>
        <v>47.29735468651544</v>
      </c>
      <c r="G56" s="93"/>
      <c r="H56" s="123">
        <f>((NPV($C56,$J$38:$P$38,$R$38+$R$38*(1+$J$50)/($C56-$J$50)))-$J$49+J48)/$J$47</f>
        <v>52.350383035695373</v>
      </c>
      <c r="I56" s="10"/>
      <c r="J56" s="11"/>
      <c r="M56" s="135" t="s">
        <v>186</v>
      </c>
      <c r="Q56" s="87"/>
      <c r="R56" s="91"/>
      <c r="S56" s="87"/>
      <c r="T56" s="91"/>
    </row>
    <row r="57" spans="2:24">
      <c r="B57" s="84" t="s">
        <v>28</v>
      </c>
      <c r="C57" s="4">
        <v>0.11</v>
      </c>
      <c r="D57" s="96">
        <f>((NPV($C57,$J$13:$P$13,$R$13+$R$13*(1+$J$50)/($C57-$J$50)))-$J$49+J48)/$J$47</f>
        <v>28.846422947854602</v>
      </c>
      <c r="E57" s="97"/>
      <c r="F57" s="98">
        <f>((NPV($C57,$J$25:$P$25,$R$25+$R$25*(1+$J$50)/($C57-$J$50)))-$J$49+J48)/$J$47</f>
        <v>31.673182063788921</v>
      </c>
      <c r="G57" s="97"/>
      <c r="H57" s="99">
        <f>((NPV($C57,$J$38:$P$38,$R$38+$R$38*(1+$J$50)/($C57-$J$50)))-$J$49+J48)/$J$47</f>
        <v>34.814543251107345</v>
      </c>
      <c r="I57" s="44"/>
      <c r="J57" s="43"/>
      <c r="Q57" s="87"/>
      <c r="R57" s="91"/>
      <c r="S57" s="87"/>
      <c r="T57" s="91"/>
    </row>
    <row r="58" spans="2:24">
      <c r="B58" s="174" t="s">
        <v>407</v>
      </c>
      <c r="C58" s="4">
        <v>0.15</v>
      </c>
      <c r="D58" s="100">
        <f>((NPV($C58,$J$13:$P$13,$R$13+$R$13*(1+$J$50)/($C58-$J$50)))-$J$49+J48)/$J$47</f>
        <v>20.245968452746002</v>
      </c>
      <c r="E58" s="101"/>
      <c r="F58" s="102">
        <f>((NPV($C58,$J$25:$P$25,$R$25+$R$25*(1+$J$50)/($C58-$J$50)))-$J$49+J48)/$J$47</f>
        <v>22.043294287668626</v>
      </c>
      <c r="G58" s="101"/>
      <c r="H58" s="103">
        <f>((NPV($C58,$J$38:$P$38,$R$38+$R$38*(1+$J$50)/($C58-$J$50)))-$J$49+J48)/$J$47</f>
        <v>24.034031077200279</v>
      </c>
      <c r="I58" s="44"/>
      <c r="J58" s="43"/>
      <c r="Q58" s="87"/>
      <c r="S58" s="87"/>
      <c r="T58" s="91"/>
    </row>
    <row r="59" spans="2:24">
      <c r="C59" s="4"/>
      <c r="D59" s="23"/>
      <c r="I59" s="23"/>
      <c r="J59" s="136"/>
      <c r="Q59" s="23"/>
      <c r="R59" s="223">
        <v>13.68</v>
      </c>
      <c r="S59" s="234"/>
      <c r="T59" s="23"/>
    </row>
    <row r="60" spans="2:24">
      <c r="D60" s="2"/>
      <c r="M60" s="140"/>
      <c r="N60" s="23"/>
      <c r="O60" s="23"/>
      <c r="P60" s="107"/>
      <c r="Q60" s="23"/>
      <c r="R60" s="134">
        <v>1207624000</v>
      </c>
      <c r="S60" s="234"/>
      <c r="T60" s="236">
        <v>6038120000</v>
      </c>
    </row>
    <row r="61" spans="2:24">
      <c r="D61" s="30"/>
      <c r="E61" s="30"/>
      <c r="F61" s="109" t="s">
        <v>6</v>
      </c>
      <c r="G61" s="30"/>
      <c r="H61" s="30"/>
      <c r="I61" s="104"/>
      <c r="J61" s="137"/>
      <c r="L61" s="23"/>
      <c r="M61" s="200"/>
      <c r="N61" s="128"/>
      <c r="O61" s="23"/>
      <c r="P61" s="104"/>
      <c r="Q61" s="104"/>
      <c r="R61" s="221">
        <v>1567800000</v>
      </c>
      <c r="S61" s="234"/>
      <c r="V61" s="80"/>
    </row>
    <row r="62" spans="2:24">
      <c r="D62" s="85" t="s">
        <v>29</v>
      </c>
      <c r="E62" s="85"/>
      <c r="F62" s="166" t="s">
        <v>31</v>
      </c>
      <c r="G62" s="85"/>
      <c r="H62" s="85" t="s">
        <v>188</v>
      </c>
      <c r="I62" s="62"/>
      <c r="J62" s="61"/>
      <c r="L62" s="23"/>
      <c r="M62" s="160"/>
      <c r="N62" s="129"/>
      <c r="O62" s="23"/>
      <c r="P62" s="87"/>
      <c r="Q62" s="87"/>
      <c r="R62" s="235">
        <f>R60/R61</f>
        <v>0.77026661563974996</v>
      </c>
      <c r="T62" s="238">
        <f>T60/R61</f>
        <v>3.85133307819875</v>
      </c>
      <c r="V62" s="78"/>
    </row>
    <row r="63" spans="2:24">
      <c r="B63" s="84" t="s">
        <v>8</v>
      </c>
      <c r="C63" s="4">
        <f>C56</f>
        <v>0.08</v>
      </c>
      <c r="D63" s="92">
        <f>((NPV($C63,$J$13:$P$13,$R$13+$R$13*(1+$J$50)/($C63-$J$50)))-$J$49+J48)</f>
        <v>67042197074.589027</v>
      </c>
      <c r="E63" s="93"/>
      <c r="F63" s="94">
        <f>((NPV($C63,$J$25:$P$25,$R$25+$R$25*(1+$J$50)/($C63-$J$50)))-$J$49+J48)</f>
        <v>74152792677.518906</v>
      </c>
      <c r="G63" s="93"/>
      <c r="H63" s="95">
        <f>((NPV($C63,$J$38:$P$38,$R$38+$R$38*(1+$J$50)/($C63-$J$50)))-$J$49+J48)</f>
        <v>82074930523.363205</v>
      </c>
      <c r="I63" s="17"/>
      <c r="J63" s="18"/>
      <c r="L63" s="23"/>
      <c r="M63" s="167"/>
      <c r="N63" s="23"/>
      <c r="O63" s="23"/>
      <c r="P63" s="98"/>
      <c r="Q63" s="97"/>
      <c r="R63" s="80">
        <f>R62/R59</f>
        <v>5.6306039154952484E-2</v>
      </c>
      <c r="T63" s="80">
        <f>T62/R59</f>
        <v>0.28153019577476246</v>
      </c>
    </row>
    <row r="64" spans="2:24">
      <c r="B64" s="84" t="s">
        <v>28</v>
      </c>
      <c r="C64" s="4">
        <f>C57</f>
        <v>0.11</v>
      </c>
      <c r="D64" s="96">
        <f>((NPV($C64,$J$13:$P$13,$R$13+$R$13*(1+$J$50)/($C64-$J$50)))-$J$49+J48)</f>
        <v>45225421897.646446</v>
      </c>
      <c r="E64" s="97"/>
      <c r="F64" s="98">
        <f>((NPV($C64,$J$25:$P$25,$R$25+$R$25*(1+$J$50)/($C64-$J$50)))-$J$49+J48)</f>
        <v>49657214839.608269</v>
      </c>
      <c r="G64" s="97"/>
      <c r="H64" s="122">
        <f>((NPV($C64,$J$38:$P$38,$R$38+$R$38*(1+$J$50)/($C64-$J$50)))-$J$49+J48)</f>
        <v>54582240909.086098</v>
      </c>
      <c r="I64" s="17"/>
      <c r="J64" s="18"/>
      <c r="L64" s="23"/>
      <c r="M64" s="167"/>
      <c r="N64" s="23"/>
      <c r="O64" s="23"/>
      <c r="P64" s="98"/>
      <c r="Q64" s="97"/>
      <c r="R64" s="234">
        <f>R62*R61</f>
        <v>1207624000</v>
      </c>
      <c r="S64" s="234"/>
      <c r="T64" s="98"/>
    </row>
    <row r="65" spans="1:20">
      <c r="B65" s="174" t="s">
        <v>407</v>
      </c>
      <c r="C65" s="4">
        <f>C58</f>
        <v>0.15</v>
      </c>
      <c r="D65" s="100">
        <f>((NPV($C65,$J$13:$P$13,$R$13+$R$13*(1+$J$50)/($C65-$J$50)))-$J$49+J48)</f>
        <v>31741629340.215179</v>
      </c>
      <c r="E65" s="101"/>
      <c r="F65" s="102">
        <f>((NPV($C65,$J$25:$P$25,$R$25+$R$25*(1+$J$50)/($C65-$J$50)))-$J$49+J48)</f>
        <v>34559476784.206871</v>
      </c>
      <c r="G65" s="101"/>
      <c r="H65" s="103">
        <f>((NPV($C65,$J$38:$P$38,$R$38+$R$38*(1+$J$50)/($C65-$J$50)))-$J$49+J48)</f>
        <v>37680553922.834595</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7">
        <f>R63+T63</f>
        <v>0.33783623492971493</v>
      </c>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1567800000.000 million.</v>
      </c>
      <c r="C70" s="8"/>
      <c r="D70" s="4"/>
      <c r="E70" s="23"/>
      <c r="F70" s="91"/>
      <c r="G70" s="87"/>
      <c r="H70" s="91"/>
      <c r="I70" s="87"/>
      <c r="J70" s="91"/>
      <c r="M70" s="146"/>
    </row>
    <row r="71" spans="1:20">
      <c r="B71" s="2"/>
      <c r="C71" s="8"/>
      <c r="D71" s="4"/>
      <c r="E71" s="23"/>
      <c r="F71" s="91"/>
      <c r="G71" s="87"/>
      <c r="H71" s="91"/>
      <c r="I71" s="87"/>
      <c r="J71" s="91"/>
      <c r="M71" s="146"/>
    </row>
    <row r="72" spans="1:20">
      <c r="C72" s="8"/>
      <c r="D72" s="4"/>
      <c r="E72" s="23"/>
      <c r="F72" s="91"/>
      <c r="G72" s="87"/>
      <c r="H72" s="91"/>
      <c r="I72" s="87"/>
      <c r="J72" s="91"/>
      <c r="M72" s="146"/>
    </row>
    <row r="73" spans="1:20">
      <c r="C73" s="8"/>
      <c r="D73" s="4"/>
      <c r="E73" s="23"/>
      <c r="F73" s="91"/>
      <c r="G73" s="87"/>
      <c r="H73" s="91"/>
      <c r="I73" s="87"/>
      <c r="J73" s="91"/>
      <c r="M73" s="146"/>
    </row>
    <row r="74" spans="1:20" ht="15.75">
      <c r="B74" s="147"/>
      <c r="C74" s="8"/>
      <c r="D74" s="4"/>
      <c r="E74" s="23"/>
      <c r="F74" s="91"/>
      <c r="G74" s="87"/>
      <c r="H74" s="91"/>
      <c r="I74" s="87"/>
      <c r="J74" s="91"/>
      <c r="M74" s="146"/>
    </row>
    <row r="75" spans="1:20">
      <c r="E75" s="23"/>
      <c r="F75" s="91"/>
      <c r="G75" s="87"/>
      <c r="H75" s="91"/>
      <c r="I75" s="87"/>
      <c r="J75" s="91"/>
      <c r="M75" s="146"/>
    </row>
    <row r="76" spans="1:20" ht="12.75" customHeight="1">
      <c r="E76" s="177"/>
      <c r="F76" s="191"/>
      <c r="G76" s="87"/>
      <c r="H76" s="91"/>
      <c r="I76" s="87"/>
      <c r="J76" s="91"/>
      <c r="M76" s="146"/>
      <c r="P76" s="79"/>
    </row>
    <row r="77" spans="1:20" ht="12.75" customHeight="1">
      <c r="E77" s="205"/>
      <c r="F77" s="160"/>
      <c r="G77" s="23"/>
      <c r="H77" s="23"/>
      <c r="I77" s="23"/>
      <c r="J77" s="23"/>
      <c r="M77" s="146"/>
    </row>
    <row r="78" spans="1:20" ht="12.75" customHeight="1">
      <c r="E78" s="135"/>
      <c r="F78" s="160"/>
      <c r="G78" s="87"/>
      <c r="H78" s="87"/>
      <c r="I78" s="87"/>
      <c r="J78" s="87"/>
      <c r="M78" s="146"/>
    </row>
    <row r="79" spans="1:20" ht="12.75" customHeight="1">
      <c r="F79" s="160"/>
      <c r="G79" s="87"/>
      <c r="H79" s="87"/>
      <c r="I79" s="87"/>
      <c r="J79" s="87"/>
      <c r="M79" s="146"/>
    </row>
    <row r="80" spans="1:20" ht="12.75" customHeight="1">
      <c r="F80" s="160"/>
      <c r="G80" s="87"/>
      <c r="H80" s="87"/>
      <c r="I80" s="87"/>
      <c r="J80" s="87"/>
      <c r="M80" s="146"/>
    </row>
    <row r="81" spans="5:13" ht="12.75" customHeight="1">
      <c r="E81" s="135"/>
      <c r="F81" s="160"/>
      <c r="G81" s="87"/>
      <c r="H81" s="87"/>
      <c r="I81" s="87"/>
      <c r="J81" s="87"/>
      <c r="M81" s="146"/>
    </row>
    <row r="82" spans="5:13" ht="12.75" customHeight="1">
      <c r="F82" s="160"/>
      <c r="G82" s="87"/>
      <c r="H82" s="87"/>
      <c r="I82" s="87"/>
      <c r="J82" s="87"/>
      <c r="M82" s="146"/>
    </row>
    <row r="83" spans="5:13" ht="12.75" customHeight="1">
      <c r="E83" s="135"/>
      <c r="F83" s="160"/>
      <c r="G83" s="87"/>
      <c r="H83" s="87"/>
      <c r="I83" s="87"/>
      <c r="J83" s="87"/>
      <c r="M83" s="146"/>
    </row>
    <row r="84" spans="5:13" ht="12.75" customHeight="1">
      <c r="F84" s="160"/>
      <c r="G84" s="87"/>
      <c r="H84" s="87"/>
      <c r="I84" s="87"/>
      <c r="J84" s="87"/>
      <c r="M84" s="146"/>
    </row>
    <row r="85" spans="5:13" ht="12.75" customHeight="1">
      <c r="F85" s="160"/>
      <c r="G85" s="87"/>
      <c r="H85" s="87"/>
      <c r="I85" s="87"/>
      <c r="J85" s="87"/>
      <c r="M85" s="146"/>
    </row>
    <row r="86" spans="5:13" ht="12.75" customHeight="1">
      <c r="E86" s="23"/>
      <c r="F86" s="141"/>
      <c r="G86" s="97"/>
      <c r="H86" s="98"/>
      <c r="I86" s="97"/>
      <c r="J86" s="98"/>
      <c r="M86" s="146"/>
    </row>
    <row r="87" spans="5:13" ht="12.75" customHeight="1">
      <c r="E87" s="23"/>
      <c r="F87" s="141"/>
      <c r="G87" s="97"/>
      <c r="H87" s="98"/>
      <c r="I87" s="97"/>
      <c r="J87" s="98"/>
      <c r="M87" s="146"/>
    </row>
    <row r="88" spans="5:13" ht="12.75" customHeight="1">
      <c r="E88" s="23"/>
      <c r="F88" s="141"/>
      <c r="G88" s="97"/>
      <c r="H88" s="98"/>
      <c r="I88" s="97"/>
      <c r="J88" s="98"/>
      <c r="M88" s="146"/>
    </row>
    <row r="89" spans="5:13" ht="12.75" customHeight="1">
      <c r="F89" s="142"/>
      <c r="J89" s="142"/>
      <c r="M89" s="146"/>
    </row>
    <row r="90" spans="5:13" ht="12.75" customHeight="1">
      <c r="F90" s="146"/>
      <c r="J90" s="142"/>
      <c r="M90" s="146"/>
    </row>
    <row r="91" spans="5:13" ht="12.75" customHeight="1">
      <c r="F91" s="146"/>
      <c r="J91" s="146"/>
      <c r="M91" s="146"/>
    </row>
    <row r="92" spans="5:13" ht="12.75" customHeight="1">
      <c r="F92" s="146"/>
      <c r="J92" s="146"/>
      <c r="M92" s="146"/>
    </row>
    <row r="93" spans="5:13" ht="12.75" customHeight="1">
      <c r="F93" s="146"/>
      <c r="J93" s="146"/>
      <c r="M93" s="146"/>
    </row>
    <row r="94" spans="5:13" ht="12.75" customHeight="1">
      <c r="F94" s="146"/>
      <c r="J94" s="146"/>
    </row>
    <row r="95" spans="5:13" ht="12.75" customHeight="1">
      <c r="F95" s="146"/>
      <c r="J95" s="146"/>
    </row>
    <row r="96" spans="5:13">
      <c r="F96" s="146"/>
    </row>
    <row r="97" spans="6:6">
      <c r="F97" s="146"/>
    </row>
    <row r="98" spans="6:6">
      <c r="F98" s="146"/>
    </row>
    <row r="99" spans="6:6">
      <c r="F99" s="146"/>
    </row>
    <row r="100" spans="6:6">
      <c r="F100" s="146"/>
    </row>
    <row r="101" spans="6:6">
      <c r="F101" s="146"/>
    </row>
    <row r="102" spans="6:6">
      <c r="F102" s="146"/>
    </row>
    <row r="103" spans="6:6">
      <c r="F103" s="146"/>
    </row>
    <row r="104" spans="6:6">
      <c r="F104" s="146"/>
    </row>
    <row r="105" spans="6:6">
      <c r="F105" s="146"/>
    </row>
    <row r="106" spans="6:6">
      <c r="F106" s="146"/>
    </row>
    <row r="107" spans="6:6">
      <c r="F107" s="146"/>
    </row>
    <row r="108" spans="6:6">
      <c r="F108" s="146"/>
    </row>
    <row r="109" spans="6:6">
      <c r="F109" s="146"/>
    </row>
    <row r="110" spans="6:6">
      <c r="F110" s="146"/>
    </row>
    <row r="111" spans="6:6">
      <c r="F111" s="146"/>
    </row>
    <row r="112" spans="6:6">
      <c r="F112" s="146"/>
    </row>
    <row r="113" spans="2:6">
      <c r="F113" s="146"/>
    </row>
    <row r="114" spans="2:6">
      <c r="F114" s="146"/>
    </row>
    <row r="115" spans="2:6">
      <c r="F115" s="146"/>
    </row>
    <row r="122" spans="2:6">
      <c r="B122" s="182"/>
    </row>
  </sheetData>
  <mergeCells count="1">
    <mergeCell ref="H46:J46"/>
  </mergeCells>
  <conditionalFormatting sqref="B6:T13">
    <cfRule type="expression" dxfId="185" priority="6">
      <formula>MOD(ROW(),2)=0</formula>
    </cfRule>
  </conditionalFormatting>
  <conditionalFormatting sqref="B18:T25">
    <cfRule type="expression" dxfId="184" priority="5">
      <formula>MOD(ROW(),2)=0</formula>
    </cfRule>
  </conditionalFormatting>
  <conditionalFormatting sqref="B31:T39">
    <cfRule type="expression" dxfId="183" priority="4">
      <formula>MOD(ROW(),2)=0</formula>
    </cfRule>
  </conditionalFormatting>
  <conditionalFormatting sqref="D56:H58">
    <cfRule type="expression" dxfId="182" priority="3">
      <formula>MOD(ROW(),2)=0</formula>
    </cfRule>
  </conditionalFormatting>
  <conditionalFormatting sqref="D63:H65">
    <cfRule type="expression" dxfId="181" priority="2">
      <formula>MOD(ROW(),2)=0</formula>
    </cfRule>
  </conditionalFormatting>
  <conditionalFormatting sqref="C47:E51">
    <cfRule type="expression" dxfId="180" priority="1">
      <formula>MOD(ROW(),2)=0</formula>
    </cfRule>
  </conditionalFormatting>
  <pageMargins left="0.75" right="0.75" top="1" bottom="1" header="0.5" footer="0.5"/>
  <pageSetup paperSize="119"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122"/>
  <sheetViews>
    <sheetView showGridLines="0" topLeftCell="A29" zoomScaleNormal="100" workbookViewId="0">
      <selection activeCell="H57" sqref="H57"/>
    </sheetView>
  </sheetViews>
  <sheetFormatPr defaultRowHeight="12.75"/>
  <cols>
    <col min="1" max="1" width="8.28515625" customWidth="1"/>
    <col min="2" max="2" width="5" customWidth="1"/>
    <col min="3" max="3" width="7.42578125" customWidth="1"/>
    <col min="4" max="4" width="16.42578125" bestFit="1"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 bestFit="1"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6.5703125" customWidth="1"/>
    <col min="20" max="20" width="19.7109375" bestFit="1" customWidth="1"/>
    <col min="21" max="21" width="6"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2019</v>
      </c>
      <c r="J4" s="27">
        <f>H4+1</f>
        <v>2020</v>
      </c>
      <c r="K4" s="20"/>
      <c r="L4" s="27">
        <f>J4+1</f>
        <v>2021</v>
      </c>
      <c r="M4" s="20"/>
      <c r="N4" s="60">
        <f>L4+1</f>
        <v>2022</v>
      </c>
      <c r="O4" s="21"/>
      <c r="P4" s="60">
        <f>N4+1</f>
        <v>2023</v>
      </c>
      <c r="Q4" s="21"/>
      <c r="R4" s="60">
        <f>P4+1</f>
        <v>2024</v>
      </c>
      <c r="T4" s="28" t="s">
        <v>33</v>
      </c>
    </row>
    <row r="5" spans="1:24" ht="5.0999999999999996" customHeight="1"/>
    <row r="6" spans="1:24">
      <c r="B6" t="s">
        <v>26</v>
      </c>
      <c r="H6" s="75">
        <v>35621000000</v>
      </c>
      <c r="J6" s="75">
        <f>H6*C47</f>
        <v>35264790000</v>
      </c>
      <c r="K6" s="121"/>
      <c r="L6" s="75">
        <f>J6*C48</f>
        <v>34559494200</v>
      </c>
      <c r="M6" s="121"/>
      <c r="N6" s="75">
        <f>L6*C49</f>
        <v>33522709374</v>
      </c>
      <c r="O6" s="75"/>
      <c r="P6" s="75">
        <f>N6*C50</f>
        <v>32181800999.039997</v>
      </c>
      <c r="Q6" s="75"/>
      <c r="R6" s="75">
        <f>P6*C51</f>
        <v>30572710949.087997</v>
      </c>
      <c r="T6" s="4">
        <f>(R6/J6)^(1/4)-1</f>
        <v>-3.506477179553269E-2</v>
      </c>
    </row>
    <row r="7" spans="1:24">
      <c r="B7" s="23" t="s">
        <v>22</v>
      </c>
      <c r="H7" s="71">
        <v>0</v>
      </c>
      <c r="J7" s="71">
        <v>0</v>
      </c>
      <c r="L7" s="71">
        <v>0</v>
      </c>
      <c r="N7" s="71">
        <v>0</v>
      </c>
      <c r="P7" s="71">
        <v>0</v>
      </c>
      <c r="R7" s="71">
        <v>0</v>
      </c>
      <c r="T7" s="4"/>
    </row>
    <row r="8" spans="1:24">
      <c r="B8" t="s">
        <v>27</v>
      </c>
      <c r="H8" s="115">
        <f>H6+H7</f>
        <v>35621000000</v>
      </c>
      <c r="I8" s="73"/>
      <c r="J8" s="115">
        <f>J6+J7</f>
        <v>35264790000</v>
      </c>
      <c r="K8" s="116"/>
      <c r="L8" s="115">
        <f>L6+L7</f>
        <v>34559494200</v>
      </c>
      <c r="M8" s="116"/>
      <c r="N8" s="115">
        <f>N6+N7</f>
        <v>33522709374</v>
      </c>
      <c r="O8" s="116"/>
      <c r="P8" s="115">
        <f>P6+P7</f>
        <v>32181800999.039997</v>
      </c>
      <c r="Q8" s="116"/>
      <c r="R8" s="115">
        <f>R6+R7</f>
        <v>30572710949.087997</v>
      </c>
      <c r="T8" s="4">
        <f>(R8/J8)^(1/4)-1</f>
        <v>-3.506477179553269E-2</v>
      </c>
    </row>
    <row r="9" spans="1:24" s="39" customFormat="1">
      <c r="B9" s="39" t="s">
        <v>21</v>
      </c>
      <c r="H9" s="117">
        <f>-$J$51*H8</f>
        <v>-8905250000</v>
      </c>
      <c r="I9"/>
      <c r="J9" s="117">
        <f>-$J$51*J8</f>
        <v>-8816197500</v>
      </c>
      <c r="K9" s="114"/>
      <c r="L9" s="117">
        <f>-$J$51*L8</f>
        <v>-8639873550</v>
      </c>
      <c r="M9" s="114"/>
      <c r="N9" s="117">
        <f>-$J$51*N8</f>
        <v>-8380677343.5</v>
      </c>
      <c r="O9" s="114"/>
      <c r="P9" s="117">
        <f>-$J$51*P8</f>
        <v>-8045450249.7599993</v>
      </c>
      <c r="Q9" s="114"/>
      <c r="R9" s="117">
        <f>-$J$51*R8</f>
        <v>-7643177737.2719994</v>
      </c>
    </row>
    <row r="10" spans="1:24" s="2" customFormat="1">
      <c r="B10" s="2" t="s">
        <v>3</v>
      </c>
      <c r="H10" s="118">
        <f>SUM(H8:H9)</f>
        <v>26715750000</v>
      </c>
      <c r="J10" s="118">
        <f>SUM(J8:J9)</f>
        <v>26448592500</v>
      </c>
      <c r="K10" s="119"/>
      <c r="L10" s="118">
        <f>SUM(L8:L9)</f>
        <v>25919620650</v>
      </c>
      <c r="M10" s="119"/>
      <c r="N10" s="118">
        <f>SUM(N8:N9)</f>
        <v>25142032030.5</v>
      </c>
      <c r="O10" s="119"/>
      <c r="P10" s="118">
        <f>SUM(P8:P9)</f>
        <v>24136350749.279999</v>
      </c>
      <c r="Q10" s="119"/>
      <c r="R10" s="118">
        <f>SUM(R8:R9)</f>
        <v>22929533211.815998</v>
      </c>
      <c r="T10" s="4">
        <f>(R10/J10)^(1/4)-1</f>
        <v>-3.506477179553269E-2</v>
      </c>
    </row>
    <row r="11" spans="1:24">
      <c r="B11" s="10" t="s">
        <v>25</v>
      </c>
      <c r="H11" s="112">
        <v>21954000000</v>
      </c>
      <c r="I11" s="112"/>
      <c r="J11" s="112">
        <f>H11</f>
        <v>21954000000</v>
      </c>
      <c r="K11" s="112"/>
      <c r="L11" s="112">
        <f>J11</f>
        <v>21954000000</v>
      </c>
      <c r="M11" s="112"/>
      <c r="N11" s="112">
        <f>L11</f>
        <v>21954000000</v>
      </c>
      <c r="O11" s="112"/>
      <c r="P11" s="112">
        <f>N11</f>
        <v>21954000000</v>
      </c>
      <c r="Q11" s="112"/>
      <c r="R11" s="112">
        <f>P11</f>
        <v>21954000000</v>
      </c>
    </row>
    <row r="12" spans="1:24">
      <c r="B12" t="s">
        <v>23</v>
      </c>
      <c r="H12" s="112">
        <v>-24000000000</v>
      </c>
      <c r="I12" s="112"/>
      <c r="J12" s="112">
        <f>H12</f>
        <v>-24000000000</v>
      </c>
      <c r="K12" s="112"/>
      <c r="L12" s="112">
        <f>J12</f>
        <v>-24000000000</v>
      </c>
      <c r="M12" s="112"/>
      <c r="N12" s="112">
        <f>L12</f>
        <v>-24000000000</v>
      </c>
      <c r="O12" s="112"/>
      <c r="P12" s="112">
        <f>N12</f>
        <v>-24000000000</v>
      </c>
      <c r="Q12" s="112"/>
      <c r="R12" s="112">
        <f>P12</f>
        <v>-24000000000</v>
      </c>
      <c r="X12" s="81"/>
    </row>
    <row r="13" spans="1:24">
      <c r="B13" s="2" t="s">
        <v>19</v>
      </c>
      <c r="H13" s="120">
        <f>SUM(H10:H12)</f>
        <v>24669750000</v>
      </c>
      <c r="J13" s="120">
        <f>SUM(J10:J12)</f>
        <v>24402592500</v>
      </c>
      <c r="K13" s="114"/>
      <c r="L13" s="120">
        <f>SUM(L10:L12)</f>
        <v>23873620650</v>
      </c>
      <c r="M13" s="114"/>
      <c r="N13" s="120">
        <f>SUM(N10:N12)</f>
        <v>23096032030.5</v>
      </c>
      <c r="O13" s="114"/>
      <c r="P13" s="120">
        <f>SUM(P10:P12)</f>
        <v>22090350749.279999</v>
      </c>
      <c r="Q13" s="114"/>
      <c r="R13" s="120">
        <f>SUM(R10:R12)</f>
        <v>20883533211.815994</v>
      </c>
      <c r="T13" s="4">
        <f>(R13/J13)^(1/4)-1</f>
        <v>-3.8183988848560002E-2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f>H4</f>
        <v>2019</v>
      </c>
      <c r="J16" s="27">
        <f>H16+1</f>
        <v>2020</v>
      </c>
      <c r="K16" s="20"/>
      <c r="L16" s="27">
        <f>J16+1</f>
        <v>2021</v>
      </c>
      <c r="M16" s="20"/>
      <c r="N16" s="60">
        <f>L16+1</f>
        <v>2022</v>
      </c>
      <c r="O16" s="21"/>
      <c r="P16" s="60">
        <f>N16+1</f>
        <v>2023</v>
      </c>
      <c r="Q16" s="21"/>
      <c r="R16" s="60">
        <f>P16+1</f>
        <v>2024</v>
      </c>
      <c r="T16" s="28" t="s">
        <v>33</v>
      </c>
    </row>
    <row r="18" spans="1:20">
      <c r="B18" t="s">
        <v>26</v>
      </c>
      <c r="H18" s="75">
        <f>H6</f>
        <v>35621000000</v>
      </c>
      <c r="J18" s="75">
        <f>H18*D47</f>
        <v>35621000000</v>
      </c>
      <c r="K18" s="121"/>
      <c r="L18" s="75">
        <f>J18*D48</f>
        <v>35621000000</v>
      </c>
      <c r="M18" s="121"/>
      <c r="N18" s="75">
        <f>L18*D49</f>
        <v>35621000000</v>
      </c>
      <c r="O18" s="75"/>
      <c r="P18" s="75">
        <f>N18*D50</f>
        <v>35621000000</v>
      </c>
      <c r="Q18" s="75"/>
      <c r="R18" s="75">
        <f>P18*D51</f>
        <v>35621000000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35621000000</v>
      </c>
      <c r="I20" s="116"/>
      <c r="J20" s="115">
        <f>J18+J19</f>
        <v>35621000000</v>
      </c>
      <c r="K20" s="116"/>
      <c r="L20" s="115">
        <f>L18+L19</f>
        <v>35621000000</v>
      </c>
      <c r="M20" s="116"/>
      <c r="N20" s="115">
        <f>N18+N19</f>
        <v>35621000000</v>
      </c>
      <c r="O20" s="116"/>
      <c r="P20" s="115">
        <f>P18+P19</f>
        <v>35621000000</v>
      </c>
      <c r="Q20" s="116"/>
      <c r="R20" s="115">
        <f>R18+R19</f>
        <v>35621000000</v>
      </c>
      <c r="T20" s="4">
        <f>(R20/J20)^(1/4)-1</f>
        <v>0</v>
      </c>
    </row>
    <row r="21" spans="1:20">
      <c r="B21" s="39" t="s">
        <v>21</v>
      </c>
      <c r="C21" s="39"/>
      <c r="D21" s="39"/>
      <c r="E21" s="39"/>
      <c r="F21" s="39"/>
      <c r="G21" s="39"/>
      <c r="H21" s="117">
        <f>-$J$51*H20</f>
        <v>-8905250000</v>
      </c>
      <c r="I21" s="114"/>
      <c r="J21" s="117">
        <f>-$J$51*J20</f>
        <v>-8905250000</v>
      </c>
      <c r="K21" s="114"/>
      <c r="L21" s="117">
        <f>-$J$51*L20</f>
        <v>-8905250000</v>
      </c>
      <c r="M21" s="114"/>
      <c r="N21" s="117">
        <f>-$J$51*N20</f>
        <v>-8905250000</v>
      </c>
      <c r="O21" s="114"/>
      <c r="P21" s="117">
        <f>-$J$51*P20</f>
        <v>-8905250000</v>
      </c>
      <c r="Q21" s="114"/>
      <c r="R21" s="117">
        <f>-$J$51*R20</f>
        <v>-8905250000</v>
      </c>
      <c r="S21" s="39"/>
      <c r="T21" s="39"/>
    </row>
    <row r="22" spans="1:20">
      <c r="A22" s="2"/>
      <c r="B22" s="2" t="s">
        <v>3</v>
      </c>
      <c r="C22" s="2"/>
      <c r="D22" s="2"/>
      <c r="E22" s="2"/>
      <c r="F22" s="2"/>
      <c r="G22" s="2"/>
      <c r="H22" s="118">
        <f>SUM(H20:H21)</f>
        <v>26715750000</v>
      </c>
      <c r="I22" s="119"/>
      <c r="J22" s="118">
        <f>SUM(J20:J21)</f>
        <v>26715750000</v>
      </c>
      <c r="K22" s="119"/>
      <c r="L22" s="118">
        <f>SUM(L20:L21)</f>
        <v>26715750000</v>
      </c>
      <c r="M22" s="119"/>
      <c r="N22" s="118">
        <f>SUM(N20:N21)</f>
        <v>26715750000</v>
      </c>
      <c r="O22" s="119"/>
      <c r="P22" s="118">
        <f>SUM(P20:P21)</f>
        <v>26715750000</v>
      </c>
      <c r="Q22" s="119"/>
      <c r="R22" s="118">
        <f>SUM(R20:R21)</f>
        <v>26715750000</v>
      </c>
      <c r="S22" s="2"/>
      <c r="T22" s="4">
        <f>(R22/J22)^(1/4)-1</f>
        <v>0</v>
      </c>
    </row>
    <row r="23" spans="1:20">
      <c r="B23" s="10" t="s">
        <v>25</v>
      </c>
      <c r="H23" s="112">
        <f>H11</f>
        <v>21954000000</v>
      </c>
      <c r="I23" s="112"/>
      <c r="J23" s="112">
        <f>J11</f>
        <v>21954000000</v>
      </c>
      <c r="K23" s="112"/>
      <c r="L23" s="112">
        <f>L11</f>
        <v>21954000000</v>
      </c>
      <c r="M23" s="112"/>
      <c r="N23" s="112">
        <f>N11</f>
        <v>21954000000</v>
      </c>
      <c r="O23" s="112"/>
      <c r="P23" s="112">
        <f>P11</f>
        <v>21954000000</v>
      </c>
      <c r="Q23" s="112"/>
      <c r="R23" s="112">
        <f>R11</f>
        <v>21954000000</v>
      </c>
    </row>
    <row r="24" spans="1:20">
      <c r="B24" t="s">
        <v>23</v>
      </c>
      <c r="H24" s="112">
        <f>H12</f>
        <v>-24000000000</v>
      </c>
      <c r="I24" s="112"/>
      <c r="J24" s="112">
        <f>J12</f>
        <v>-24000000000</v>
      </c>
      <c r="K24" s="112"/>
      <c r="L24" s="112">
        <f>L12</f>
        <v>-24000000000</v>
      </c>
      <c r="M24" s="112"/>
      <c r="N24" s="112">
        <f>N12</f>
        <v>-24000000000</v>
      </c>
      <c r="O24" s="112"/>
      <c r="P24" s="112">
        <f>P12</f>
        <v>-24000000000</v>
      </c>
      <c r="Q24" s="112"/>
      <c r="R24" s="112">
        <f>R12</f>
        <v>-24000000000</v>
      </c>
    </row>
    <row r="25" spans="1:20">
      <c r="B25" s="2" t="s">
        <v>19</v>
      </c>
      <c r="H25" s="120">
        <f>SUM(H22:H24)</f>
        <v>24669750000</v>
      </c>
      <c r="I25" s="114"/>
      <c r="J25" s="120">
        <f>SUM(J22:J24)</f>
        <v>24669750000</v>
      </c>
      <c r="K25" s="114"/>
      <c r="L25" s="120">
        <f>SUM(L22:L24)</f>
        <v>24669750000</v>
      </c>
      <c r="M25" s="114"/>
      <c r="N25" s="120">
        <f>SUM(N22:N24)</f>
        <v>24669750000</v>
      </c>
      <c r="O25" s="114"/>
      <c r="P25" s="120">
        <f>SUM(P22:P24)</f>
        <v>24669750000</v>
      </c>
      <c r="Q25" s="114"/>
      <c r="R25" s="120">
        <f>SUM(R22:R24)</f>
        <v>24669750000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f>H4</f>
        <v>2019</v>
      </c>
      <c r="J29" s="27">
        <f>H29+1</f>
        <v>2020</v>
      </c>
      <c r="K29" s="20"/>
      <c r="L29" s="27">
        <f>J29+1</f>
        <v>2021</v>
      </c>
      <c r="M29" s="20"/>
      <c r="N29" s="60">
        <f>L29+1</f>
        <v>2022</v>
      </c>
      <c r="O29" s="21"/>
      <c r="P29" s="60">
        <f>N29+1</f>
        <v>2023</v>
      </c>
      <c r="Q29" s="21"/>
      <c r="R29" s="60">
        <f>P29+1</f>
        <v>2024</v>
      </c>
      <c r="T29" s="28" t="s">
        <v>33</v>
      </c>
    </row>
    <row r="31" spans="1:20">
      <c r="B31" t="s">
        <v>26</v>
      </c>
      <c r="H31" s="75">
        <f>H6</f>
        <v>35621000000</v>
      </c>
      <c r="J31" s="75">
        <f>H31*E47</f>
        <v>42745200000</v>
      </c>
      <c r="K31" s="121"/>
      <c r="L31" s="75">
        <f>J31*E48</f>
        <v>44882460000</v>
      </c>
      <c r="M31" s="121"/>
      <c r="N31" s="75">
        <f>L31*E49</f>
        <v>45780109200</v>
      </c>
      <c r="O31" s="75"/>
      <c r="P31" s="75">
        <f>N31*E50</f>
        <v>48069114660</v>
      </c>
      <c r="Q31" s="75"/>
      <c r="R31" s="75">
        <f>P31*E51</f>
        <v>48069114660</v>
      </c>
      <c r="T31" s="4">
        <f>(R31/J31)^(1/4)-1</f>
        <v>2.9780568144504249E-2</v>
      </c>
    </row>
    <row r="32" spans="1:20">
      <c r="B32" s="23" t="s">
        <v>22</v>
      </c>
      <c r="H32" s="71">
        <f>H7</f>
        <v>0</v>
      </c>
      <c r="J32" s="71">
        <f>J7</f>
        <v>0</v>
      </c>
      <c r="L32" s="71">
        <f>L7</f>
        <v>0</v>
      </c>
      <c r="N32" s="71">
        <f>N7</f>
        <v>0</v>
      </c>
      <c r="P32" s="71">
        <f>P7</f>
        <v>0</v>
      </c>
      <c r="R32" s="71">
        <f>R7</f>
        <v>0</v>
      </c>
      <c r="T32" s="4"/>
    </row>
    <row r="33" spans="1:24">
      <c r="B33" t="s">
        <v>27</v>
      </c>
      <c r="H33" s="115">
        <f>H31+H32</f>
        <v>35621000000</v>
      </c>
      <c r="I33" s="116"/>
      <c r="J33" s="115">
        <f>J31+J32</f>
        <v>42745200000</v>
      </c>
      <c r="K33" s="116"/>
      <c r="L33" s="115">
        <f>L31+L32</f>
        <v>44882460000</v>
      </c>
      <c r="M33" s="116"/>
      <c r="N33" s="115">
        <f>N31+N32</f>
        <v>45780109200</v>
      </c>
      <c r="O33" s="116"/>
      <c r="P33" s="115">
        <f>P31+P32</f>
        <v>48069114660</v>
      </c>
      <c r="Q33" s="116"/>
      <c r="R33" s="115">
        <f>R31+R32</f>
        <v>48069114660</v>
      </c>
      <c r="T33" s="4">
        <f>(R33/J33)^(1/4)-1</f>
        <v>2.9780568144504249E-2</v>
      </c>
    </row>
    <row r="34" spans="1:24">
      <c r="B34" s="39" t="s">
        <v>21</v>
      </c>
      <c r="C34" s="39"/>
      <c r="D34" s="39"/>
      <c r="E34" s="39"/>
      <c r="F34" s="39"/>
      <c r="G34" s="39"/>
      <c r="H34" s="117">
        <f>-$J$51*H33</f>
        <v>-8905250000</v>
      </c>
      <c r="I34" s="114"/>
      <c r="J34" s="117">
        <f>-$J$51*J33</f>
        <v>-10686300000</v>
      </c>
      <c r="K34" s="114"/>
      <c r="L34" s="117">
        <f>-$J$51*L33</f>
        <v>-11220615000</v>
      </c>
      <c r="M34" s="114"/>
      <c r="N34" s="117">
        <f>-$J$51*N33</f>
        <v>-11445027300</v>
      </c>
      <c r="O34" s="114"/>
      <c r="P34" s="117">
        <f>-$J$51*P33</f>
        <v>-12017278665</v>
      </c>
      <c r="Q34" s="114"/>
      <c r="R34" s="117">
        <f>-$J$51*R33</f>
        <v>-12017278665</v>
      </c>
      <c r="S34" s="39"/>
      <c r="T34" s="39"/>
    </row>
    <row r="35" spans="1:24">
      <c r="A35" s="2"/>
      <c r="B35" s="2" t="s">
        <v>3</v>
      </c>
      <c r="C35" s="2"/>
      <c r="D35" s="2"/>
      <c r="E35" s="2"/>
      <c r="F35" s="2"/>
      <c r="G35" s="2"/>
      <c r="H35" s="118">
        <f>SUM(H33:H34)</f>
        <v>26715750000</v>
      </c>
      <c r="I35" s="119"/>
      <c r="J35" s="118">
        <f>SUM(J33:J34)</f>
        <v>32058900000</v>
      </c>
      <c r="K35" s="119"/>
      <c r="L35" s="118">
        <f>SUM(L33:L34)</f>
        <v>33661845000</v>
      </c>
      <c r="M35" s="119"/>
      <c r="N35" s="118">
        <f>SUM(N33:N34)</f>
        <v>34335081900</v>
      </c>
      <c r="O35" s="119"/>
      <c r="P35" s="118">
        <f>SUM(P33:P34)</f>
        <v>36051835995</v>
      </c>
      <c r="Q35" s="119"/>
      <c r="R35" s="118">
        <f>SUM(R33:R34)</f>
        <v>36051835995</v>
      </c>
      <c r="S35" s="2"/>
      <c r="T35" s="4">
        <f>(R35/J35)^(1/4)-1</f>
        <v>2.9780568144504249E-2</v>
      </c>
    </row>
    <row r="36" spans="1:24">
      <c r="B36" s="10" t="s">
        <v>25</v>
      </c>
      <c r="H36" s="112">
        <f>H11</f>
        <v>21954000000</v>
      </c>
      <c r="I36" s="112"/>
      <c r="J36" s="112">
        <f>J11</f>
        <v>21954000000</v>
      </c>
      <c r="K36" s="112"/>
      <c r="L36" s="112">
        <f>L11</f>
        <v>21954000000</v>
      </c>
      <c r="M36" s="112"/>
      <c r="N36" s="112">
        <f>N11</f>
        <v>21954000000</v>
      </c>
      <c r="O36" s="112"/>
      <c r="P36" s="112">
        <f>P11</f>
        <v>21954000000</v>
      </c>
      <c r="Q36" s="112"/>
      <c r="R36" s="112">
        <f>R11</f>
        <v>21954000000</v>
      </c>
    </row>
    <row r="37" spans="1:24">
      <c r="B37" t="s">
        <v>23</v>
      </c>
      <c r="H37" s="112">
        <f>H12</f>
        <v>-24000000000</v>
      </c>
      <c r="I37" s="112"/>
      <c r="J37" s="112">
        <f>J12</f>
        <v>-24000000000</v>
      </c>
      <c r="K37" s="112"/>
      <c r="L37" s="112">
        <f>L12</f>
        <v>-24000000000</v>
      </c>
      <c r="M37" s="112"/>
      <c r="N37" s="112">
        <f>N12</f>
        <v>-24000000000</v>
      </c>
      <c r="O37" s="112"/>
      <c r="P37" s="112">
        <f>P12</f>
        <v>-24000000000</v>
      </c>
      <c r="Q37" s="112"/>
      <c r="R37" s="112">
        <f>R12</f>
        <v>-24000000000</v>
      </c>
    </row>
    <row r="38" spans="1:24">
      <c r="B38" s="2" t="s">
        <v>19</v>
      </c>
      <c r="H38" s="120">
        <f>SUM(H35:H37)</f>
        <v>24669750000</v>
      </c>
      <c r="I38" s="153"/>
      <c r="J38" s="120">
        <f>SUM(J35:J37)</f>
        <v>30012900000</v>
      </c>
      <c r="K38" s="114"/>
      <c r="L38" s="120">
        <f>SUM(L35:L37)</f>
        <v>31615845000</v>
      </c>
      <c r="M38" s="114"/>
      <c r="N38" s="120">
        <f>SUM(N35:N37)</f>
        <v>32289081900</v>
      </c>
      <c r="O38" s="114"/>
      <c r="P38" s="120">
        <f>SUM(P35:P37)</f>
        <v>34005835995</v>
      </c>
      <c r="Q38" s="114"/>
      <c r="R38" s="120">
        <f>SUM(R35:R37)</f>
        <v>34005835995</v>
      </c>
      <c r="T38" s="4">
        <f>(R38/J38)^(1/4)-1</f>
        <v>3.1718869723848631E-2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ht="15.75">
      <c r="B46" s="88" t="s">
        <v>32</v>
      </c>
      <c r="C46" s="89" t="s">
        <v>29</v>
      </c>
      <c r="D46" s="89" t="s">
        <v>31</v>
      </c>
      <c r="E46" s="152" t="s">
        <v>188</v>
      </c>
      <c r="H46" s="294" t="s">
        <v>181</v>
      </c>
      <c r="I46" s="294"/>
      <c r="J46" s="294"/>
      <c r="K46" s="135"/>
      <c r="L46" s="135"/>
      <c r="M46" s="2" t="s">
        <v>57</v>
      </c>
      <c r="P46" s="2"/>
      <c r="R46" s="147" t="s">
        <v>136</v>
      </c>
      <c r="X46" s="127"/>
    </row>
    <row r="47" spans="1:24" ht="15.75">
      <c r="B47" s="90">
        <v>2020</v>
      </c>
      <c r="C47" s="88">
        <v>0.99</v>
      </c>
      <c r="D47" s="88">
        <v>1</v>
      </c>
      <c r="E47" s="88">
        <v>1.2</v>
      </c>
      <c r="H47" s="156" t="s">
        <v>15</v>
      </c>
      <c r="I47" s="156"/>
      <c r="J47" s="161">
        <f>R62</f>
        <v>4108688013.5</v>
      </c>
      <c r="K47" s="140">
        <f>J47*59</f>
        <v>242412592796.5</v>
      </c>
      <c r="L47" s="221"/>
      <c r="M47" t="s">
        <v>55</v>
      </c>
      <c r="P47" s="2"/>
      <c r="R47" s="147" t="s">
        <v>137</v>
      </c>
      <c r="X47" s="127"/>
    </row>
    <row r="48" spans="1:24">
      <c r="B48" s="90">
        <f>B47+1</f>
        <v>2021</v>
      </c>
      <c r="C48" s="88">
        <v>0.98</v>
      </c>
      <c r="D48" s="88">
        <v>1</v>
      </c>
      <c r="E48" s="88">
        <v>1.05</v>
      </c>
      <c r="H48" s="156" t="s">
        <v>99</v>
      </c>
      <c r="I48" s="156"/>
      <c r="J48" s="157">
        <v>15417000000</v>
      </c>
      <c r="L48" s="163"/>
      <c r="M48" t="s">
        <v>56</v>
      </c>
      <c r="P48" s="2"/>
      <c r="X48" s="127"/>
    </row>
    <row r="49" spans="2:30">
      <c r="B49" s="90">
        <f>B48+1</f>
        <v>2022</v>
      </c>
      <c r="C49" s="88">
        <v>0.97</v>
      </c>
      <c r="D49" s="88">
        <v>1</v>
      </c>
      <c r="E49" s="88">
        <v>1.02</v>
      </c>
      <c r="H49" s="156" t="s">
        <v>14</v>
      </c>
      <c r="I49" s="156"/>
      <c r="J49" s="157">
        <f>12812000000+45027000000</f>
        <v>57839000000</v>
      </c>
      <c r="K49">
        <f>0.94*4</f>
        <v>3.76</v>
      </c>
      <c r="M49" t="s">
        <v>58</v>
      </c>
      <c r="P49" s="2"/>
      <c r="X49" s="127"/>
    </row>
    <row r="50" spans="2:30">
      <c r="B50" s="90">
        <f>B49+1</f>
        <v>2023</v>
      </c>
      <c r="C50" s="88">
        <v>0.96</v>
      </c>
      <c r="D50" s="88">
        <v>1</v>
      </c>
      <c r="E50" s="88">
        <v>1.05</v>
      </c>
      <c r="H50" s="155" t="s">
        <v>16</v>
      </c>
      <c r="I50" s="156"/>
      <c r="J50" s="158">
        <v>0.02</v>
      </c>
      <c r="K50">
        <v>54</v>
      </c>
      <c r="M50" t="s">
        <v>59</v>
      </c>
      <c r="P50" s="2"/>
      <c r="X50" s="127"/>
    </row>
    <row r="51" spans="2:30">
      <c r="B51" s="90">
        <f>B50+1</f>
        <v>2024</v>
      </c>
      <c r="C51" s="88">
        <v>0.95</v>
      </c>
      <c r="D51" s="88">
        <v>1</v>
      </c>
      <c r="E51" s="88">
        <v>1</v>
      </c>
      <c r="H51" s="156" t="s">
        <v>2</v>
      </c>
      <c r="I51" s="156"/>
      <c r="J51" s="158">
        <v>0.25</v>
      </c>
      <c r="K51" s="80">
        <f>K49/K50</f>
        <v>6.9629629629629625E-2</v>
      </c>
      <c r="M51" t="s">
        <v>60</v>
      </c>
      <c r="P51" s="2"/>
      <c r="X51" s="127"/>
    </row>
    <row r="52" spans="2:30">
      <c r="B52" s="2"/>
      <c r="D52" s="2"/>
      <c r="M52" t="s">
        <v>61</v>
      </c>
      <c r="P52" s="2"/>
      <c r="X52" s="127"/>
    </row>
    <row r="53" spans="2:30">
      <c r="B53" s="2"/>
      <c r="D53" s="2"/>
      <c r="I53" s="23"/>
      <c r="J53" s="23"/>
      <c r="M53" t="s">
        <v>62</v>
      </c>
      <c r="P53" s="2"/>
      <c r="X53" s="127"/>
    </row>
    <row r="54" spans="2:30">
      <c r="D54" s="30"/>
      <c r="E54" s="30"/>
      <c r="F54" s="109" t="s">
        <v>12</v>
      </c>
      <c r="G54" s="30"/>
      <c r="H54" s="30"/>
      <c r="I54" s="104"/>
      <c r="J54" s="104"/>
      <c r="M54" t="s">
        <v>63</v>
      </c>
      <c r="Q54" s="104"/>
      <c r="R54" s="104"/>
      <c r="S54" s="104"/>
      <c r="T54" s="104"/>
    </row>
    <row r="55" spans="2:30">
      <c r="D55" s="85" t="s">
        <v>29</v>
      </c>
      <c r="E55" s="85"/>
      <c r="F55" s="166" t="s">
        <v>31</v>
      </c>
      <c r="G55" s="85"/>
      <c r="H55" s="85" t="s">
        <v>188</v>
      </c>
      <c r="I55" s="108"/>
      <c r="J55" s="106"/>
      <c r="M55" s="135" t="s">
        <v>176</v>
      </c>
      <c r="Q55" s="87"/>
      <c r="R55" s="87"/>
      <c r="S55" s="87"/>
      <c r="T55" s="87"/>
    </row>
    <row r="56" spans="2:30">
      <c r="B56" s="84" t="s">
        <v>8</v>
      </c>
      <c r="C56" s="4">
        <v>0.08</v>
      </c>
      <c r="D56" s="92">
        <f>((NPV($C56,$J$13:$P$13,$R$13+$R$13*(1+$J$50)/($C56-$J$50)))-$J$49+J48)/$J$47</f>
        <v>70.83669735069283</v>
      </c>
      <c r="E56" s="93"/>
      <c r="F56" s="94">
        <f>((NPV($C56,$J$25:$P$25,$R$25+$R$25*(1+$J$50)/($C56-$J$50)))-$J$49+J48)/$J$47</f>
        <v>83.117543079571519</v>
      </c>
      <c r="G56" s="93"/>
      <c r="H56" s="123">
        <f>((NPV($C56,$J$38:$P$38,$R$38+$R$38*(1+$J$50)/($C56-$J$50)))-$J$49+J48)/$J$47</f>
        <v>116.74993117002667</v>
      </c>
      <c r="I56" s="10"/>
      <c r="J56" s="11"/>
      <c r="M56" s="135" t="s">
        <v>186</v>
      </c>
      <c r="Q56" s="87"/>
      <c r="R56" s="91"/>
      <c r="S56" s="87"/>
      <c r="T56" s="91"/>
    </row>
    <row r="57" spans="2:30">
      <c r="B57" s="84" t="s">
        <v>28</v>
      </c>
      <c r="C57" s="4">
        <v>0.11</v>
      </c>
      <c r="D57" s="96">
        <f>((NPV($C57,$J$13:$P$13,$R$13+$R$13*(1+$J$50)/($C57-$J$50)))-$J$49+J48)/$J$47</f>
        <v>44.59558556925672</v>
      </c>
      <c r="E57" s="97"/>
      <c r="F57" s="98">
        <f>((NPV($C57,$J$25:$P$25,$R$25+$R$25*(1+$J$50)/($C57-$J$50)))-$J$49+J48)/$J$47</f>
        <v>52.249819962806065</v>
      </c>
      <c r="G57" s="97"/>
      <c r="H57" s="99">
        <f>((NPV($C57,$J$38:$P$38,$R$38+$R$38*(1+$J$50)/($C57-$J$50)))-$J$49+J48)/$J$47</f>
        <v>74.277630994180868</v>
      </c>
      <c r="I57" s="44"/>
      <c r="J57" s="43"/>
      <c r="Q57" s="87"/>
      <c r="R57" s="91"/>
      <c r="S57" s="87"/>
      <c r="T57" s="91"/>
    </row>
    <row r="58" spans="2:30">
      <c r="B58" s="174" t="s">
        <v>407</v>
      </c>
      <c r="C58" s="4">
        <v>0.15</v>
      </c>
      <c r="D58" s="100">
        <f>((NPV($C58,$J$13:$P$13,$R$13+$R$13*(1+$J$50)/($C58-$J$50)))-$J$49+J48)/$J$47</f>
        <v>28.357880888712003</v>
      </c>
      <c r="E58" s="101"/>
      <c r="F58" s="102">
        <f>((NPV($C58,$J$25:$P$25,$R$25+$R$25*(1+$J$50)/($C58-$J$50)))-$J$49+J48)/$J$47</f>
        <v>33.224639129458822</v>
      </c>
      <c r="G58" s="101"/>
      <c r="H58" s="103">
        <f>((NPV($C58,$J$38:$P$38,$R$38+$R$38*(1+$J$50)/($C58-$J$50)))-$J$49+J48)/$J$47</f>
        <v>48.146018475372045</v>
      </c>
      <c r="I58" s="44"/>
      <c r="J58" s="43"/>
      <c r="Q58" s="87"/>
      <c r="R58" s="91"/>
      <c r="S58" s="87"/>
      <c r="T58" s="91"/>
    </row>
    <row r="59" spans="2:30" ht="15.75">
      <c r="C59" s="4"/>
      <c r="D59" s="23"/>
      <c r="I59" s="23"/>
      <c r="J59" s="136"/>
      <c r="Q59" s="23"/>
      <c r="R59" s="225">
        <v>4471889296</v>
      </c>
      <c r="S59" s="23"/>
      <c r="T59" s="135" t="s">
        <v>411</v>
      </c>
    </row>
    <row r="60" spans="2:30" ht="15.75">
      <c r="D60" s="2"/>
      <c r="M60" s="140"/>
      <c r="N60" s="23"/>
      <c r="O60" s="23"/>
      <c r="P60" s="107"/>
      <c r="Q60" s="23"/>
      <c r="R60" s="225">
        <v>3745486731</v>
      </c>
      <c r="S60" s="23"/>
      <c r="T60" s="135" t="s">
        <v>412</v>
      </c>
    </row>
    <row r="61" spans="2:30" ht="15.75">
      <c r="D61" s="30"/>
      <c r="E61" s="30"/>
      <c r="F61" s="109" t="s">
        <v>6</v>
      </c>
      <c r="G61" s="30"/>
      <c r="H61" s="30"/>
      <c r="I61" s="104"/>
      <c r="J61" s="137"/>
      <c r="L61" s="23"/>
      <c r="M61" s="200"/>
      <c r="N61" s="128"/>
      <c r="O61" s="23"/>
      <c r="P61" s="104"/>
      <c r="Q61" s="104"/>
      <c r="R61" s="225">
        <f>SUM(R59:R60)</f>
        <v>8217376027</v>
      </c>
      <c r="S61" s="104"/>
      <c r="T61" s="135" t="s">
        <v>249</v>
      </c>
    </row>
    <row r="62" spans="2:30" ht="15.75">
      <c r="D62" s="85" t="s">
        <v>29</v>
      </c>
      <c r="E62" s="85"/>
      <c r="F62" s="166" t="s">
        <v>31</v>
      </c>
      <c r="G62" s="85"/>
      <c r="H62" s="85" t="s">
        <v>188</v>
      </c>
      <c r="I62" s="62"/>
      <c r="J62" s="61"/>
      <c r="L62" s="23"/>
      <c r="M62" s="160"/>
      <c r="N62" s="129"/>
      <c r="O62" s="23"/>
      <c r="P62" s="87"/>
      <c r="Q62" s="87"/>
      <c r="R62" s="225">
        <f>R61/2</f>
        <v>4108688013.5</v>
      </c>
      <c r="S62" s="87"/>
      <c r="T62" s="164" t="s">
        <v>410</v>
      </c>
    </row>
    <row r="63" spans="2:30">
      <c r="B63" s="84" t="s">
        <v>8</v>
      </c>
      <c r="C63" s="4">
        <f>C56</f>
        <v>0.08</v>
      </c>
      <c r="D63" s="92">
        <f>((NPV($C63,$J$13:$P$13,$R$13+$R$13*(1+$J$50)/($C63-$J$50)))-$J$49+J48)</f>
        <v>291045889320.71881</v>
      </c>
      <c r="E63" s="93"/>
      <c r="F63" s="94">
        <f>((NPV($C63,$J$25:$P$25,$R$25+$R$25*(1+$J$50)/($C63-$J$50)))-$J$49+J48)</f>
        <v>341504052962.60535</v>
      </c>
      <c r="G63" s="93"/>
      <c r="H63" s="95">
        <f>((NPV($C63,$J$38:$P$38,$R$38+$R$38*(1+$J$50)/($C63-$J$50)))-$J$49+J48)</f>
        <v>479689042775.23859</v>
      </c>
      <c r="I63" s="17"/>
      <c r="J63" s="18"/>
      <c r="L63" s="23"/>
      <c r="M63" s="167"/>
      <c r="N63" s="23"/>
      <c r="O63" s="23"/>
      <c r="P63" s="98"/>
      <c r="Q63" s="97"/>
      <c r="R63" s="98"/>
      <c r="S63" s="97"/>
      <c r="T63" s="98"/>
    </row>
    <row r="64" spans="2:30">
      <c r="B64" s="84" t="s">
        <v>28</v>
      </c>
      <c r="C64" s="4">
        <f>C57</f>
        <v>0.11</v>
      </c>
      <c r="D64" s="96">
        <f>((NPV($C64,$J$13:$P$13,$R$13+$R$13*(1+$J$50)/($C64-$J$50)))-$J$49+J48)</f>
        <v>183229347883.41867</v>
      </c>
      <c r="E64" s="97"/>
      <c r="F64" s="98">
        <f>((NPV($C64,$J$25:$P$25,$R$25+$R$25*(1+$J$50)/($C64-$J$50)))-$J$49+J48)</f>
        <v>214678208988.71429</v>
      </c>
      <c r="G64" s="97"/>
      <c r="H64" s="122">
        <f>((NPV($C64,$J$38:$P$38,$R$38+$R$38*(1+$J$50)/($C64-$J$50)))-$J$49+J48)</f>
        <v>305183612136.96704</v>
      </c>
      <c r="I64" s="17"/>
      <c r="J64" s="18"/>
      <c r="L64" s="23"/>
      <c r="M64" s="167"/>
      <c r="N64" s="23"/>
      <c r="O64" s="23"/>
      <c r="P64" s="98"/>
      <c r="Q64" s="97"/>
      <c r="R64" s="226" t="s">
        <v>413</v>
      </c>
      <c r="S64" s="229">
        <v>11444</v>
      </c>
      <c r="T64" s="79">
        <f>S64/$S$67</f>
        <v>0.44282784506442752</v>
      </c>
      <c r="U64">
        <v>5078</v>
      </c>
      <c r="V64" s="79">
        <f>U64/$U$67</f>
        <v>0.34110297575065496</v>
      </c>
      <c r="X64" s="229">
        <v>2529</v>
      </c>
      <c r="Y64" s="79">
        <f>X64/$X$67</f>
        <v>0.19771714486748496</v>
      </c>
      <c r="Z64" s="228"/>
      <c r="AA64" s="227"/>
      <c r="AB64" s="228"/>
      <c r="AD64" s="228"/>
    </row>
    <row r="65" spans="1:30">
      <c r="B65" s="174" t="s">
        <v>407</v>
      </c>
      <c r="C65" s="4">
        <f>C58</f>
        <v>0.15</v>
      </c>
      <c r="D65" s="100">
        <f>((NPV($C65,$J$13:$P$13,$R$13+$R$13*(1+$J$50)/($C65-$J$50)))-$J$49+J48)</f>
        <v>116513685295.71173</v>
      </c>
      <c r="E65" s="101"/>
      <c r="F65" s="102">
        <f>((NPV($C65,$J$25:$P$25,$R$25+$R$25*(1+$J$50)/($C65-$J$50)))-$J$49+J48)</f>
        <v>136509676544.07053</v>
      </c>
      <c r="G65" s="101"/>
      <c r="H65" s="103">
        <f>((NPV($C65,$J$38:$P$38,$R$38+$R$38*(1+$J$50)/($C65-$J$50)))-$J$49+J48)</f>
        <v>197816969007.51068</v>
      </c>
      <c r="I65" s="17"/>
      <c r="J65" s="18"/>
      <c r="L65" s="23"/>
      <c r="M65" s="160"/>
      <c r="N65" s="23"/>
      <c r="O65" s="23"/>
      <c r="P65" s="98"/>
      <c r="Q65" s="97"/>
      <c r="R65" s="226" t="s">
        <v>414</v>
      </c>
      <c r="S65" s="229">
        <v>6798</v>
      </c>
      <c r="T65" s="79">
        <f t="shared" ref="T65:T66" si="0">S65/$S$67</f>
        <v>0.2630499555005224</v>
      </c>
      <c r="U65">
        <v>1551</v>
      </c>
      <c r="V65" s="79">
        <f t="shared" ref="V65:V66" si="1">U65/$U$67</f>
        <v>0.10418485927319138</v>
      </c>
      <c r="X65" s="229">
        <v>3674</v>
      </c>
      <c r="Y65" s="79">
        <f t="shared" ref="Y65:Y66" si="2">X65/$X$67</f>
        <v>0.28723321085137987</v>
      </c>
      <c r="Z65" s="228"/>
      <c r="AA65" s="227"/>
      <c r="AB65" s="228"/>
      <c r="AD65" s="228" t="s">
        <v>415</v>
      </c>
    </row>
    <row r="66" spans="1:30" ht="15.75">
      <c r="E66" s="23"/>
      <c r="F66" s="23"/>
      <c r="G66" s="23"/>
      <c r="H66" s="23"/>
      <c r="I66" s="23"/>
      <c r="J66" s="23"/>
      <c r="L66" s="132"/>
      <c r="M66" s="160"/>
      <c r="N66" s="111"/>
      <c r="O66" s="23"/>
      <c r="P66" s="23"/>
      <c r="Q66" s="23"/>
      <c r="R66" s="226" t="s">
        <v>416</v>
      </c>
      <c r="S66" s="229">
        <v>7601</v>
      </c>
      <c r="T66" s="79">
        <f t="shared" si="0"/>
        <v>0.29412219943505014</v>
      </c>
      <c r="U66">
        <v>8258</v>
      </c>
      <c r="V66" s="79">
        <f t="shared" si="1"/>
        <v>0.55471216497615372</v>
      </c>
      <c r="X66" s="229">
        <v>6588</v>
      </c>
      <c r="Y66" s="79">
        <f t="shared" si="2"/>
        <v>0.5150496442811352</v>
      </c>
      <c r="Z66" s="228"/>
      <c r="AA66" s="227"/>
      <c r="AB66" s="228"/>
      <c r="AD66" s="228"/>
    </row>
    <row r="67" spans="1:30">
      <c r="F67" s="23"/>
      <c r="G67" s="23"/>
      <c r="H67" s="125"/>
      <c r="I67" s="23"/>
      <c r="J67" s="23"/>
      <c r="L67" s="110"/>
      <c r="M67" s="146"/>
      <c r="S67" s="197">
        <f>SUM(S64:S66)</f>
        <v>25843</v>
      </c>
      <c r="U67">
        <f>SUM(U64:U66)</f>
        <v>14887</v>
      </c>
      <c r="X67" s="197">
        <f>SUM(X64:X66)</f>
        <v>12791</v>
      </c>
    </row>
    <row r="68" spans="1:30">
      <c r="F68" s="124" t="s">
        <v>40</v>
      </c>
      <c r="G68" s="23"/>
      <c r="I68" s="23"/>
      <c r="J68" s="23"/>
      <c r="M68" s="146"/>
    </row>
    <row r="69" spans="1:30">
      <c r="A69" s="1" t="str">
        <f>"(1)  Assumes net debt of "&amp;TEXT(J49,"$0.0")&amp;"mm as of 5/16/08."</f>
        <v>(1)  Assumes net debt of $57839000000.0mm as of 5/16/08.</v>
      </c>
      <c r="F69" s="87"/>
      <c r="G69" s="87"/>
      <c r="H69" s="87"/>
      <c r="I69" s="87"/>
      <c r="J69" s="87"/>
      <c r="L69" s="82"/>
      <c r="M69" s="165"/>
      <c r="N69" s="82"/>
    </row>
    <row r="70" spans="1:30">
      <c r="A70" s="1" t="str">
        <f>"(2)  Assumes outstanding diluted shares of "&amp;TEXT(J47,"0.000")&amp;" million."</f>
        <v>(2)  Assumes outstanding diluted shares of 4108688013.500 million.</v>
      </c>
      <c r="C70" s="8"/>
      <c r="D70" s="4"/>
      <c r="E70" s="23"/>
      <c r="F70" s="91"/>
      <c r="G70" s="87"/>
      <c r="H70" s="91"/>
      <c r="I70" s="87"/>
      <c r="J70" s="91"/>
      <c r="M70" s="146"/>
    </row>
    <row r="71" spans="1:30">
      <c r="B71" s="2"/>
      <c r="C71" s="8"/>
      <c r="D71" s="4"/>
      <c r="E71" s="23"/>
      <c r="F71" s="91"/>
      <c r="G71" s="87"/>
      <c r="H71" s="91"/>
      <c r="I71" s="87"/>
      <c r="J71" s="91"/>
      <c r="M71" s="146"/>
    </row>
    <row r="72" spans="1:30">
      <c r="C72" s="8"/>
      <c r="D72" s="4"/>
      <c r="E72" s="23"/>
      <c r="F72" s="91"/>
      <c r="G72" s="87"/>
      <c r="H72" s="91"/>
      <c r="I72" s="87"/>
      <c r="J72" s="91"/>
      <c r="M72" s="146"/>
    </row>
    <row r="73" spans="1:30">
      <c r="C73" s="8"/>
      <c r="D73" s="4"/>
      <c r="E73" s="23"/>
      <c r="F73" s="91"/>
      <c r="G73" s="87"/>
      <c r="H73" s="91"/>
      <c r="I73" s="87"/>
      <c r="J73" s="91"/>
      <c r="M73" s="146"/>
    </row>
    <row r="74" spans="1:30" ht="15.75">
      <c r="B74" s="147"/>
      <c r="C74" s="8"/>
      <c r="D74" s="4"/>
      <c r="E74" s="23"/>
      <c r="F74" s="91"/>
      <c r="G74" s="87"/>
      <c r="H74" s="91"/>
      <c r="I74" s="87"/>
      <c r="J74" s="91"/>
      <c r="M74" s="146"/>
    </row>
    <row r="75" spans="1:30">
      <c r="E75" s="23"/>
      <c r="F75" s="91"/>
      <c r="G75" s="87"/>
      <c r="H75" s="91"/>
      <c r="I75" s="87"/>
      <c r="J75" s="91"/>
      <c r="M75" s="146"/>
    </row>
    <row r="76" spans="1:30" ht="12.75" customHeight="1">
      <c r="E76" s="177"/>
      <c r="F76" s="191"/>
      <c r="G76" s="87"/>
      <c r="H76" s="91"/>
      <c r="I76" s="87"/>
      <c r="J76" s="91"/>
      <c r="M76" s="146"/>
      <c r="P76" s="79"/>
    </row>
    <row r="77" spans="1:30" ht="12.75" customHeight="1">
      <c r="E77" s="205"/>
      <c r="F77" s="160"/>
      <c r="G77" s="23"/>
      <c r="H77" s="23"/>
      <c r="I77" s="23"/>
      <c r="J77" s="23"/>
      <c r="M77" s="146"/>
    </row>
    <row r="78" spans="1:30" ht="12.75" customHeight="1">
      <c r="E78" s="135"/>
      <c r="F78" s="160"/>
      <c r="G78" s="87"/>
      <c r="H78" s="87"/>
      <c r="I78" s="87"/>
      <c r="J78" s="87"/>
      <c r="M78" s="146"/>
    </row>
    <row r="79" spans="1:30" ht="12.75" customHeight="1">
      <c r="F79" s="160"/>
      <c r="G79" s="87"/>
      <c r="H79" s="87"/>
      <c r="I79" s="87"/>
      <c r="J79" s="87"/>
      <c r="M79" s="146"/>
    </row>
    <row r="80" spans="1:30" ht="12.75" customHeight="1">
      <c r="F80" s="160"/>
      <c r="G80" s="87"/>
      <c r="H80" s="87"/>
      <c r="I80" s="87"/>
      <c r="J80" s="87"/>
      <c r="M80" s="146"/>
    </row>
    <row r="81" spans="5:13" ht="12.75" customHeight="1">
      <c r="E81" s="135"/>
      <c r="F81" s="160"/>
      <c r="G81" s="87"/>
      <c r="H81" s="87"/>
      <c r="I81" s="87"/>
      <c r="J81" s="87"/>
      <c r="M81" s="146"/>
    </row>
    <row r="82" spans="5:13" ht="12.75" customHeight="1">
      <c r="F82" s="160"/>
      <c r="G82" s="87"/>
      <c r="H82" s="87"/>
      <c r="I82" s="87"/>
      <c r="J82" s="87"/>
      <c r="M82" s="146"/>
    </row>
    <row r="83" spans="5:13" ht="12.75" customHeight="1">
      <c r="E83" s="135"/>
      <c r="F83" s="160"/>
      <c r="G83" s="87"/>
      <c r="H83" s="87"/>
      <c r="I83" s="87"/>
      <c r="J83" s="87"/>
      <c r="M83" s="146"/>
    </row>
    <row r="84" spans="5:13" ht="12.75" customHeight="1">
      <c r="F84" s="160"/>
      <c r="G84" s="87"/>
      <c r="H84" s="87"/>
      <c r="I84" s="87"/>
      <c r="J84" s="87"/>
      <c r="M84" s="146"/>
    </row>
    <row r="85" spans="5:13" ht="12.75" customHeight="1">
      <c r="F85" s="160"/>
      <c r="G85" s="87"/>
      <c r="H85" s="87"/>
      <c r="I85" s="87"/>
      <c r="J85" s="87"/>
      <c r="M85" s="146"/>
    </row>
    <row r="86" spans="5:13" ht="12.75" customHeight="1">
      <c r="E86" s="23"/>
      <c r="F86" s="141"/>
      <c r="G86" s="97"/>
      <c r="H86" s="98"/>
      <c r="I86" s="97"/>
      <c r="J86" s="98"/>
      <c r="M86" s="146"/>
    </row>
    <row r="87" spans="5:13" ht="12.75" customHeight="1">
      <c r="E87" s="23"/>
      <c r="F87" s="141"/>
      <c r="G87" s="97"/>
      <c r="H87" s="98"/>
      <c r="I87" s="97"/>
      <c r="J87" s="98"/>
      <c r="M87" s="146"/>
    </row>
    <row r="88" spans="5:13" ht="12.75" customHeight="1">
      <c r="E88" s="23"/>
      <c r="F88" s="141"/>
      <c r="G88" s="97"/>
      <c r="H88" s="98"/>
      <c r="I88" s="97"/>
      <c r="J88" s="98"/>
      <c r="M88" s="146"/>
    </row>
    <row r="89" spans="5:13" ht="12.75" customHeight="1">
      <c r="F89" s="142"/>
      <c r="J89" s="142"/>
      <c r="M89" s="146"/>
    </row>
    <row r="90" spans="5:13" ht="12.75" customHeight="1">
      <c r="F90" s="146"/>
      <c r="J90" s="142"/>
      <c r="M90" s="146"/>
    </row>
    <row r="91" spans="5:13" ht="12.75" customHeight="1">
      <c r="F91" s="146"/>
      <c r="J91" s="146"/>
      <c r="M91" s="146"/>
    </row>
    <row r="92" spans="5:13" ht="12.75" customHeight="1">
      <c r="F92" s="146"/>
      <c r="J92" s="146"/>
      <c r="M92" s="146"/>
    </row>
    <row r="93" spans="5:13" ht="12.75" customHeight="1">
      <c r="F93" s="146"/>
      <c r="J93" s="146"/>
      <c r="M93" s="146"/>
    </row>
    <row r="94" spans="5:13" ht="12.75" customHeight="1">
      <c r="F94" s="146"/>
      <c r="J94" s="146"/>
    </row>
    <row r="95" spans="5:13" ht="12.75" customHeight="1">
      <c r="F95" s="146"/>
      <c r="J95" s="146"/>
    </row>
    <row r="96" spans="5:13">
      <c r="F96" s="146"/>
    </row>
    <row r="97" spans="6:6">
      <c r="F97" s="146"/>
    </row>
    <row r="98" spans="6:6">
      <c r="F98" s="146"/>
    </row>
    <row r="99" spans="6:6">
      <c r="F99" s="146"/>
    </row>
    <row r="100" spans="6:6">
      <c r="F100" s="146"/>
    </row>
    <row r="101" spans="6:6">
      <c r="F101" s="146"/>
    </row>
    <row r="102" spans="6:6">
      <c r="F102" s="146"/>
    </row>
    <row r="103" spans="6:6">
      <c r="F103" s="146"/>
    </row>
    <row r="104" spans="6:6">
      <c r="F104" s="146"/>
    </row>
    <row r="105" spans="6:6">
      <c r="F105" s="146"/>
    </row>
    <row r="106" spans="6:6">
      <c r="F106" s="146"/>
    </row>
    <row r="107" spans="6:6">
      <c r="F107" s="146"/>
    </row>
    <row r="108" spans="6:6">
      <c r="F108" s="146"/>
    </row>
    <row r="109" spans="6:6">
      <c r="F109" s="146"/>
    </row>
    <row r="110" spans="6:6">
      <c r="F110" s="146"/>
    </row>
    <row r="111" spans="6:6">
      <c r="F111" s="146"/>
    </row>
    <row r="112" spans="6:6">
      <c r="F112" s="146"/>
    </row>
    <row r="113" spans="2:6">
      <c r="F113" s="146"/>
    </row>
    <row r="114" spans="2:6">
      <c r="F114" s="146"/>
    </row>
    <row r="115" spans="2:6">
      <c r="F115" s="146"/>
    </row>
    <row r="122" spans="2:6">
      <c r="B122" s="182"/>
    </row>
  </sheetData>
  <mergeCells count="1">
    <mergeCell ref="H46:J46"/>
  </mergeCells>
  <conditionalFormatting sqref="B6:T13">
    <cfRule type="expression" dxfId="179" priority="6">
      <formula>MOD(ROW(),2)=0</formula>
    </cfRule>
  </conditionalFormatting>
  <conditionalFormatting sqref="B18:T25">
    <cfRule type="expression" dxfId="178" priority="5">
      <formula>MOD(ROW(),2)=0</formula>
    </cfRule>
  </conditionalFormatting>
  <conditionalFormatting sqref="B31:T39">
    <cfRule type="expression" dxfId="177" priority="4">
      <formula>MOD(ROW(),2)=0</formula>
    </cfRule>
  </conditionalFormatting>
  <conditionalFormatting sqref="D56:H58">
    <cfRule type="expression" dxfId="176" priority="3">
      <formula>MOD(ROW(),2)=0</formula>
    </cfRule>
  </conditionalFormatting>
  <conditionalFormatting sqref="D63:H65">
    <cfRule type="expression" dxfId="175" priority="2">
      <formula>MOD(ROW(),2)=0</formula>
    </cfRule>
  </conditionalFormatting>
  <conditionalFormatting sqref="C47:E51">
    <cfRule type="expression" dxfId="174" priority="1">
      <formula>MOD(ROW(),2)=0</formula>
    </cfRule>
  </conditionalFormatting>
  <pageMargins left="0.75" right="0.75" top="1" bottom="1" header="0.5" footer="0.5"/>
  <pageSetup paperSize="119"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122"/>
  <sheetViews>
    <sheetView showGridLines="0" topLeftCell="A53" zoomScaleNormal="100" workbookViewId="0">
      <selection activeCell="K63" sqref="K63"/>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 bestFit="1"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2019</v>
      </c>
      <c r="J4" s="27">
        <f>H4+1</f>
        <v>2020</v>
      </c>
      <c r="K4" s="20"/>
      <c r="L4" s="27">
        <f>J4+1</f>
        <v>2021</v>
      </c>
      <c r="M4" s="20"/>
      <c r="N4" s="60">
        <f>L4+1</f>
        <v>2022</v>
      </c>
      <c r="O4" s="21"/>
      <c r="P4" s="60">
        <f>N4+1</f>
        <v>2023</v>
      </c>
      <c r="Q4" s="21"/>
      <c r="R4" s="60">
        <f>P4+1</f>
        <v>2024</v>
      </c>
      <c r="T4" s="28" t="s">
        <v>33</v>
      </c>
    </row>
    <row r="5" spans="1:24" ht="5.0999999999999996" customHeight="1"/>
    <row r="6" spans="1:24">
      <c r="B6" t="s">
        <v>26</v>
      </c>
      <c r="H6" s="75">
        <v>165000000</v>
      </c>
      <c r="J6" s="75">
        <f>H6*C47</f>
        <v>181500000</v>
      </c>
      <c r="K6" s="121"/>
      <c r="L6" s="75">
        <f>J6*C48</f>
        <v>199650000.00000003</v>
      </c>
      <c r="M6" s="121"/>
      <c r="N6" s="75">
        <f>L6*C49</f>
        <v>219615000.00000006</v>
      </c>
      <c r="O6" s="75"/>
      <c r="P6" s="75">
        <f>N6*C50</f>
        <v>241576500.00000009</v>
      </c>
      <c r="Q6" s="75"/>
      <c r="R6" s="75">
        <f>P6*C51</f>
        <v>265734150.00000012</v>
      </c>
      <c r="T6" s="4">
        <f>(R6/J6)^(1/4)-1</f>
        <v>0.10000000000000009</v>
      </c>
    </row>
    <row r="7" spans="1:24">
      <c r="B7" s="23" t="s">
        <v>22</v>
      </c>
      <c r="H7" s="71">
        <v>0</v>
      </c>
      <c r="J7" s="71">
        <v>0</v>
      </c>
      <c r="L7" s="71">
        <v>0</v>
      </c>
      <c r="N7" s="71">
        <v>0</v>
      </c>
      <c r="P7" s="71">
        <v>0</v>
      </c>
      <c r="R7" s="71">
        <v>0</v>
      </c>
      <c r="T7" s="4"/>
    </row>
    <row r="8" spans="1:24">
      <c r="B8" t="s">
        <v>27</v>
      </c>
      <c r="H8" s="115">
        <f>H6+H7</f>
        <v>165000000</v>
      </c>
      <c r="I8" s="73"/>
      <c r="J8" s="115">
        <f>J6+J7</f>
        <v>181500000</v>
      </c>
      <c r="K8" s="116"/>
      <c r="L8" s="115">
        <f>L6+L7</f>
        <v>199650000.00000003</v>
      </c>
      <c r="M8" s="116"/>
      <c r="N8" s="115">
        <f>N6+N7</f>
        <v>219615000.00000006</v>
      </c>
      <c r="O8" s="116"/>
      <c r="P8" s="115">
        <f>P6+P7</f>
        <v>241576500.00000009</v>
      </c>
      <c r="Q8" s="116"/>
      <c r="R8" s="115">
        <f>R6+R7</f>
        <v>265734150.00000012</v>
      </c>
      <c r="T8" s="4">
        <f>(R8/J8)^(1/4)-1</f>
        <v>0.10000000000000009</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165000000</v>
      </c>
      <c r="J10" s="118">
        <f>SUM(J8:J9)</f>
        <v>181500000</v>
      </c>
      <c r="K10" s="119"/>
      <c r="L10" s="118">
        <f>SUM(L8:L9)</f>
        <v>199650000.00000003</v>
      </c>
      <c r="M10" s="119"/>
      <c r="N10" s="118">
        <f>SUM(N8:N9)</f>
        <v>219615000.00000006</v>
      </c>
      <c r="O10" s="119"/>
      <c r="P10" s="118">
        <f>SUM(P8:P9)</f>
        <v>241576500.00000009</v>
      </c>
      <c r="Q10" s="119"/>
      <c r="R10" s="118">
        <f>SUM(R8:R9)</f>
        <v>265734150.00000012</v>
      </c>
      <c r="T10" s="4">
        <f>(R10/J10)^(1/4)-1</f>
        <v>0.10000000000000009</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-225000000</v>
      </c>
      <c r="I12" s="112"/>
      <c r="J12" s="112">
        <f>H12</f>
        <v>-225000000</v>
      </c>
      <c r="K12" s="112"/>
      <c r="L12" s="112">
        <f>J12</f>
        <v>-225000000</v>
      </c>
      <c r="M12" s="112"/>
      <c r="N12" s="112">
        <f>J12</f>
        <v>-225000000</v>
      </c>
      <c r="O12" s="112"/>
      <c r="P12" s="112">
        <f>N12</f>
        <v>-225000000</v>
      </c>
      <c r="Q12" s="112"/>
      <c r="R12" s="112">
        <f>P12</f>
        <v>-225000000</v>
      </c>
      <c r="X12" s="81"/>
    </row>
    <row r="13" spans="1:24">
      <c r="B13" s="2" t="s">
        <v>19</v>
      </c>
      <c r="H13" s="120">
        <f>SUM(H10:H12)</f>
        <v>-60000000</v>
      </c>
      <c r="J13" s="120">
        <f>SUM(J10:J12)</f>
        <v>-43500000</v>
      </c>
      <c r="K13" s="114"/>
      <c r="L13" s="120">
        <f>SUM(L10:L12)</f>
        <v>-25349999.99999997</v>
      </c>
      <c r="M13" s="114"/>
      <c r="N13" s="120">
        <f>SUM(N10:N12)</f>
        <v>-5384999.9999999404</v>
      </c>
      <c r="O13" s="114"/>
      <c r="P13" s="120">
        <f>SUM(P10:P12)</f>
        <v>16576500.000000089</v>
      </c>
      <c r="Q13" s="114"/>
      <c r="R13" s="120">
        <f>SUM(R10:R12)</f>
        <v>40734150.000000119</v>
      </c>
      <c r="T13" s="4" t="e">
        <f>(R13/J13)^(1/4)-1</f>
        <v>#NUM!</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2019</v>
      </c>
      <c r="J16" s="27">
        <f>H16+1</f>
        <v>2020</v>
      </c>
      <c r="K16" s="20"/>
      <c r="L16" s="27">
        <f>J16+1</f>
        <v>2021</v>
      </c>
      <c r="M16" s="20"/>
      <c r="N16" s="60">
        <f>L16+1</f>
        <v>2022</v>
      </c>
      <c r="O16" s="21"/>
      <c r="P16" s="60">
        <f>N16+1</f>
        <v>2023</v>
      </c>
      <c r="Q16" s="21"/>
      <c r="R16" s="60">
        <f>P16+1</f>
        <v>2024</v>
      </c>
      <c r="T16" s="28" t="s">
        <v>33</v>
      </c>
    </row>
    <row r="18" spans="1:20">
      <c r="B18" t="s">
        <v>26</v>
      </c>
      <c r="H18" s="75">
        <f>H6</f>
        <v>165000000</v>
      </c>
      <c r="J18" s="75">
        <f>H18*D47</f>
        <v>198000000</v>
      </c>
      <c r="K18" s="121"/>
      <c r="L18" s="75">
        <f>J18*D48</f>
        <v>237600000</v>
      </c>
      <c r="M18" s="121"/>
      <c r="N18" s="75">
        <f>L18*D49</f>
        <v>285120000</v>
      </c>
      <c r="O18" s="75"/>
      <c r="P18" s="75">
        <f>N18*D50</f>
        <v>342144000</v>
      </c>
      <c r="Q18" s="75"/>
      <c r="R18" s="75">
        <f>P18*D51</f>
        <v>410572800</v>
      </c>
      <c r="T18" s="4">
        <f>(R18/J18)^(1/4)-1</f>
        <v>0.19999999999999996</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165000000</v>
      </c>
      <c r="I20" s="116"/>
      <c r="J20" s="115">
        <f>J18+J19</f>
        <v>198000000</v>
      </c>
      <c r="K20" s="116"/>
      <c r="L20" s="115">
        <f>L18+L19</f>
        <v>237600000</v>
      </c>
      <c r="M20" s="116"/>
      <c r="N20" s="115">
        <f>N18+N19</f>
        <v>285120000</v>
      </c>
      <c r="O20" s="116"/>
      <c r="P20" s="115">
        <f>P18+P19</f>
        <v>342144000</v>
      </c>
      <c r="Q20" s="116"/>
      <c r="R20" s="115">
        <f>R18+R19</f>
        <v>410572800</v>
      </c>
      <c r="T20" s="4">
        <f>(R20/J20)^(1/4)-1</f>
        <v>0.19999999999999996</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165000000</v>
      </c>
      <c r="I22" s="119"/>
      <c r="J22" s="118">
        <f>SUM(J20:J21)</f>
        <v>198000000</v>
      </c>
      <c r="K22" s="119"/>
      <c r="L22" s="118">
        <f>SUM(L20:L21)</f>
        <v>237600000</v>
      </c>
      <c r="M22" s="119"/>
      <c r="N22" s="118">
        <f>SUM(N20:N21)</f>
        <v>285120000</v>
      </c>
      <c r="O22" s="119"/>
      <c r="P22" s="118">
        <f>SUM(P20:P21)</f>
        <v>342144000</v>
      </c>
      <c r="Q22" s="119"/>
      <c r="R22" s="118">
        <f>SUM(R20:R21)</f>
        <v>410572800</v>
      </c>
      <c r="S22" s="2"/>
      <c r="T22" s="4">
        <f>(R22/J22)^(1/4)-1</f>
        <v>0.19999999999999996</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-225000000</v>
      </c>
      <c r="I24" s="112"/>
      <c r="J24" s="112">
        <f>J12</f>
        <v>-225000000</v>
      </c>
      <c r="K24" s="112"/>
      <c r="L24" s="112">
        <f>L12</f>
        <v>-225000000</v>
      </c>
      <c r="M24" s="112"/>
      <c r="N24" s="112">
        <f>N12</f>
        <v>-225000000</v>
      </c>
      <c r="O24" s="112"/>
      <c r="P24" s="112">
        <f>P12</f>
        <v>-225000000</v>
      </c>
      <c r="Q24" s="112"/>
      <c r="R24" s="112">
        <f>R12</f>
        <v>-225000000</v>
      </c>
    </row>
    <row r="25" spans="1:20">
      <c r="B25" s="2" t="s">
        <v>19</v>
      </c>
      <c r="H25" s="120">
        <f>SUM(H22:H24)</f>
        <v>-60000000</v>
      </c>
      <c r="I25" s="114"/>
      <c r="J25" s="120">
        <f>SUM(J22:J24)</f>
        <v>-27000000</v>
      </c>
      <c r="K25" s="114"/>
      <c r="L25" s="120">
        <f>SUM(L22:L24)</f>
        <v>12600000</v>
      </c>
      <c r="M25" s="114"/>
      <c r="N25" s="120">
        <f>SUM(N22:N24)</f>
        <v>60120000</v>
      </c>
      <c r="O25" s="114"/>
      <c r="P25" s="120">
        <f>SUM(P22:P24)</f>
        <v>117144000</v>
      </c>
      <c r="Q25" s="114"/>
      <c r="R25" s="120">
        <f>SUM(R22:R24)</f>
        <v>185572800</v>
      </c>
      <c r="T25" s="4" t="e">
        <f>(R25/J25)^(1/4)-1</f>
        <v>#NUM!</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2019</v>
      </c>
      <c r="J29" s="27">
        <f>H29+1</f>
        <v>2020</v>
      </c>
      <c r="K29" s="20"/>
      <c r="L29" s="27">
        <f>J29+1</f>
        <v>2021</v>
      </c>
      <c r="M29" s="20"/>
      <c r="N29" s="60">
        <f>L29+1</f>
        <v>2022</v>
      </c>
      <c r="O29" s="21"/>
      <c r="P29" s="60">
        <f>N29+1</f>
        <v>2023</v>
      </c>
      <c r="Q29" s="21"/>
      <c r="R29" s="60">
        <f>P29+1</f>
        <v>2024</v>
      </c>
      <c r="T29" s="28" t="s">
        <v>33</v>
      </c>
    </row>
    <row r="31" spans="1:20">
      <c r="B31" t="s">
        <v>26</v>
      </c>
      <c r="H31" s="75">
        <f>H6</f>
        <v>165000000</v>
      </c>
      <c r="J31" s="75">
        <f>H31*E47</f>
        <v>214500000</v>
      </c>
      <c r="K31" s="121"/>
      <c r="L31" s="75">
        <f>J31*E48</f>
        <v>278850000</v>
      </c>
      <c r="M31" s="121"/>
      <c r="N31" s="75">
        <f>L31*E49</f>
        <v>362505000</v>
      </c>
      <c r="O31" s="75"/>
      <c r="P31" s="75">
        <f>N31*E50</f>
        <v>471256500</v>
      </c>
      <c r="Q31" s="75"/>
      <c r="R31" s="75">
        <f>P31*E51</f>
        <v>612633450</v>
      </c>
      <c r="T31" s="4">
        <f>(R31/J31)^(1/4)-1</f>
        <v>0.30000000000000004</v>
      </c>
    </row>
    <row r="32" spans="1:20">
      <c r="B32" s="23" t="s">
        <v>22</v>
      </c>
      <c r="H32" s="71">
        <f>H7</f>
        <v>0</v>
      </c>
      <c r="J32" s="71">
        <f>J7</f>
        <v>0</v>
      </c>
      <c r="L32" s="71">
        <f>L7</f>
        <v>0</v>
      </c>
      <c r="N32" s="71">
        <f>N7</f>
        <v>0</v>
      </c>
      <c r="P32" s="71">
        <f>P7</f>
        <v>0</v>
      </c>
      <c r="R32" s="71">
        <f>R7</f>
        <v>0</v>
      </c>
      <c r="T32" s="4"/>
    </row>
    <row r="33" spans="1:24">
      <c r="B33" t="s">
        <v>27</v>
      </c>
      <c r="H33" s="115">
        <f>H31+H32</f>
        <v>165000000</v>
      </c>
      <c r="I33" s="116"/>
      <c r="J33" s="115">
        <f>J31+J32</f>
        <v>214500000</v>
      </c>
      <c r="K33" s="116"/>
      <c r="L33" s="115">
        <f>L31+L32</f>
        <v>278850000</v>
      </c>
      <c r="M33" s="116"/>
      <c r="N33" s="115">
        <f>N31+N32</f>
        <v>362505000</v>
      </c>
      <c r="O33" s="116"/>
      <c r="P33" s="115">
        <f>P31+P32</f>
        <v>471256500</v>
      </c>
      <c r="Q33" s="116"/>
      <c r="R33" s="115">
        <f>R31+R32</f>
        <v>612633450</v>
      </c>
      <c r="T33" s="4">
        <f>(R33/J33)^(1/4)-1</f>
        <v>0.30000000000000004</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165000000</v>
      </c>
      <c r="I35" s="119"/>
      <c r="J35" s="118">
        <f>SUM(J33:J34)</f>
        <v>214500000</v>
      </c>
      <c r="K35" s="119"/>
      <c r="L35" s="118">
        <f>SUM(L33:L34)</f>
        <v>278850000</v>
      </c>
      <c r="M35" s="119"/>
      <c r="N35" s="118">
        <f>SUM(N33:N34)</f>
        <v>362505000</v>
      </c>
      <c r="O35" s="119"/>
      <c r="P35" s="118">
        <f>SUM(P33:P34)</f>
        <v>471256500</v>
      </c>
      <c r="Q35" s="119"/>
      <c r="R35" s="118">
        <f>SUM(R33:R34)</f>
        <v>612633450</v>
      </c>
      <c r="S35" s="2"/>
      <c r="T35" s="4">
        <f>(R35/J35)^(1/4)-1</f>
        <v>0.30000000000000004</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-225000000</v>
      </c>
      <c r="I37" s="112"/>
      <c r="J37" s="112">
        <f>J12</f>
        <v>-225000000</v>
      </c>
      <c r="K37" s="112"/>
      <c r="L37" s="112">
        <f>L12</f>
        <v>-225000000</v>
      </c>
      <c r="M37" s="112"/>
      <c r="N37" s="112">
        <f>N12</f>
        <v>-225000000</v>
      </c>
      <c r="O37" s="112"/>
      <c r="P37" s="112">
        <f>P12</f>
        <v>-225000000</v>
      </c>
      <c r="Q37" s="112"/>
      <c r="R37" s="112">
        <f>R12</f>
        <v>-225000000</v>
      </c>
    </row>
    <row r="38" spans="1:24">
      <c r="B38" s="2" t="s">
        <v>19</v>
      </c>
      <c r="H38" s="120">
        <f>SUM(H35:H37)</f>
        <v>-60000000</v>
      </c>
      <c r="I38" s="153"/>
      <c r="J38" s="120">
        <f>SUM(J35:J37)</f>
        <v>-10500000</v>
      </c>
      <c r="K38" s="114"/>
      <c r="L38" s="120">
        <f>SUM(L35:L37)</f>
        <v>53850000</v>
      </c>
      <c r="M38" s="114"/>
      <c r="N38" s="120">
        <f>SUM(N35:N37)</f>
        <v>137505000</v>
      </c>
      <c r="O38" s="114"/>
      <c r="P38" s="120">
        <f>SUM(P35:P37)</f>
        <v>246256500</v>
      </c>
      <c r="Q38" s="114"/>
      <c r="R38" s="120">
        <f>SUM(R35:R37)</f>
        <v>387633450</v>
      </c>
      <c r="T38" s="4" t="e">
        <f>(R38/J38)^(1/4)-1</f>
        <v>#NUM!</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188</v>
      </c>
      <c r="H46" s="294" t="s">
        <v>181</v>
      </c>
      <c r="I46" s="294"/>
      <c r="J46" s="294"/>
      <c r="M46" s="2" t="s">
        <v>57</v>
      </c>
      <c r="P46" s="2"/>
      <c r="X46" s="127"/>
    </row>
    <row r="47" spans="1:24">
      <c r="B47" s="90">
        <v>2020</v>
      </c>
      <c r="C47" s="88">
        <v>1.1000000000000001</v>
      </c>
      <c r="D47" s="88">
        <v>1.2</v>
      </c>
      <c r="E47" s="88">
        <v>1.3</v>
      </c>
      <c r="H47" s="156" t="s">
        <v>15</v>
      </c>
      <c r="I47" s="156"/>
      <c r="J47" s="161">
        <f>M63</f>
        <v>120061925</v>
      </c>
      <c r="M47" t="s">
        <v>55</v>
      </c>
      <c r="P47" s="2"/>
      <c r="X47" s="127"/>
    </row>
    <row r="48" spans="1:24">
      <c r="B48" s="90">
        <f>B47+1</f>
        <v>2021</v>
      </c>
      <c r="C48" s="88">
        <v>1.1000000000000001</v>
      </c>
      <c r="D48" s="88">
        <v>1.2</v>
      </c>
      <c r="E48" s="88">
        <v>1.3</v>
      </c>
      <c r="H48" s="156" t="s">
        <v>99</v>
      </c>
      <c r="I48" s="156"/>
      <c r="J48" s="157">
        <v>241000000</v>
      </c>
      <c r="L48" s="163"/>
      <c r="M48" t="s">
        <v>56</v>
      </c>
      <c r="P48" s="2"/>
      <c r="X48" s="127"/>
    </row>
    <row r="49" spans="2:24">
      <c r="B49" s="90">
        <f>B48+1</f>
        <v>2022</v>
      </c>
      <c r="C49" s="88">
        <v>1.1000000000000001</v>
      </c>
      <c r="D49" s="88">
        <v>1.2</v>
      </c>
      <c r="E49" s="88">
        <v>1.3</v>
      </c>
      <c r="H49" s="156" t="s">
        <v>14</v>
      </c>
      <c r="I49" s="156"/>
      <c r="J49" s="157">
        <v>450000000</v>
      </c>
      <c r="M49" t="s">
        <v>58</v>
      </c>
      <c r="P49" s="2"/>
      <c r="X49" s="127"/>
    </row>
    <row r="50" spans="2:24">
      <c r="B50" s="90">
        <f>B49+1</f>
        <v>2023</v>
      </c>
      <c r="C50" s="88">
        <v>1.1000000000000001</v>
      </c>
      <c r="D50" s="88">
        <v>1.2</v>
      </c>
      <c r="E50" s="88">
        <v>1.3</v>
      </c>
      <c r="H50" s="155" t="s">
        <v>16</v>
      </c>
      <c r="I50" s="156"/>
      <c r="J50" s="158">
        <v>0.02</v>
      </c>
      <c r="M50" t="s">
        <v>59</v>
      </c>
      <c r="P50" s="2"/>
      <c r="X50" s="127"/>
    </row>
    <row r="51" spans="2:24">
      <c r="B51" s="90">
        <f>B50+1</f>
        <v>2024</v>
      </c>
      <c r="C51" s="88">
        <v>1.1000000000000001</v>
      </c>
      <c r="D51" s="88">
        <v>1.2</v>
      </c>
      <c r="E51" s="88">
        <v>1.3</v>
      </c>
      <c r="H51" s="156" t="s">
        <v>2</v>
      </c>
      <c r="I51" s="156"/>
      <c r="J51" s="158">
        <v>0</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M54" t="s">
        <v>63</v>
      </c>
      <c r="Q54" s="104"/>
      <c r="R54" s="104"/>
      <c r="S54" s="104"/>
      <c r="T54" s="104"/>
    </row>
    <row r="55" spans="2:24">
      <c r="D55" s="85" t="s">
        <v>29</v>
      </c>
      <c r="E55" s="85"/>
      <c r="F55" s="166" t="s">
        <v>31</v>
      </c>
      <c r="G55" s="85"/>
      <c r="H55" s="85" t="s">
        <v>188</v>
      </c>
      <c r="I55" s="108"/>
      <c r="M55" s="135" t="s">
        <v>176</v>
      </c>
      <c r="Q55" s="87"/>
      <c r="R55" s="87"/>
      <c r="S55" s="87"/>
      <c r="T55" s="87"/>
    </row>
    <row r="56" spans="2:24">
      <c r="B56" s="84" t="s">
        <v>8</v>
      </c>
      <c r="C56" s="4">
        <v>0.08</v>
      </c>
      <c r="D56" s="92">
        <f>((NPV($C56,$J$13:$P$13,$R$13+$R$13*(1+$J$50)/($C56-$J$50)))-$J$49+J48)/$J$47</f>
        <v>1.9649170501197986</v>
      </c>
      <c r="E56" s="93"/>
      <c r="F56" s="94">
        <f>((NPV($C56,$J$25:$P$25,$R$25+$R$25*(1+$J$50)/($C56-$J$50)))-$J$49+J48)/$J$47</f>
        <v>18.190539021084469</v>
      </c>
      <c r="G56" s="93"/>
      <c r="H56" s="123">
        <f>((NPV($C56,$J$38:$P$38,$R$38+$R$38*(1+$J$50)/($C56-$J$50)))-$J$49+J48)/$J$47</f>
        <v>40.531666327236543</v>
      </c>
      <c r="I56" s="10"/>
      <c r="J56" s="11"/>
      <c r="M56" s="135" t="s">
        <v>186</v>
      </c>
      <c r="Q56" s="87"/>
      <c r="R56" s="91"/>
      <c r="S56" s="87"/>
      <c r="T56" s="91"/>
    </row>
    <row r="57" spans="2:24">
      <c r="B57" s="84" t="s">
        <v>28</v>
      </c>
      <c r="C57" s="4">
        <v>0.11</v>
      </c>
      <c r="D57" s="96">
        <f>((NPV($C57,$J$13:$P$13,$R$13+$R$13*(1+$J$50)/($C57-$J$50)))-$J$49+J48)/$J$47</f>
        <v>0.30285127708612025</v>
      </c>
      <c r="E57" s="97"/>
      <c r="F57" s="98">
        <f>((NPV($C57,$J$25:$P$25,$R$25+$R$25*(1+$J$50)/($C57-$J$50)))-$J$49+J48)/$J$47</f>
        <v>10.463586150419163</v>
      </c>
      <c r="G57" s="97"/>
      <c r="H57" s="99">
        <f>((NPV($C57,$J$38:$P$38,$R$38+$R$38*(1+$J$50)/($C57-$J$50)))-$J$49+J48)/$J$47</f>
        <v>24.363970680859754</v>
      </c>
      <c r="I57" s="44"/>
      <c r="J57" s="43"/>
      <c r="Q57" s="87"/>
      <c r="R57" s="91"/>
      <c r="S57" s="87"/>
      <c r="T57" s="91"/>
    </row>
    <row r="58" spans="2:24">
      <c r="B58" s="8" t="s">
        <v>407</v>
      </c>
      <c r="C58" s="4">
        <v>0.15</v>
      </c>
      <c r="D58" s="100">
        <f>((NPV($C58,$J$13:$P$13,$R$13+$R$13*(1+$J$50)/($C58-$J$50)))-$J$49+J48)/$J$47</f>
        <v>-0.67385596299194195</v>
      </c>
      <c r="E58" s="101"/>
      <c r="F58" s="102">
        <f>((NPV($C58,$J$25:$P$25,$R$25+$R$25*(1+$J$50)/($C58-$J$50)))-$J$49+J48)/$J$47</f>
        <v>5.8280305741710769</v>
      </c>
      <c r="G58" s="101"/>
      <c r="H58" s="103">
        <f>((NPV($C58,$J$38:$P$38,$R$38+$R$38*(1+$J$50)/($C58-$J$50)))-$J$49+J48)/$J$47</f>
        <v>14.647849708544426</v>
      </c>
      <c r="I58" s="44"/>
      <c r="J58" s="43"/>
      <c r="L58" t="s">
        <v>196</v>
      </c>
      <c r="M58" s="178">
        <v>43784</v>
      </c>
      <c r="Q58" s="87"/>
      <c r="R58" s="91"/>
      <c r="S58" s="87"/>
      <c r="T58" s="91"/>
    </row>
    <row r="59" spans="2:24">
      <c r="C59" s="4"/>
      <c r="D59" s="23"/>
      <c r="I59" s="23"/>
      <c r="J59" s="136"/>
      <c r="L59" t="s">
        <v>187</v>
      </c>
      <c r="M59" t="s">
        <v>401</v>
      </c>
      <c r="Q59" s="23"/>
      <c r="R59" s="23"/>
      <c r="S59" s="23"/>
      <c r="T59" s="23"/>
    </row>
    <row r="60" spans="2:24">
      <c r="D60" s="2"/>
      <c r="M60" s="140">
        <v>33226666</v>
      </c>
      <c r="N60" s="23" t="s">
        <v>402</v>
      </c>
      <c r="O60" s="23"/>
      <c r="P60" s="107"/>
      <c r="Q60" s="23"/>
      <c r="R60" s="190">
        <f>M60/J47</f>
        <v>0.27674607082969893</v>
      </c>
      <c r="S60" s="23"/>
      <c r="T60" s="23" t="s">
        <v>403</v>
      </c>
    </row>
    <row r="61" spans="2:24">
      <c r="D61" s="30"/>
      <c r="E61" s="30"/>
      <c r="F61" s="109" t="s">
        <v>6</v>
      </c>
      <c r="G61" s="30"/>
      <c r="H61" s="30"/>
      <c r="I61" s="104"/>
      <c r="J61" s="137"/>
      <c r="L61" s="23"/>
      <c r="M61" s="135" t="s">
        <v>404</v>
      </c>
      <c r="N61" s="128"/>
      <c r="O61" s="23"/>
      <c r="P61" s="104"/>
      <c r="Q61" s="104"/>
      <c r="R61" s="104"/>
      <c r="S61" s="104"/>
      <c r="T61" s="104"/>
    </row>
    <row r="62" spans="2:24">
      <c r="D62" s="85" t="s">
        <v>29</v>
      </c>
      <c r="E62" s="85"/>
      <c r="F62" s="166" t="s">
        <v>31</v>
      </c>
      <c r="G62" s="85"/>
      <c r="H62" s="85" t="s">
        <v>188</v>
      </c>
      <c r="I62" s="62"/>
      <c r="J62" s="61"/>
      <c r="L62" s="23"/>
      <c r="M62" s="135" t="s">
        <v>405</v>
      </c>
      <c r="N62" s="135" t="s">
        <v>406</v>
      </c>
      <c r="O62" s="23"/>
      <c r="P62" s="87"/>
      <c r="Q62" s="87"/>
      <c r="R62" s="87"/>
      <c r="S62" s="87"/>
      <c r="T62" s="87"/>
    </row>
    <row r="63" spans="2:24">
      <c r="B63" s="84" t="s">
        <v>8</v>
      </c>
      <c r="C63" s="4">
        <f>C56</f>
        <v>0.08</v>
      </c>
      <c r="D63" s="92">
        <f>((NPV($C63,$J$13:$P$13,$R$13+$R$13*(1+$J$50)/($C63-$J$50)))-$J$49+J48)</f>
        <v>235911723.5027045</v>
      </c>
      <c r="E63" s="93"/>
      <c r="F63" s="94">
        <f>((NPV($C63,$J$25:$P$25,$R$25+$R$25*(1+$J$50)/($C63-$J$50)))-$J$49+J48)</f>
        <v>2183991131.6590171</v>
      </c>
      <c r="G63" s="93"/>
      <c r="H63" s="95">
        <f>((NPV($C63,$J$38:$P$38,$R$38+$R$38*(1+$J$50)/($C63-$J$50)))-$J$49+J48)</f>
        <v>4866309882.705699</v>
      </c>
      <c r="I63" s="17"/>
      <c r="J63" s="18"/>
      <c r="L63" s="23"/>
      <c r="M63" s="140">
        <f>N63+M60</f>
        <v>120061925</v>
      </c>
      <c r="N63" s="221">
        <v>86835259</v>
      </c>
      <c r="O63" s="23"/>
      <c r="P63" s="98"/>
      <c r="Q63" s="97"/>
      <c r="R63" s="98"/>
      <c r="S63" s="97"/>
      <c r="T63" s="98"/>
    </row>
    <row r="64" spans="2:24">
      <c r="B64" s="84" t="s">
        <v>28</v>
      </c>
      <c r="C64" s="4">
        <f>C57</f>
        <v>0.11</v>
      </c>
      <c r="D64" s="96">
        <f>((NPV($C64,$J$13:$P$13,$R$13+$R$13*(1+$J$50)/($C64-$J$50)))-$J$49+J48)</f>
        <v>36360907.315667987</v>
      </c>
      <c r="E64" s="97"/>
      <c r="F64" s="98">
        <f>((NPV($C64,$J$25:$P$25,$R$25+$R$25*(1+$J$50)/($C64-$J$50)))-$J$49+J48)</f>
        <v>1256278295.6226642</v>
      </c>
      <c r="G64" s="97"/>
      <c r="H64" s="122">
        <f>((NPV($C64,$J$38:$P$38,$R$38+$R$38*(1+$J$50)/($C64-$J$50)))-$J$49+J48)</f>
        <v>2925185220.5875826</v>
      </c>
      <c r="I64" s="17"/>
      <c r="J64" s="18"/>
      <c r="L64" s="23"/>
      <c r="M64" s="159" t="s">
        <v>408</v>
      </c>
      <c r="N64" s="23"/>
      <c r="O64" s="23"/>
      <c r="P64" s="98"/>
      <c r="Q64" s="97"/>
      <c r="R64" s="98"/>
      <c r="S64" s="97"/>
      <c r="T64" s="98"/>
    </row>
    <row r="65" spans="1:20">
      <c r="B65" s="8" t="s">
        <v>407</v>
      </c>
      <c r="C65" s="4">
        <f>C58</f>
        <v>0.15</v>
      </c>
      <c r="D65" s="100">
        <f>((NPV($C65,$J$13:$P$13,$R$13+$R$13*(1+$J$50)/($C65-$J$50)))-$J$49+J48)</f>
        <v>-80904444.089541316</v>
      </c>
      <c r="E65" s="101"/>
      <c r="F65" s="102">
        <f>((NPV($C65,$J$25:$P$25,$R$25+$R$25*(1+$J$50)/($C65-$J$50)))-$J$49+J48)</f>
        <v>699724569.69383478</v>
      </c>
      <c r="G65" s="101"/>
      <c r="H65" s="103">
        <f>((NPV($C65,$J$38:$P$38,$R$38+$R$38*(1+$J$50)/($C65-$J$50)))-$J$49+J48)</f>
        <v>1758649033.1185327</v>
      </c>
      <c r="I65" s="17"/>
      <c r="J65" s="18"/>
      <c r="L65" s="23"/>
      <c r="M65" s="222">
        <f>4/60</f>
        <v>6.6666666666666666E-2</v>
      </c>
      <c r="N65" s="23" t="s">
        <v>409</v>
      </c>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$450000000.0mm as of 5/16/08.</v>
      </c>
      <c r="F69" s="87"/>
      <c r="G69" s="87"/>
      <c r="H69" s="87"/>
      <c r="I69" s="87"/>
      <c r="J69" s="87"/>
      <c r="L69" s="82"/>
      <c r="M69" s="165"/>
      <c r="N69" s="82"/>
    </row>
    <row r="70" spans="1:20">
      <c r="A70" s="1" t="str">
        <f>"(2)  Assumes outstanding diluted shares of "&amp;TEXT(J47,"0.000")&amp;" million."</f>
        <v>(2)  Assumes outstanding diluted shares of 120061925.000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c r="C75" s="8"/>
      <c r="D75" s="4"/>
      <c r="E75" s="23"/>
      <c r="F75" s="91"/>
      <c r="G75" s="87"/>
      <c r="H75" s="91"/>
      <c r="I75" s="87"/>
      <c r="J75" s="91"/>
      <c r="M75" s="146"/>
    </row>
    <row r="76" spans="1:20" ht="12.75" customHeight="1">
      <c r="B76" s="135"/>
      <c r="C76" s="8"/>
      <c r="D76" s="4"/>
      <c r="E76" s="177"/>
      <c r="F76" s="191"/>
      <c r="G76" s="87"/>
      <c r="H76" s="91"/>
      <c r="I76" s="87"/>
      <c r="J76" s="91"/>
      <c r="M76" s="146"/>
      <c r="P76" s="79"/>
    </row>
    <row r="77" spans="1:20" ht="12.75" customHeight="1">
      <c r="B77" s="135"/>
      <c r="E77" s="205"/>
      <c r="F77" s="160"/>
      <c r="G77" s="23"/>
      <c r="H77" s="23"/>
      <c r="I77" s="23"/>
      <c r="J77" s="23"/>
      <c r="M77" s="146"/>
    </row>
    <row r="78" spans="1:20" ht="12.75" customHeight="1">
      <c r="B78" s="135"/>
      <c r="C78" s="83"/>
      <c r="E78" s="135"/>
      <c r="F78" s="160"/>
      <c r="G78" s="87"/>
      <c r="H78" s="87"/>
      <c r="I78" s="87"/>
      <c r="J78" s="87"/>
      <c r="M78" s="146"/>
    </row>
    <row r="79" spans="1:20" ht="12.75" customHeight="1">
      <c r="B79" s="135"/>
      <c r="C79" s="83"/>
      <c r="F79" s="160"/>
      <c r="G79" s="87"/>
      <c r="H79" s="87"/>
      <c r="I79" s="87"/>
      <c r="J79" s="87"/>
      <c r="M79" s="146"/>
    </row>
    <row r="80" spans="1:20" ht="12.75" customHeight="1">
      <c r="B80" s="148"/>
      <c r="C80" s="83"/>
      <c r="F80" s="160"/>
      <c r="G80" s="87"/>
      <c r="H80" s="87"/>
      <c r="I80" s="87"/>
      <c r="J80" s="87"/>
      <c r="M80" s="146"/>
    </row>
    <row r="81" spans="1:13" ht="12.75" customHeight="1">
      <c r="B81" s="135"/>
      <c r="C81" s="83"/>
      <c r="E81" s="135"/>
      <c r="F81" s="160"/>
      <c r="G81" s="87"/>
      <c r="H81" s="87"/>
      <c r="I81" s="87"/>
      <c r="J81" s="87"/>
      <c r="M81" s="146"/>
    </row>
    <row r="82" spans="1:13" ht="12.75" customHeight="1">
      <c r="B82" s="135"/>
      <c r="C82" s="83"/>
      <c r="F82" s="160"/>
      <c r="G82" s="87"/>
      <c r="H82" s="87"/>
      <c r="I82" s="87"/>
      <c r="J82" s="87"/>
      <c r="M82" s="146"/>
    </row>
    <row r="83" spans="1:13" ht="12.75" customHeight="1">
      <c r="B83" s="135"/>
      <c r="C83" s="83"/>
      <c r="E83" s="135"/>
      <c r="F83" s="160"/>
      <c r="G83" s="87"/>
      <c r="H83" s="87"/>
      <c r="I83" s="87"/>
      <c r="J83" s="87"/>
      <c r="M83" s="146"/>
    </row>
    <row r="84" spans="1:13" ht="12.75" customHeight="1">
      <c r="B84" s="135"/>
      <c r="C84" s="83"/>
      <c r="F84" s="160"/>
      <c r="G84" s="87"/>
      <c r="H84" s="87"/>
      <c r="I84" s="87"/>
      <c r="J84" s="87"/>
      <c r="M84" s="146"/>
    </row>
    <row r="85" spans="1:13" ht="12.75" customHeight="1">
      <c r="B85" s="150"/>
      <c r="C85" s="83"/>
      <c r="F85" s="160"/>
      <c r="G85" s="87"/>
      <c r="H85" s="87"/>
      <c r="I85" s="87"/>
      <c r="J85" s="87"/>
      <c r="M85" s="146"/>
    </row>
    <row r="86" spans="1:13" ht="12.75" customHeight="1">
      <c r="A86" s="151"/>
      <c r="B86" s="135"/>
      <c r="C86" s="8"/>
      <c r="D86" s="4"/>
      <c r="E86" s="23"/>
      <c r="F86" s="141"/>
      <c r="G86" s="97"/>
      <c r="H86" s="98"/>
      <c r="I86" s="97"/>
      <c r="J86" s="98"/>
      <c r="M86" s="146"/>
    </row>
    <row r="87" spans="1:13" ht="12.75" customHeight="1">
      <c r="A87" s="151"/>
      <c r="B87" s="135"/>
      <c r="C87" s="8"/>
      <c r="D87" s="4"/>
      <c r="E87" s="23"/>
      <c r="F87" s="141"/>
      <c r="G87" s="97"/>
      <c r="H87" s="98"/>
      <c r="I87" s="97"/>
      <c r="J87" s="98"/>
      <c r="M87" s="146"/>
    </row>
    <row r="88" spans="1:13" ht="12.75" customHeight="1">
      <c r="A88" s="151"/>
      <c r="B88" s="135"/>
      <c r="C88" s="8"/>
      <c r="D88" s="4"/>
      <c r="E88" s="23"/>
      <c r="F88" s="141"/>
      <c r="G88" s="97"/>
      <c r="H88" s="98"/>
      <c r="I88" s="97"/>
      <c r="J88" s="98"/>
      <c r="M88" s="146"/>
    </row>
    <row r="89" spans="1:13" ht="12.75" customHeight="1">
      <c r="A89" s="151"/>
      <c r="B89" s="135"/>
      <c r="F89" s="142"/>
      <c r="J89" s="142"/>
      <c r="M89" s="146"/>
    </row>
    <row r="90" spans="1:13" ht="12.75" customHeight="1">
      <c r="A90" s="151"/>
      <c r="B90" s="135"/>
      <c r="F90" s="146"/>
      <c r="J90" s="142"/>
      <c r="M90" s="146"/>
    </row>
    <row r="91" spans="1:13" ht="12.75" customHeight="1">
      <c r="A91" s="151"/>
      <c r="B91" s="135"/>
      <c r="F91" s="146"/>
      <c r="J91" s="146"/>
      <c r="M91" s="146"/>
    </row>
    <row r="92" spans="1:13" ht="12.75" customHeight="1">
      <c r="A92" s="151"/>
      <c r="B92" s="135"/>
      <c r="F92" s="146"/>
      <c r="J92" s="146"/>
      <c r="M92" s="146"/>
    </row>
    <row r="93" spans="1:13" ht="12.75" customHeight="1">
      <c r="A93" s="151"/>
      <c r="B93" s="135"/>
      <c r="F93" s="146"/>
      <c r="J93" s="146"/>
      <c r="M93" s="146"/>
    </row>
    <row r="94" spans="1:13" ht="12.75" customHeight="1">
      <c r="A94" s="151"/>
      <c r="B94" s="135"/>
      <c r="F94" s="146"/>
      <c r="J94" s="146"/>
    </row>
    <row r="95" spans="1:13" ht="12.75" customHeight="1">
      <c r="A95" s="151"/>
      <c r="B95" s="135"/>
      <c r="F95" s="146"/>
      <c r="J95" s="146"/>
    </row>
    <row r="96" spans="1:13">
      <c r="A96" s="151"/>
      <c r="B96" s="135"/>
      <c r="F96" s="146"/>
    </row>
    <row r="97" spans="1:6">
      <c r="A97" s="151"/>
      <c r="B97" s="135"/>
      <c r="F97" s="146"/>
    </row>
    <row r="98" spans="1:6">
      <c r="A98" s="151"/>
      <c r="B98" s="135"/>
      <c r="F98" s="146"/>
    </row>
    <row r="99" spans="1:6">
      <c r="A99" s="151"/>
      <c r="B99" s="135"/>
      <c r="F99" s="146"/>
    </row>
    <row r="100" spans="1:6">
      <c r="A100" s="151"/>
      <c r="B100" s="135"/>
      <c r="F100" s="146"/>
    </row>
    <row r="101" spans="1:6">
      <c r="A101" s="151"/>
      <c r="B101" s="135"/>
      <c r="F101" s="146"/>
    </row>
    <row r="102" spans="1:6">
      <c r="A102" s="151"/>
      <c r="B102" s="135"/>
      <c r="F102" s="146"/>
    </row>
    <row r="103" spans="1:6">
      <c r="A103" s="151"/>
      <c r="B103" s="135"/>
      <c r="F103" s="146"/>
    </row>
    <row r="104" spans="1:6">
      <c r="B104" s="135"/>
      <c r="F104" s="146"/>
    </row>
    <row r="105" spans="1:6">
      <c r="B105" s="135"/>
      <c r="F105" s="146"/>
    </row>
    <row r="106" spans="1:6">
      <c r="B106" s="135"/>
      <c r="F106" s="146"/>
    </row>
    <row r="107" spans="1:6">
      <c r="B107" s="135"/>
      <c r="F107" s="146"/>
    </row>
    <row r="108" spans="1:6">
      <c r="B108" s="135"/>
      <c r="F108" s="146"/>
    </row>
    <row r="109" spans="1:6">
      <c r="B109" s="135"/>
      <c r="F109" s="146"/>
    </row>
    <row r="110" spans="1:6">
      <c r="B110" s="135"/>
      <c r="F110" s="146"/>
    </row>
    <row r="111" spans="1:6">
      <c r="B111" s="135"/>
      <c r="F111" s="146"/>
    </row>
    <row r="112" spans="1:6">
      <c r="B112" s="135"/>
      <c r="F112" s="146"/>
    </row>
    <row r="113" spans="2:6">
      <c r="B113" s="135"/>
      <c r="F113" s="146"/>
    </row>
    <row r="114" spans="2:6">
      <c r="B114" s="168"/>
      <c r="F114" s="146"/>
    </row>
    <row r="115" spans="2:6">
      <c r="B115" s="135"/>
      <c r="F115" s="146"/>
    </row>
    <row r="122" spans="2:6">
      <c r="B122" s="182"/>
    </row>
  </sheetData>
  <mergeCells count="1">
    <mergeCell ref="H46:J46"/>
  </mergeCells>
  <conditionalFormatting sqref="B6:T13">
    <cfRule type="expression" dxfId="173" priority="6">
      <formula>MOD(ROW(),2)=0</formula>
    </cfRule>
  </conditionalFormatting>
  <conditionalFormatting sqref="B18:T25">
    <cfRule type="expression" dxfId="172" priority="5">
      <formula>MOD(ROW(),2)=0</formula>
    </cfRule>
  </conditionalFormatting>
  <conditionalFormatting sqref="B31:T39">
    <cfRule type="expression" dxfId="171" priority="4">
      <formula>MOD(ROW(),2)=0</formula>
    </cfRule>
  </conditionalFormatting>
  <conditionalFormatting sqref="D56:H58">
    <cfRule type="expression" dxfId="170" priority="3">
      <formula>MOD(ROW(),2)=0</formula>
    </cfRule>
  </conditionalFormatting>
  <conditionalFormatting sqref="D63:H65">
    <cfRule type="expression" dxfId="169" priority="2">
      <formula>MOD(ROW(),2)=0</formula>
    </cfRule>
  </conditionalFormatting>
  <conditionalFormatting sqref="C47:E51">
    <cfRule type="expression" dxfId="168" priority="1">
      <formula>MOD(ROW(),2)=0</formula>
    </cfRule>
  </conditionalFormatting>
  <pageMargins left="0.75" right="0.75" top="1" bottom="1" header="0.5" footer="0.5"/>
  <pageSetup paperSize="11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Evaluation Questions</vt:lpstr>
      <vt:lpstr>Template </vt:lpstr>
      <vt:lpstr>KORS</vt:lpstr>
      <vt:lpstr>FTNT</vt:lpstr>
      <vt:lpstr>BIIB</vt:lpstr>
      <vt:lpstr>WFC</vt:lpstr>
      <vt:lpstr>FCAU</vt:lpstr>
      <vt:lpstr>RDS.B</vt:lpstr>
      <vt:lpstr>VIST</vt:lpstr>
      <vt:lpstr>ABC</vt:lpstr>
      <vt:lpstr>YPF</vt:lpstr>
      <vt:lpstr>TGS</vt:lpstr>
      <vt:lpstr>OXY</vt:lpstr>
      <vt:lpstr>MEOH</vt:lpstr>
      <vt:lpstr>CC</vt:lpstr>
      <vt:lpstr>CVS</vt:lpstr>
      <vt:lpstr>DLPH</vt:lpstr>
      <vt:lpstr>BFH</vt:lpstr>
      <vt:lpstr>AT</vt:lpstr>
      <vt:lpstr>CHTR_LBRDK</vt:lpstr>
      <vt:lpstr>LBTYA</vt:lpstr>
      <vt:lpstr>HUN</vt:lpstr>
      <vt:lpstr>PRU</vt:lpstr>
      <vt:lpstr>IDCC</vt:lpstr>
      <vt:lpstr>SD</vt:lpstr>
      <vt:lpstr>TAT</vt:lpstr>
      <vt:lpstr>WB</vt:lpstr>
      <vt:lpstr>EAF</vt:lpstr>
      <vt:lpstr>URBN</vt:lpstr>
      <vt:lpstr>KLIC</vt:lpstr>
      <vt:lpstr>SAFM</vt:lpstr>
      <vt:lpstr>VNTR</vt:lpstr>
      <vt:lpstr>SINA</vt:lpstr>
      <vt:lpstr>SDRL</vt:lpstr>
      <vt:lpstr>HK</vt:lpstr>
      <vt:lpstr>REGI</vt:lpstr>
      <vt:lpstr>UEPS</vt:lpstr>
      <vt:lpstr>MHLD</vt:lpstr>
      <vt:lpstr>Original Copy</vt:lpstr>
      <vt:lpstr>DCF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MacGregor</dc:creator>
  <cp:lastModifiedBy>STD</cp:lastModifiedBy>
  <dcterms:created xsi:type="dcterms:W3CDTF">2008-08-10T01:05:42Z</dcterms:created>
  <dcterms:modified xsi:type="dcterms:W3CDTF">2021-03-18T20:00:23Z</dcterms:modified>
</cp:coreProperties>
</file>