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data" ContentType="application/binary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Data/itemProps1.xml" ContentType="application/vnd.ms-excel.customDataProperti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Sean Violante\Documents\Projects\lendico\Projects\Pricing\pricing\x64\Debug\"/>
    </mc:Choice>
  </mc:AlternateContent>
  <bookViews>
    <workbookView xWindow="4920" yWindow="0" windowWidth="11760" windowHeight="8685"/>
  </bookViews>
  <sheets>
    <sheet name="pricing" sheetId="15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15" l="1"/>
  <c r="V7" i="15"/>
  <c r="U7" i="15"/>
  <c r="J22" i="15"/>
  <c r="Q6" i="15"/>
  <c r="D11" i="15"/>
  <c r="BT17" i="15"/>
  <c r="BU17" i="15" s="1"/>
  <c r="BV17" i="15" s="1"/>
  <c r="BW17" i="15" s="1"/>
  <c r="BX17" i="15" s="1"/>
  <c r="BY17" i="15" s="1"/>
  <c r="BZ17" i="15" s="1"/>
  <c r="CA17" i="15" s="1"/>
  <c r="CB17" i="15" s="1"/>
  <c r="CC17" i="15" s="1"/>
  <c r="CD17" i="15" s="1"/>
  <c r="BS17" i="15"/>
  <c r="BR31" i="15"/>
  <c r="BQ31" i="15"/>
  <c r="BP31" i="15"/>
  <c r="BO31" i="15"/>
  <c r="BN31" i="15"/>
  <c r="BM31" i="15"/>
  <c r="BL31" i="15"/>
  <c r="BK31" i="15"/>
  <c r="BJ31" i="15"/>
  <c r="BI31" i="15"/>
  <c r="BH31" i="15"/>
  <c r="BG31" i="15"/>
  <c r="BF31" i="15"/>
  <c r="BE31" i="15"/>
  <c r="BD31" i="15"/>
  <c r="BC31" i="15"/>
  <c r="BB31" i="15"/>
  <c r="BA31" i="15"/>
  <c r="AZ31" i="15"/>
  <c r="AY31" i="15"/>
  <c r="AX31" i="15"/>
  <c r="AW31" i="15"/>
  <c r="AV31" i="15"/>
  <c r="AU31" i="15"/>
  <c r="AT31" i="15"/>
  <c r="AS31" i="15"/>
  <c r="AR31" i="15"/>
  <c r="AQ31" i="15"/>
  <c r="AP31" i="15"/>
  <c r="AO31" i="15"/>
  <c r="AN31" i="15"/>
  <c r="AM31" i="15"/>
  <c r="AL31" i="15"/>
  <c r="AK31" i="15"/>
  <c r="AJ31" i="15"/>
  <c r="AI31" i="15"/>
  <c r="AH31" i="15"/>
  <c r="AG31" i="15"/>
  <c r="AF31" i="15"/>
  <c r="AE31" i="15"/>
  <c r="AD31" i="15"/>
  <c r="AC31" i="15"/>
  <c r="AB31" i="15"/>
  <c r="AA31" i="15"/>
  <c r="Z31" i="15"/>
  <c r="Y31" i="15"/>
  <c r="X31" i="15"/>
  <c r="W31" i="15"/>
  <c r="V31" i="15"/>
  <c r="BR30" i="15"/>
  <c r="BQ30" i="15"/>
  <c r="BP30" i="15"/>
  <c r="BO30" i="15"/>
  <c r="BN30" i="15"/>
  <c r="BM30" i="15"/>
  <c r="BL30" i="15"/>
  <c r="BK30" i="15"/>
  <c r="BJ30" i="15"/>
  <c r="BI30" i="15"/>
  <c r="BH30" i="15"/>
  <c r="BG30" i="15"/>
  <c r="BF30" i="15"/>
  <c r="BE30" i="15"/>
  <c r="BD30" i="15"/>
  <c r="BC30" i="15"/>
  <c r="BB30" i="15"/>
  <c r="BA30" i="15"/>
  <c r="AZ30" i="15"/>
  <c r="AY30" i="15"/>
  <c r="AX30" i="15"/>
  <c r="AW30" i="15"/>
  <c r="AV30" i="15"/>
  <c r="AU30" i="15"/>
  <c r="AT30" i="15"/>
  <c r="AS30" i="15"/>
  <c r="AR30" i="15"/>
  <c r="AQ30" i="15"/>
  <c r="AP30" i="15"/>
  <c r="AO30" i="15"/>
  <c r="AN30" i="15"/>
  <c r="AM30" i="15"/>
  <c r="AL30" i="15"/>
  <c r="AK30" i="15"/>
  <c r="AJ30" i="15"/>
  <c r="AI30" i="15"/>
  <c r="AH30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BR29" i="15"/>
  <c r="BQ29" i="15"/>
  <c r="BP29" i="15"/>
  <c r="BO29" i="15"/>
  <c r="BN29" i="15"/>
  <c r="BM29" i="15"/>
  <c r="BL29" i="15"/>
  <c r="BK29" i="15"/>
  <c r="BJ29" i="15"/>
  <c r="BI29" i="15"/>
  <c r="BH29" i="15"/>
  <c r="BG29" i="15"/>
  <c r="BF29" i="15"/>
  <c r="BE29" i="15"/>
  <c r="BD29" i="15"/>
  <c r="BC29" i="15"/>
  <c r="BB29" i="15"/>
  <c r="BA29" i="15"/>
  <c r="AZ29" i="15"/>
  <c r="AY29" i="15"/>
  <c r="AX29" i="15"/>
  <c r="AW29" i="15"/>
  <c r="AV29" i="15"/>
  <c r="AU29" i="15"/>
  <c r="AT29" i="15"/>
  <c r="AS29" i="15"/>
  <c r="AR29" i="15"/>
  <c r="AQ29" i="15"/>
  <c r="AP29" i="15"/>
  <c r="AO29" i="15"/>
  <c r="AN29" i="15"/>
  <c r="AM29" i="15"/>
  <c r="AL29" i="15"/>
  <c r="AK29" i="15"/>
  <c r="AJ29" i="15"/>
  <c r="AI29" i="15"/>
  <c r="AH29" i="15"/>
  <c r="AG29" i="15"/>
  <c r="AF29" i="15"/>
  <c r="AE29" i="15"/>
  <c r="AD29" i="15"/>
  <c r="AC29" i="15"/>
  <c r="AB29" i="15"/>
  <c r="AA29" i="15"/>
  <c r="Z29" i="15"/>
  <c r="Y29" i="15"/>
  <c r="X29" i="15"/>
  <c r="W29" i="15"/>
  <c r="V29" i="15"/>
  <c r="BR28" i="15"/>
  <c r="BQ28" i="15"/>
  <c r="BP28" i="15"/>
  <c r="BO28" i="15"/>
  <c r="BN28" i="15"/>
  <c r="BM28" i="15"/>
  <c r="BL28" i="15"/>
  <c r="BK28" i="15"/>
  <c r="BJ28" i="15"/>
  <c r="BI28" i="15"/>
  <c r="BH28" i="15"/>
  <c r="BG28" i="15"/>
  <c r="BF28" i="15"/>
  <c r="BE28" i="15"/>
  <c r="BD28" i="15"/>
  <c r="BC28" i="15"/>
  <c r="BB28" i="15"/>
  <c r="BA28" i="15"/>
  <c r="AZ28" i="15"/>
  <c r="AY28" i="15"/>
  <c r="AX28" i="15"/>
  <c r="AW28" i="15"/>
  <c r="AV28" i="15"/>
  <c r="AU28" i="15"/>
  <c r="AT28" i="15"/>
  <c r="AS28" i="15"/>
  <c r="AR28" i="15"/>
  <c r="AQ28" i="15"/>
  <c r="AP28" i="15"/>
  <c r="AO28" i="15"/>
  <c r="AN28" i="15"/>
  <c r="AM28" i="15"/>
  <c r="AL28" i="15"/>
  <c r="AK28" i="15"/>
  <c r="AJ28" i="15"/>
  <c r="AI28" i="15"/>
  <c r="AH28" i="15"/>
  <c r="AG28" i="15"/>
  <c r="AF28" i="15"/>
  <c r="AE28" i="15"/>
  <c r="AD28" i="15"/>
  <c r="AC28" i="15"/>
  <c r="AB28" i="15"/>
  <c r="AA28" i="15"/>
  <c r="Z28" i="15"/>
  <c r="Y28" i="15"/>
  <c r="X28" i="15"/>
  <c r="W28" i="15"/>
  <c r="V28" i="15"/>
  <c r="BR27" i="15"/>
  <c r="BQ27" i="15"/>
  <c r="BP27" i="15"/>
  <c r="BO27" i="15"/>
  <c r="BN27" i="15"/>
  <c r="BM27" i="15"/>
  <c r="BL27" i="15"/>
  <c r="BK27" i="15"/>
  <c r="BJ27" i="15"/>
  <c r="BI27" i="15"/>
  <c r="BH27" i="15"/>
  <c r="BG27" i="15"/>
  <c r="BF27" i="15"/>
  <c r="BE27" i="15"/>
  <c r="BD27" i="15"/>
  <c r="BC27" i="15"/>
  <c r="BB27" i="15"/>
  <c r="BA27" i="15"/>
  <c r="AZ27" i="15"/>
  <c r="AY27" i="15"/>
  <c r="AX27" i="15"/>
  <c r="AW27" i="15"/>
  <c r="AV27" i="15"/>
  <c r="AU27" i="15"/>
  <c r="AT27" i="15"/>
  <c r="AS27" i="15"/>
  <c r="AR27" i="15"/>
  <c r="AQ27" i="15"/>
  <c r="AP27" i="15"/>
  <c r="AO27" i="15"/>
  <c r="AN27" i="15"/>
  <c r="AM27" i="15"/>
  <c r="AL27" i="15"/>
  <c r="AK27" i="15"/>
  <c r="AJ27" i="15"/>
  <c r="AI27" i="15"/>
  <c r="AH27" i="15"/>
  <c r="AG27" i="15"/>
  <c r="AF27" i="15"/>
  <c r="AE27" i="15"/>
  <c r="AD27" i="15"/>
  <c r="AC27" i="15"/>
  <c r="AB27" i="15"/>
  <c r="AA27" i="15"/>
  <c r="Z27" i="15"/>
  <c r="Y27" i="15"/>
  <c r="X27" i="15"/>
  <c r="W27" i="15"/>
  <c r="V27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61" i="15"/>
  <c r="C60" i="15"/>
  <c r="C59" i="15"/>
  <c r="C58" i="15"/>
  <c r="C57" i="15"/>
  <c r="C56" i="15"/>
  <c r="C55" i="15"/>
  <c r="C54" i="15"/>
  <c r="C53" i="15"/>
  <c r="C52" i="15"/>
  <c r="C51" i="15"/>
  <c r="C50" i="15"/>
  <c r="C49" i="15"/>
  <c r="C48" i="15"/>
  <c r="C47" i="15"/>
  <c r="C46" i="15"/>
  <c r="C45" i="15"/>
  <c r="C44" i="15"/>
  <c r="C43" i="15"/>
  <c r="C42" i="15"/>
  <c r="C41" i="15"/>
  <c r="C40" i="15"/>
  <c r="C39" i="15"/>
  <c r="C38" i="15"/>
  <c r="C37" i="15"/>
  <c r="C36" i="15"/>
  <c r="C35" i="15"/>
  <c r="C34" i="15"/>
  <c r="C33" i="15"/>
  <c r="C32" i="15"/>
  <c r="C31" i="15"/>
  <c r="C30" i="15"/>
  <c r="C29" i="15"/>
  <c r="C28" i="15"/>
  <c r="C27" i="15"/>
  <c r="C26" i="15"/>
  <c r="C25" i="15"/>
  <c r="C24" i="15"/>
  <c r="C23" i="15"/>
  <c r="C22" i="15"/>
  <c r="E22" i="15" s="1"/>
  <c r="X17" i="15"/>
  <c r="Y17" i="15" s="1"/>
  <c r="Z17" i="15" s="1"/>
  <c r="AA17" i="15" s="1"/>
  <c r="AB17" i="15" s="1"/>
  <c r="AC17" i="15" s="1"/>
  <c r="AD17" i="15" s="1"/>
  <c r="AE17" i="15" s="1"/>
  <c r="AF17" i="15" s="1"/>
  <c r="AG17" i="15" s="1"/>
  <c r="AH17" i="15" s="1"/>
  <c r="AI17" i="15" s="1"/>
  <c r="AJ17" i="15" s="1"/>
  <c r="AK17" i="15" s="1"/>
  <c r="AL17" i="15" s="1"/>
  <c r="AM17" i="15" s="1"/>
  <c r="AN17" i="15" s="1"/>
  <c r="AO17" i="15" s="1"/>
  <c r="AP17" i="15" s="1"/>
  <c r="AQ17" i="15" s="1"/>
  <c r="AR17" i="15" s="1"/>
  <c r="AS17" i="15" s="1"/>
  <c r="AT17" i="15" s="1"/>
  <c r="AU17" i="15" s="1"/>
  <c r="AV17" i="15" s="1"/>
  <c r="AW17" i="15" s="1"/>
  <c r="AX17" i="15" s="1"/>
  <c r="AY17" i="15" s="1"/>
  <c r="AZ17" i="15" s="1"/>
  <c r="BA17" i="15" s="1"/>
  <c r="BB17" i="15" s="1"/>
  <c r="BC17" i="15" s="1"/>
  <c r="BD17" i="15" s="1"/>
  <c r="BE17" i="15" s="1"/>
  <c r="BF17" i="15" s="1"/>
  <c r="BG17" i="15" s="1"/>
  <c r="BH17" i="15" s="1"/>
  <c r="BI17" i="15" s="1"/>
  <c r="BJ17" i="15" s="1"/>
  <c r="BK17" i="15" s="1"/>
  <c r="BL17" i="15" s="1"/>
  <c r="BM17" i="15" s="1"/>
  <c r="BN17" i="15" s="1"/>
  <c r="BO17" i="15" s="1"/>
  <c r="BP17" i="15" s="1"/>
  <c r="BQ17" i="15" s="1"/>
  <c r="BR17" i="15" s="1"/>
  <c r="W17" i="15"/>
  <c r="E21" i="15"/>
  <c r="D21" i="15"/>
  <c r="D22" i="15" l="1"/>
  <c r="L13" i="15"/>
  <c r="O21" i="15"/>
  <c r="N21" i="15"/>
  <c r="U5" i="15"/>
  <c r="U6" i="15" s="1"/>
  <c r="Q9" i="15"/>
  <c r="Q22" i="15" s="1"/>
  <c r="L9" i="15"/>
  <c r="L8" i="15"/>
  <c r="L7" i="15"/>
  <c r="L6" i="15"/>
  <c r="D23" i="15" l="1"/>
  <c r="K22" i="15"/>
  <c r="Q21" i="15"/>
  <c r="E24" i="15"/>
  <c r="D24" i="15"/>
  <c r="E23" i="15"/>
  <c r="F23" i="15"/>
  <c r="F22" i="15"/>
  <c r="P21" i="15"/>
  <c r="D6" i="15"/>
  <c r="D10" i="15" s="1"/>
  <c r="Q18" i="15"/>
  <c r="Q17" i="15"/>
  <c r="L22" i="15" l="1"/>
  <c r="E25" i="15"/>
  <c r="D25" i="15"/>
  <c r="M22" i="15"/>
  <c r="J80" i="15"/>
  <c r="J78" i="15"/>
  <c r="J76" i="15"/>
  <c r="J74" i="15"/>
  <c r="J72" i="15"/>
  <c r="J70" i="15"/>
  <c r="J66" i="15"/>
  <c r="J62" i="15"/>
  <c r="J58" i="15"/>
  <c r="J69" i="15"/>
  <c r="J65" i="15"/>
  <c r="J61" i="15"/>
  <c r="J63" i="15"/>
  <c r="J81" i="15"/>
  <c r="J79" i="15"/>
  <c r="J77" i="15"/>
  <c r="J75" i="15"/>
  <c r="J73" i="15"/>
  <c r="J71" i="15"/>
  <c r="J68" i="15"/>
  <c r="J64" i="15"/>
  <c r="J60" i="15"/>
  <c r="J67" i="15"/>
  <c r="J59" i="15"/>
  <c r="L23" i="15"/>
  <c r="M23" i="15" s="1"/>
  <c r="Q15" i="15"/>
  <c r="B23" i="15"/>
  <c r="Q4" i="15"/>
  <c r="E26" i="15" l="1"/>
  <c r="D26" i="15"/>
  <c r="Q5" i="15"/>
  <c r="J23" i="15"/>
  <c r="B24" i="15"/>
  <c r="G23" i="15"/>
  <c r="I23" i="15" s="1"/>
  <c r="Q23" i="15"/>
  <c r="E27" i="15" l="1"/>
  <c r="D27" i="15"/>
  <c r="K23" i="15"/>
  <c r="J24" i="15"/>
  <c r="G22" i="15"/>
  <c r="H23" i="15"/>
  <c r="B25" i="15"/>
  <c r="F24" i="15"/>
  <c r="Q24" i="15"/>
  <c r="D28" i="15" l="1"/>
  <c r="E28" i="15"/>
  <c r="H22" i="15"/>
  <c r="O22" i="15" s="1"/>
  <c r="I22" i="15"/>
  <c r="O23" i="15"/>
  <c r="P23" i="15" s="1"/>
  <c r="G24" i="15"/>
  <c r="I24" i="15" s="1"/>
  <c r="L24" i="15"/>
  <c r="M24" i="15" s="1"/>
  <c r="K24" i="15"/>
  <c r="J25" i="15"/>
  <c r="B26" i="15"/>
  <c r="Q25" i="15"/>
  <c r="F25" i="15"/>
  <c r="P22" i="15" l="1"/>
  <c r="D29" i="15"/>
  <c r="E29" i="15"/>
  <c r="H24" i="15"/>
  <c r="O24" i="15" s="1"/>
  <c r="P24" i="15" s="1"/>
  <c r="G25" i="15"/>
  <c r="I25" i="15" s="1"/>
  <c r="L25" i="15"/>
  <c r="M25" i="15" s="1"/>
  <c r="K25" i="15"/>
  <c r="J26" i="15"/>
  <c r="Q26" i="15"/>
  <c r="B27" i="15"/>
  <c r="F26" i="15"/>
  <c r="D30" i="15" l="1"/>
  <c r="E30" i="15"/>
  <c r="H25" i="15"/>
  <c r="O25" i="15" s="1"/>
  <c r="G26" i="15"/>
  <c r="L26" i="15"/>
  <c r="M26" i="15" s="1"/>
  <c r="K26" i="15"/>
  <c r="J27" i="15"/>
  <c r="B28" i="15"/>
  <c r="F27" i="15"/>
  <c r="Q27" i="15"/>
  <c r="D31" i="15" l="1"/>
  <c r="E31" i="15"/>
  <c r="H26" i="15"/>
  <c r="O26" i="15" s="1"/>
  <c r="P26" i="15" s="1"/>
  <c r="I26" i="15"/>
  <c r="G27" i="15"/>
  <c r="I27" i="15" s="1"/>
  <c r="L27" i="15"/>
  <c r="M27" i="15" s="1"/>
  <c r="K27" i="15"/>
  <c r="P25" i="15"/>
  <c r="J28" i="15"/>
  <c r="B29" i="15"/>
  <c r="F28" i="15"/>
  <c r="Q28" i="15"/>
  <c r="D32" i="15" l="1"/>
  <c r="E32" i="15"/>
  <c r="H27" i="15"/>
  <c r="O27" i="15" s="1"/>
  <c r="P27" i="15" s="1"/>
  <c r="G28" i="15"/>
  <c r="I28" i="15" s="1"/>
  <c r="L28" i="15"/>
  <c r="M28" i="15" s="1"/>
  <c r="K28" i="15"/>
  <c r="J29" i="15"/>
  <c r="F29" i="15"/>
  <c r="B30" i="15"/>
  <c r="Q29" i="15"/>
  <c r="D33" i="15" l="1"/>
  <c r="E33" i="15"/>
  <c r="H28" i="15"/>
  <c r="O28" i="15" s="1"/>
  <c r="G29" i="15"/>
  <c r="I29" i="15" s="1"/>
  <c r="L29" i="15"/>
  <c r="M29" i="15" s="1"/>
  <c r="K29" i="15"/>
  <c r="J30" i="15"/>
  <c r="Q30" i="15"/>
  <c r="F30" i="15"/>
  <c r="B31" i="15"/>
  <c r="D34" i="15" l="1"/>
  <c r="E34" i="15"/>
  <c r="H29" i="15"/>
  <c r="O29" i="15" s="1"/>
  <c r="P29" i="15" s="1"/>
  <c r="G30" i="15"/>
  <c r="I30" i="15" s="1"/>
  <c r="L30" i="15"/>
  <c r="M30" i="15" s="1"/>
  <c r="P28" i="15"/>
  <c r="K30" i="15"/>
  <c r="J31" i="15"/>
  <c r="B32" i="15"/>
  <c r="F31" i="15"/>
  <c r="Q31" i="15"/>
  <c r="D35" i="15" l="1"/>
  <c r="E35" i="15"/>
  <c r="H30" i="15"/>
  <c r="O30" i="15" s="1"/>
  <c r="P30" i="15" s="1"/>
  <c r="G31" i="15"/>
  <c r="I31" i="15" s="1"/>
  <c r="L31" i="15"/>
  <c r="M31" i="15" s="1"/>
  <c r="K31" i="15"/>
  <c r="J32" i="15"/>
  <c r="B33" i="15"/>
  <c r="F32" i="15"/>
  <c r="L32" i="15" s="1"/>
  <c r="Q32" i="15"/>
  <c r="D36" i="15" l="1"/>
  <c r="E36" i="15"/>
  <c r="H31" i="15"/>
  <c r="O31" i="15" s="1"/>
  <c r="P31" i="15" s="1"/>
  <c r="G32" i="15"/>
  <c r="I32" i="15" s="1"/>
  <c r="M32" i="15"/>
  <c r="K32" i="15"/>
  <c r="J33" i="15"/>
  <c r="K33" i="15" s="1"/>
  <c r="Q33" i="15"/>
  <c r="B34" i="15"/>
  <c r="F33" i="15"/>
  <c r="D37" i="15" l="1"/>
  <c r="E37" i="15"/>
  <c r="H32" i="15"/>
  <c r="O32" i="15" s="1"/>
  <c r="P32" i="15" s="1"/>
  <c r="G33" i="15"/>
  <c r="I33" i="15" s="1"/>
  <c r="L33" i="15"/>
  <c r="M33" i="15" s="1"/>
  <c r="J34" i="15"/>
  <c r="B35" i="15"/>
  <c r="F34" i="15"/>
  <c r="Q34" i="15"/>
  <c r="D38" i="15" l="1"/>
  <c r="E38" i="15"/>
  <c r="H33" i="15"/>
  <c r="O33" i="15" s="1"/>
  <c r="P33" i="15" s="1"/>
  <c r="G34" i="15"/>
  <c r="I34" i="15" s="1"/>
  <c r="L34" i="15"/>
  <c r="M34" i="15" s="1"/>
  <c r="K34" i="15"/>
  <c r="J35" i="15"/>
  <c r="B36" i="15"/>
  <c r="Q35" i="15"/>
  <c r="F35" i="15"/>
  <c r="D39" i="15" l="1"/>
  <c r="E39" i="15"/>
  <c r="H34" i="15"/>
  <c r="O34" i="15" s="1"/>
  <c r="P34" i="15" s="1"/>
  <c r="G35" i="15"/>
  <c r="I35" i="15" s="1"/>
  <c r="L35" i="15"/>
  <c r="M35" i="15" s="1"/>
  <c r="K35" i="15"/>
  <c r="J36" i="15"/>
  <c r="Q36" i="15"/>
  <c r="B37" i="15"/>
  <c r="F36" i="15"/>
  <c r="H35" i="15" l="1"/>
  <c r="O35" i="15" s="1"/>
  <c r="P35" i="15" s="1"/>
  <c r="D40" i="15"/>
  <c r="E40" i="15"/>
  <c r="G36" i="15"/>
  <c r="I36" i="15" s="1"/>
  <c r="L36" i="15"/>
  <c r="M36" i="15" s="1"/>
  <c r="K36" i="15"/>
  <c r="J37" i="15"/>
  <c r="Q37" i="15"/>
  <c r="F37" i="15"/>
  <c r="B38" i="15"/>
  <c r="D41" i="15" l="1"/>
  <c r="E41" i="15"/>
  <c r="H36" i="15"/>
  <c r="O36" i="15" s="1"/>
  <c r="P36" i="15" s="1"/>
  <c r="G37" i="15"/>
  <c r="I37" i="15" s="1"/>
  <c r="L37" i="15"/>
  <c r="M37" i="15" s="1"/>
  <c r="K37" i="15"/>
  <c r="J38" i="15"/>
  <c r="B39" i="15"/>
  <c r="F38" i="15"/>
  <c r="Q38" i="15"/>
  <c r="D42" i="15" l="1"/>
  <c r="E42" i="15"/>
  <c r="H37" i="15"/>
  <c r="O37" i="15" s="1"/>
  <c r="P37" i="15" s="1"/>
  <c r="G38" i="15"/>
  <c r="L38" i="15"/>
  <c r="J39" i="15"/>
  <c r="K39" i="15" s="1"/>
  <c r="Q39" i="15"/>
  <c r="B40" i="15"/>
  <c r="F39" i="15"/>
  <c r="D43" i="15" l="1"/>
  <c r="E43" i="15"/>
  <c r="G39" i="15"/>
  <c r="L39" i="15"/>
  <c r="M39" i="15" s="1"/>
  <c r="J40" i="15"/>
  <c r="F40" i="15"/>
  <c r="B41" i="15"/>
  <c r="Q40" i="15"/>
  <c r="D44" i="15" l="1"/>
  <c r="E44" i="15"/>
  <c r="H39" i="15"/>
  <c r="O39" i="15" s="1"/>
  <c r="P39" i="15" s="1"/>
  <c r="I39" i="15"/>
  <c r="G40" i="15"/>
  <c r="I40" i="15" s="1"/>
  <c r="L40" i="15"/>
  <c r="M40" i="15" s="1"/>
  <c r="K40" i="15"/>
  <c r="J41" i="15"/>
  <c r="Q41" i="15"/>
  <c r="F41" i="15"/>
  <c r="B42" i="15"/>
  <c r="D45" i="15" l="1"/>
  <c r="E45" i="15"/>
  <c r="H40" i="15"/>
  <c r="O40" i="15" s="1"/>
  <c r="P40" i="15" s="1"/>
  <c r="G41" i="15"/>
  <c r="I41" i="15" s="1"/>
  <c r="L41" i="15"/>
  <c r="M41" i="15" s="1"/>
  <c r="K41" i="15"/>
  <c r="J42" i="15"/>
  <c r="B43" i="15"/>
  <c r="F42" i="15"/>
  <c r="Q42" i="15"/>
  <c r="D46" i="15" l="1"/>
  <c r="E46" i="15"/>
  <c r="H41" i="15"/>
  <c r="O41" i="15" s="1"/>
  <c r="P41" i="15" s="1"/>
  <c r="G42" i="15"/>
  <c r="I42" i="15" s="1"/>
  <c r="L42" i="15"/>
  <c r="M42" i="15" s="1"/>
  <c r="K42" i="15"/>
  <c r="J43" i="15"/>
  <c r="K43" i="15" s="1"/>
  <c r="F43" i="15"/>
  <c r="B44" i="15"/>
  <c r="Q43" i="15"/>
  <c r="D47" i="15" l="1"/>
  <c r="E47" i="15"/>
  <c r="H42" i="15"/>
  <c r="O42" i="15" s="1"/>
  <c r="P42" i="15" s="1"/>
  <c r="G43" i="15"/>
  <c r="I43" i="15" s="1"/>
  <c r="L43" i="15"/>
  <c r="M43" i="15" s="1"/>
  <c r="J44" i="15"/>
  <c r="F44" i="15"/>
  <c r="B45" i="15"/>
  <c r="Q44" i="15"/>
  <c r="D48" i="15" l="1"/>
  <c r="E48" i="15"/>
  <c r="H43" i="15"/>
  <c r="O43" i="15" s="1"/>
  <c r="P43" i="15" s="1"/>
  <c r="G44" i="15"/>
  <c r="I44" i="15" s="1"/>
  <c r="L44" i="15"/>
  <c r="M44" i="15" s="1"/>
  <c r="K44" i="15"/>
  <c r="J45" i="15"/>
  <c r="K45" i="15" s="1"/>
  <c r="Q45" i="15"/>
  <c r="B46" i="15"/>
  <c r="F45" i="15"/>
  <c r="D49" i="15" l="1"/>
  <c r="E49" i="15"/>
  <c r="H44" i="15"/>
  <c r="O44" i="15" s="1"/>
  <c r="P44" i="15" s="1"/>
  <c r="G45" i="15"/>
  <c r="I45" i="15" s="1"/>
  <c r="L45" i="15"/>
  <c r="M45" i="15" s="1"/>
  <c r="J46" i="15"/>
  <c r="B47" i="15"/>
  <c r="F46" i="15"/>
  <c r="Q46" i="15"/>
  <c r="D50" i="15" l="1"/>
  <c r="E50" i="15"/>
  <c r="H45" i="15"/>
  <c r="O45" i="15" s="1"/>
  <c r="P45" i="15" s="1"/>
  <c r="G46" i="15"/>
  <c r="I46" i="15" s="1"/>
  <c r="L46" i="15"/>
  <c r="M46" i="15" s="1"/>
  <c r="K46" i="15"/>
  <c r="J47" i="15"/>
  <c r="F47" i="15"/>
  <c r="B48" i="15"/>
  <c r="Q47" i="15"/>
  <c r="D51" i="15" l="1"/>
  <c r="E51" i="15"/>
  <c r="H46" i="15"/>
  <c r="O46" i="15" s="1"/>
  <c r="P46" i="15" s="1"/>
  <c r="G47" i="15"/>
  <c r="I47" i="15" s="1"/>
  <c r="L47" i="15"/>
  <c r="M47" i="15" s="1"/>
  <c r="K47" i="15"/>
  <c r="J48" i="15"/>
  <c r="B49" i="15"/>
  <c r="Q48" i="15"/>
  <c r="F48" i="15"/>
  <c r="D52" i="15" l="1"/>
  <c r="E52" i="15"/>
  <c r="H47" i="15"/>
  <c r="O47" i="15" s="1"/>
  <c r="P47" i="15" s="1"/>
  <c r="G48" i="15"/>
  <c r="I48" i="15" s="1"/>
  <c r="L48" i="15"/>
  <c r="M48" i="15" s="1"/>
  <c r="K48" i="15"/>
  <c r="J49" i="15"/>
  <c r="Q49" i="15"/>
  <c r="F49" i="15"/>
  <c r="B50" i="15"/>
  <c r="D53" i="15" l="1"/>
  <c r="E53" i="15"/>
  <c r="H48" i="15"/>
  <c r="O48" i="15" s="1"/>
  <c r="P48" i="15" s="1"/>
  <c r="G49" i="15"/>
  <c r="I49" i="15" s="1"/>
  <c r="L49" i="15"/>
  <c r="M49" i="15" s="1"/>
  <c r="K49" i="15"/>
  <c r="J50" i="15"/>
  <c r="B51" i="15"/>
  <c r="F50" i="15"/>
  <c r="Q50" i="15"/>
  <c r="D54" i="15" l="1"/>
  <c r="E54" i="15"/>
  <c r="H49" i="15"/>
  <c r="O49" i="15" s="1"/>
  <c r="P49" i="15" s="1"/>
  <c r="G50" i="15"/>
  <c r="I50" i="15" s="1"/>
  <c r="L50" i="15"/>
  <c r="M50" i="15" s="1"/>
  <c r="K50" i="15"/>
  <c r="J51" i="15"/>
  <c r="B52" i="15"/>
  <c r="Q51" i="15"/>
  <c r="F51" i="15"/>
  <c r="D55" i="15" l="1"/>
  <c r="E55" i="15"/>
  <c r="H50" i="15"/>
  <c r="O50" i="15" s="1"/>
  <c r="P50" i="15" s="1"/>
  <c r="G51" i="15"/>
  <c r="I51" i="15" s="1"/>
  <c r="L51" i="15"/>
  <c r="M51" i="15" s="1"/>
  <c r="K51" i="15"/>
  <c r="J52" i="15"/>
  <c r="Q52" i="15"/>
  <c r="F52" i="15"/>
  <c r="B53" i="15"/>
  <c r="D56" i="15" l="1"/>
  <c r="E56" i="15"/>
  <c r="H51" i="15"/>
  <c r="O51" i="15" s="1"/>
  <c r="P51" i="15" s="1"/>
  <c r="G52" i="15"/>
  <c r="I52" i="15" s="1"/>
  <c r="L52" i="15"/>
  <c r="M52" i="15" s="1"/>
  <c r="K52" i="15"/>
  <c r="J53" i="15"/>
  <c r="Q53" i="15"/>
  <c r="F53" i="15"/>
  <c r="B54" i="15"/>
  <c r="D57" i="15" l="1"/>
  <c r="E57" i="15"/>
  <c r="H52" i="15"/>
  <c r="O52" i="15" s="1"/>
  <c r="P52" i="15" s="1"/>
  <c r="G53" i="15"/>
  <c r="I53" i="15" s="1"/>
  <c r="L53" i="15"/>
  <c r="M53" i="15" s="1"/>
  <c r="K53" i="15"/>
  <c r="J54" i="15"/>
  <c r="B55" i="15"/>
  <c r="F54" i="15"/>
  <c r="Q54" i="15"/>
  <c r="D58" i="15" l="1"/>
  <c r="E58" i="15"/>
  <c r="H53" i="15"/>
  <c r="O53" i="15" s="1"/>
  <c r="P53" i="15" s="1"/>
  <c r="G54" i="15"/>
  <c r="I54" i="15" s="1"/>
  <c r="L54" i="15"/>
  <c r="M54" i="15" s="1"/>
  <c r="K54" i="15"/>
  <c r="J55" i="15"/>
  <c r="K55" i="15" s="1"/>
  <c r="Q55" i="15"/>
  <c r="F55" i="15"/>
  <c r="B56" i="15"/>
  <c r="D59" i="15" l="1"/>
  <c r="E59" i="15"/>
  <c r="H54" i="15"/>
  <c r="O54" i="15" s="1"/>
  <c r="P54" i="15" s="1"/>
  <c r="G55" i="15"/>
  <c r="I55" i="15" s="1"/>
  <c r="L55" i="15"/>
  <c r="M55" i="15" s="1"/>
  <c r="J56" i="15"/>
  <c r="F56" i="15"/>
  <c r="B57" i="15"/>
  <c r="Q56" i="15"/>
  <c r="D60" i="15" l="1"/>
  <c r="E60" i="15"/>
  <c r="H55" i="15"/>
  <c r="O55" i="15" s="1"/>
  <c r="P55" i="15" s="1"/>
  <c r="K58" i="15"/>
  <c r="G56" i="15"/>
  <c r="I56" i="15" s="1"/>
  <c r="L56" i="15"/>
  <c r="M56" i="15" s="1"/>
  <c r="K56" i="15"/>
  <c r="J57" i="15"/>
  <c r="J19" i="15" s="1"/>
  <c r="J18" i="15" s="1"/>
  <c r="Q57" i="15"/>
  <c r="F57" i="15"/>
  <c r="B58" i="15"/>
  <c r="D61" i="15" l="1"/>
  <c r="E61" i="15"/>
  <c r="H56" i="15"/>
  <c r="O56" i="15" s="1"/>
  <c r="P56" i="15" s="1"/>
  <c r="K59" i="15"/>
  <c r="G57" i="15"/>
  <c r="I57" i="15" s="1"/>
  <c r="L57" i="15"/>
  <c r="M57" i="15" s="1"/>
  <c r="K57" i="15"/>
  <c r="B59" i="15"/>
  <c r="F58" i="15"/>
  <c r="L58" i="15" s="1"/>
  <c r="M58" i="15" s="1"/>
  <c r="Q58" i="15"/>
  <c r="D62" i="15" l="1"/>
  <c r="E62" i="15"/>
  <c r="H57" i="15"/>
  <c r="O57" i="15" s="1"/>
  <c r="P57" i="15" s="1"/>
  <c r="K60" i="15"/>
  <c r="G58" i="15"/>
  <c r="I58" i="15" s="1"/>
  <c r="F59" i="15"/>
  <c r="L59" i="15" s="1"/>
  <c r="M59" i="15" s="1"/>
  <c r="B60" i="15"/>
  <c r="Q59" i="15"/>
  <c r="D63" i="15" l="1"/>
  <c r="E63" i="15"/>
  <c r="H58" i="15"/>
  <c r="O58" i="15" s="1"/>
  <c r="P58" i="15" s="1"/>
  <c r="K61" i="15"/>
  <c r="G59" i="15"/>
  <c r="F60" i="15"/>
  <c r="L60" i="15" s="1"/>
  <c r="M60" i="15" s="1"/>
  <c r="B61" i="15"/>
  <c r="Q60" i="15"/>
  <c r="D64" i="15" l="1"/>
  <c r="E64" i="15"/>
  <c r="H59" i="15"/>
  <c r="O59" i="15" s="1"/>
  <c r="P59" i="15" s="1"/>
  <c r="I59" i="15"/>
  <c r="K62" i="15"/>
  <c r="G60" i="15"/>
  <c r="I60" i="15" s="1"/>
  <c r="Q61" i="15"/>
  <c r="B62" i="15"/>
  <c r="F61" i="15"/>
  <c r="L61" i="15" s="1"/>
  <c r="M61" i="15" s="1"/>
  <c r="D65" i="15" l="1"/>
  <c r="E65" i="15"/>
  <c r="H60" i="15"/>
  <c r="O60" i="15" s="1"/>
  <c r="P60" i="15" s="1"/>
  <c r="K63" i="15"/>
  <c r="G61" i="15"/>
  <c r="I61" i="15" s="1"/>
  <c r="B63" i="15"/>
  <c r="F62" i="15"/>
  <c r="Q62" i="15"/>
  <c r="D66" i="15" l="1"/>
  <c r="E66" i="15"/>
  <c r="H61" i="15"/>
  <c r="O61" i="15" s="1"/>
  <c r="P61" i="15" s="1"/>
  <c r="K64" i="15"/>
  <c r="G62" i="15"/>
  <c r="L62" i="15"/>
  <c r="M62" i="15" s="1"/>
  <c r="F63" i="15"/>
  <c r="B64" i="15"/>
  <c r="Q63" i="15"/>
  <c r="D67" i="15" l="1"/>
  <c r="E67" i="15"/>
  <c r="H62" i="15"/>
  <c r="O62" i="15" s="1"/>
  <c r="P62" i="15" s="1"/>
  <c r="I62" i="15"/>
  <c r="K65" i="15"/>
  <c r="G63" i="15"/>
  <c r="L63" i="15"/>
  <c r="M63" i="15" s="1"/>
  <c r="B65" i="15"/>
  <c r="Q64" i="15"/>
  <c r="F64" i="15"/>
  <c r="L64" i="15" s="1"/>
  <c r="M64" i="15" s="1"/>
  <c r="D68" i="15" l="1"/>
  <c r="E68" i="15"/>
  <c r="H63" i="15"/>
  <c r="O63" i="15" s="1"/>
  <c r="P63" i="15" s="1"/>
  <c r="I63" i="15"/>
  <c r="K66" i="15"/>
  <c r="G64" i="15"/>
  <c r="Q65" i="15"/>
  <c r="B66" i="15"/>
  <c r="F65" i="15"/>
  <c r="D69" i="15" l="1"/>
  <c r="E69" i="15"/>
  <c r="H64" i="15"/>
  <c r="O64" i="15" s="1"/>
  <c r="P64" i="15" s="1"/>
  <c r="I64" i="15"/>
  <c r="K67" i="15"/>
  <c r="G65" i="15"/>
  <c r="L65" i="15"/>
  <c r="M65" i="15" s="1"/>
  <c r="B67" i="15"/>
  <c r="F66" i="15"/>
  <c r="L66" i="15" s="1"/>
  <c r="M66" i="15" s="1"/>
  <c r="Q66" i="15"/>
  <c r="E70" i="15" l="1"/>
  <c r="D70" i="15"/>
  <c r="H65" i="15"/>
  <c r="O65" i="15" s="1"/>
  <c r="P65" i="15" s="1"/>
  <c r="I65" i="15"/>
  <c r="K68" i="15"/>
  <c r="G66" i="15"/>
  <c r="B68" i="15"/>
  <c r="Q67" i="15"/>
  <c r="F67" i="15"/>
  <c r="L67" i="15" s="1"/>
  <c r="M67" i="15" s="1"/>
  <c r="D71" i="15" l="1"/>
  <c r="E71" i="15"/>
  <c r="K70" i="15"/>
  <c r="H66" i="15"/>
  <c r="O66" i="15" s="1"/>
  <c r="P66" i="15" s="1"/>
  <c r="I66" i="15"/>
  <c r="K69" i="15"/>
  <c r="G67" i="15"/>
  <c r="I67" i="15" s="1"/>
  <c r="Q68" i="15"/>
  <c r="B69" i="15"/>
  <c r="F68" i="15"/>
  <c r="E72" i="15" l="1"/>
  <c r="D72" i="15"/>
  <c r="K71" i="15"/>
  <c r="H67" i="15"/>
  <c r="O67" i="15" s="1"/>
  <c r="P67" i="15" s="1"/>
  <c r="G68" i="15"/>
  <c r="L68" i="15"/>
  <c r="M68" i="15" s="1"/>
  <c r="Q69" i="15"/>
  <c r="F69" i="15"/>
  <c r="B70" i="15"/>
  <c r="E73" i="15" l="1"/>
  <c r="D73" i="15"/>
  <c r="K72" i="15"/>
  <c r="H68" i="15"/>
  <c r="O68" i="15" s="1"/>
  <c r="P68" i="15" s="1"/>
  <c r="I68" i="15"/>
  <c r="F17" i="15"/>
  <c r="F18" i="15"/>
  <c r="G69" i="15"/>
  <c r="L69" i="15"/>
  <c r="M69" i="15" s="1"/>
  <c r="B71" i="15"/>
  <c r="F70" i="15"/>
  <c r="Q70" i="15"/>
  <c r="L70" i="15" l="1"/>
  <c r="M70" i="15" s="1"/>
  <c r="F15" i="15"/>
  <c r="F16" i="15" s="1"/>
  <c r="E74" i="15"/>
  <c r="D74" i="15"/>
  <c r="K73" i="15"/>
  <c r="H69" i="15"/>
  <c r="O69" i="15" s="1"/>
  <c r="P69" i="15" s="1"/>
  <c r="I69" i="15"/>
  <c r="I38" i="15"/>
  <c r="H38" i="15"/>
  <c r="M38" i="15"/>
  <c r="K38" i="15"/>
  <c r="G70" i="15"/>
  <c r="Q71" i="15"/>
  <c r="B72" i="15"/>
  <c r="F71" i="15"/>
  <c r="L71" i="15" s="1"/>
  <c r="M71" i="15" s="1"/>
  <c r="D15" i="15" l="1"/>
  <c r="U19" i="15" s="1"/>
  <c r="D18" i="15"/>
  <c r="U22" i="15" s="1"/>
  <c r="H70" i="15"/>
  <c r="O70" i="15" s="1"/>
  <c r="P70" i="15" s="1"/>
  <c r="I70" i="15"/>
  <c r="D16" i="15"/>
  <c r="U20" i="15" s="1"/>
  <c r="E75" i="15"/>
  <c r="D75" i="15"/>
  <c r="K74" i="15"/>
  <c r="O38" i="15"/>
  <c r="P38" i="15" s="1"/>
  <c r="G71" i="15"/>
  <c r="F72" i="15"/>
  <c r="L72" i="15" s="1"/>
  <c r="M72" i="15" s="1"/>
  <c r="B73" i="15"/>
  <c r="Q72" i="15"/>
  <c r="H71" i="15" l="1"/>
  <c r="O71" i="15" s="1"/>
  <c r="P71" i="15" s="1"/>
  <c r="I71" i="15"/>
  <c r="E76" i="15"/>
  <c r="D76" i="15"/>
  <c r="K75" i="15"/>
  <c r="G72" i="15"/>
  <c r="Q73" i="15"/>
  <c r="F73" i="15"/>
  <c r="L73" i="15" s="1"/>
  <c r="M73" i="15" s="1"/>
  <c r="B74" i="15"/>
  <c r="E77" i="15" l="1"/>
  <c r="D77" i="15"/>
  <c r="K76" i="15"/>
  <c r="H72" i="15"/>
  <c r="O72" i="15" s="1"/>
  <c r="P72" i="15" s="1"/>
  <c r="I72" i="15"/>
  <c r="G73" i="15"/>
  <c r="B75" i="15"/>
  <c r="F74" i="15"/>
  <c r="L74" i="15" s="1"/>
  <c r="M74" i="15" s="1"/>
  <c r="Q74" i="15"/>
  <c r="G74" i="15" l="1"/>
  <c r="H74" i="15"/>
  <c r="O74" i="15" s="1"/>
  <c r="P74" i="15" s="1"/>
  <c r="I74" i="15"/>
  <c r="E78" i="15"/>
  <c r="D78" i="15"/>
  <c r="K77" i="15"/>
  <c r="H73" i="15"/>
  <c r="O73" i="15" s="1"/>
  <c r="P73" i="15" s="1"/>
  <c r="I73" i="15"/>
  <c r="F75" i="15"/>
  <c r="L75" i="15" s="1"/>
  <c r="M75" i="15" s="1"/>
  <c r="B76" i="15"/>
  <c r="Q75" i="15"/>
  <c r="G75" i="15" l="1"/>
  <c r="D79" i="15"/>
  <c r="E79" i="15"/>
  <c r="K78" i="15"/>
  <c r="F76" i="15"/>
  <c r="L76" i="15" s="1"/>
  <c r="M76" i="15" s="1"/>
  <c r="B77" i="15"/>
  <c r="Q76" i="15"/>
  <c r="G76" i="15" l="1"/>
  <c r="E80" i="15"/>
  <c r="D80" i="15"/>
  <c r="K79" i="15"/>
  <c r="H75" i="15"/>
  <c r="O75" i="15" s="1"/>
  <c r="P75" i="15" s="1"/>
  <c r="I75" i="15"/>
  <c r="Q77" i="15"/>
  <c r="B78" i="15"/>
  <c r="F77" i="15"/>
  <c r="L77" i="15" s="1"/>
  <c r="M77" i="15" s="1"/>
  <c r="H76" i="15" l="1"/>
  <c r="O76" i="15" s="1"/>
  <c r="P76" i="15" s="1"/>
  <c r="I76" i="15"/>
  <c r="E81" i="15"/>
  <c r="D81" i="15"/>
  <c r="K80" i="15"/>
  <c r="G77" i="15"/>
  <c r="B79" i="15"/>
  <c r="F78" i="15"/>
  <c r="L78" i="15" s="1"/>
  <c r="M78" i="15" s="1"/>
  <c r="Q78" i="15"/>
  <c r="H77" i="15" l="1"/>
  <c r="O77" i="15" s="1"/>
  <c r="P77" i="15" s="1"/>
  <c r="I77" i="15"/>
  <c r="K81" i="15"/>
  <c r="G78" i="15"/>
  <c r="F79" i="15"/>
  <c r="L79" i="15" s="1"/>
  <c r="M79" i="15" s="1"/>
  <c r="B80" i="15"/>
  <c r="Q79" i="15"/>
  <c r="G79" i="15" l="1"/>
  <c r="H78" i="15"/>
  <c r="O78" i="15" s="1"/>
  <c r="P78" i="15" s="1"/>
  <c r="I78" i="15"/>
  <c r="B81" i="15"/>
  <c r="Q80" i="15"/>
  <c r="F80" i="15"/>
  <c r="L80" i="15" s="1"/>
  <c r="M80" i="15" s="1"/>
  <c r="G80" i="15" l="1"/>
  <c r="I79" i="15"/>
  <c r="H79" i="15"/>
  <c r="O79" i="15" s="1"/>
  <c r="P79" i="15" s="1"/>
  <c r="Q81" i="15"/>
  <c r="F81" i="15"/>
  <c r="Q10" i="15"/>
  <c r="U9" i="15" s="1"/>
  <c r="H80" i="15" l="1"/>
  <c r="O80" i="15" s="1"/>
  <c r="P80" i="15" s="1"/>
  <c r="I80" i="15"/>
  <c r="L81" i="15"/>
  <c r="M81" i="15" s="1"/>
  <c r="G17" i="15"/>
  <c r="G81" i="15"/>
  <c r="H81" i="15" l="1"/>
  <c r="O81" i="15" s="1"/>
  <c r="I81" i="15"/>
  <c r="G18" i="15" s="1"/>
  <c r="D17" i="15" s="1"/>
  <c r="U21" i="15" s="1"/>
  <c r="U10" i="15"/>
  <c r="D7" i="15" s="1"/>
  <c r="D9" i="15" s="1"/>
  <c r="P81" i="15" l="1"/>
  <c r="E14" i="15" s="1"/>
  <c r="D14" i="15" s="1"/>
  <c r="U18" i="15" s="1"/>
  <c r="E13" i="15"/>
  <c r="D13" i="15" s="1"/>
</calcChain>
</file>

<file path=xl/comments1.xml><?xml version="1.0" encoding="utf-8"?>
<comments xmlns="http://schemas.openxmlformats.org/spreadsheetml/2006/main">
  <authors>
    <author>Sean Violante</author>
  </authors>
  <commentList>
    <comment ref="K6" authorId="0" shapeId="0">
      <text>
        <r>
          <rPr>
            <b/>
            <sz val="9"/>
            <color indexed="81"/>
            <rFont val="Tahoma"/>
            <family val="2"/>
          </rPr>
          <t>Sean Violante:</t>
        </r>
        <r>
          <rPr>
            <sz val="9"/>
            <color indexed="81"/>
            <rFont val="Tahoma"/>
            <family val="2"/>
          </rPr>
          <t xml:space="preserve">
vlookup returns 1st value &gt;= in array</t>
        </r>
      </text>
    </comment>
    <comment ref="E13" authorId="0" shapeId="0">
      <text>
        <r>
          <rPr>
            <b/>
            <sz val="9"/>
            <color indexed="81"/>
            <rFont val="Tahoma"/>
            <family val="2"/>
          </rPr>
          <t>Sean Violante:</t>
        </r>
        <r>
          <rPr>
            <sz val="9"/>
            <color indexed="81"/>
            <rFont val="Tahoma"/>
            <family val="2"/>
          </rPr>
          <t xml:space="preserve">
Monthly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This connection is used by Excel for communication between the workbook and embedded PowerPivot data, and should not be manually edited or deleted." type="5" refreshedVersion="4">
    <dbPr connection="Provider=MSOLAP.5;Persist Security Info=True;Initial Catalog=Microsoft_SQLServer_AnalysisServices;Data Source=$Embedded$;MDX Compatibility=1;Safety Options=2;ConnectTo=11.0;MDX Missing Member Mode=Error;Optimize Response=3;Cell Error Mode=TextValue" command="Model" commandType="1"/>
    <olapPr sendLocale="1" rowDrillCount="1000"/>
    <extLst>
      <ext xmlns:x14="http://schemas.microsoft.com/office/spreadsheetml/2009/9/main" uri="{D79990A0-CA42-45e3-83F4-45C500A0EAA5}">
        <x14:connection culture="" embeddedDataId="Microsoft_SQLServer_AnalysisServices"/>
      </ext>
    </extLst>
  </connection>
</connections>
</file>

<file path=xl/sharedStrings.xml><?xml version="1.0" encoding="utf-8"?>
<sst xmlns="http://schemas.openxmlformats.org/spreadsheetml/2006/main" count="58" uniqueCount="53">
  <si>
    <t>amount</t>
  </si>
  <si>
    <t>q</t>
  </si>
  <si>
    <t>base rate</t>
  </si>
  <si>
    <t>installment</t>
  </si>
  <si>
    <t>service fee</t>
  </si>
  <si>
    <t>pd</t>
  </si>
  <si>
    <t>months</t>
  </si>
  <si>
    <t>month</t>
  </si>
  <si>
    <t>month survival</t>
  </si>
  <si>
    <t>survival</t>
  </si>
  <si>
    <t>default</t>
  </si>
  <si>
    <t>month pd</t>
  </si>
  <si>
    <t>loan nominal ir</t>
  </si>
  <si>
    <t>q_d</t>
  </si>
  <si>
    <t>tau</t>
  </si>
  <si>
    <t>expected recovery</t>
  </si>
  <si>
    <t>df</t>
  </si>
  <si>
    <t>1 period df</t>
  </si>
  <si>
    <t xml:space="preserve">Recovery </t>
  </si>
  <si>
    <t>recovery</t>
  </si>
  <si>
    <t>npv -fee</t>
  </si>
  <si>
    <t>Recovery Rates</t>
  </si>
  <si>
    <t>monthly installment</t>
  </si>
  <si>
    <t>npv</t>
  </si>
  <si>
    <t>coupon pv</t>
  </si>
  <si>
    <t>investor installment</t>
  </si>
  <si>
    <t>investor nominal ir</t>
  </si>
  <si>
    <t>Installment</t>
  </si>
  <si>
    <t>Exp Installment</t>
  </si>
  <si>
    <t>Principal Payment</t>
  </si>
  <si>
    <t>Net Cashflow</t>
  </si>
  <si>
    <t>risk duration</t>
  </si>
  <si>
    <t>investor return (-fee)</t>
  </si>
  <si>
    <t>return</t>
  </si>
  <si>
    <t>approx investor return</t>
  </si>
  <si>
    <t>Recovery</t>
  </si>
  <si>
    <t>Loss</t>
  </si>
  <si>
    <t>survived</t>
  </si>
  <si>
    <t>Approx Investor Exp Loss</t>
  </si>
  <si>
    <t>nar principal</t>
  </si>
  <si>
    <t>initial principal</t>
  </si>
  <si>
    <t>adj nar</t>
  </si>
  <si>
    <t>nar interest</t>
  </si>
  <si>
    <t>nar loss</t>
  </si>
  <si>
    <t>Investor Interest</t>
  </si>
  <si>
    <t>expected loss</t>
  </si>
  <si>
    <t>Exp Investor Interest</t>
  </si>
  <si>
    <t>NAR (Expected payments)</t>
  </si>
  <si>
    <t>vintage</t>
  </si>
  <si>
    <t>Adj NAR 12</t>
  </si>
  <si>
    <t>Months</t>
  </si>
  <si>
    <t>Rem Notional</t>
  </si>
  <si>
    <t>investor nominal APR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</si>
</sst>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44" formatCode="_-&quot;€&quot;* #,##0.00_-;\-&quot;€&quot;* #,##0.00_-;_-&quot;€&quot;* &quot;-&quot;??_-;_-@_-"/>
    <numFmt numFmtId="164" formatCode="_-&quot;€&quot;* #,##0_-;\-&quot;€&quot;* #,##0_-;_-&quot;€&quot;* &quot;-&quot;??_-;_-@_-"/>
    <numFmt numFmtId="165" formatCode="_-[$€-2]\ * #,##0_-;\-[$€-2]\ * #,##0_-;_-[$€-2]\ * &quot;-&quot;??_-;_-@_-"/>
    <numFmt numFmtId="166" formatCode="0.0%"/>
    <numFmt numFmtId="167" formatCode="&quot;€&quot;#,##0.0000;[Red]\-&quot;€&quot;#,##0.0000"/>
    <numFmt numFmtId="168" formatCode="[$PLN]\ #,##0;[Red]\-[$PLN]\ #,##0"/>
    <numFmt numFmtId="169" formatCode="[$PLN]\ #,##0"/>
    <numFmt numFmtId="170" formatCode="0.00000000000000%"/>
    <numFmt numFmtId="171" formatCode="&quot;€&quot;#,##0.0000"/>
    <numFmt numFmtId="172" formatCode="0.000000%"/>
    <numFmt numFmtId="174" formatCode="0.00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9C65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EB9C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3F3F3F"/>
      </bottom>
      <diagonal/>
    </border>
    <border>
      <left/>
      <right style="thin">
        <color rgb="FF7F7F7F"/>
      </right>
      <top style="thin">
        <color rgb="FF7F7F7F"/>
      </top>
      <bottom style="thin">
        <color rgb="FF3F3F3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  <xf numFmtId="44" fontId="1" fillId="0" borderId="0" applyFont="0" applyFill="0" applyBorder="0" applyAlignment="0" applyProtection="0"/>
    <xf numFmtId="0" fontId="7" fillId="4" borderId="0" applyNumberFormat="0" applyBorder="0" applyAlignment="0" applyProtection="0"/>
  </cellStyleXfs>
  <cellXfs count="50">
    <xf numFmtId="0" fontId="0" fillId="0" borderId="0" xfId="0"/>
    <xf numFmtId="0" fontId="2" fillId="2" borderId="1" xfId="2"/>
    <xf numFmtId="0" fontId="4" fillId="3" borderId="1" xfId="4"/>
    <xf numFmtId="10" fontId="2" fillId="2" borderId="1" xfId="2" applyNumberFormat="1"/>
    <xf numFmtId="10" fontId="3" fillId="3" borderId="2" xfId="3" applyNumberFormat="1"/>
    <xf numFmtId="10" fontId="0" fillId="0" borderId="0" xfId="0" applyNumberFormat="1"/>
    <xf numFmtId="2" fontId="4" fillId="3" borderId="1" xfId="4" applyNumberFormat="1"/>
    <xf numFmtId="10" fontId="0" fillId="0" borderId="0" xfId="1" applyNumberFormat="1" applyFont="1"/>
    <xf numFmtId="9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/>
    </xf>
    <xf numFmtId="9" fontId="3" fillId="3" borderId="2" xfId="3" applyNumberFormat="1"/>
    <xf numFmtId="166" fontId="2" fillId="2" borderId="1" xfId="2" applyNumberFormat="1"/>
    <xf numFmtId="164" fontId="2" fillId="2" borderId="1" xfId="2" applyNumberFormat="1"/>
    <xf numFmtId="165" fontId="2" fillId="2" borderId="1" xfId="2" applyNumberFormat="1"/>
    <xf numFmtId="9" fontId="4" fillId="3" borderId="1" xfId="4" applyNumberFormat="1"/>
    <xf numFmtId="166" fontId="4" fillId="3" borderId="1" xfId="4" applyNumberFormat="1"/>
    <xf numFmtId="0" fontId="3" fillId="3" borderId="7" xfId="3" applyBorder="1" applyAlignment="1"/>
    <xf numFmtId="0" fontId="3" fillId="3" borderId="8" xfId="3" applyBorder="1" applyAlignment="1"/>
    <xf numFmtId="0" fontId="4" fillId="3" borderId="3" xfId="4" applyBorder="1" applyAlignment="1">
      <alignment horizontal="left"/>
    </xf>
    <xf numFmtId="0" fontId="4" fillId="3" borderId="4" xfId="4" applyBorder="1" applyAlignment="1">
      <alignment horizontal="left"/>
    </xf>
    <xf numFmtId="0" fontId="2" fillId="2" borderId="3" xfId="2" applyBorder="1" applyAlignment="1"/>
    <xf numFmtId="0" fontId="2" fillId="2" borderId="4" xfId="2" applyBorder="1" applyAlignment="1"/>
    <xf numFmtId="44" fontId="0" fillId="0" borderId="0" xfId="0" applyNumberFormat="1"/>
    <xf numFmtId="0" fontId="2" fillId="2" borderId="3" xfId="2" applyBorder="1" applyAlignment="1">
      <alignment horizontal="center"/>
    </xf>
    <xf numFmtId="0" fontId="2" fillId="2" borderId="4" xfId="2" applyBorder="1" applyAlignment="1">
      <alignment horizontal="center"/>
    </xf>
    <xf numFmtId="167" fontId="0" fillId="0" borderId="0" xfId="5" applyNumberFormat="1" applyFont="1"/>
    <xf numFmtId="168" fontId="0" fillId="0" borderId="0" xfId="0" applyNumberFormat="1"/>
    <xf numFmtId="167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3" fillId="3" borderId="7" xfId="3" applyBorder="1" applyAlignment="1"/>
    <xf numFmtId="0" fontId="3" fillId="3" borderId="8" xfId="3" applyBorder="1" applyAlignment="1"/>
    <xf numFmtId="0" fontId="4" fillId="3" borderId="1" xfId="4" applyAlignment="1">
      <alignment horizontal="left"/>
    </xf>
    <xf numFmtId="0" fontId="3" fillId="3" borderId="2" xfId="3"/>
    <xf numFmtId="171" fontId="3" fillId="3" borderId="2" xfId="3" applyNumberFormat="1"/>
    <xf numFmtId="172" fontId="0" fillId="0" borderId="0" xfId="0" applyNumberFormat="1"/>
    <xf numFmtId="10" fontId="4" fillId="3" borderId="1" xfId="4" applyNumberFormat="1"/>
    <xf numFmtId="0" fontId="7" fillId="4" borderId="1" xfId="6" applyBorder="1"/>
    <xf numFmtId="9" fontId="7" fillId="4" borderId="1" xfId="6" applyNumberFormat="1" applyBorder="1"/>
    <xf numFmtId="10" fontId="7" fillId="4" borderId="1" xfId="6" applyNumberFormat="1" applyBorder="1"/>
    <xf numFmtId="166" fontId="7" fillId="4" borderId="1" xfId="6" applyNumberFormat="1" applyBorder="1"/>
    <xf numFmtId="0" fontId="3" fillId="3" borderId="0" xfId="3" applyBorder="1"/>
    <xf numFmtId="0" fontId="2" fillId="2" borderId="5" xfId="2" applyBorder="1" applyAlignment="1"/>
    <xf numFmtId="0" fontId="2" fillId="2" borderId="6" xfId="2" applyBorder="1" applyAlignment="1"/>
    <xf numFmtId="0" fontId="2" fillId="2" borderId="1" xfId="2" applyAlignment="1">
      <alignment horizontal="center"/>
    </xf>
    <xf numFmtId="9" fontId="0" fillId="0" borderId="0" xfId="1" applyFont="1"/>
    <xf numFmtId="174" fontId="2" fillId="2" borderId="1" xfId="2" applyNumberFormat="1"/>
    <xf numFmtId="174" fontId="4" fillId="3" borderId="1" xfId="4" applyNumberFormat="1"/>
    <xf numFmtId="174" fontId="0" fillId="0" borderId="0" xfId="0" applyNumberFormat="1"/>
  </cellXfs>
  <cellStyles count="7">
    <cellStyle name="Calculation" xfId="4" builtinId="22"/>
    <cellStyle name="Currency" xfId="5" builtinId="4"/>
    <cellStyle name="Input" xfId="2" builtinId="20"/>
    <cellStyle name="Neutral" xfId="6" builtinId="28"/>
    <cellStyle name="Normal" xfId="0" builtinId="0"/>
    <cellStyle name="Output" xfId="3" builtinId="21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ustomXml" Target="../customXml/item6.xml"/><Relationship Id="rId18" Type="http://schemas.openxmlformats.org/officeDocument/2006/relationships/customXml" Target="../customXml/item11.xml"/><Relationship Id="rId26" Type="http://schemas.openxmlformats.org/officeDocument/2006/relationships/customXml" Target="../customXml/item19.xml"/><Relationship Id="rId39" Type="http://schemas.microsoft.com/office/2006/relationships/vbaProject" Target="vbaProject.bin"/><Relationship Id="rId21" Type="http://schemas.openxmlformats.org/officeDocument/2006/relationships/customXml" Target="../customXml/item14.xml"/><Relationship Id="rId34" Type="http://schemas.openxmlformats.org/officeDocument/2006/relationships/customXml" Target="../customXml/item27.xml"/><Relationship Id="rId7" Type="http://schemas.openxmlformats.org/officeDocument/2006/relationships/calcChain" Target="calcChain.xml"/><Relationship Id="rId12" Type="http://schemas.openxmlformats.org/officeDocument/2006/relationships/customXml" Target="../customXml/item5.xml"/><Relationship Id="rId17" Type="http://schemas.openxmlformats.org/officeDocument/2006/relationships/customXml" Target="../customXml/item10.xml"/><Relationship Id="rId25" Type="http://schemas.openxmlformats.org/officeDocument/2006/relationships/customXml" Target="../customXml/item18.xml"/><Relationship Id="rId33" Type="http://schemas.openxmlformats.org/officeDocument/2006/relationships/customXml" Target="../customXml/item26.xml"/><Relationship Id="rId38" Type="http://schemas.openxmlformats.org/officeDocument/2006/relationships/customXml" Target="../customXml/item31.xml"/><Relationship Id="rId2" Type="http://schemas.openxmlformats.org/officeDocument/2006/relationships/theme" Target="theme/theme1.xml"/><Relationship Id="rId16" Type="http://schemas.openxmlformats.org/officeDocument/2006/relationships/customXml" Target="../customXml/item9.xml"/><Relationship Id="rId20" Type="http://schemas.openxmlformats.org/officeDocument/2006/relationships/customXml" Target="../customXml/item13.xml"/><Relationship Id="rId29" Type="http://schemas.openxmlformats.org/officeDocument/2006/relationships/customXml" Target="../customXml/item22.xml"/><Relationship Id="rId1" Type="http://schemas.openxmlformats.org/officeDocument/2006/relationships/worksheet" Target="worksheets/sheet1.xml"/><Relationship Id="rId6" Type="http://schemas.microsoft.com/office/2007/relationships/customDataProps" Target="customData/itemProps1.xml"/><Relationship Id="rId11" Type="http://schemas.openxmlformats.org/officeDocument/2006/relationships/customXml" Target="../customXml/item4.xml"/><Relationship Id="rId24" Type="http://schemas.openxmlformats.org/officeDocument/2006/relationships/customXml" Target="../customXml/item17.xml"/><Relationship Id="rId32" Type="http://schemas.openxmlformats.org/officeDocument/2006/relationships/customXml" Target="../customXml/item25.xml"/><Relationship Id="rId37" Type="http://schemas.openxmlformats.org/officeDocument/2006/relationships/customXml" Target="../customXml/item30.xml"/><Relationship Id="rId5" Type="http://schemas.openxmlformats.org/officeDocument/2006/relationships/sharedStrings" Target="sharedStrings.xml"/><Relationship Id="rId15" Type="http://schemas.openxmlformats.org/officeDocument/2006/relationships/customXml" Target="../customXml/item8.xml"/><Relationship Id="rId23" Type="http://schemas.openxmlformats.org/officeDocument/2006/relationships/customXml" Target="../customXml/item16.xml"/><Relationship Id="rId28" Type="http://schemas.openxmlformats.org/officeDocument/2006/relationships/customXml" Target="../customXml/item21.xml"/><Relationship Id="rId36" Type="http://schemas.openxmlformats.org/officeDocument/2006/relationships/customXml" Target="../customXml/item29.xml"/><Relationship Id="rId10" Type="http://schemas.openxmlformats.org/officeDocument/2006/relationships/customXml" Target="../customXml/item3.xml"/><Relationship Id="rId19" Type="http://schemas.openxmlformats.org/officeDocument/2006/relationships/customXml" Target="../customXml/item12.xml"/><Relationship Id="rId31" Type="http://schemas.openxmlformats.org/officeDocument/2006/relationships/customXml" Target="../customXml/item24.xml"/><Relationship Id="rId4" Type="http://schemas.openxmlformats.org/officeDocument/2006/relationships/styles" Target="styles.xml"/><Relationship Id="rId9" Type="http://schemas.openxmlformats.org/officeDocument/2006/relationships/customXml" Target="../customXml/item2.xml"/><Relationship Id="rId14" Type="http://schemas.openxmlformats.org/officeDocument/2006/relationships/customXml" Target="../customXml/item7.xml"/><Relationship Id="rId22" Type="http://schemas.openxmlformats.org/officeDocument/2006/relationships/customXml" Target="../customXml/item15.xml"/><Relationship Id="rId27" Type="http://schemas.openxmlformats.org/officeDocument/2006/relationships/customXml" Target="../customXml/item20.xml"/><Relationship Id="rId30" Type="http://schemas.openxmlformats.org/officeDocument/2006/relationships/customXml" Target="../customXml/item23.xml"/><Relationship Id="rId35" Type="http://schemas.openxmlformats.org/officeDocument/2006/relationships/customXml" Target="../customXml/item28.xml"/><Relationship Id="rId8" Type="http://schemas.openxmlformats.org/officeDocument/2006/relationships/customXml" Target="../customXml/item1.xml"/><Relationship Id="rId3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NAR and IRR for 48 Month Loan 5% PD 5.5% Nominal IR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1"/>
          <c:tx>
            <c:strRef>
              <c:f>pricing!$U$27</c:f>
              <c:strCache>
                <c:ptCount val="1"/>
                <c:pt idx="0">
                  <c:v>investor return (-fee)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yVal>
            <c:numRef>
              <c:f>pricing!$V$27:$BR$27</c:f>
              <c:numCache>
                <c:formatCode>0.00%</c:formatCode>
                <c:ptCount val="49"/>
                <c:pt idx="0">
                  <c:v>5.9324416503754751E-2</c:v>
                </c:pt>
                <c:pt idx="1">
                  <c:v>6.0700211579435059E-2</c:v>
                </c:pt>
                <c:pt idx="2">
                  <c:v>6.2048381339944614E-2</c:v>
                </c:pt>
                <c:pt idx="3">
                  <c:v>6.3369012749094455E-2</c:v>
                </c:pt>
                <c:pt idx="4">
                  <c:v>6.466220556875113E-2</c:v>
                </c:pt>
                <c:pt idx="5">
                  <c:v>6.5928071552464829E-2</c:v>
                </c:pt>
                <c:pt idx="6">
                  <c:v>6.7166733653692967E-2</c:v>
                </c:pt>
                <c:pt idx="7">
                  <c:v>6.8378325250442185E-2</c:v>
                </c:pt>
                <c:pt idx="8">
                  <c:v>6.9562989387859986E-2</c:v>
                </c:pt>
                <c:pt idx="9">
                  <c:v>7.0720878040110291E-2</c:v>
                </c:pt>
                <c:pt idx="10">
                  <c:v>7.1852151392678199E-2</c:v>
                </c:pt>
                <c:pt idx="11">
                  <c:v>7.2956977145936852E-2</c:v>
                </c:pt>
                <c:pt idx="12">
                  <c:v>7.4035529840772218E-2</c:v>
                </c:pt>
                <c:pt idx="13">
                  <c:v>7.5087990206857302E-2</c:v>
                </c:pt>
                <c:pt idx="14">
                  <c:v>7.611454453384936E-2</c:v>
                </c:pt>
                <c:pt idx="15">
                  <c:v>7.7115384065882253E-2</c:v>
                </c:pt>
                <c:pt idx="16">
                  <c:v>7.8090704419411017E-2</c:v>
                </c:pt>
                <c:pt idx="17">
                  <c:v>7.9040705024433278E-2</c:v>
                </c:pt>
                <c:pt idx="18">
                  <c:v>7.9965588588943648E-2</c:v>
                </c:pt>
                <c:pt idx="19">
                  <c:v>8.0865560586436125E-2</c:v>
                </c:pt>
                <c:pt idx="20">
                  <c:v>8.1740828766148965E-2</c:v>
                </c:pt>
                <c:pt idx="21">
                  <c:v>8.2591602685695431E-2</c:v>
                </c:pt>
                <c:pt idx="22">
                  <c:v>8.341809326558991E-2</c:v>
                </c:pt>
                <c:pt idx="23">
                  <c:v>8.4220512365220435E-2</c:v>
                </c:pt>
                <c:pt idx="24">
                  <c:v>8.499907237971005E-2</c:v>
                </c:pt>
                <c:pt idx="25">
                  <c:v>8.5423952197083874E-2</c:v>
                </c:pt>
                <c:pt idx="26">
                  <c:v>8.583505368159261E-2</c:v>
                </c:pt>
                <c:pt idx="27">
                  <c:v>8.6232536661776882E-2</c:v>
                </c:pt>
                <c:pt idx="28">
                  <c:v>8.6616556040277848E-2</c:v>
                </c:pt>
                <c:pt idx="29">
                  <c:v>8.6987261896469326E-2</c:v>
                </c:pt>
                <c:pt idx="30">
                  <c:v>8.7344799588599864E-2</c:v>
                </c:pt>
                <c:pt idx="31">
                  <c:v>8.768930985524559E-2</c:v>
                </c:pt>
                <c:pt idx="32">
                  <c:v>8.8020928915913066E-2</c:v>
                </c:pt>
                <c:pt idx="33">
                  <c:v>8.8339788570590327E-2</c:v>
                </c:pt>
                <c:pt idx="34">
                  <c:v>8.8646016298160824E-2</c:v>
                </c:pt>
                <c:pt idx="35">
                  <c:v>8.8939735353521954E-2</c:v>
                </c:pt>
                <c:pt idx="36">
                  <c:v>8.9221064863338473E-2</c:v>
                </c:pt>
                <c:pt idx="37">
                  <c:v>8.9490119920316635E-2</c:v>
                </c:pt>
                <c:pt idx="38">
                  <c:v>8.9747011675926469E-2</c:v>
                </c:pt>
                <c:pt idx="39">
                  <c:v>8.9991847431581284E-2</c:v>
                </c:pt>
                <c:pt idx="40">
                  <c:v>9.0224730728082569E-2</c:v>
                </c:pt>
                <c:pt idx="41">
                  <c:v>9.0445761433466165E-2</c:v>
                </c:pt>
                <c:pt idx="42">
                  <c:v>9.0655035829080299E-2</c:v>
                </c:pt>
                <c:pt idx="43">
                  <c:v>9.0852646693958539E-2</c:v>
                </c:pt>
                <c:pt idx="44">
                  <c:v>9.1038683387459685E-2</c:v>
                </c:pt>
                <c:pt idx="45">
                  <c:v>9.1213231930151961E-2</c:v>
                </c:pt>
                <c:pt idx="46">
                  <c:v>9.1376375082976802E-2</c:v>
                </c:pt>
                <c:pt idx="47">
                  <c:v>9.1528192424687571E-2</c:v>
                </c:pt>
                <c:pt idx="48">
                  <c:v>9.1668760427568774E-2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pricing!$U$28</c:f>
              <c:strCache>
                <c:ptCount val="1"/>
                <c:pt idx="0">
                  <c:v>approx investor return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yVal>
            <c:numRef>
              <c:f>pricing!$V$28:$BR$28</c:f>
              <c:numCache>
                <c:formatCode>0.00%</c:formatCode>
                <c:ptCount val="49"/>
                <c:pt idx="0">
                  <c:v>5.7561524486296346E-2</c:v>
                </c:pt>
                <c:pt idx="1">
                  <c:v>5.8021020068643472E-2</c:v>
                </c:pt>
                <c:pt idx="2">
                  <c:v>5.8484080570883647E-2</c:v>
                </c:pt>
                <c:pt idx="3">
                  <c:v>5.8950733650853696E-2</c:v>
                </c:pt>
                <c:pt idx="4">
                  <c:v>5.9421007180969175E-2</c:v>
                </c:pt>
                <c:pt idx="5">
                  <c:v>5.9894929249889137E-2</c:v>
                </c:pt>
                <c:pt idx="6">
                  <c:v>6.0372528164193806E-2</c:v>
                </c:pt>
                <c:pt idx="7">
                  <c:v>6.0853832450075293E-2</c:v>
                </c:pt>
                <c:pt idx="8">
                  <c:v>6.1338870855041389E-2</c:v>
                </c:pt>
                <c:pt idx="9">
                  <c:v>6.1827672349632691E-2</c:v>
                </c:pt>
                <c:pt idx="10">
                  <c:v>6.2320266129152882E-2</c:v>
                </c:pt>
                <c:pt idx="11">
                  <c:v>6.2816681615412512E-2</c:v>
                </c:pt>
                <c:pt idx="12">
                  <c:v>6.3316948458486344E-2</c:v>
                </c:pt>
                <c:pt idx="13">
                  <c:v>6.382109653848439E-2</c:v>
                </c:pt>
                <c:pt idx="14">
                  <c:v>6.4329155967336404E-2</c:v>
                </c:pt>
                <c:pt idx="15">
                  <c:v>6.4841157090590601E-2</c:v>
                </c:pt>
                <c:pt idx="16">
                  <c:v>6.5357130489226034E-2</c:v>
                </c:pt>
                <c:pt idx="17">
                  <c:v>6.5877106981479222E-2</c:v>
                </c:pt>
                <c:pt idx="18">
                  <c:v>6.6401117624684813E-2</c:v>
                </c:pt>
                <c:pt idx="19">
                  <c:v>6.6929193717130603E-2</c:v>
                </c:pt>
                <c:pt idx="20">
                  <c:v>6.7461366799926953E-2</c:v>
                </c:pt>
                <c:pt idx="21">
                  <c:v>6.7997668658890661E-2</c:v>
                </c:pt>
                <c:pt idx="22">
                  <c:v>6.8538131326443499E-2</c:v>
                </c:pt>
                <c:pt idx="23">
                  <c:v>6.9082787083525443E-2</c:v>
                </c:pt>
                <c:pt idx="24">
                  <c:v>7.9542057204625524E-2</c:v>
                </c:pt>
                <c:pt idx="25">
                  <c:v>7.9855505577487718E-2</c:v>
                </c:pt>
                <c:pt idx="26">
                  <c:v>8.0171385787309368E-2</c:v>
                </c:pt>
                <c:pt idx="27">
                  <c:v>8.0489716701092229E-2</c:v>
                </c:pt>
                <c:pt idx="28">
                  <c:v>8.0810517332214504E-2</c:v>
                </c:pt>
                <c:pt idx="29">
                  <c:v>8.1133806841566583E-2</c:v>
                </c:pt>
                <c:pt idx="30">
                  <c:v>8.1459604538695385E-2</c:v>
                </c:pt>
                <c:pt idx="31">
                  <c:v>8.1787929882957744E-2</c:v>
                </c:pt>
                <c:pt idx="32">
                  <c:v>8.211880248468266E-2</c:v>
                </c:pt>
                <c:pt idx="33">
                  <c:v>8.2452242106342624E-2</c:v>
                </c:pt>
                <c:pt idx="34">
                  <c:v>8.2788268663733983E-2</c:v>
                </c:pt>
                <c:pt idx="35">
                  <c:v>8.3126902227166427E-2</c:v>
                </c:pt>
                <c:pt idx="36">
                  <c:v>8.3468163022661829E-2</c:v>
                </c:pt>
                <c:pt idx="37">
                  <c:v>8.38120714331623E-2</c:v>
                </c:pt>
                <c:pt idx="38">
                  <c:v>8.4158647999747566E-2</c:v>
                </c:pt>
                <c:pt idx="39">
                  <c:v>8.4507913422861916E-2</c:v>
                </c:pt>
                <c:pt idx="40">
                  <c:v>8.485988856355059E-2</c:v>
                </c:pt>
                <c:pt idx="41">
                  <c:v>8.5214594444705777E-2</c:v>
                </c:pt>
                <c:pt idx="42">
                  <c:v>8.557205225232227E-2</c:v>
                </c:pt>
                <c:pt idx="43">
                  <c:v>8.5932283336762852E-2</c:v>
                </c:pt>
                <c:pt idx="44">
                  <c:v>8.6295309214033541E-2</c:v>
                </c:pt>
                <c:pt idx="45">
                  <c:v>8.6661151567068731E-2</c:v>
                </c:pt>
                <c:pt idx="46">
                  <c:v>8.7029832247026206E-2</c:v>
                </c:pt>
                <c:pt idx="47">
                  <c:v>8.7401373274592367E-2</c:v>
                </c:pt>
                <c:pt idx="48">
                  <c:v>8.7775796841297382E-2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pricing!$U$29</c:f>
              <c:strCache>
                <c:ptCount val="1"/>
                <c:pt idx="0">
                  <c:v>adj nar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yVal>
            <c:numRef>
              <c:f>pricing!$V$29:$BR$29</c:f>
              <c:numCache>
                <c:formatCode>0.00%</c:formatCode>
                <c:ptCount val="49"/>
                <c:pt idx="0">
                  <c:v>0</c:v>
                </c:pt>
                <c:pt idx="1">
                  <c:v>-0.28068519875746967</c:v>
                </c:pt>
                <c:pt idx="2">
                  <c:v>-0.11062119894573941</c:v>
                </c:pt>
                <c:pt idx="3">
                  <c:v>-4.6193014907612517E-2</c:v>
                </c:pt>
                <c:pt idx="4">
                  <c:v>-1.2382449643349114E-2</c:v>
                </c:pt>
                <c:pt idx="5">
                  <c:v>8.442080530715268E-3</c:v>
                </c:pt>
                <c:pt idx="6">
                  <c:v>2.2560426325294314E-2</c:v>
                </c:pt>
                <c:pt idx="7">
                  <c:v>3.2766798218393678E-2</c:v>
                </c:pt>
                <c:pt idx="8">
                  <c:v>4.0492888313794051E-2</c:v>
                </c:pt>
                <c:pt idx="9">
                  <c:v>4.654797442861458E-2</c:v>
                </c:pt>
                <c:pt idx="10">
                  <c:v>5.1423953627700136E-2</c:v>
                </c:pt>
                <c:pt idx="11">
                  <c:v>5.5437022604727382E-2</c:v>
                </c:pt>
                <c:pt idx="12">
                  <c:v>5.879969066866253E-2</c:v>
                </c:pt>
                <c:pt idx="13">
                  <c:v>6.1660060913946158E-2</c:v>
                </c:pt>
                <c:pt idx="14">
                  <c:v>6.4124513021546425E-2</c:v>
                </c:pt>
                <c:pt idx="15">
                  <c:v>6.6271431439161255E-2</c:v>
                </c:pt>
                <c:pt idx="16">
                  <c:v>6.8159848350210384E-2</c:v>
                </c:pt>
                <c:pt idx="17">
                  <c:v>6.9835071160617712E-2</c:v>
                </c:pt>
                <c:pt idx="18">
                  <c:v>7.1332454437911252E-2</c:v>
                </c:pt>
                <c:pt idx="19">
                  <c:v>7.2679992900268164E-2</c:v>
                </c:pt>
                <c:pt idx="20">
                  <c:v>7.3900144068864693E-2</c:v>
                </c:pt>
                <c:pt idx="21">
                  <c:v>7.5011134985587313E-2</c:v>
                </c:pt>
                <c:pt idx="22">
                  <c:v>7.6027915709735217E-2</c:v>
                </c:pt>
                <c:pt idx="23">
                  <c:v>7.6962866191224277E-2</c:v>
                </c:pt>
                <c:pt idx="24">
                  <c:v>8.4163402442726243E-2</c:v>
                </c:pt>
                <c:pt idx="25">
                  <c:v>8.461950264104412E-2</c:v>
                </c:pt>
                <c:pt idx="26">
                  <c:v>8.5043927236501116E-2</c:v>
                </c:pt>
                <c:pt idx="27">
                  <c:v>8.5440293756479768E-2</c:v>
                </c:pt>
                <c:pt idx="28">
                  <c:v>8.5811710035101241E-2</c:v>
                </c:pt>
                <c:pt idx="29">
                  <c:v>8.6160862058388021E-2</c:v>
                </c:pt>
                <c:pt idx="30">
                  <c:v>8.6490084324413186E-2</c:v>
                </c:pt>
                <c:pt idx="31">
                  <c:v>8.680141665456298E-2</c:v>
                </c:pt>
                <c:pt idx="32">
                  <c:v>8.7096650411472742E-2</c:v>
                </c:pt>
                <c:pt idx="33">
                  <c:v>8.7377366365371412E-2</c:v>
                </c:pt>
                <c:pt idx="34">
                  <c:v>8.7644965924776219E-2</c:v>
                </c:pt>
                <c:pt idx="35">
                  <c:v>8.7900697056883192E-2</c:v>
                </c:pt>
                <c:pt idx="36">
                  <c:v>8.8145675929423684E-2</c:v>
                </c:pt>
                <c:pt idx="37">
                  <c:v>8.8380905083714323E-2</c:v>
                </c:pt>
                <c:pt idx="38">
                  <c:v>8.8607288778781435E-2</c:v>
                </c:pt>
                <c:pt idx="39">
                  <c:v>8.882564601596421E-2</c:v>
                </c:pt>
                <c:pt idx="40">
                  <c:v>8.9036721651995165E-2</c:v>
                </c:pt>
                <c:pt idx="41">
                  <c:v>8.924119592963109E-2</c:v>
                </c:pt>
                <c:pt idx="42">
                  <c:v>8.9439692692669936E-2</c:v>
                </c:pt>
                <c:pt idx="43">
                  <c:v>8.963278650317319E-2</c:v>
                </c:pt>
                <c:pt idx="44">
                  <c:v>8.9821008839630512E-2</c:v>
                </c:pt>
                <c:pt idx="45">
                  <c:v>9.0004853523684369E-2</c:v>
                </c:pt>
                <c:pt idx="46">
                  <c:v>9.0184781497920197E-2</c:v>
                </c:pt>
                <c:pt idx="47">
                  <c:v>9.0361225057159711E-2</c:v>
                </c:pt>
                <c:pt idx="48">
                  <c:v>9.0534591619318983E-2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pricing!$U$30</c:f>
              <c:strCache>
                <c:ptCount val="1"/>
                <c:pt idx="0">
                  <c:v>NAR (Expected payments)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yVal>
            <c:numRef>
              <c:f>pricing!$V$30:$BR$30</c:f>
              <c:numCache>
                <c:formatCode>0.00%</c:formatCode>
                <c:ptCount val="49"/>
                <c:pt idx="0">
                  <c:v>5.5139211141995936E-2</c:v>
                </c:pt>
                <c:pt idx="1">
                  <c:v>5.651695392307432E-2</c:v>
                </c:pt>
                <c:pt idx="2">
                  <c:v>5.7875262824397922E-2</c:v>
                </c:pt>
                <c:pt idx="3">
                  <c:v>5.9214013945295463E-2</c:v>
                </c:pt>
                <c:pt idx="4">
                  <c:v>6.0533084210083299E-2</c:v>
                </c:pt>
                <c:pt idx="5">
                  <c:v>6.183235138533516E-2</c:v>
                </c:pt>
                <c:pt idx="6">
                  <c:v>6.3111694097172544E-2</c:v>
                </c:pt>
                <c:pt idx="7">
                  <c:v>6.4370991848596182E-2</c:v>
                </c:pt>
                <c:pt idx="8">
                  <c:v>6.56101250368335E-2</c:v>
                </c:pt>
                <c:pt idx="9">
                  <c:v>6.6828974970687627E-2</c:v>
                </c:pt>
                <c:pt idx="10">
                  <c:v>6.8027423887916161E-2</c:v>
                </c:pt>
                <c:pt idx="11">
                  <c:v>6.9205354972623034E-2</c:v>
                </c:pt>
                <c:pt idx="12">
                  <c:v>7.0362652372658596E-2</c:v>
                </c:pt>
                <c:pt idx="13">
                  <c:v>7.1499201217013031E-2</c:v>
                </c:pt>
                <c:pt idx="14">
                  <c:v>7.2614887633230207E-2</c:v>
                </c:pt>
                <c:pt idx="15">
                  <c:v>7.3709598764822637E-2</c:v>
                </c:pt>
                <c:pt idx="16">
                  <c:v>7.478322278867422E-2</c:v>
                </c:pt>
                <c:pt idx="17">
                  <c:v>7.5835648932446542E-2</c:v>
                </c:pt>
                <c:pt idx="18">
                  <c:v>7.6866767491971855E-2</c:v>
                </c:pt>
                <c:pt idx="19">
                  <c:v>7.7876469848651819E-2</c:v>
                </c:pt>
                <c:pt idx="20">
                  <c:v>7.8864648486817623E-2</c:v>
                </c:pt>
                <c:pt idx="21">
                  <c:v>7.9831197011098087E-2</c:v>
                </c:pt>
                <c:pt idx="22">
                  <c:v>8.0776010163757128E-2</c:v>
                </c:pt>
                <c:pt idx="23">
                  <c:v>8.1698983842003914E-2</c:v>
                </c:pt>
                <c:pt idx="24">
                  <c:v>8.260001511530235E-2</c:v>
                </c:pt>
                <c:pt idx="25">
                  <c:v>8.3145342586256277E-2</c:v>
                </c:pt>
                <c:pt idx="26">
                  <c:v>8.367485775824357E-2</c:v>
                </c:pt>
                <c:pt idx="27">
                  <c:v>8.4188578872187003E-2</c:v>
                </c:pt>
                <c:pt idx="28">
                  <c:v>8.4686525847610161E-2</c:v>
                </c:pt>
                <c:pt idx="29">
                  <c:v>8.5168720290852429E-2</c:v>
                </c:pt>
                <c:pt idx="30">
                  <c:v>8.5635185503126987E-2</c:v>
                </c:pt>
                <c:pt idx="31">
                  <c:v>8.6085946488503762E-2</c:v>
                </c:pt>
                <c:pt idx="32">
                  <c:v>8.6521029961757812E-2</c:v>
                </c:pt>
                <c:pt idx="33">
                  <c:v>8.6940464356087377E-2</c:v>
                </c:pt>
                <c:pt idx="34">
                  <c:v>8.7344279830740446E-2</c:v>
                </c:pt>
                <c:pt idx="35">
                  <c:v>8.7732508278492549E-2</c:v>
                </c:pt>
                <c:pt idx="36">
                  <c:v>8.8105183333021087E-2</c:v>
                </c:pt>
                <c:pt idx="37">
                  <c:v>8.8462340376151527E-2</c:v>
                </c:pt>
                <c:pt idx="38">
                  <c:v>8.8804016545003028E-2</c:v>
                </c:pt>
                <c:pt idx="39">
                  <c:v>8.9130250738980621E-2</c:v>
                </c:pt>
                <c:pt idx="40">
                  <c:v>8.9441083626670359E-2</c:v>
                </c:pt>
                <c:pt idx="41">
                  <c:v>8.9736557652619231E-2</c:v>
                </c:pt>
                <c:pt idx="42">
                  <c:v>9.0016717043969185E-2</c:v>
                </c:pt>
                <c:pt idx="43">
                  <c:v>9.0281607816998344E-2</c:v>
                </c:pt>
                <c:pt idx="44">
                  <c:v>9.053127778352299E-2</c:v>
                </c:pt>
                <c:pt idx="45">
                  <c:v>9.0765776557196975E-2</c:v>
                </c:pt>
                <c:pt idx="46">
                  <c:v>9.0985155559668796E-2</c:v>
                </c:pt>
                <c:pt idx="47">
                  <c:v>9.1189468026649401E-2</c:v>
                </c:pt>
                <c:pt idx="48">
                  <c:v>9.1378769013846783E-2</c:v>
                </c:pt>
              </c:numCache>
            </c:numRef>
          </c:yVal>
          <c:smooth val="1"/>
        </c:ser>
        <c:ser>
          <c:idx val="5"/>
          <c:order val="5"/>
          <c:tx>
            <c:strRef>
              <c:f>pricing!$U$31</c:f>
              <c:strCache>
                <c:ptCount val="1"/>
                <c:pt idx="0">
                  <c:v>Adj NAR 12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yVal>
            <c:numRef>
              <c:f>pricing!$V$31:$BR$31</c:f>
              <c:numCache>
                <c:formatCode>0.00%</c:formatCode>
                <c:ptCount val="49"/>
                <c:pt idx="0">
                  <c:v>5.5206447709135409E-2</c:v>
                </c:pt>
                <c:pt idx="1">
                  <c:v>5.8480099056321455E-2</c:v>
                </c:pt>
                <c:pt idx="2">
                  <c:v>6.126776826230107E-2</c:v>
                </c:pt>
                <c:pt idx="3">
                  <c:v>6.3671288808332838E-2</c:v>
                </c:pt>
                <c:pt idx="4">
                  <c:v>6.5765936689407445E-2</c:v>
                </c:pt>
                <c:pt idx="5">
                  <c:v>6.7608558861629087E-2</c:v>
                </c:pt>
                <c:pt idx="6">
                  <c:v>6.9242888659956758E-2</c:v>
                </c:pt>
                <c:pt idx="7">
                  <c:v>7.070312196496209E-2</c:v>
                </c:pt>
                <c:pt idx="8">
                  <c:v>7.2016383707112608E-2</c:v>
                </c:pt>
                <c:pt idx="9">
                  <c:v>7.3204466652451172E-2</c:v>
                </c:pt>
                <c:pt idx="10">
                  <c:v>7.4285081215193838E-2</c:v>
                </c:pt>
                <c:pt idx="11">
                  <c:v>7.5272769537541473E-2</c:v>
                </c:pt>
                <c:pt idx="12">
                  <c:v>7.6179584545816637E-2</c:v>
                </c:pt>
                <c:pt idx="13">
                  <c:v>7.7015601586571725E-2</c:v>
                </c:pt>
                <c:pt idx="14">
                  <c:v>7.7789308900322984E-2</c:v>
                </c:pt>
                <c:pt idx="15">
                  <c:v>7.8507909139056142E-2</c:v>
                </c:pt>
                <c:pt idx="16">
                  <c:v>7.9177554708290465E-2</c:v>
                </c:pt>
                <c:pt idx="17">
                  <c:v>7.9803533282762906E-2</c:v>
                </c:pt>
                <c:pt idx="18">
                  <c:v>8.039041538630376E-2</c:v>
                </c:pt>
                <c:pt idx="19">
                  <c:v>8.094217279075E-2</c:v>
                </c:pt>
                <c:pt idx="20">
                  <c:v>8.1462274253535139E-2</c:v>
                </c:pt>
                <c:pt idx="21">
                  <c:v>8.1953763500654642E-2</c:v>
                </c:pt>
                <c:pt idx="22">
                  <c:v>8.2419323184251825E-2</c:v>
                </c:pt>
                <c:pt idx="23">
                  <c:v>8.2861327675029184E-2</c:v>
                </c:pt>
                <c:pt idx="24">
                  <c:v>8.7268449241736379E-2</c:v>
                </c:pt>
                <c:pt idx="25">
                  <c:v>8.7496431820386356E-2</c:v>
                </c:pt>
                <c:pt idx="26">
                  <c:v>8.7714218634165508E-2</c:v>
                </c:pt>
                <c:pt idx="27">
                  <c:v>8.7922674381845978E-2</c:v>
                </c:pt>
                <c:pt idx="28">
                  <c:v>8.8122578366906845E-2</c:v>
                </c:pt>
                <c:pt idx="29">
                  <c:v>8.8314635250962281E-2</c:v>
                </c:pt>
                <c:pt idx="30">
                  <c:v>8.849948425234655E-2</c:v>
                </c:pt>
                <c:pt idx="31">
                  <c:v>8.8677707048154364E-2</c:v>
                </c:pt>
                <c:pt idx="32">
                  <c:v>8.8849834590360333E-2</c:v>
                </c:pt>
                <c:pt idx="33">
                  <c:v>8.9016353008622096E-2</c:v>
                </c:pt>
                <c:pt idx="34">
                  <c:v>8.9177708741876804E-2</c:v>
                </c:pt>
                <c:pt idx="35">
                  <c:v>8.9334313016437239E-2</c:v>
                </c:pt>
                <c:pt idx="36">
                  <c:v>8.9486545768361569E-2</c:v>
                </c:pt>
                <c:pt idx="37">
                  <c:v>8.9634759091736571E-2</c:v>
                </c:pt>
                <c:pt idx="38">
                  <c:v>8.9779280281511609E-2</c:v>
                </c:pt>
                <c:pt idx="39">
                  <c:v>8.9920414528447123E-2</c:v>
                </c:pt>
                <c:pt idx="40">
                  <c:v>9.005844731512247E-2</c:v>
                </c:pt>
                <c:pt idx="41">
                  <c:v>9.01936465544253E-2</c:v>
                </c:pt>
                <c:pt idx="42">
                  <c:v>9.0326264505899534E-2</c:v>
                </c:pt>
                <c:pt idx="43">
                  <c:v>9.0456539500324062E-2</c:v>
                </c:pt>
                <c:pt idx="44">
                  <c:v>9.0584697498574451E-2</c:v>
                </c:pt>
                <c:pt idx="45">
                  <c:v>9.0710953507390668E-2</c:v>
                </c:pt>
                <c:pt idx="46">
                  <c:v>9.0835512871623836E-2</c:v>
                </c:pt>
                <c:pt idx="47">
                  <c:v>9.0958572460181131E-2</c:v>
                </c:pt>
                <c:pt idx="48">
                  <c:v>9.1080321760711458E-2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545101392"/>
        <c:axId val="-1598434224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pricing!$U$26</c15:sqref>
                        </c15:formulaRef>
                      </c:ext>
                    </c:extLst>
                    <c:strCache>
                      <c:ptCount val="1"/>
                      <c:pt idx="0">
                        <c:v>Months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yVal>
                  <c:numRef>
                    <c:extLst>
                      <c:ext uri="{02D57815-91ED-43cb-92C2-25804820EDAC}">
                        <c15:formulaRef>
                          <c15:sqref>pricing!$V$26:$BR$26</c15:sqref>
                        </c15:formulaRef>
                      </c:ext>
                    </c:extLst>
                    <c:numCache>
                      <c:formatCode>General</c:formatCode>
                      <c:ptCount val="49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 formatCode="0.00%">
                        <c:v>13</c:v>
                      </c:pt>
                      <c:pt idx="14" formatCode="0.00%">
                        <c:v>14</c:v>
                      </c:pt>
                      <c:pt idx="15" formatCode="0.00%">
                        <c:v>15</c:v>
                      </c:pt>
                      <c:pt idx="16" formatCode="0.00%">
                        <c:v>16</c:v>
                      </c:pt>
                      <c:pt idx="17" formatCode="0.00%">
                        <c:v>17</c:v>
                      </c:pt>
                      <c:pt idx="18" formatCode="0.00%">
                        <c:v>18</c:v>
                      </c:pt>
                      <c:pt idx="19">
                        <c:v>19</c:v>
                      </c:pt>
                      <c:pt idx="20">
                        <c:v>20</c:v>
                      </c:pt>
                      <c:pt idx="21">
                        <c:v>21</c:v>
                      </c:pt>
                      <c:pt idx="22">
                        <c:v>22</c:v>
                      </c:pt>
                      <c:pt idx="23">
                        <c:v>23</c:v>
                      </c:pt>
                      <c:pt idx="24">
                        <c:v>24</c:v>
                      </c:pt>
                      <c:pt idx="25">
                        <c:v>25</c:v>
                      </c:pt>
                      <c:pt idx="26">
                        <c:v>26</c:v>
                      </c:pt>
                      <c:pt idx="27">
                        <c:v>27</c:v>
                      </c:pt>
                      <c:pt idx="28">
                        <c:v>28</c:v>
                      </c:pt>
                      <c:pt idx="29">
                        <c:v>29</c:v>
                      </c:pt>
                      <c:pt idx="30">
                        <c:v>30</c:v>
                      </c:pt>
                      <c:pt idx="31">
                        <c:v>31</c:v>
                      </c:pt>
                      <c:pt idx="32">
                        <c:v>32</c:v>
                      </c:pt>
                      <c:pt idx="33">
                        <c:v>33</c:v>
                      </c:pt>
                      <c:pt idx="34">
                        <c:v>34</c:v>
                      </c:pt>
                      <c:pt idx="35">
                        <c:v>35</c:v>
                      </c:pt>
                      <c:pt idx="36">
                        <c:v>36</c:v>
                      </c:pt>
                      <c:pt idx="37">
                        <c:v>37</c:v>
                      </c:pt>
                      <c:pt idx="38">
                        <c:v>38</c:v>
                      </c:pt>
                      <c:pt idx="39">
                        <c:v>39</c:v>
                      </c:pt>
                      <c:pt idx="40">
                        <c:v>40</c:v>
                      </c:pt>
                      <c:pt idx="41">
                        <c:v>41</c:v>
                      </c:pt>
                      <c:pt idx="42">
                        <c:v>42</c:v>
                      </c:pt>
                      <c:pt idx="43">
                        <c:v>43</c:v>
                      </c:pt>
                      <c:pt idx="44">
                        <c:v>44</c:v>
                      </c:pt>
                      <c:pt idx="45">
                        <c:v>45</c:v>
                      </c:pt>
                      <c:pt idx="46">
                        <c:v>46</c:v>
                      </c:pt>
                      <c:pt idx="47">
                        <c:v>47</c:v>
                      </c:pt>
                      <c:pt idx="48">
                        <c:v>48</c:v>
                      </c:pt>
                    </c:numCache>
                  </c:numRef>
                </c:yVal>
                <c:smooth val="1"/>
              </c15:ser>
            </c15:filteredScatterSeries>
          </c:ext>
        </c:extLst>
      </c:scatterChart>
      <c:valAx>
        <c:axId val="-15451013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98434224"/>
        <c:crosses val="autoZero"/>
        <c:crossBetween val="midCat"/>
      </c:valAx>
      <c:valAx>
        <c:axId val="-159843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154510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ustomData/_rels/itemProps1.xml.rels><?xml version="1.0" encoding="UTF-8" standalone="yes"?>
<Relationships xmlns="http://schemas.openxmlformats.org/package/2006/relationships"><Relationship Id="rId1" Type="http://schemas.microsoft.com/office/2007/relationships/customData" Target="item1.data"/></Relationships>
</file>

<file path=xl/customData/itemProps1.xml><?xml version="1.0" encoding="utf-8"?>
<datastoreItem xmlns="http://schemas.microsoft.com/office/spreadsheetml/2009/9/main" id="Microsoft_SQLServer_AnalysisServices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133350</xdr:colOff>
      <xdr:row>35</xdr:row>
      <xdr:rowOff>180974</xdr:rowOff>
    </xdr:from>
    <xdr:to>
      <xdr:col>37</xdr:col>
      <xdr:colOff>323850</xdr:colOff>
      <xdr:row>81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CD81"/>
  <sheetViews>
    <sheetView tabSelected="1" topLeftCell="B1" zoomScaleNormal="100" workbookViewId="0">
      <selection activeCell="Q9" sqref="Q9"/>
    </sheetView>
  </sheetViews>
  <sheetFormatPr defaultRowHeight="15" x14ac:dyDescent="0.25"/>
  <cols>
    <col min="2" max="3" width="9.28515625" bestFit="1" customWidth="1"/>
    <col min="4" max="4" width="11.7109375" customWidth="1"/>
    <col min="5" max="5" width="18.5703125" bestFit="1" customWidth="1"/>
    <col min="6" max="6" width="12.28515625" customWidth="1"/>
    <col min="7" max="7" width="16.85546875" customWidth="1"/>
    <col min="8" max="8" width="9.28515625" bestFit="1" customWidth="1"/>
    <col min="9" max="9" width="13.42578125" customWidth="1"/>
    <col min="10" max="10" width="19.5703125" bestFit="1" customWidth="1"/>
    <col min="11" max="11" width="11" customWidth="1"/>
    <col min="12" max="12" width="20.5703125" bestFit="1" customWidth="1"/>
    <col min="13" max="13" width="19.7109375" bestFit="1" customWidth="1"/>
    <col min="14" max="14" width="9.28515625" bestFit="1" customWidth="1"/>
    <col min="15" max="15" width="11.140625" bestFit="1" customWidth="1"/>
    <col min="16" max="16" width="9.28515625" bestFit="1" customWidth="1"/>
    <col min="17" max="17" width="9.5703125" bestFit="1" customWidth="1"/>
    <col min="21" max="21" width="12.7109375" bestFit="1" customWidth="1"/>
    <col min="22" max="23" width="9.28515625" bestFit="1" customWidth="1"/>
    <col min="34" max="34" width="14.85546875" customWidth="1"/>
    <col min="35" max="40" width="12.42578125" bestFit="1" customWidth="1"/>
  </cols>
  <sheetData>
    <row r="1" spans="2:60" x14ac:dyDescent="0.25">
      <c r="W1" s="4"/>
      <c r="X1" s="5"/>
    </row>
    <row r="2" spans="2:60" x14ac:dyDescent="0.25">
      <c r="B2" s="45" t="s">
        <v>6</v>
      </c>
      <c r="C2" s="45"/>
      <c r="D2" s="1">
        <v>60</v>
      </c>
      <c r="F2" t="s">
        <v>48</v>
      </c>
      <c r="G2">
        <v>60</v>
      </c>
    </row>
    <row r="3" spans="2:60" x14ac:dyDescent="0.25">
      <c r="B3" s="24" t="s">
        <v>5</v>
      </c>
      <c r="C3" s="25"/>
      <c r="D3" s="3">
        <v>4.7300000000000002E-2</v>
      </c>
      <c r="J3" s="1" t="s">
        <v>21</v>
      </c>
      <c r="K3" s="1"/>
      <c r="L3" s="1"/>
      <c r="AI3" s="8"/>
      <c r="AJ3" s="8"/>
      <c r="AK3" s="8"/>
      <c r="AL3" s="8"/>
      <c r="AM3" s="8"/>
      <c r="AN3" s="8"/>
      <c r="AO3" s="8"/>
      <c r="AP3" s="8"/>
      <c r="AQ3" s="8"/>
      <c r="AR3" s="8"/>
      <c r="AY3" s="8"/>
      <c r="AZ3" s="8"/>
      <c r="BA3" s="8"/>
      <c r="BB3" s="8"/>
      <c r="BC3" s="8"/>
      <c r="BD3" s="8"/>
      <c r="BE3" s="8"/>
      <c r="BF3" s="8"/>
      <c r="BG3" s="8"/>
      <c r="BH3" s="8"/>
    </row>
    <row r="4" spans="2:60" x14ac:dyDescent="0.25">
      <c r="B4" s="43" t="s">
        <v>2</v>
      </c>
      <c r="C4" s="44"/>
      <c r="D4" s="3">
        <v>5.9341999999999999E-2</v>
      </c>
      <c r="J4" s="1" t="s">
        <v>0</v>
      </c>
      <c r="K4" s="13">
        <v>7500</v>
      </c>
      <c r="L4" s="1"/>
      <c r="O4" s="19" t="s">
        <v>8</v>
      </c>
      <c r="P4" s="20"/>
      <c r="Q4" s="16">
        <f>(1-D3)^(1/12)</f>
        <v>0.99597020647520662</v>
      </c>
      <c r="U4">
        <v>112589655139.9424</v>
      </c>
      <c r="AI4" s="5"/>
      <c r="AJ4" s="5"/>
      <c r="AK4" s="5"/>
      <c r="AL4" s="5"/>
      <c r="AM4" s="5"/>
      <c r="AN4" s="5"/>
      <c r="AO4" s="5"/>
      <c r="AP4" s="5"/>
      <c r="AQ4" s="5"/>
      <c r="AR4" s="5"/>
      <c r="AY4" s="5"/>
      <c r="AZ4" s="5"/>
      <c r="BA4" s="5"/>
      <c r="BB4" s="5"/>
      <c r="BC4" s="5"/>
      <c r="BD4" s="5"/>
      <c r="BE4" s="5"/>
      <c r="BF4" s="5"/>
      <c r="BG4" s="5"/>
      <c r="BH4" s="5"/>
    </row>
    <row r="5" spans="2:60" x14ac:dyDescent="0.25">
      <c r="B5" s="43" t="s">
        <v>12</v>
      </c>
      <c r="C5" s="44"/>
      <c r="D5" s="3">
        <v>9.3100000000000002E-2</v>
      </c>
      <c r="E5" s="5"/>
      <c r="J5" s="1"/>
      <c r="K5" s="1"/>
      <c r="L5" s="1" t="s">
        <v>35</v>
      </c>
      <c r="M5" s="2" t="s">
        <v>36</v>
      </c>
      <c r="O5" s="19" t="s">
        <v>11</v>
      </c>
      <c r="P5" s="20"/>
      <c r="Q5" s="16">
        <f>1-Q4</f>
        <v>4.0297935247933792E-3</v>
      </c>
      <c r="S5" s="19" t="s">
        <v>1</v>
      </c>
      <c r="T5" s="20"/>
      <c r="U5" s="15">
        <f>1+D5*$Q6</f>
        <v>1.0077583333333333</v>
      </c>
      <c r="AI5" s="5"/>
      <c r="AJ5" s="5"/>
      <c r="AK5" s="5"/>
      <c r="AL5" s="5"/>
      <c r="AM5" s="5"/>
      <c r="AN5" s="5"/>
      <c r="AO5" s="5"/>
      <c r="AP5" s="5"/>
      <c r="AQ5" s="5"/>
      <c r="AR5" s="5"/>
      <c r="AY5" s="8"/>
      <c r="AZ5" s="8"/>
      <c r="BA5" s="8"/>
      <c r="BB5" s="8"/>
      <c r="BC5" s="8"/>
      <c r="BD5" s="8"/>
      <c r="BE5" s="8"/>
      <c r="BF5" s="8"/>
      <c r="BG5" s="8"/>
      <c r="BH5" s="8"/>
    </row>
    <row r="6" spans="2:60" x14ac:dyDescent="0.25">
      <c r="B6" t="s">
        <v>22</v>
      </c>
      <c r="D6" s="26">
        <f>PMT(D5*Q6,D2,-1)</f>
        <v>2.0909131142155406E-2</v>
      </c>
      <c r="J6" s="1"/>
      <c r="K6" s="14">
        <v>0</v>
      </c>
      <c r="L6" s="47">
        <f>1-M6</f>
        <v>0.58139999999999992</v>
      </c>
      <c r="M6" s="37">
        <v>0.41860000000000003</v>
      </c>
      <c r="O6" s="19" t="s">
        <v>14</v>
      </c>
      <c r="P6" s="20"/>
      <c r="Q6" s="6">
        <f>1/12</f>
        <v>8.3333333333333329E-2</v>
      </c>
      <c r="S6" s="19" t="s">
        <v>13</v>
      </c>
      <c r="T6" s="20"/>
      <c r="U6" s="15">
        <f>U5^$D$2</f>
        <v>1.5899515334445118</v>
      </c>
      <c r="AI6" s="27"/>
      <c r="AJ6" s="27"/>
      <c r="AK6" s="27"/>
      <c r="AL6" s="27"/>
      <c r="AM6" s="27"/>
      <c r="AN6" s="27"/>
      <c r="AO6" s="28"/>
      <c r="AP6" s="28"/>
      <c r="AQ6" s="28"/>
      <c r="AR6" s="28"/>
      <c r="AY6" s="5"/>
      <c r="AZ6" s="5"/>
      <c r="BA6" s="5"/>
      <c r="BB6" s="5"/>
      <c r="BC6" s="5"/>
      <c r="BD6" s="5"/>
      <c r="BE6" s="5"/>
      <c r="BF6" s="5"/>
      <c r="BG6" s="5"/>
      <c r="BH6" s="5"/>
    </row>
    <row r="7" spans="2:60" x14ac:dyDescent="0.25">
      <c r="B7" s="17" t="s">
        <v>23</v>
      </c>
      <c r="C7" s="18"/>
      <c r="D7" s="4">
        <f>(U10+U9)</f>
        <v>1.0873154256363322</v>
      </c>
      <c r="J7" s="1"/>
      <c r="K7" s="14">
        <v>5000</v>
      </c>
      <c r="L7" s="47">
        <f t="shared" ref="L7:L9" si="0">1-M7</f>
        <v>0.26129999999999998</v>
      </c>
      <c r="M7" s="37">
        <v>0.73870000000000002</v>
      </c>
      <c r="S7" s="33" t="s">
        <v>3</v>
      </c>
      <c r="T7" s="33"/>
      <c r="U7" s="48">
        <f>U6/(U6-1)*D5</f>
        <v>0.25090957370586542</v>
      </c>
      <c r="V7" s="49">
        <f>PMT(D5/12,D2,-1)*12</f>
        <v>0.25090957370586486</v>
      </c>
      <c r="AI7" s="5"/>
      <c r="AJ7" s="5"/>
      <c r="AK7" s="5"/>
      <c r="AL7" s="5"/>
      <c r="AM7" s="5"/>
      <c r="AN7" s="5"/>
      <c r="AO7" s="5"/>
      <c r="AP7" s="5"/>
      <c r="AQ7" s="5"/>
      <c r="AR7" s="5"/>
      <c r="AY7" s="9"/>
      <c r="AZ7" s="9"/>
      <c r="BA7" s="9"/>
      <c r="BB7" s="9"/>
      <c r="BC7" s="9"/>
      <c r="BD7" s="9"/>
      <c r="BE7" s="9"/>
      <c r="BF7" s="9"/>
      <c r="BG7" s="9"/>
      <c r="BH7" s="9"/>
    </row>
    <row r="8" spans="2:60" x14ac:dyDescent="0.25">
      <c r="B8" s="21" t="s">
        <v>4</v>
      </c>
      <c r="C8" s="22"/>
      <c r="D8" s="12">
        <v>0.01</v>
      </c>
      <c r="J8" s="1"/>
      <c r="K8" s="14">
        <v>25000</v>
      </c>
      <c r="L8" s="47">
        <f t="shared" si="0"/>
        <v>0.14249999999999996</v>
      </c>
      <c r="M8" s="37">
        <v>0.85750000000000004</v>
      </c>
      <c r="AI8" s="9"/>
      <c r="AJ8" s="9"/>
      <c r="AK8" s="9"/>
      <c r="AL8" s="9"/>
      <c r="AM8" s="9"/>
      <c r="AN8" s="9"/>
      <c r="AO8" s="9"/>
      <c r="AP8" s="9"/>
      <c r="AQ8" s="9"/>
      <c r="AR8" s="9"/>
      <c r="AY8" s="5"/>
      <c r="AZ8" s="5"/>
      <c r="BA8" s="5"/>
      <c r="BB8" s="5"/>
      <c r="BC8" s="5"/>
      <c r="BD8" s="5"/>
      <c r="BE8" s="5"/>
      <c r="BF8" s="5"/>
      <c r="BG8" s="5"/>
      <c r="BH8" s="5"/>
    </row>
    <row r="9" spans="2:60" x14ac:dyDescent="0.25">
      <c r="B9" s="17" t="s">
        <v>20</v>
      </c>
      <c r="C9" s="18"/>
      <c r="D9" s="4">
        <f>(1-D8)*D7</f>
        <v>1.0764422713799688</v>
      </c>
      <c r="J9" s="1"/>
      <c r="K9" s="14">
        <v>100000</v>
      </c>
      <c r="L9" s="47">
        <f t="shared" si="0"/>
        <v>0.14249999999999996</v>
      </c>
      <c r="M9" s="37">
        <v>0.85750000000000004</v>
      </c>
      <c r="O9" s="33" t="s">
        <v>17</v>
      </c>
      <c r="P9" s="33"/>
      <c r="Q9" s="2">
        <f>(1+D4)^(-1/12)</f>
        <v>0.99520752401475632</v>
      </c>
      <c r="S9" s="31" t="s">
        <v>24</v>
      </c>
      <c r="T9" s="32"/>
      <c r="U9" s="11">
        <f>U7*$Q$10</f>
        <v>1.0873154256363322</v>
      </c>
      <c r="AI9" s="5"/>
      <c r="AJ9" s="5"/>
      <c r="AK9" s="5"/>
      <c r="AL9" s="5"/>
      <c r="AM9" s="5"/>
      <c r="AN9" s="5"/>
      <c r="AO9" s="5"/>
      <c r="AP9" s="5"/>
      <c r="AQ9" s="5"/>
      <c r="AR9" s="5"/>
    </row>
    <row r="10" spans="2:60" x14ac:dyDescent="0.25">
      <c r="B10" s="34" t="s">
        <v>25</v>
      </c>
      <c r="C10" s="34"/>
      <c r="D10" s="35">
        <f>D6*(1-D8)</f>
        <v>2.0700039830733853E-2</v>
      </c>
      <c r="O10" s="33"/>
      <c r="P10" s="33" t="s">
        <v>31</v>
      </c>
      <c r="Q10" s="2">
        <f>Q6*SUMPRODUCT($D22:$D81,$Q22:$Q81)</f>
        <v>4.3334951695026316</v>
      </c>
      <c r="S10" s="31" t="s">
        <v>19</v>
      </c>
      <c r="T10" s="32"/>
      <c r="U10" s="11">
        <f>SUMPRODUCT(H22:H81,Q22:Q81)</f>
        <v>0</v>
      </c>
      <c r="AE10" s="23"/>
      <c r="AI10" s="27"/>
      <c r="AJ10" s="27"/>
      <c r="AK10" s="27"/>
      <c r="AL10" s="27"/>
      <c r="AM10" s="27"/>
      <c r="AN10" s="27"/>
      <c r="AO10" s="28"/>
      <c r="AP10" s="28"/>
      <c r="AQ10" s="28"/>
      <c r="AR10" s="28"/>
    </row>
    <row r="11" spans="2:60" x14ac:dyDescent="0.25">
      <c r="B11" s="34" t="s">
        <v>26</v>
      </c>
      <c r="C11" s="34"/>
      <c r="D11" s="4">
        <f>RATE(D2,D10,-1)*12</f>
        <v>8.8797439454352228E-2</v>
      </c>
      <c r="AE11" s="23"/>
      <c r="AI11" s="5"/>
      <c r="AJ11" s="5"/>
      <c r="AK11" s="5"/>
      <c r="AL11" s="5"/>
      <c r="AM11" s="5"/>
      <c r="AN11" s="5"/>
      <c r="AO11" s="5"/>
      <c r="AP11" s="5"/>
      <c r="AQ11" s="5"/>
      <c r="AR11" s="5"/>
    </row>
    <row r="12" spans="2:60" x14ac:dyDescent="0.25">
      <c r="B12" s="34" t="s">
        <v>52</v>
      </c>
      <c r="C12" s="34"/>
      <c r="D12" s="7">
        <f>(1+D11/12)^12-1</f>
        <v>9.2502034486296347E-2</v>
      </c>
      <c r="AE12" s="23"/>
    </row>
    <row r="13" spans="2:60" x14ac:dyDescent="0.25">
      <c r="B13" s="42" t="s">
        <v>33</v>
      </c>
      <c r="D13" s="5">
        <f>(1+E13)^12-1</f>
        <v>9.7177207479436811E-2</v>
      </c>
      <c r="E13" s="5">
        <f>IRR(O21:O81)</f>
        <v>7.7583333151303169E-3</v>
      </c>
      <c r="L13">
        <f>1440/30</f>
        <v>48</v>
      </c>
      <c r="AE13" s="23"/>
    </row>
    <row r="14" spans="2:60" x14ac:dyDescent="0.25">
      <c r="B14" s="42" t="s">
        <v>32</v>
      </c>
      <c r="D14" s="5">
        <f>(1+E14)^12-1</f>
        <v>9.250203427295145E-2</v>
      </c>
      <c r="E14" s="5">
        <f>IRR(P21:P81)</f>
        <v>7.3997866048023386E-3</v>
      </c>
      <c r="AE14" s="23"/>
    </row>
    <row r="15" spans="2:60" x14ac:dyDescent="0.25">
      <c r="B15" s="42" t="s">
        <v>34</v>
      </c>
      <c r="D15" s="5">
        <f>(D12+F16)</f>
        <v>9.2502034486296347E-2</v>
      </c>
      <c r="E15" s="36" t="s">
        <v>51</v>
      </c>
      <c r="F15" s="8">
        <f>IF(G2=D2,0,INDEX(F22:F81,G2+1))</f>
        <v>0</v>
      </c>
      <c r="Q15" s="30" t="e">
        <f ca="1">D5/Q17</f>
        <v>#NAME?</v>
      </c>
      <c r="AE15" s="23"/>
    </row>
    <row r="16" spans="2:60" x14ac:dyDescent="0.25">
      <c r="B16" s="42" t="s">
        <v>41</v>
      </c>
      <c r="D16" s="5">
        <f>(1+(F18+F16)/F17)^12-1</f>
        <v>9.2502034486296347E-2</v>
      </c>
      <c r="E16" s="42" t="s">
        <v>38</v>
      </c>
      <c r="F16" s="8">
        <f>-D3*F15*VLOOKUP(K4*F15,K6:M9,3)</f>
        <v>0</v>
      </c>
      <c r="H16" s="8"/>
      <c r="I16" s="8"/>
      <c r="AE16" s="23"/>
    </row>
    <row r="17" spans="2:82" x14ac:dyDescent="0.25">
      <c r="B17" s="42" t="s">
        <v>47</v>
      </c>
      <c r="D17" s="5">
        <f>(1+(G18)/G17)^12-1</f>
        <v>9.2502034486296347E-2</v>
      </c>
      <c r="E17" s="42" t="s">
        <v>39</v>
      </c>
      <c r="F17" s="46">
        <f>SUMIF(C21:C81,"&gt;0",F21:F81)</f>
        <v>32.80960711441341</v>
      </c>
      <c r="G17" s="8">
        <f>SUM(F22:F81)</f>
        <v>32.80960711441341</v>
      </c>
      <c r="P17" s="8"/>
      <c r="Q17" s="5" t="e">
        <f ca="1">_xll.findNominalRate(D2,D3,K4,D4,D8,K6,L6,K9,L9)</f>
        <v>#NAME?</v>
      </c>
      <c r="V17">
        <v>0</v>
      </c>
      <c r="W17">
        <f>V17+1</f>
        <v>1</v>
      </c>
      <c r="X17">
        <f t="shared" ref="X17:CI17" si="1">W17+1</f>
        <v>2</v>
      </c>
      <c r="Y17">
        <f t="shared" si="1"/>
        <v>3</v>
      </c>
      <c r="Z17">
        <f t="shared" si="1"/>
        <v>4</v>
      </c>
      <c r="AA17">
        <f t="shared" si="1"/>
        <v>5</v>
      </c>
      <c r="AB17">
        <f t="shared" si="1"/>
        <v>6</v>
      </c>
      <c r="AC17">
        <f t="shared" si="1"/>
        <v>7</v>
      </c>
      <c r="AD17">
        <f t="shared" si="1"/>
        <v>8</v>
      </c>
      <c r="AE17">
        <f t="shared" si="1"/>
        <v>9</v>
      </c>
      <c r="AF17">
        <f t="shared" si="1"/>
        <v>10</v>
      </c>
      <c r="AG17">
        <f t="shared" si="1"/>
        <v>11</v>
      </c>
      <c r="AH17">
        <f t="shared" si="1"/>
        <v>12</v>
      </c>
      <c r="AI17">
        <f t="shared" si="1"/>
        <v>13</v>
      </c>
      <c r="AJ17">
        <f t="shared" si="1"/>
        <v>14</v>
      </c>
      <c r="AK17">
        <f t="shared" si="1"/>
        <v>15</v>
      </c>
      <c r="AL17">
        <f t="shared" si="1"/>
        <v>16</v>
      </c>
      <c r="AM17">
        <f t="shared" si="1"/>
        <v>17</v>
      </c>
      <c r="AN17">
        <f t="shared" si="1"/>
        <v>18</v>
      </c>
      <c r="AO17">
        <f t="shared" si="1"/>
        <v>19</v>
      </c>
      <c r="AP17">
        <f t="shared" si="1"/>
        <v>20</v>
      </c>
      <c r="AQ17">
        <f t="shared" si="1"/>
        <v>21</v>
      </c>
      <c r="AR17">
        <f t="shared" si="1"/>
        <v>22</v>
      </c>
      <c r="AS17">
        <f t="shared" si="1"/>
        <v>23</v>
      </c>
      <c r="AT17">
        <f t="shared" si="1"/>
        <v>24</v>
      </c>
      <c r="AU17">
        <f t="shared" si="1"/>
        <v>25</v>
      </c>
      <c r="AV17">
        <f t="shared" si="1"/>
        <v>26</v>
      </c>
      <c r="AW17">
        <f t="shared" si="1"/>
        <v>27</v>
      </c>
      <c r="AX17">
        <f t="shared" si="1"/>
        <v>28</v>
      </c>
      <c r="AY17">
        <f t="shared" si="1"/>
        <v>29</v>
      </c>
      <c r="AZ17">
        <f t="shared" si="1"/>
        <v>30</v>
      </c>
      <c r="BA17">
        <f t="shared" si="1"/>
        <v>31</v>
      </c>
      <c r="BB17">
        <f t="shared" si="1"/>
        <v>32</v>
      </c>
      <c r="BC17">
        <f t="shared" si="1"/>
        <v>33</v>
      </c>
      <c r="BD17">
        <f t="shared" si="1"/>
        <v>34</v>
      </c>
      <c r="BE17">
        <f t="shared" si="1"/>
        <v>35</v>
      </c>
      <c r="BF17">
        <f t="shared" si="1"/>
        <v>36</v>
      </c>
      <c r="BG17">
        <f t="shared" si="1"/>
        <v>37</v>
      </c>
      <c r="BH17">
        <f t="shared" si="1"/>
        <v>38</v>
      </c>
      <c r="BI17">
        <f t="shared" si="1"/>
        <v>39</v>
      </c>
      <c r="BJ17">
        <f t="shared" si="1"/>
        <v>40</v>
      </c>
      <c r="BK17">
        <f t="shared" si="1"/>
        <v>41</v>
      </c>
      <c r="BL17">
        <f t="shared" si="1"/>
        <v>42</v>
      </c>
      <c r="BM17">
        <f t="shared" si="1"/>
        <v>43</v>
      </c>
      <c r="BN17">
        <f t="shared" si="1"/>
        <v>44</v>
      </c>
      <c r="BO17">
        <f t="shared" si="1"/>
        <v>45</v>
      </c>
      <c r="BP17">
        <f t="shared" si="1"/>
        <v>46</v>
      </c>
      <c r="BQ17">
        <f t="shared" si="1"/>
        <v>47</v>
      </c>
      <c r="BR17">
        <f t="shared" si="1"/>
        <v>48</v>
      </c>
      <c r="BS17">
        <f t="shared" si="1"/>
        <v>49</v>
      </c>
      <c r="BT17">
        <f t="shared" si="1"/>
        <v>50</v>
      </c>
      <c r="BU17">
        <f t="shared" si="1"/>
        <v>51</v>
      </c>
      <c r="BV17">
        <f t="shared" si="1"/>
        <v>52</v>
      </c>
      <c r="BW17">
        <f t="shared" si="1"/>
        <v>53</v>
      </c>
      <c r="BX17">
        <f t="shared" si="1"/>
        <v>54</v>
      </c>
      <c r="BY17">
        <f t="shared" si="1"/>
        <v>55</v>
      </c>
      <c r="BZ17">
        <f t="shared" si="1"/>
        <v>56</v>
      </c>
      <c r="CA17">
        <f t="shared" si="1"/>
        <v>57</v>
      </c>
      <c r="CB17">
        <f t="shared" si="1"/>
        <v>58</v>
      </c>
      <c r="CC17">
        <f t="shared" si="1"/>
        <v>59</v>
      </c>
      <c r="CD17">
        <f t="shared" si="1"/>
        <v>60</v>
      </c>
    </row>
    <row r="18" spans="2:82" x14ac:dyDescent="0.25">
      <c r="B18" s="42" t="s">
        <v>49</v>
      </c>
      <c r="D18" s="7">
        <f>((F18+D11+F16)/(F17+12)+1)^12-1</f>
        <v>9.2502034486296347E-2</v>
      </c>
      <c r="E18" s="42" t="s">
        <v>42</v>
      </c>
      <c r="F18" s="9">
        <f>SUMIF(C21:C81,"&gt;0",L21:L81)</f>
        <v>0.24278409177193411</v>
      </c>
      <c r="G18" s="8">
        <f>SUM(M22:M81)-SUM(I22:I81)</f>
        <v>0.24278409177193411</v>
      </c>
      <c r="J18" s="5">
        <f>(1+J19)^12-1</f>
        <v>-0.16195163047263561</v>
      </c>
      <c r="P18" s="5"/>
      <c r="Q18" s="8" t="e">
        <f ca="1">_xll.findInvestorNPV(D2,D3,K4,D4,D5,D8,K6,L6,K9,L9)</f>
        <v>#NAME?</v>
      </c>
      <c r="U18" s="5">
        <f>D14</f>
        <v>9.250203427295145E-2</v>
      </c>
      <c r="V18" s="5">
        <f t="dataTable" ref="V18:CD22" dt2D="0" dtr="1" r1="G2"/>
        <v>5.9324416503754751E-2</v>
      </c>
      <c r="W18" s="5">
        <v>6.0700211579435059E-2</v>
      </c>
      <c r="X18" s="5">
        <v>6.2048381339944614E-2</v>
      </c>
      <c r="Y18" s="5">
        <v>6.3369012749094455E-2</v>
      </c>
      <c r="Z18" s="5">
        <v>6.466220556875113E-2</v>
      </c>
      <c r="AA18" s="5">
        <v>6.5928071552464829E-2</v>
      </c>
      <c r="AB18" s="5">
        <v>6.7166733653692967E-2</v>
      </c>
      <c r="AC18" s="5">
        <v>6.8378325250442185E-2</v>
      </c>
      <c r="AD18" s="5">
        <v>6.9562989387859986E-2</v>
      </c>
      <c r="AE18" s="5">
        <v>7.0720878040110291E-2</v>
      </c>
      <c r="AF18" s="5">
        <v>7.1852151392678199E-2</v>
      </c>
      <c r="AG18" s="5">
        <v>7.2956977145936852E-2</v>
      </c>
      <c r="AH18" s="5">
        <v>7.4035529840772218E-2</v>
      </c>
      <c r="AI18" s="5">
        <v>7.5087990206857302E-2</v>
      </c>
      <c r="AJ18" s="5">
        <v>7.611454453384936E-2</v>
      </c>
      <c r="AK18" s="5">
        <v>7.7115384065882253E-2</v>
      </c>
      <c r="AL18" s="5">
        <v>7.8090704419411017E-2</v>
      </c>
      <c r="AM18" s="5">
        <v>7.9040705024433278E-2</v>
      </c>
      <c r="AN18" s="5">
        <v>7.9965588588943648E-2</v>
      </c>
      <c r="AO18" s="5">
        <v>8.0865560586436125E-2</v>
      </c>
      <c r="AP18" s="5">
        <v>8.1740828766148965E-2</v>
      </c>
      <c r="AQ18" s="5">
        <v>8.2591602685695431E-2</v>
      </c>
      <c r="AR18" s="5">
        <v>8.341809326558991E-2</v>
      </c>
      <c r="AS18" s="5">
        <v>8.4220512365220435E-2</v>
      </c>
      <c r="AT18" s="5">
        <v>8.499907237971005E-2</v>
      </c>
      <c r="AU18" s="5">
        <v>8.5423952197083874E-2</v>
      </c>
      <c r="AV18" s="5">
        <v>8.583505368159261E-2</v>
      </c>
      <c r="AW18" s="5">
        <v>8.6232536661776882E-2</v>
      </c>
      <c r="AX18" s="5">
        <v>8.6616556040277848E-2</v>
      </c>
      <c r="AY18" s="5">
        <v>8.6987261896469326E-2</v>
      </c>
      <c r="AZ18" s="5">
        <v>8.7344799588599864E-2</v>
      </c>
      <c r="BA18" s="5">
        <v>8.768930985524559E-2</v>
      </c>
      <c r="BB18" s="5">
        <v>8.8020928915913066E-2</v>
      </c>
      <c r="BC18" s="5">
        <v>8.8339788570590327E-2</v>
      </c>
      <c r="BD18" s="5">
        <v>8.8646016298160824E-2</v>
      </c>
      <c r="BE18" s="5">
        <v>8.8939735353521954E-2</v>
      </c>
      <c r="BF18" s="5">
        <v>8.9221064863338473E-2</v>
      </c>
      <c r="BG18" s="5">
        <v>8.9490119920316635E-2</v>
      </c>
      <c r="BH18" s="5">
        <v>8.9747011675926469E-2</v>
      </c>
      <c r="BI18" s="5">
        <v>8.9991847431581284E-2</v>
      </c>
      <c r="BJ18" s="5">
        <v>9.0224730728082569E-2</v>
      </c>
      <c r="BK18" s="5">
        <v>9.0445761433466165E-2</v>
      </c>
      <c r="BL18" s="5">
        <v>9.0655035829080299E-2</v>
      </c>
      <c r="BM18" s="5">
        <v>9.0852646693958539E-2</v>
      </c>
      <c r="BN18" s="5">
        <v>9.1038683387459685E-2</v>
      </c>
      <c r="BO18" s="5">
        <v>9.1213231930151961E-2</v>
      </c>
      <c r="BP18" s="5">
        <v>9.1376375082976802E-2</v>
      </c>
      <c r="BQ18" s="5">
        <v>9.1528192424687571E-2</v>
      </c>
      <c r="BR18" s="5">
        <v>9.1668760427568774E-2</v>
      </c>
      <c r="BS18">
        <v>9.1798152531501032E-2</v>
      </c>
      <c r="BT18">
        <v>9.1916439216345847E-2</v>
      </c>
      <c r="BU18">
        <v>9.2023688072731202E-2</v>
      </c>
      <c r="BV18">
        <v>9.2119963871236887E-2</v>
      </c>
      <c r="BW18">
        <v>9.2205328630062366E-2</v>
      </c>
      <c r="BX18">
        <v>9.2279841681159214E-2</v>
      </c>
      <c r="BY18">
        <v>9.2343559734982206E-2</v>
      </c>
      <c r="BZ18">
        <v>9.2396536943778473E-2</v>
      </c>
      <c r="CA18">
        <v>9.2438824963597899E-2</v>
      </c>
      <c r="CB18">
        <v>9.2470473014979016E-2</v>
      </c>
      <c r="CC18">
        <v>9.24915279424674E-2</v>
      </c>
      <c r="CD18">
        <v>9.250203427295145E-2</v>
      </c>
    </row>
    <row r="19" spans="2:82" x14ac:dyDescent="0.25">
      <c r="E19" t="s">
        <v>43</v>
      </c>
      <c r="J19" s="5">
        <f>IRR(J21:J57)</f>
        <v>-1.4615430709323696E-2</v>
      </c>
      <c r="K19" s="5"/>
      <c r="P19" s="5"/>
      <c r="Q19" s="5"/>
      <c r="U19" s="5">
        <f>D15</f>
        <v>9.2502034486296347E-2</v>
      </c>
      <c r="V19" s="5">
        <v>5.7561524486296346E-2</v>
      </c>
      <c r="W19" s="5">
        <v>5.8021020068643472E-2</v>
      </c>
      <c r="X19" s="5">
        <v>5.8484080570883647E-2</v>
      </c>
      <c r="Y19" s="5">
        <v>5.8950733650853696E-2</v>
      </c>
      <c r="Z19" s="5">
        <v>5.9421007180969175E-2</v>
      </c>
      <c r="AA19" s="5">
        <v>5.9894929249889137E-2</v>
      </c>
      <c r="AB19" s="5">
        <v>6.0372528164193806E-2</v>
      </c>
      <c r="AC19" s="5">
        <v>6.0853832450075293E-2</v>
      </c>
      <c r="AD19" s="5">
        <v>6.1338870855041389E-2</v>
      </c>
      <c r="AE19" s="5">
        <v>6.1827672349632691E-2</v>
      </c>
      <c r="AF19" s="5">
        <v>6.2320266129152882E-2</v>
      </c>
      <c r="AG19" s="5">
        <v>6.2816681615412512E-2</v>
      </c>
      <c r="AH19" s="5">
        <v>6.3316948458486344E-2</v>
      </c>
      <c r="AI19" s="5">
        <v>6.382109653848439E-2</v>
      </c>
      <c r="AJ19" s="5">
        <v>6.4329155967336404E-2</v>
      </c>
      <c r="AK19" s="5">
        <v>6.4841157090590601E-2</v>
      </c>
      <c r="AL19" s="5">
        <v>6.5357130489226034E-2</v>
      </c>
      <c r="AM19" s="5">
        <v>6.5877106981479222E-2</v>
      </c>
      <c r="AN19" s="5">
        <v>6.6401117624684813E-2</v>
      </c>
      <c r="AO19" s="5">
        <v>6.6929193717130603E-2</v>
      </c>
      <c r="AP19" s="5">
        <v>6.7461366799926953E-2</v>
      </c>
      <c r="AQ19" s="5">
        <v>6.7997668658890661E-2</v>
      </c>
      <c r="AR19" s="5">
        <v>6.8538131326443499E-2</v>
      </c>
      <c r="AS19" s="5">
        <v>6.9082787083525443E-2</v>
      </c>
      <c r="AT19" s="5">
        <v>7.9542057204625524E-2</v>
      </c>
      <c r="AU19" s="5">
        <v>7.9855505577487718E-2</v>
      </c>
      <c r="AV19" s="5">
        <v>8.0171385787309368E-2</v>
      </c>
      <c r="AW19" s="5">
        <v>8.0489716701092229E-2</v>
      </c>
      <c r="AX19" s="5">
        <v>8.0810517332214504E-2</v>
      </c>
      <c r="AY19" s="5">
        <v>8.1133806841566583E-2</v>
      </c>
      <c r="AZ19" s="5">
        <v>8.1459604538695385E-2</v>
      </c>
      <c r="BA19" s="5">
        <v>8.1787929882957744E-2</v>
      </c>
      <c r="BB19" s="5">
        <v>8.211880248468266E-2</v>
      </c>
      <c r="BC19" s="5">
        <v>8.2452242106342624E-2</v>
      </c>
      <c r="BD19" s="5">
        <v>8.2788268663733983E-2</v>
      </c>
      <c r="BE19" s="5">
        <v>8.3126902227166427E-2</v>
      </c>
      <c r="BF19" s="5">
        <v>8.3468163022661829E-2</v>
      </c>
      <c r="BG19" s="5">
        <v>8.38120714331623E-2</v>
      </c>
      <c r="BH19" s="5">
        <v>8.4158647999747566E-2</v>
      </c>
      <c r="BI19" s="5">
        <v>8.4507913422861916E-2</v>
      </c>
      <c r="BJ19" s="5">
        <v>8.485988856355059E-2</v>
      </c>
      <c r="BK19" s="5">
        <v>8.5214594444705777E-2</v>
      </c>
      <c r="BL19" s="5">
        <v>8.557205225232227E-2</v>
      </c>
      <c r="BM19" s="5">
        <v>8.5932283336762852E-2</v>
      </c>
      <c r="BN19" s="5">
        <v>8.6295309214033541E-2</v>
      </c>
      <c r="BO19" s="5">
        <v>8.6661151567068731E-2</v>
      </c>
      <c r="BP19" s="5">
        <v>8.7029832247026206E-2</v>
      </c>
      <c r="BQ19" s="5">
        <v>8.7401373274592367E-2</v>
      </c>
      <c r="BR19" s="5">
        <v>8.7775796841297382E-2</v>
      </c>
      <c r="BS19">
        <v>8.8153125310840755E-2</v>
      </c>
      <c r="BT19">
        <v>8.8533381220427004E-2</v>
      </c>
      <c r="BU19">
        <v>8.8916587282111798E-2</v>
      </c>
      <c r="BV19">
        <v>8.9302766384158488E-2</v>
      </c>
      <c r="BW19">
        <v>8.9691941592405233E-2</v>
      </c>
      <c r="BX19">
        <v>9.0084136151642624E-2</v>
      </c>
      <c r="BY19">
        <v>9.0479373487002093E-2</v>
      </c>
      <c r="BZ19">
        <v>9.0877677205355056E-2</v>
      </c>
      <c r="CA19">
        <v>9.1279071096722911E-2</v>
      </c>
      <c r="CB19">
        <v>9.1683579135697968E-2</v>
      </c>
      <c r="CC19">
        <v>9.2091225482875405E-2</v>
      </c>
      <c r="CD19">
        <v>9.2502034486296347E-2</v>
      </c>
    </row>
    <row r="20" spans="2:82" x14ac:dyDescent="0.25">
      <c r="B20" t="s">
        <v>7</v>
      </c>
      <c r="C20" t="s">
        <v>37</v>
      </c>
      <c r="D20" t="s">
        <v>9</v>
      </c>
      <c r="E20" t="s">
        <v>10</v>
      </c>
      <c r="F20" s="10" t="s">
        <v>40</v>
      </c>
      <c r="G20" t="s">
        <v>18</v>
      </c>
      <c r="H20" t="s">
        <v>15</v>
      </c>
      <c r="I20" t="s">
        <v>45</v>
      </c>
      <c r="J20" s="10" t="s">
        <v>27</v>
      </c>
      <c r="K20" t="s">
        <v>28</v>
      </c>
      <c r="L20" t="s">
        <v>44</v>
      </c>
      <c r="M20" t="s">
        <v>46</v>
      </c>
      <c r="N20" t="s">
        <v>29</v>
      </c>
      <c r="O20" t="s">
        <v>30</v>
      </c>
      <c r="Q20" t="s">
        <v>16</v>
      </c>
      <c r="U20" s="5">
        <f>D16</f>
        <v>9.2502034486296347E-2</v>
      </c>
      <c r="V20" s="5" t="e">
        <v>#DIV/0!</v>
      </c>
      <c r="W20" s="5">
        <v>-0.28068519875746967</v>
      </c>
      <c r="X20" s="5">
        <v>-0.11062119894573941</v>
      </c>
      <c r="Y20" s="5">
        <v>-4.6193014907612517E-2</v>
      </c>
      <c r="Z20" s="5">
        <v>-1.2382449643349114E-2</v>
      </c>
      <c r="AA20" s="5">
        <v>8.442080530715268E-3</v>
      </c>
      <c r="AB20" s="5">
        <v>2.2560426325294314E-2</v>
      </c>
      <c r="AC20" s="5">
        <v>3.2766798218393678E-2</v>
      </c>
      <c r="AD20" s="5">
        <v>4.0492888313794051E-2</v>
      </c>
      <c r="AE20" s="5">
        <v>4.654797442861458E-2</v>
      </c>
      <c r="AF20" s="5">
        <v>5.1423953627700136E-2</v>
      </c>
      <c r="AG20" s="5">
        <v>5.5437022604727382E-2</v>
      </c>
      <c r="AH20" s="5">
        <v>5.879969066866253E-2</v>
      </c>
      <c r="AI20" s="5">
        <v>6.1660060913946158E-2</v>
      </c>
      <c r="AJ20" s="5">
        <v>6.4124513021546425E-2</v>
      </c>
      <c r="AK20" s="5">
        <v>6.6271431439161255E-2</v>
      </c>
      <c r="AL20" s="5">
        <v>6.8159848350210384E-2</v>
      </c>
      <c r="AM20" s="5">
        <v>6.9835071160617712E-2</v>
      </c>
      <c r="AN20" s="5">
        <v>7.1332454437911252E-2</v>
      </c>
      <c r="AO20" s="5">
        <v>7.2679992900268164E-2</v>
      </c>
      <c r="AP20" s="5">
        <v>7.3900144068864693E-2</v>
      </c>
      <c r="AQ20" s="5">
        <v>7.5011134985587313E-2</v>
      </c>
      <c r="AR20" s="5">
        <v>7.6027915709735217E-2</v>
      </c>
      <c r="AS20" s="5">
        <v>7.6962866191224277E-2</v>
      </c>
      <c r="AT20" s="5">
        <v>8.4163402442726243E-2</v>
      </c>
      <c r="AU20" s="5">
        <v>8.461950264104412E-2</v>
      </c>
      <c r="AV20" s="5">
        <v>8.5043927236501116E-2</v>
      </c>
      <c r="AW20" s="5">
        <v>8.5440293756479768E-2</v>
      </c>
      <c r="AX20" s="5">
        <v>8.5811710035101241E-2</v>
      </c>
      <c r="AY20" s="5">
        <v>8.6160862058388021E-2</v>
      </c>
      <c r="AZ20" s="5">
        <v>8.6490084324413186E-2</v>
      </c>
      <c r="BA20" s="5">
        <v>8.680141665456298E-2</v>
      </c>
      <c r="BB20" s="5">
        <v>8.7096650411472742E-2</v>
      </c>
      <c r="BC20" s="5">
        <v>8.7377366365371412E-2</v>
      </c>
      <c r="BD20" s="5">
        <v>8.7644965924776219E-2</v>
      </c>
      <c r="BE20" s="5">
        <v>8.7900697056883192E-2</v>
      </c>
      <c r="BF20" s="5">
        <v>8.8145675929423684E-2</v>
      </c>
      <c r="BG20" s="5">
        <v>8.8380905083714323E-2</v>
      </c>
      <c r="BH20" s="5">
        <v>8.8607288778781435E-2</v>
      </c>
      <c r="BI20" s="5">
        <v>8.882564601596421E-2</v>
      </c>
      <c r="BJ20" s="5">
        <v>8.9036721651995165E-2</v>
      </c>
      <c r="BK20" s="5">
        <v>8.924119592963109E-2</v>
      </c>
      <c r="BL20" s="5">
        <v>8.9439692692669936E-2</v>
      </c>
      <c r="BM20" s="5">
        <v>8.963278650317319E-2</v>
      </c>
      <c r="BN20" s="5">
        <v>8.9821008839630512E-2</v>
      </c>
      <c r="BO20" s="5">
        <v>9.0004853523684369E-2</v>
      </c>
      <c r="BP20" s="5">
        <v>9.0184781497920197E-2</v>
      </c>
      <c r="BQ20" s="5">
        <v>9.0361225057159711E-2</v>
      </c>
      <c r="BR20" s="5">
        <v>9.0534591619318983E-2</v>
      </c>
      <c r="BS20">
        <v>9.0705267108709409E-2</v>
      </c>
      <c r="BT20">
        <v>9.0873619013926321E-2</v>
      </c>
      <c r="BU20">
        <v>9.1039999173743169E-2</v>
      </c>
      <c r="BV20">
        <v>9.1204746337386844E-2</v>
      </c>
      <c r="BW20">
        <v>9.1368188539898032E-2</v>
      </c>
      <c r="BX20">
        <v>9.1530645328661731E-2</v>
      </c>
      <c r="BY20">
        <v>9.1692429873666104E-2</v>
      </c>
      <c r="BZ20">
        <v>9.1853850991307606E-2</v>
      </c>
      <c r="CA20">
        <v>9.2015215109471526E-2</v>
      </c>
      <c r="CB20">
        <v>9.2176828200331018E-2</v>
      </c>
      <c r="CC20">
        <v>9.233899770653764E-2</v>
      </c>
      <c r="CD20">
        <v>9.2502034486296347E-2</v>
      </c>
    </row>
    <row r="21" spans="2:82" x14ac:dyDescent="0.25">
      <c r="B21" s="38">
        <v>0</v>
      </c>
      <c r="C21" s="38">
        <v>1</v>
      </c>
      <c r="D21" s="39">
        <f t="shared" ref="D21" si="2">IF(B21&gt;$D$2,"",IF(C21,1,$Q$4*D20))</f>
        <v>1</v>
      </c>
      <c r="E21" s="39">
        <f t="shared" ref="E21:E52" si="3">IF(B21&gt;$D$2,"",IF(C21,0,$Q$5*D20))</f>
        <v>0</v>
      </c>
      <c r="F21" s="39"/>
      <c r="G21" s="39"/>
      <c r="H21" s="40"/>
      <c r="I21" s="40"/>
      <c r="J21" s="39">
        <v>-1</v>
      </c>
      <c r="K21" s="41"/>
      <c r="N21" s="41">
        <f>-100%</f>
        <v>-1</v>
      </c>
      <c r="O21" s="41">
        <f>IF(B21&gt;$D$2,"",N21)</f>
        <v>-1</v>
      </c>
      <c r="P21" s="41">
        <f>O21</f>
        <v>-1</v>
      </c>
      <c r="Q21" s="38">
        <f>IF(B21&gt;$D$2,"",$Q$9^B21)</f>
        <v>1</v>
      </c>
      <c r="U21" s="5">
        <f>D17</f>
        <v>9.2502034486296347E-2</v>
      </c>
      <c r="V21" s="5">
        <v>5.5139211141995936E-2</v>
      </c>
      <c r="W21" s="5">
        <v>5.651695392307432E-2</v>
      </c>
      <c r="X21" s="5">
        <v>5.7875262824397922E-2</v>
      </c>
      <c r="Y21" s="5">
        <v>5.9214013945295463E-2</v>
      </c>
      <c r="Z21" s="5">
        <v>6.0533084210083299E-2</v>
      </c>
      <c r="AA21" s="5">
        <v>6.183235138533516E-2</v>
      </c>
      <c r="AB21" s="5">
        <v>6.3111694097172544E-2</v>
      </c>
      <c r="AC21" s="5">
        <v>6.4370991848596182E-2</v>
      </c>
      <c r="AD21" s="5">
        <v>6.56101250368335E-2</v>
      </c>
      <c r="AE21" s="5">
        <v>6.6828974970687627E-2</v>
      </c>
      <c r="AF21" s="5">
        <v>6.8027423887916161E-2</v>
      </c>
      <c r="AG21" s="5">
        <v>6.9205354972623034E-2</v>
      </c>
      <c r="AH21" s="5">
        <v>7.0362652372658596E-2</v>
      </c>
      <c r="AI21" s="5">
        <v>7.1499201217013031E-2</v>
      </c>
      <c r="AJ21" s="5">
        <v>7.2614887633230207E-2</v>
      </c>
      <c r="AK21" s="5">
        <v>7.3709598764822637E-2</v>
      </c>
      <c r="AL21" s="5">
        <v>7.478322278867422E-2</v>
      </c>
      <c r="AM21" s="5">
        <v>7.5835648932446542E-2</v>
      </c>
      <c r="AN21" s="5">
        <v>7.6866767491971855E-2</v>
      </c>
      <c r="AO21" s="5">
        <v>7.7876469848651819E-2</v>
      </c>
      <c r="AP21" s="5">
        <v>7.8864648486817623E-2</v>
      </c>
      <c r="AQ21" s="5">
        <v>7.9831197011098087E-2</v>
      </c>
      <c r="AR21" s="5">
        <v>8.0776010163757128E-2</v>
      </c>
      <c r="AS21" s="5">
        <v>8.1698983842003914E-2</v>
      </c>
      <c r="AT21" s="5">
        <v>8.260001511530235E-2</v>
      </c>
      <c r="AU21" s="5">
        <v>8.3145342586256277E-2</v>
      </c>
      <c r="AV21" s="5">
        <v>8.367485775824357E-2</v>
      </c>
      <c r="AW21" s="5">
        <v>8.4188578872187003E-2</v>
      </c>
      <c r="AX21" s="5">
        <v>8.4686525847610161E-2</v>
      </c>
      <c r="AY21" s="5">
        <v>8.5168720290852429E-2</v>
      </c>
      <c r="AZ21" s="5">
        <v>8.5635185503126987E-2</v>
      </c>
      <c r="BA21" s="5">
        <v>8.6085946488503762E-2</v>
      </c>
      <c r="BB21" s="5">
        <v>8.6521029961757812E-2</v>
      </c>
      <c r="BC21" s="5">
        <v>8.6940464356087377E-2</v>
      </c>
      <c r="BD21" s="5">
        <v>8.7344279830740446E-2</v>
      </c>
      <c r="BE21" s="5">
        <v>8.7732508278492549E-2</v>
      </c>
      <c r="BF21" s="5">
        <v>8.8105183333021087E-2</v>
      </c>
      <c r="BG21" s="5">
        <v>8.8462340376151527E-2</v>
      </c>
      <c r="BH21" s="5">
        <v>8.8804016545003028E-2</v>
      </c>
      <c r="BI21" s="5">
        <v>8.9130250738980621E-2</v>
      </c>
      <c r="BJ21" s="5">
        <v>8.9441083626670359E-2</v>
      </c>
      <c r="BK21" s="5">
        <v>8.9736557652619231E-2</v>
      </c>
      <c r="BL21" s="5">
        <v>9.0016717043969185E-2</v>
      </c>
      <c r="BM21" s="5">
        <v>9.0281607816998344E-2</v>
      </c>
      <c r="BN21" s="5">
        <v>9.053127778352299E-2</v>
      </c>
      <c r="BO21" s="5">
        <v>9.0765776557196975E-2</v>
      </c>
      <c r="BP21" s="5">
        <v>9.0985155559668796E-2</v>
      </c>
      <c r="BQ21" s="5">
        <v>9.1189468026649401E-2</v>
      </c>
      <c r="BR21" s="5">
        <v>9.1378769013846783E-2</v>
      </c>
      <c r="BS21">
        <v>9.1553115402761787E-2</v>
      </c>
      <c r="BT21">
        <v>9.1712565906420185E-2</v>
      </c>
      <c r="BU21">
        <v>9.1857181074934457E-2</v>
      </c>
      <c r="BV21">
        <v>9.198702330098607E-2</v>
      </c>
      <c r="BW21">
        <v>9.2102156825170312E-2</v>
      </c>
      <c r="BX21">
        <v>9.2202647741246979E-2</v>
      </c>
      <c r="BY21">
        <v>9.2288564001274498E-2</v>
      </c>
      <c r="BZ21">
        <v>9.2359975420615248E-2</v>
      </c>
      <c r="CA21">
        <v>9.2416953682857184E-2</v>
      </c>
      <c r="CB21">
        <v>9.2459572344611551E-2</v>
      </c>
      <c r="CC21">
        <v>9.2487906840210687E-2</v>
      </c>
      <c r="CD21">
        <v>9.2502034486296347E-2</v>
      </c>
    </row>
    <row r="22" spans="2:82" x14ac:dyDescent="0.25">
      <c r="B22" s="2">
        <v>1</v>
      </c>
      <c r="C22" s="2">
        <f>IF(B22&lt;=$G$2,1,"")</f>
        <v>1</v>
      </c>
      <c r="D22" s="37">
        <f>IF(B22&gt;$D$2,"",IF(C22&lt;&gt;"",1,$Q$4*D21))</f>
        <v>1</v>
      </c>
      <c r="E22" s="37">
        <f>IF(B22&gt;$D$2,"",IF(C22&lt;&gt;"",0,$Q$5*D21))</f>
        <v>0</v>
      </c>
      <c r="F22" s="15">
        <f>IF(B22&gt;$D$2,"",($U$6-$U$5^(B22-1))/($U$6-1))</f>
        <v>1</v>
      </c>
      <c r="G22" s="15">
        <f>IF(B22&gt;$D$2,"",VLOOKUP(F22*$K$4,$K$6:$L$9,2,TRUE))</f>
        <v>0.26129999999999998</v>
      </c>
      <c r="H22" s="37">
        <f>IF(B22&gt;$D$2,"",E22*G22*F22)</f>
        <v>0</v>
      </c>
      <c r="I22" s="37">
        <f>IF(B22&gt;$D$2,"",E22*(1-G22)*F22)</f>
        <v>0</v>
      </c>
      <c r="J22" s="16">
        <f>IF(B22&gt;$D$2,"",$U$7*$Q$6)</f>
        <v>2.0909131142155452E-2</v>
      </c>
      <c r="K22" s="16">
        <f>IF(B22&gt;$D$2,"",J22*D22)</f>
        <v>2.0909131142155452E-2</v>
      </c>
      <c r="L22" s="16">
        <f>IF(B22&gt;$D$2,"",$D$11*$Q$6*F22)</f>
        <v>7.3997866211960184E-3</v>
      </c>
      <c r="M22" s="16">
        <f>IF(B22&gt;$D$2,"",D22*L22)</f>
        <v>7.3997866211960184E-3</v>
      </c>
      <c r="N22" s="16"/>
      <c r="O22" s="48">
        <f>IF(B22&gt;$D$2,"",H22+K22+N22)</f>
        <v>2.0909131142155452E-2</v>
      </c>
      <c r="P22" s="16">
        <f>IF(B22&gt;$D$2,"",O22*(1-$D$8))</f>
        <v>2.0700039830733898E-2</v>
      </c>
      <c r="Q22" s="2">
        <f>IF(B22&gt;$D$2,"",$Q$9^B22)</f>
        <v>0.99520752401475632</v>
      </c>
      <c r="U22" s="5">
        <f>D18</f>
        <v>9.2502034486296347E-2</v>
      </c>
      <c r="V22" s="5">
        <v>5.5206447709135409E-2</v>
      </c>
      <c r="W22" s="5">
        <v>5.8480099056321455E-2</v>
      </c>
      <c r="X22" s="5">
        <v>6.126776826230107E-2</v>
      </c>
      <c r="Y22" s="5">
        <v>6.3671288808332838E-2</v>
      </c>
      <c r="Z22" s="5">
        <v>6.5765936689407445E-2</v>
      </c>
      <c r="AA22" s="5">
        <v>6.7608558861629087E-2</v>
      </c>
      <c r="AB22" s="5">
        <v>6.9242888659956758E-2</v>
      </c>
      <c r="AC22" s="5">
        <v>7.070312196496209E-2</v>
      </c>
      <c r="AD22" s="5">
        <v>7.2016383707112608E-2</v>
      </c>
      <c r="AE22" s="5">
        <v>7.3204466652451172E-2</v>
      </c>
      <c r="AF22" s="5">
        <v>7.4285081215193838E-2</v>
      </c>
      <c r="AG22" s="5">
        <v>7.5272769537541473E-2</v>
      </c>
      <c r="AH22" s="5">
        <v>7.6179584545816637E-2</v>
      </c>
      <c r="AI22" s="5">
        <v>7.7015601586571725E-2</v>
      </c>
      <c r="AJ22" s="5">
        <v>7.7789308900322984E-2</v>
      </c>
      <c r="AK22" s="5">
        <v>7.8507909139056142E-2</v>
      </c>
      <c r="AL22" s="5">
        <v>7.9177554708290465E-2</v>
      </c>
      <c r="AM22" s="5">
        <v>7.9803533282762906E-2</v>
      </c>
      <c r="AN22" s="5">
        <v>8.039041538630376E-2</v>
      </c>
      <c r="AO22" s="5">
        <v>8.094217279075E-2</v>
      </c>
      <c r="AP22" s="5">
        <v>8.1462274253535139E-2</v>
      </c>
      <c r="AQ22" s="5">
        <v>8.1953763500654642E-2</v>
      </c>
      <c r="AR22" s="5">
        <v>8.2419323184251825E-2</v>
      </c>
      <c r="AS22" s="5">
        <v>8.2861327675029184E-2</v>
      </c>
      <c r="AT22" s="5">
        <v>8.7268449241736379E-2</v>
      </c>
      <c r="AU22" s="5">
        <v>8.7496431820386356E-2</v>
      </c>
      <c r="AV22" s="5">
        <v>8.7714218634165508E-2</v>
      </c>
      <c r="AW22" s="5">
        <v>8.7922674381845978E-2</v>
      </c>
      <c r="AX22" s="5">
        <v>8.8122578366906845E-2</v>
      </c>
      <c r="AY22" s="5">
        <v>8.8314635250962281E-2</v>
      </c>
      <c r="AZ22" s="5">
        <v>8.849948425234655E-2</v>
      </c>
      <c r="BA22" s="5">
        <v>8.8677707048154364E-2</v>
      </c>
      <c r="BB22" s="5">
        <v>8.8849834590360333E-2</v>
      </c>
      <c r="BC22" s="5">
        <v>8.9016353008622096E-2</v>
      </c>
      <c r="BD22" s="5">
        <v>8.9177708741876804E-2</v>
      </c>
      <c r="BE22" s="5">
        <v>8.9334313016437239E-2</v>
      </c>
      <c r="BF22" s="5">
        <v>8.9486545768361569E-2</v>
      </c>
      <c r="BG22" s="5">
        <v>8.9634759091736571E-2</v>
      </c>
      <c r="BH22" s="5">
        <v>8.9779280281511609E-2</v>
      </c>
      <c r="BI22" s="5">
        <v>8.9920414528447123E-2</v>
      </c>
      <c r="BJ22" s="5">
        <v>9.005844731512247E-2</v>
      </c>
      <c r="BK22" s="5">
        <v>9.01936465544253E-2</v>
      </c>
      <c r="BL22" s="5">
        <v>9.0326264505899534E-2</v>
      </c>
      <c r="BM22" s="5">
        <v>9.0456539500324062E-2</v>
      </c>
      <c r="BN22" s="5">
        <v>9.0584697498574451E-2</v>
      </c>
      <c r="BO22" s="5">
        <v>9.0710953507390668E-2</v>
      </c>
      <c r="BP22" s="5">
        <v>9.0835512871623836E-2</v>
      </c>
      <c r="BQ22" s="5">
        <v>9.0958572460181131E-2</v>
      </c>
      <c r="BR22" s="5">
        <v>9.1080321760711458E-2</v>
      </c>
      <c r="BS22">
        <v>9.120094389642075E-2</v>
      </c>
      <c r="BT22">
        <v>9.1320616576932911E-2</v>
      </c>
      <c r="BU22">
        <v>9.1439512993946037E-2</v>
      </c>
      <c r="BV22">
        <v>9.155780267141389E-2</v>
      </c>
      <c r="BW22">
        <v>9.1675652279227915E-2</v>
      </c>
      <c r="BX22">
        <v>9.1793226418743989E-2</v>
      </c>
      <c r="BY22">
        <v>9.1910688388011641E-2</v>
      </c>
      <c r="BZ22">
        <v>9.2028200934196169E-2</v>
      </c>
      <c r="CA22">
        <v>9.2145927000539141E-2</v>
      </c>
      <c r="CB22">
        <v>9.2264030475023295E-2</v>
      </c>
      <c r="CC22">
        <v>9.2382676948028264E-2</v>
      </c>
      <c r="CD22">
        <v>9.2502034486296347E-2</v>
      </c>
    </row>
    <row r="23" spans="2:82" x14ac:dyDescent="0.25">
      <c r="B23" s="2">
        <f>B22+1</f>
        <v>2</v>
      </c>
      <c r="C23" s="2">
        <f t="shared" ref="C23:C81" si="4">IF(B23&lt;=$G$2,1,"")</f>
        <v>1</v>
      </c>
      <c r="D23" s="37">
        <f t="shared" ref="D23:D81" si="5">IF(B23&gt;$D$2,"",IF(C23&lt;&gt;"",1,$Q$4*D22))</f>
        <v>1</v>
      </c>
      <c r="E23" s="37">
        <f t="shared" ref="E23:E81" si="6">IF(B23&gt;$D$2,"",IF(C23&lt;&gt;"",0,$Q$5*D22))</f>
        <v>0</v>
      </c>
      <c r="F23" s="15">
        <f>IF(B23&gt;$D$2,"",($U$6-$U$5^(B23-1))/($U$6-1))</f>
        <v>0.98684920219117789</v>
      </c>
      <c r="G23" s="15">
        <f>IF(B23&gt;$D$2,"",VLOOKUP(F23*$K$4,$K$6:$L$9,2,TRUE))</f>
        <v>0.26129999999999998</v>
      </c>
      <c r="H23" s="37">
        <f>IF(B23&gt;$D$2,"",E23*G23*F23)</f>
        <v>0</v>
      </c>
      <c r="I23" s="37">
        <f t="shared" ref="I23:I81" si="7">IF(B23&gt;$D$2,"",E23*(1-G23)*F23)</f>
        <v>0</v>
      </c>
      <c r="J23" s="16">
        <f>IF(B23&gt;$D$2,"",$U$7*$Q$6)</f>
        <v>2.0909131142155452E-2</v>
      </c>
      <c r="K23" s="16">
        <f>IF(B23&gt;$D$2,"",J23*D23)</f>
        <v>2.0909131142155452E-2</v>
      </c>
      <c r="L23" s="16">
        <f t="shared" ref="L23:M81" si="8">IF(B23&gt;$D$2,"",$D$11*$Q$6*F23)</f>
        <v>7.3024735235122425E-3</v>
      </c>
      <c r="M23" s="16">
        <f>IF(B23&gt;$D$2,"",D23*L23)</f>
        <v>7.3024735235122425E-3</v>
      </c>
      <c r="N23" s="16"/>
      <c r="O23" s="16">
        <f>IF(B23&gt;$D$2,"",H23+K23+N23)</f>
        <v>2.0909131142155452E-2</v>
      </c>
      <c r="P23" s="16">
        <f>IF(B23&gt;$D$2,"",O23*(1-$D$8))</f>
        <v>2.0700039830733898E-2</v>
      </c>
      <c r="Q23" s="2">
        <f>IF(B23&gt;$D$2,"",$Q$9^B23)</f>
        <v>0.99043801585558178</v>
      </c>
    </row>
    <row r="24" spans="2:82" x14ac:dyDescent="0.25">
      <c r="B24" s="2">
        <f t="shared" ref="B24:B81" si="9">B23+1</f>
        <v>3</v>
      </c>
      <c r="C24" s="2">
        <f t="shared" si="4"/>
        <v>1</v>
      </c>
      <c r="D24" s="37">
        <f t="shared" si="5"/>
        <v>1</v>
      </c>
      <c r="E24" s="37">
        <f t="shared" si="6"/>
        <v>0</v>
      </c>
      <c r="F24" s="15">
        <f>IF(B24&gt;$D$2,"",($U$6-$U$5^(B24-1))/($U$6-1))</f>
        <v>0.97359637610935568</v>
      </c>
      <c r="G24" s="15">
        <f>IF(B24&gt;$D$2,"",VLOOKUP(F24*$K$4,$K$6:$L$9,2,TRUE))</f>
        <v>0.26129999999999998</v>
      </c>
      <c r="H24" s="37">
        <f>IF(B24&gt;$D$2,"",E24*G24*F24)</f>
        <v>0</v>
      </c>
      <c r="I24" s="37">
        <f t="shared" si="7"/>
        <v>0</v>
      </c>
      <c r="J24" s="16">
        <f>IF(B24&gt;$D$2,"",$U$7*$Q$6)</f>
        <v>2.0909131142155452E-2</v>
      </c>
      <c r="K24" s="16">
        <f>IF(B24&gt;$D$2,"",J24*D24)</f>
        <v>2.0909131142155452E-2</v>
      </c>
      <c r="L24" s="16">
        <f t="shared" si="8"/>
        <v>7.204405438378937E-3</v>
      </c>
      <c r="M24" s="16">
        <f>IF(B24&gt;$D$2,"",D24*L24)</f>
        <v>7.204405438378937E-3</v>
      </c>
      <c r="N24" s="16"/>
      <c r="O24" s="16">
        <f>IF(B24&gt;$D$2,"",H24+K24+N24)</f>
        <v>2.0909131142155452E-2</v>
      </c>
      <c r="P24" s="16">
        <f>IF(B24&gt;$D$2,"",O24*(1-$D$8))</f>
        <v>2.0700039830733898E-2</v>
      </c>
      <c r="Q24" s="2">
        <f>IF(B24&gt;$D$2,"",$Q$9^B24)</f>
        <v>0.98569136544972147</v>
      </c>
    </row>
    <row r="25" spans="2:82" x14ac:dyDescent="0.25">
      <c r="B25" s="2">
        <f t="shared" si="9"/>
        <v>4</v>
      </c>
      <c r="C25" s="2">
        <f t="shared" si="4"/>
        <v>1</v>
      </c>
      <c r="D25" s="37">
        <f t="shared" si="5"/>
        <v>1</v>
      </c>
      <c r="E25" s="37">
        <f t="shared" si="6"/>
        <v>0</v>
      </c>
      <c r="F25" s="15">
        <f>IF(B25&gt;$D$2,"",($U$6-$U$5^(B25-1))/($U$6-1))</f>
        <v>0.96024073018518186</v>
      </c>
      <c r="G25" s="15">
        <f>IF(B25&gt;$D$2,"",VLOOKUP(F25*$K$4,$K$6:$L$9,2,TRUE))</f>
        <v>0.26129999999999998</v>
      </c>
      <c r="H25" s="37">
        <f>IF(B25&gt;$D$2,"",E25*G25*F25)</f>
        <v>0</v>
      </c>
      <c r="I25" s="37">
        <f t="shared" si="7"/>
        <v>0</v>
      </c>
      <c r="J25" s="16">
        <f>IF(B25&gt;$D$2,"",$U$7*$Q$6)</f>
        <v>2.0909131142155452E-2</v>
      </c>
      <c r="K25" s="16">
        <f>IF(B25&gt;$D$2,"",J25*D25)</f>
        <v>2.0909131142155452E-2</v>
      </c>
      <c r="L25" s="16">
        <f t="shared" si="8"/>
        <v>7.1055765083518048E-3</v>
      </c>
      <c r="M25" s="16">
        <f t="shared" ref="M23:M81" si="10">IF(B25&gt;$D$2,"",D25*L25)</f>
        <v>7.1055765083518048E-3</v>
      </c>
      <c r="N25" s="16"/>
      <c r="O25" s="16">
        <f>IF(B25&gt;$D$2,"",H25+K25+N25)</f>
        <v>2.0909131142155452E-2</v>
      </c>
      <c r="P25" s="16">
        <f>IF(B25&gt;$D$2,"",O25*(1-$D$8))</f>
        <v>2.0700039830733898E-2</v>
      </c>
      <c r="Q25" s="2">
        <f>IF(B25&gt;$D$2,"",$Q$9^B25)</f>
        <v>0.98096746325194162</v>
      </c>
      <c r="AI25" s="8"/>
      <c r="AJ25" s="8"/>
      <c r="AK25" s="8"/>
      <c r="AL25" s="8"/>
      <c r="AM25" s="8"/>
      <c r="AN25" s="8"/>
    </row>
    <row r="26" spans="2:82" x14ac:dyDescent="0.25">
      <c r="B26" s="2">
        <f t="shared" si="9"/>
        <v>5</v>
      </c>
      <c r="C26" s="2">
        <f t="shared" si="4"/>
        <v>1</v>
      </c>
      <c r="D26" s="37">
        <f t="shared" si="5"/>
        <v>1</v>
      </c>
      <c r="E26" s="37">
        <f t="shared" si="6"/>
        <v>0</v>
      </c>
      <c r="F26" s="15">
        <f>IF(B26&gt;$D$2,"",($U$6-$U$5^(B26-1))/($U$6-1))</f>
        <v>0.94678146670804664</v>
      </c>
      <c r="G26" s="15">
        <f>IF(B26&gt;$D$2,"",VLOOKUP(F26*$K$4,$K$6:$L$9,2,TRUE))</f>
        <v>0.26129999999999998</v>
      </c>
      <c r="H26" s="37">
        <f>IF(B26&gt;$D$2,"",E26*G26*F26)</f>
        <v>0</v>
      </c>
      <c r="I26" s="37">
        <f t="shared" si="7"/>
        <v>0</v>
      </c>
      <c r="J26" s="16">
        <f>IF(B26&gt;$D$2,"",$U$7*$Q$6)</f>
        <v>2.0909131142155452E-2</v>
      </c>
      <c r="K26" s="16">
        <f>IF(B26&gt;$D$2,"",J26*D26)</f>
        <v>2.0909131142155452E-2</v>
      </c>
      <c r="L26" s="16">
        <f t="shared" si="8"/>
        <v>7.0059808305425473E-3</v>
      </c>
      <c r="M26" s="16">
        <f t="shared" si="10"/>
        <v>7.0059808305425473E-3</v>
      </c>
      <c r="N26" s="16"/>
      <c r="O26" s="16">
        <f>IF(B26&gt;$D$2,"",H26+K26+N26)</f>
        <v>2.0909131142155452E-2</v>
      </c>
      <c r="P26" s="16">
        <f>IF(B26&gt;$D$2,"",O26*(1-$D$8))</f>
        <v>2.0700039830733898E-2</v>
      </c>
      <c r="Q26" s="2">
        <f>IF(B26&gt;$D$2,"",$Q$9^B26)</f>
        <v>0.97626620024200128</v>
      </c>
      <c r="U26" t="s">
        <v>50</v>
      </c>
      <c r="V26">
        <v>0</v>
      </c>
      <c r="W26">
        <v>1</v>
      </c>
      <c r="X26">
        <v>2</v>
      </c>
      <c r="Y26">
        <v>3</v>
      </c>
      <c r="Z26">
        <v>4</v>
      </c>
      <c r="AA26">
        <v>5</v>
      </c>
      <c r="AB26">
        <v>6</v>
      </c>
      <c r="AC26">
        <v>7</v>
      </c>
      <c r="AD26">
        <v>8</v>
      </c>
      <c r="AE26">
        <v>9</v>
      </c>
      <c r="AF26">
        <v>10</v>
      </c>
      <c r="AG26">
        <v>11</v>
      </c>
      <c r="AH26">
        <v>12</v>
      </c>
      <c r="AI26" s="5">
        <v>13</v>
      </c>
      <c r="AJ26" s="5">
        <v>14</v>
      </c>
      <c r="AK26" s="5">
        <v>15</v>
      </c>
      <c r="AL26" s="5">
        <v>16</v>
      </c>
      <c r="AM26" s="5">
        <v>17</v>
      </c>
      <c r="AN26" s="5">
        <v>18</v>
      </c>
      <c r="AO26">
        <v>19</v>
      </c>
      <c r="AP26">
        <v>20</v>
      </c>
      <c r="AQ26">
        <v>21</v>
      </c>
      <c r="AR26">
        <v>22</v>
      </c>
      <c r="AS26">
        <v>23</v>
      </c>
      <c r="AT26">
        <v>24</v>
      </c>
      <c r="AU26">
        <v>25</v>
      </c>
      <c r="AV26">
        <v>26</v>
      </c>
      <c r="AW26">
        <v>27</v>
      </c>
      <c r="AX26">
        <v>28</v>
      </c>
      <c r="AY26">
        <v>29</v>
      </c>
      <c r="AZ26">
        <v>30</v>
      </c>
      <c r="BA26">
        <v>31</v>
      </c>
      <c r="BB26">
        <v>32</v>
      </c>
      <c r="BC26">
        <v>33</v>
      </c>
      <c r="BD26">
        <v>34</v>
      </c>
      <c r="BE26">
        <v>35</v>
      </c>
      <c r="BF26">
        <v>36</v>
      </c>
      <c r="BG26">
        <v>37</v>
      </c>
      <c r="BH26">
        <v>38</v>
      </c>
      <c r="BI26">
        <v>39</v>
      </c>
      <c r="BJ26">
        <v>40</v>
      </c>
      <c r="BK26">
        <v>41</v>
      </c>
      <c r="BL26">
        <v>42</v>
      </c>
      <c r="BM26">
        <v>43</v>
      </c>
      <c r="BN26">
        <v>44</v>
      </c>
      <c r="BO26">
        <v>45</v>
      </c>
      <c r="BP26">
        <v>46</v>
      </c>
      <c r="BQ26">
        <v>47</v>
      </c>
      <c r="BR26">
        <v>48</v>
      </c>
    </row>
    <row r="27" spans="2:82" x14ac:dyDescent="0.25">
      <c r="B27" s="2">
        <f t="shared" si="9"/>
        <v>6</v>
      </c>
      <c r="C27" s="2">
        <f t="shared" si="4"/>
        <v>1</v>
      </c>
      <c r="D27" s="37">
        <f t="shared" si="5"/>
        <v>1</v>
      </c>
      <c r="E27" s="37">
        <f t="shared" si="6"/>
        <v>0</v>
      </c>
      <c r="F27" s="15">
        <f>IF(B27&gt;$D$2,"",($U$6-$U$5^(B27-1))/($U$6-1))</f>
        <v>0.93321778177843451</v>
      </c>
      <c r="G27" s="15">
        <f>IF(B27&gt;$D$2,"",VLOOKUP(F27*$K$4,$K$6:$L$9,2,TRUE))</f>
        <v>0.26129999999999998</v>
      </c>
      <c r="H27" s="37">
        <f>IF(B27&gt;$D$2,"",E27*G27*F27)</f>
        <v>0</v>
      </c>
      <c r="I27" s="37">
        <f t="shared" si="7"/>
        <v>0</v>
      </c>
      <c r="J27" s="16">
        <f>IF(B27&gt;$D$2,"",$U$7*$Q$6)</f>
        <v>2.0909131142155452E-2</v>
      </c>
      <c r="K27" s="16">
        <f>IF(B27&gt;$D$2,"",J27*D27)</f>
        <v>2.0909131142155452E-2</v>
      </c>
      <c r="L27" s="16">
        <f t="shared" si="8"/>
        <v>6.9056124562662854E-3</v>
      </c>
      <c r="M27" s="16">
        <f t="shared" si="10"/>
        <v>6.9056124562662854E-3</v>
      </c>
      <c r="N27" s="16"/>
      <c r="O27" s="16">
        <f>IF(B27&gt;$D$2,"",H27+K27+N27)</f>
        <v>2.0909131142155452E-2</v>
      </c>
      <c r="P27" s="16">
        <f>IF(B27&gt;$D$2,"",O27*(1-$D$8))</f>
        <v>2.0700039830733898E-2</v>
      </c>
      <c r="Q27" s="2">
        <f>IF(B27&gt;$D$2,"",$Q$9^B27)</f>
        <v>0.97158746792213635</v>
      </c>
      <c r="U27" s="42" t="s">
        <v>32</v>
      </c>
      <c r="V27" s="5">
        <f>V18</f>
        <v>5.9324416503754751E-2</v>
      </c>
      <c r="W27" s="5">
        <f t="shared" ref="W27:BR27" si="11">W18</f>
        <v>6.0700211579435059E-2</v>
      </c>
      <c r="X27" s="5">
        <f t="shared" si="11"/>
        <v>6.2048381339944614E-2</v>
      </c>
      <c r="Y27" s="5">
        <f t="shared" si="11"/>
        <v>6.3369012749094455E-2</v>
      </c>
      <c r="Z27" s="5">
        <f t="shared" si="11"/>
        <v>6.466220556875113E-2</v>
      </c>
      <c r="AA27" s="5">
        <f t="shared" si="11"/>
        <v>6.5928071552464829E-2</v>
      </c>
      <c r="AB27" s="5">
        <f t="shared" si="11"/>
        <v>6.7166733653692967E-2</v>
      </c>
      <c r="AC27" s="5">
        <f t="shared" si="11"/>
        <v>6.8378325250442185E-2</v>
      </c>
      <c r="AD27" s="5">
        <f t="shared" si="11"/>
        <v>6.9562989387859986E-2</v>
      </c>
      <c r="AE27" s="5">
        <f t="shared" si="11"/>
        <v>7.0720878040110291E-2</v>
      </c>
      <c r="AF27" s="5">
        <f t="shared" si="11"/>
        <v>7.1852151392678199E-2</v>
      </c>
      <c r="AG27" s="5">
        <f t="shared" si="11"/>
        <v>7.2956977145936852E-2</v>
      </c>
      <c r="AH27" s="5">
        <f t="shared" si="11"/>
        <v>7.4035529840772218E-2</v>
      </c>
      <c r="AI27" s="5">
        <f t="shared" si="11"/>
        <v>7.5087990206857302E-2</v>
      </c>
      <c r="AJ27" s="5">
        <f t="shared" si="11"/>
        <v>7.611454453384936E-2</v>
      </c>
      <c r="AK27" s="5">
        <f t="shared" si="11"/>
        <v>7.7115384065882253E-2</v>
      </c>
      <c r="AL27" s="5">
        <f t="shared" si="11"/>
        <v>7.8090704419411017E-2</v>
      </c>
      <c r="AM27" s="5">
        <f t="shared" si="11"/>
        <v>7.9040705024433278E-2</v>
      </c>
      <c r="AN27" s="5">
        <f t="shared" si="11"/>
        <v>7.9965588588943648E-2</v>
      </c>
      <c r="AO27" s="5">
        <f t="shared" si="11"/>
        <v>8.0865560586436125E-2</v>
      </c>
      <c r="AP27" s="5">
        <f t="shared" si="11"/>
        <v>8.1740828766148965E-2</v>
      </c>
      <c r="AQ27" s="5">
        <f t="shared" si="11"/>
        <v>8.2591602685695431E-2</v>
      </c>
      <c r="AR27" s="5">
        <f t="shared" si="11"/>
        <v>8.341809326558991E-2</v>
      </c>
      <c r="AS27" s="5">
        <f t="shared" si="11"/>
        <v>8.4220512365220435E-2</v>
      </c>
      <c r="AT27" s="5">
        <f t="shared" si="11"/>
        <v>8.499907237971005E-2</v>
      </c>
      <c r="AU27" s="5">
        <f t="shared" si="11"/>
        <v>8.5423952197083874E-2</v>
      </c>
      <c r="AV27" s="5">
        <f t="shared" si="11"/>
        <v>8.583505368159261E-2</v>
      </c>
      <c r="AW27" s="5">
        <f t="shared" si="11"/>
        <v>8.6232536661776882E-2</v>
      </c>
      <c r="AX27" s="5">
        <f t="shared" si="11"/>
        <v>8.6616556040277848E-2</v>
      </c>
      <c r="AY27" s="5">
        <f t="shared" si="11"/>
        <v>8.6987261896469326E-2</v>
      </c>
      <c r="AZ27" s="5">
        <f t="shared" si="11"/>
        <v>8.7344799588599864E-2</v>
      </c>
      <c r="BA27" s="5">
        <f t="shared" si="11"/>
        <v>8.768930985524559E-2</v>
      </c>
      <c r="BB27" s="5">
        <f t="shared" si="11"/>
        <v>8.8020928915913066E-2</v>
      </c>
      <c r="BC27" s="5">
        <f t="shared" si="11"/>
        <v>8.8339788570590327E-2</v>
      </c>
      <c r="BD27" s="5">
        <f t="shared" si="11"/>
        <v>8.8646016298160824E-2</v>
      </c>
      <c r="BE27" s="5">
        <f t="shared" si="11"/>
        <v>8.8939735353521954E-2</v>
      </c>
      <c r="BF27" s="5">
        <f t="shared" si="11"/>
        <v>8.9221064863338473E-2</v>
      </c>
      <c r="BG27" s="5">
        <f t="shared" si="11"/>
        <v>8.9490119920316635E-2</v>
      </c>
      <c r="BH27" s="5">
        <f t="shared" si="11"/>
        <v>8.9747011675926469E-2</v>
      </c>
      <c r="BI27" s="5">
        <f t="shared" si="11"/>
        <v>8.9991847431581284E-2</v>
      </c>
      <c r="BJ27" s="5">
        <f t="shared" si="11"/>
        <v>9.0224730728082569E-2</v>
      </c>
      <c r="BK27" s="5">
        <f t="shared" si="11"/>
        <v>9.0445761433466165E-2</v>
      </c>
      <c r="BL27" s="5">
        <f t="shared" si="11"/>
        <v>9.0655035829080299E-2</v>
      </c>
      <c r="BM27" s="5">
        <f t="shared" si="11"/>
        <v>9.0852646693958539E-2</v>
      </c>
      <c r="BN27" s="5">
        <f t="shared" si="11"/>
        <v>9.1038683387459685E-2</v>
      </c>
      <c r="BO27" s="5">
        <f t="shared" si="11"/>
        <v>9.1213231930151961E-2</v>
      </c>
      <c r="BP27" s="5">
        <f t="shared" si="11"/>
        <v>9.1376375082976802E-2</v>
      </c>
      <c r="BQ27" s="5">
        <f t="shared" si="11"/>
        <v>9.1528192424687571E-2</v>
      </c>
      <c r="BR27" s="5">
        <f t="shared" si="11"/>
        <v>9.1668760427568774E-2</v>
      </c>
    </row>
    <row r="28" spans="2:82" x14ac:dyDescent="0.25">
      <c r="B28" s="2">
        <f t="shared" si="9"/>
        <v>7</v>
      </c>
      <c r="C28" s="2">
        <f t="shared" si="4"/>
        <v>1</v>
      </c>
      <c r="D28" s="37">
        <f t="shared" si="5"/>
        <v>1</v>
      </c>
      <c r="E28" s="37">
        <f t="shared" si="6"/>
        <v>0</v>
      </c>
      <c r="F28" s="15">
        <f>IF(B28&gt;$D$2,"",($U$6-$U$5^(B28-1))/($U$6-1))</f>
        <v>0.91954886525990998</v>
      </c>
      <c r="G28" s="15">
        <f>IF(B28&gt;$D$2,"",VLOOKUP(F28*$K$4,$K$6:$L$9,2,TRUE))</f>
        <v>0.26129999999999998</v>
      </c>
      <c r="H28" s="37">
        <f>IF(B28&gt;$D$2,"",E28*G28*F28)</f>
        <v>0</v>
      </c>
      <c r="I28" s="37">
        <f t="shared" si="7"/>
        <v>0</v>
      </c>
      <c r="J28" s="16">
        <f>IF(B28&gt;$D$2,"",$U$7*$Q$6)</f>
        <v>2.0909131142155452E-2</v>
      </c>
      <c r="K28" s="16">
        <f>IF(B28&gt;$D$2,"",J28*D28)</f>
        <v>2.0909131142155452E-2</v>
      </c>
      <c r="L28" s="16">
        <f t="shared" si="8"/>
        <v>6.804465390686262E-3</v>
      </c>
      <c r="M28" s="16">
        <f t="shared" si="10"/>
        <v>6.804465390686262E-3</v>
      </c>
      <c r="N28" s="16"/>
      <c r="O28" s="16">
        <f>IF(B28&gt;$D$2,"",H28+K28+N28)</f>
        <v>2.0909131142155452E-2</v>
      </c>
      <c r="P28" s="16">
        <f>IF(B28&gt;$D$2,"",O28*(1-$D$8))</f>
        <v>2.0700039830733898E-2</v>
      </c>
      <c r="Q28" s="2">
        <f>IF(B28&gt;$D$2,"",$Q$9^B28)</f>
        <v>0.96693115831455578</v>
      </c>
      <c r="U28" s="42" t="s">
        <v>34</v>
      </c>
      <c r="V28" s="5">
        <f t="shared" ref="V28:BR28" si="12">V19</f>
        <v>5.7561524486296346E-2</v>
      </c>
      <c r="W28" s="5">
        <f t="shared" si="12"/>
        <v>5.8021020068643472E-2</v>
      </c>
      <c r="X28" s="5">
        <f t="shared" si="12"/>
        <v>5.8484080570883647E-2</v>
      </c>
      <c r="Y28" s="5">
        <f t="shared" si="12"/>
        <v>5.8950733650853696E-2</v>
      </c>
      <c r="Z28" s="5">
        <f t="shared" si="12"/>
        <v>5.9421007180969175E-2</v>
      </c>
      <c r="AA28" s="5">
        <f t="shared" si="12"/>
        <v>5.9894929249889137E-2</v>
      </c>
      <c r="AB28" s="5">
        <f t="shared" si="12"/>
        <v>6.0372528164193806E-2</v>
      </c>
      <c r="AC28" s="5">
        <f t="shared" si="12"/>
        <v>6.0853832450075293E-2</v>
      </c>
      <c r="AD28" s="5">
        <f t="shared" si="12"/>
        <v>6.1338870855041389E-2</v>
      </c>
      <c r="AE28" s="5">
        <f t="shared" si="12"/>
        <v>6.1827672349632691E-2</v>
      </c>
      <c r="AF28" s="5">
        <f t="shared" si="12"/>
        <v>6.2320266129152882E-2</v>
      </c>
      <c r="AG28" s="5">
        <f t="shared" si="12"/>
        <v>6.2816681615412512E-2</v>
      </c>
      <c r="AH28" s="5">
        <f t="shared" si="12"/>
        <v>6.3316948458486344E-2</v>
      </c>
      <c r="AI28" s="5">
        <f t="shared" si="12"/>
        <v>6.382109653848439E-2</v>
      </c>
      <c r="AJ28" s="5">
        <f t="shared" si="12"/>
        <v>6.4329155967336404E-2</v>
      </c>
      <c r="AK28" s="5">
        <f t="shared" si="12"/>
        <v>6.4841157090590601E-2</v>
      </c>
      <c r="AL28" s="5">
        <f t="shared" si="12"/>
        <v>6.5357130489226034E-2</v>
      </c>
      <c r="AM28" s="5">
        <f t="shared" si="12"/>
        <v>6.5877106981479222E-2</v>
      </c>
      <c r="AN28" s="5">
        <f t="shared" si="12"/>
        <v>6.6401117624684813E-2</v>
      </c>
      <c r="AO28" s="5">
        <f t="shared" si="12"/>
        <v>6.6929193717130603E-2</v>
      </c>
      <c r="AP28" s="5">
        <f t="shared" si="12"/>
        <v>6.7461366799926953E-2</v>
      </c>
      <c r="AQ28" s="5">
        <f t="shared" si="12"/>
        <v>6.7997668658890661E-2</v>
      </c>
      <c r="AR28" s="5">
        <f t="shared" si="12"/>
        <v>6.8538131326443499E-2</v>
      </c>
      <c r="AS28" s="5">
        <f t="shared" si="12"/>
        <v>6.9082787083525443E-2</v>
      </c>
      <c r="AT28" s="5">
        <f t="shared" si="12"/>
        <v>7.9542057204625524E-2</v>
      </c>
      <c r="AU28" s="5">
        <f t="shared" si="12"/>
        <v>7.9855505577487718E-2</v>
      </c>
      <c r="AV28" s="5">
        <f t="shared" si="12"/>
        <v>8.0171385787309368E-2</v>
      </c>
      <c r="AW28" s="5">
        <f t="shared" si="12"/>
        <v>8.0489716701092229E-2</v>
      </c>
      <c r="AX28" s="5">
        <f t="shared" si="12"/>
        <v>8.0810517332214504E-2</v>
      </c>
      <c r="AY28" s="5">
        <f t="shared" si="12"/>
        <v>8.1133806841566583E-2</v>
      </c>
      <c r="AZ28" s="5">
        <f t="shared" si="12"/>
        <v>8.1459604538695385E-2</v>
      </c>
      <c r="BA28" s="5">
        <f t="shared" si="12"/>
        <v>8.1787929882957744E-2</v>
      </c>
      <c r="BB28" s="5">
        <f t="shared" si="12"/>
        <v>8.211880248468266E-2</v>
      </c>
      <c r="BC28" s="5">
        <f t="shared" si="12"/>
        <v>8.2452242106342624E-2</v>
      </c>
      <c r="BD28" s="5">
        <f t="shared" si="12"/>
        <v>8.2788268663733983E-2</v>
      </c>
      <c r="BE28" s="5">
        <f t="shared" si="12"/>
        <v>8.3126902227166427E-2</v>
      </c>
      <c r="BF28" s="5">
        <f t="shared" si="12"/>
        <v>8.3468163022661829E-2</v>
      </c>
      <c r="BG28" s="5">
        <f t="shared" si="12"/>
        <v>8.38120714331623E-2</v>
      </c>
      <c r="BH28" s="5">
        <f t="shared" si="12"/>
        <v>8.4158647999747566E-2</v>
      </c>
      <c r="BI28" s="5">
        <f t="shared" si="12"/>
        <v>8.4507913422861916E-2</v>
      </c>
      <c r="BJ28" s="5">
        <f t="shared" si="12"/>
        <v>8.485988856355059E-2</v>
      </c>
      <c r="BK28" s="5">
        <f t="shared" si="12"/>
        <v>8.5214594444705777E-2</v>
      </c>
      <c r="BL28" s="5">
        <f t="shared" si="12"/>
        <v>8.557205225232227E-2</v>
      </c>
      <c r="BM28" s="5">
        <f t="shared" si="12"/>
        <v>8.5932283336762852E-2</v>
      </c>
      <c r="BN28" s="5">
        <f t="shared" si="12"/>
        <v>8.6295309214033541E-2</v>
      </c>
      <c r="BO28" s="5">
        <f t="shared" si="12"/>
        <v>8.6661151567068731E-2</v>
      </c>
      <c r="BP28" s="5">
        <f t="shared" si="12"/>
        <v>8.7029832247026206E-2</v>
      </c>
      <c r="BQ28" s="5">
        <f t="shared" si="12"/>
        <v>8.7401373274592367E-2</v>
      </c>
      <c r="BR28" s="5">
        <f t="shared" si="12"/>
        <v>8.7775796841297382E-2</v>
      </c>
    </row>
    <row r="29" spans="2:82" x14ac:dyDescent="0.25">
      <c r="B29" s="2">
        <f t="shared" si="9"/>
        <v>8</v>
      </c>
      <c r="C29" s="2">
        <f t="shared" si="4"/>
        <v>1</v>
      </c>
      <c r="D29" s="37">
        <f t="shared" si="5"/>
        <v>1</v>
      </c>
      <c r="E29" s="37">
        <f t="shared" si="6"/>
        <v>0</v>
      </c>
      <c r="F29" s="15">
        <f>IF(B29&gt;$D$2,"",($U$6-$U$5^(B29-1))/($U$6-1))</f>
        <v>0.90577390073072916</v>
      </c>
      <c r="G29" s="15">
        <f>IF(B29&gt;$D$2,"",VLOOKUP(F29*$K$4,$K$6:$L$9,2,TRUE))</f>
        <v>0.26129999999999998</v>
      </c>
      <c r="H29" s="37">
        <f>IF(B29&gt;$D$2,"",E29*G29*F29)</f>
        <v>0</v>
      </c>
      <c r="I29" s="37">
        <f t="shared" si="7"/>
        <v>0</v>
      </c>
      <c r="J29" s="16">
        <f>IF(B29&gt;$D$2,"",$U$7*$Q$6)</f>
        <v>2.0909131142155452E-2</v>
      </c>
      <c r="K29" s="16">
        <f>IF(B29&gt;$D$2,"",J29*D29)</f>
        <v>2.0909131142155452E-2</v>
      </c>
      <c r="L29" s="16">
        <f t="shared" si="8"/>
        <v>6.7025335924557798E-3</v>
      </c>
      <c r="M29" s="16">
        <f t="shared" si="10"/>
        <v>6.7025335924557798E-3</v>
      </c>
      <c r="N29" s="16"/>
      <c r="O29" s="16">
        <f>IF(B29&gt;$D$2,"",H29+K29+N29)</f>
        <v>2.0909131142155452E-2</v>
      </c>
      <c r="P29" s="16">
        <f>IF(B29&gt;$D$2,"",O29*(1-$D$8))</f>
        <v>2.0700039830733898E-2</v>
      </c>
      <c r="Q29" s="2">
        <f>IF(B29&gt;$D$2,"",$Q$9^B29)</f>
        <v>0.96229716395894938</v>
      </c>
      <c r="U29" s="42" t="s">
        <v>41</v>
      </c>
      <c r="V29" s="5" t="e">
        <f t="shared" ref="V29:BR29" si="13">V20</f>
        <v>#DIV/0!</v>
      </c>
      <c r="W29" s="5">
        <f t="shared" si="13"/>
        <v>-0.28068519875746967</v>
      </c>
      <c r="X29" s="5">
        <f t="shared" si="13"/>
        <v>-0.11062119894573941</v>
      </c>
      <c r="Y29" s="5">
        <f t="shared" si="13"/>
        <v>-4.6193014907612517E-2</v>
      </c>
      <c r="Z29" s="5">
        <f t="shared" si="13"/>
        <v>-1.2382449643349114E-2</v>
      </c>
      <c r="AA29" s="5">
        <f t="shared" si="13"/>
        <v>8.442080530715268E-3</v>
      </c>
      <c r="AB29" s="5">
        <f t="shared" si="13"/>
        <v>2.2560426325294314E-2</v>
      </c>
      <c r="AC29" s="5">
        <f t="shared" si="13"/>
        <v>3.2766798218393678E-2</v>
      </c>
      <c r="AD29" s="5">
        <f t="shared" si="13"/>
        <v>4.0492888313794051E-2</v>
      </c>
      <c r="AE29" s="5">
        <f t="shared" si="13"/>
        <v>4.654797442861458E-2</v>
      </c>
      <c r="AF29" s="5">
        <f t="shared" si="13"/>
        <v>5.1423953627700136E-2</v>
      </c>
      <c r="AG29" s="5">
        <f t="shared" si="13"/>
        <v>5.5437022604727382E-2</v>
      </c>
      <c r="AH29" s="5">
        <f t="shared" si="13"/>
        <v>5.879969066866253E-2</v>
      </c>
      <c r="AI29" s="5">
        <f t="shared" si="13"/>
        <v>6.1660060913946158E-2</v>
      </c>
      <c r="AJ29" s="5">
        <f t="shared" si="13"/>
        <v>6.4124513021546425E-2</v>
      </c>
      <c r="AK29" s="5">
        <f t="shared" si="13"/>
        <v>6.6271431439161255E-2</v>
      </c>
      <c r="AL29" s="5">
        <f t="shared" si="13"/>
        <v>6.8159848350210384E-2</v>
      </c>
      <c r="AM29" s="5">
        <f t="shared" si="13"/>
        <v>6.9835071160617712E-2</v>
      </c>
      <c r="AN29" s="5">
        <f t="shared" si="13"/>
        <v>7.1332454437911252E-2</v>
      </c>
      <c r="AO29" s="5">
        <f t="shared" si="13"/>
        <v>7.2679992900268164E-2</v>
      </c>
      <c r="AP29" s="5">
        <f t="shared" si="13"/>
        <v>7.3900144068864693E-2</v>
      </c>
      <c r="AQ29" s="5">
        <f t="shared" si="13"/>
        <v>7.5011134985587313E-2</v>
      </c>
      <c r="AR29" s="5">
        <f t="shared" si="13"/>
        <v>7.6027915709735217E-2</v>
      </c>
      <c r="AS29" s="5">
        <f t="shared" si="13"/>
        <v>7.6962866191224277E-2</v>
      </c>
      <c r="AT29" s="5">
        <f t="shared" si="13"/>
        <v>8.4163402442726243E-2</v>
      </c>
      <c r="AU29" s="5">
        <f t="shared" si="13"/>
        <v>8.461950264104412E-2</v>
      </c>
      <c r="AV29" s="5">
        <f t="shared" si="13"/>
        <v>8.5043927236501116E-2</v>
      </c>
      <c r="AW29" s="5">
        <f t="shared" si="13"/>
        <v>8.5440293756479768E-2</v>
      </c>
      <c r="AX29" s="5">
        <f t="shared" si="13"/>
        <v>8.5811710035101241E-2</v>
      </c>
      <c r="AY29" s="5">
        <f t="shared" si="13"/>
        <v>8.6160862058388021E-2</v>
      </c>
      <c r="AZ29" s="5">
        <f t="shared" si="13"/>
        <v>8.6490084324413186E-2</v>
      </c>
      <c r="BA29" s="5">
        <f t="shared" si="13"/>
        <v>8.680141665456298E-2</v>
      </c>
      <c r="BB29" s="5">
        <f t="shared" si="13"/>
        <v>8.7096650411472742E-2</v>
      </c>
      <c r="BC29" s="5">
        <f t="shared" si="13"/>
        <v>8.7377366365371412E-2</v>
      </c>
      <c r="BD29" s="5">
        <f t="shared" si="13"/>
        <v>8.7644965924776219E-2</v>
      </c>
      <c r="BE29" s="5">
        <f t="shared" si="13"/>
        <v>8.7900697056883192E-2</v>
      </c>
      <c r="BF29" s="5">
        <f t="shared" si="13"/>
        <v>8.8145675929423684E-2</v>
      </c>
      <c r="BG29" s="5">
        <f t="shared" si="13"/>
        <v>8.8380905083714323E-2</v>
      </c>
      <c r="BH29" s="5">
        <f t="shared" si="13"/>
        <v>8.8607288778781435E-2</v>
      </c>
      <c r="BI29" s="5">
        <f t="shared" si="13"/>
        <v>8.882564601596421E-2</v>
      </c>
      <c r="BJ29" s="5">
        <f t="shared" si="13"/>
        <v>8.9036721651995165E-2</v>
      </c>
      <c r="BK29" s="5">
        <f t="shared" si="13"/>
        <v>8.924119592963109E-2</v>
      </c>
      <c r="BL29" s="5">
        <f t="shared" si="13"/>
        <v>8.9439692692669936E-2</v>
      </c>
      <c r="BM29" s="5">
        <f t="shared" si="13"/>
        <v>8.963278650317319E-2</v>
      </c>
      <c r="BN29" s="5">
        <f t="shared" si="13"/>
        <v>8.9821008839630512E-2</v>
      </c>
      <c r="BO29" s="5">
        <f t="shared" si="13"/>
        <v>9.0004853523684369E-2</v>
      </c>
      <c r="BP29" s="5">
        <f t="shared" si="13"/>
        <v>9.0184781497920197E-2</v>
      </c>
      <c r="BQ29" s="5">
        <f t="shared" si="13"/>
        <v>9.0361225057159711E-2</v>
      </c>
      <c r="BR29" s="5">
        <f t="shared" si="13"/>
        <v>9.0534591619318983E-2</v>
      </c>
    </row>
    <row r="30" spans="2:82" x14ac:dyDescent="0.25">
      <c r="B30" s="2">
        <f t="shared" si="9"/>
        <v>9</v>
      </c>
      <c r="C30" s="2">
        <f t="shared" si="4"/>
        <v>1</v>
      </c>
      <c r="D30" s="37">
        <f t="shared" si="5"/>
        <v>1</v>
      </c>
      <c r="E30" s="37">
        <f t="shared" si="6"/>
        <v>0</v>
      </c>
      <c r="F30" s="15">
        <f>IF(B30&gt;$D$2,"",($U$6-$U$5^(B30-1))/($U$6-1))</f>
        <v>0.89189206543507671</v>
      </c>
      <c r="G30" s="15">
        <f>IF(B30&gt;$D$2,"",VLOOKUP(F30*$K$4,$K$6:$L$9,2,TRUE))</f>
        <v>0.26129999999999998</v>
      </c>
      <c r="H30" s="37">
        <f>IF(B30&gt;$D$2,"",E30*G30*F30)</f>
        <v>0</v>
      </c>
      <c r="I30" s="37">
        <f t="shared" si="7"/>
        <v>0</v>
      </c>
      <c r="J30" s="16">
        <f>IF(B30&gt;$D$2,"",$U$7*$Q$6)</f>
        <v>2.0909131142155452E-2</v>
      </c>
      <c r="K30" s="16">
        <f>IF(B30&gt;$D$2,"",J30*D30)</f>
        <v>2.0909131142155452E-2</v>
      </c>
      <c r="L30" s="16">
        <f t="shared" si="8"/>
        <v>6.5998109733573646E-3</v>
      </c>
      <c r="M30" s="16">
        <f t="shared" si="10"/>
        <v>6.5998109733573646E-3</v>
      </c>
      <c r="N30" s="16"/>
      <c r="O30" s="16">
        <f>IF(B30&gt;$D$2,"",H30+K30+N30)</f>
        <v>2.0909131142155452E-2</v>
      </c>
      <c r="P30" s="16">
        <f>IF(B30&gt;$D$2,"",O30*(1-$D$8))</f>
        <v>2.0700039830733898E-2</v>
      </c>
      <c r="Q30" s="2">
        <f>IF(B30&gt;$D$2,"",$Q$9^B30)</f>
        <v>0.95768537791000796</v>
      </c>
      <c r="U30" s="42" t="s">
        <v>47</v>
      </c>
      <c r="V30" s="5">
        <f t="shared" ref="V30:BR30" si="14">V21</f>
        <v>5.5139211141995936E-2</v>
      </c>
      <c r="W30" s="5">
        <f t="shared" si="14"/>
        <v>5.651695392307432E-2</v>
      </c>
      <c r="X30" s="5">
        <f t="shared" si="14"/>
        <v>5.7875262824397922E-2</v>
      </c>
      <c r="Y30" s="5">
        <f t="shared" si="14"/>
        <v>5.9214013945295463E-2</v>
      </c>
      <c r="Z30" s="5">
        <f t="shared" si="14"/>
        <v>6.0533084210083299E-2</v>
      </c>
      <c r="AA30" s="5">
        <f t="shared" si="14"/>
        <v>6.183235138533516E-2</v>
      </c>
      <c r="AB30" s="5">
        <f t="shared" si="14"/>
        <v>6.3111694097172544E-2</v>
      </c>
      <c r="AC30" s="5">
        <f t="shared" si="14"/>
        <v>6.4370991848596182E-2</v>
      </c>
      <c r="AD30" s="5">
        <f t="shared" si="14"/>
        <v>6.56101250368335E-2</v>
      </c>
      <c r="AE30" s="5">
        <f t="shared" si="14"/>
        <v>6.6828974970687627E-2</v>
      </c>
      <c r="AF30" s="5">
        <f t="shared" si="14"/>
        <v>6.8027423887916161E-2</v>
      </c>
      <c r="AG30" s="5">
        <f t="shared" si="14"/>
        <v>6.9205354972623034E-2</v>
      </c>
      <c r="AH30" s="5">
        <f t="shared" si="14"/>
        <v>7.0362652372658596E-2</v>
      </c>
      <c r="AI30" s="5">
        <f t="shared" si="14"/>
        <v>7.1499201217013031E-2</v>
      </c>
      <c r="AJ30" s="5">
        <f t="shared" si="14"/>
        <v>7.2614887633230207E-2</v>
      </c>
      <c r="AK30" s="5">
        <f t="shared" si="14"/>
        <v>7.3709598764822637E-2</v>
      </c>
      <c r="AL30" s="5">
        <f t="shared" si="14"/>
        <v>7.478322278867422E-2</v>
      </c>
      <c r="AM30" s="5">
        <f t="shared" si="14"/>
        <v>7.5835648932446542E-2</v>
      </c>
      <c r="AN30" s="5">
        <f t="shared" si="14"/>
        <v>7.6866767491971855E-2</v>
      </c>
      <c r="AO30" s="5">
        <f t="shared" si="14"/>
        <v>7.7876469848651819E-2</v>
      </c>
      <c r="AP30" s="5">
        <f t="shared" si="14"/>
        <v>7.8864648486817623E-2</v>
      </c>
      <c r="AQ30" s="5">
        <f t="shared" si="14"/>
        <v>7.9831197011098087E-2</v>
      </c>
      <c r="AR30" s="5">
        <f t="shared" si="14"/>
        <v>8.0776010163757128E-2</v>
      </c>
      <c r="AS30" s="5">
        <f t="shared" si="14"/>
        <v>8.1698983842003914E-2</v>
      </c>
      <c r="AT30" s="5">
        <f t="shared" si="14"/>
        <v>8.260001511530235E-2</v>
      </c>
      <c r="AU30" s="5">
        <f t="shared" si="14"/>
        <v>8.3145342586256277E-2</v>
      </c>
      <c r="AV30" s="5">
        <f t="shared" si="14"/>
        <v>8.367485775824357E-2</v>
      </c>
      <c r="AW30" s="5">
        <f t="shared" si="14"/>
        <v>8.4188578872187003E-2</v>
      </c>
      <c r="AX30" s="5">
        <f t="shared" si="14"/>
        <v>8.4686525847610161E-2</v>
      </c>
      <c r="AY30" s="5">
        <f t="shared" si="14"/>
        <v>8.5168720290852429E-2</v>
      </c>
      <c r="AZ30" s="5">
        <f t="shared" si="14"/>
        <v>8.5635185503126987E-2</v>
      </c>
      <c r="BA30" s="5">
        <f t="shared" si="14"/>
        <v>8.6085946488503762E-2</v>
      </c>
      <c r="BB30" s="5">
        <f t="shared" si="14"/>
        <v>8.6521029961757812E-2</v>
      </c>
      <c r="BC30" s="5">
        <f t="shared" si="14"/>
        <v>8.6940464356087377E-2</v>
      </c>
      <c r="BD30" s="5">
        <f t="shared" si="14"/>
        <v>8.7344279830740446E-2</v>
      </c>
      <c r="BE30" s="5">
        <f t="shared" si="14"/>
        <v>8.7732508278492549E-2</v>
      </c>
      <c r="BF30" s="5">
        <f t="shared" si="14"/>
        <v>8.8105183333021087E-2</v>
      </c>
      <c r="BG30" s="5">
        <f t="shared" si="14"/>
        <v>8.8462340376151527E-2</v>
      </c>
      <c r="BH30" s="5">
        <f t="shared" si="14"/>
        <v>8.8804016545003028E-2</v>
      </c>
      <c r="BI30" s="5">
        <f t="shared" si="14"/>
        <v>8.9130250738980621E-2</v>
      </c>
      <c r="BJ30" s="5">
        <f t="shared" si="14"/>
        <v>8.9441083626670359E-2</v>
      </c>
      <c r="BK30" s="5">
        <f t="shared" si="14"/>
        <v>8.9736557652619231E-2</v>
      </c>
      <c r="BL30" s="5">
        <f t="shared" si="14"/>
        <v>9.0016717043969185E-2</v>
      </c>
      <c r="BM30" s="5">
        <f t="shared" si="14"/>
        <v>9.0281607816998344E-2</v>
      </c>
      <c r="BN30" s="5">
        <f t="shared" si="14"/>
        <v>9.053127778352299E-2</v>
      </c>
      <c r="BO30" s="5">
        <f t="shared" si="14"/>
        <v>9.0765776557196975E-2</v>
      </c>
      <c r="BP30" s="5">
        <f t="shared" si="14"/>
        <v>9.0985155559668796E-2</v>
      </c>
      <c r="BQ30" s="5">
        <f t="shared" si="14"/>
        <v>9.1189468026649401E-2</v>
      </c>
      <c r="BR30" s="5">
        <f t="shared" si="14"/>
        <v>9.1378769013846783E-2</v>
      </c>
    </row>
    <row r="31" spans="2:82" x14ac:dyDescent="0.25">
      <c r="B31" s="2">
        <f t="shared" si="9"/>
        <v>10</v>
      </c>
      <c r="C31" s="2">
        <f t="shared" si="4"/>
        <v>1</v>
      </c>
      <c r="D31" s="37">
        <f t="shared" si="5"/>
        <v>1</v>
      </c>
      <c r="E31" s="37">
        <f t="shared" si="6"/>
        <v>0</v>
      </c>
      <c r="F31" s="15">
        <f>IF(B31&gt;$D$2,"",($U$6-$U$5^(B31-1))/($U$6-1))</f>
        <v>0.87790253023392195</v>
      </c>
      <c r="G31" s="15">
        <f>IF(B31&gt;$D$2,"",VLOOKUP(F31*$K$4,$K$6:$L$9,2,TRUE))</f>
        <v>0.26129999999999998</v>
      </c>
      <c r="H31" s="37">
        <f>IF(B31&gt;$D$2,"",E31*G31*F31)</f>
        <v>0</v>
      </c>
      <c r="I31" s="37">
        <f t="shared" si="7"/>
        <v>0</v>
      </c>
      <c r="J31" s="16">
        <f>IF(B31&gt;$D$2,"",$U$7*$Q$6)</f>
        <v>2.0909131142155452E-2</v>
      </c>
      <c r="K31" s="16">
        <f>IF(B31&gt;$D$2,"",J31*D31)</f>
        <v>2.0909131142155452E-2</v>
      </c>
      <c r="L31" s="16">
        <f t="shared" si="8"/>
        <v>6.4962913979391091E-3</v>
      </c>
      <c r="M31" s="16">
        <f t="shared" si="10"/>
        <v>6.4962913979391091E-3</v>
      </c>
      <c r="N31" s="16"/>
      <c r="O31" s="16">
        <f>IF(B31&gt;$D$2,"",H31+K31+N31)</f>
        <v>2.0909131142155452E-2</v>
      </c>
      <c r="P31" s="16">
        <f>IF(B31&gt;$D$2,"",O31*(1-$D$8))</f>
        <v>2.0700039830733898E-2</v>
      </c>
      <c r="Q31" s="2">
        <f>IF(B31&gt;$D$2,"",$Q$9^B31)</f>
        <v>0.95309569373495528</v>
      </c>
      <c r="U31" s="42" t="s">
        <v>49</v>
      </c>
      <c r="V31" s="5">
        <f t="shared" ref="V31:BR31" si="15">V22</f>
        <v>5.5206447709135409E-2</v>
      </c>
      <c r="W31" s="5">
        <f t="shared" si="15"/>
        <v>5.8480099056321455E-2</v>
      </c>
      <c r="X31" s="5">
        <f t="shared" si="15"/>
        <v>6.126776826230107E-2</v>
      </c>
      <c r="Y31" s="5">
        <f t="shared" si="15"/>
        <v>6.3671288808332838E-2</v>
      </c>
      <c r="Z31" s="5">
        <f t="shared" si="15"/>
        <v>6.5765936689407445E-2</v>
      </c>
      <c r="AA31" s="5">
        <f t="shared" si="15"/>
        <v>6.7608558861629087E-2</v>
      </c>
      <c r="AB31" s="5">
        <f t="shared" si="15"/>
        <v>6.9242888659956758E-2</v>
      </c>
      <c r="AC31" s="5">
        <f t="shared" si="15"/>
        <v>7.070312196496209E-2</v>
      </c>
      <c r="AD31" s="5">
        <f t="shared" si="15"/>
        <v>7.2016383707112608E-2</v>
      </c>
      <c r="AE31" s="5">
        <f t="shared" si="15"/>
        <v>7.3204466652451172E-2</v>
      </c>
      <c r="AF31" s="5">
        <f t="shared" si="15"/>
        <v>7.4285081215193838E-2</v>
      </c>
      <c r="AG31" s="5">
        <f t="shared" si="15"/>
        <v>7.5272769537541473E-2</v>
      </c>
      <c r="AH31" s="5">
        <f t="shared" si="15"/>
        <v>7.6179584545816637E-2</v>
      </c>
      <c r="AI31" s="5">
        <f t="shared" si="15"/>
        <v>7.7015601586571725E-2</v>
      </c>
      <c r="AJ31" s="5">
        <f t="shared" si="15"/>
        <v>7.7789308900322984E-2</v>
      </c>
      <c r="AK31" s="5">
        <f t="shared" si="15"/>
        <v>7.8507909139056142E-2</v>
      </c>
      <c r="AL31" s="5">
        <f t="shared" si="15"/>
        <v>7.9177554708290465E-2</v>
      </c>
      <c r="AM31" s="5">
        <f t="shared" si="15"/>
        <v>7.9803533282762906E-2</v>
      </c>
      <c r="AN31" s="5">
        <f t="shared" si="15"/>
        <v>8.039041538630376E-2</v>
      </c>
      <c r="AO31" s="5">
        <f t="shared" si="15"/>
        <v>8.094217279075E-2</v>
      </c>
      <c r="AP31" s="5">
        <f t="shared" si="15"/>
        <v>8.1462274253535139E-2</v>
      </c>
      <c r="AQ31" s="5">
        <f t="shared" si="15"/>
        <v>8.1953763500654642E-2</v>
      </c>
      <c r="AR31" s="5">
        <f t="shared" si="15"/>
        <v>8.2419323184251825E-2</v>
      </c>
      <c r="AS31" s="5">
        <f t="shared" si="15"/>
        <v>8.2861327675029184E-2</v>
      </c>
      <c r="AT31" s="5">
        <f t="shared" si="15"/>
        <v>8.7268449241736379E-2</v>
      </c>
      <c r="AU31" s="5">
        <f t="shared" si="15"/>
        <v>8.7496431820386356E-2</v>
      </c>
      <c r="AV31" s="5">
        <f t="shared" si="15"/>
        <v>8.7714218634165508E-2</v>
      </c>
      <c r="AW31" s="5">
        <f t="shared" si="15"/>
        <v>8.7922674381845978E-2</v>
      </c>
      <c r="AX31" s="5">
        <f t="shared" si="15"/>
        <v>8.8122578366906845E-2</v>
      </c>
      <c r="AY31" s="5">
        <f t="shared" si="15"/>
        <v>8.8314635250962281E-2</v>
      </c>
      <c r="AZ31" s="5">
        <f t="shared" si="15"/>
        <v>8.849948425234655E-2</v>
      </c>
      <c r="BA31" s="5">
        <f t="shared" si="15"/>
        <v>8.8677707048154364E-2</v>
      </c>
      <c r="BB31" s="5">
        <f t="shared" si="15"/>
        <v>8.8849834590360333E-2</v>
      </c>
      <c r="BC31" s="5">
        <f t="shared" si="15"/>
        <v>8.9016353008622096E-2</v>
      </c>
      <c r="BD31" s="5">
        <f t="shared" si="15"/>
        <v>8.9177708741876804E-2</v>
      </c>
      <c r="BE31" s="5">
        <f t="shared" si="15"/>
        <v>8.9334313016437239E-2</v>
      </c>
      <c r="BF31" s="5">
        <f t="shared" si="15"/>
        <v>8.9486545768361569E-2</v>
      </c>
      <c r="BG31" s="5">
        <f t="shared" si="15"/>
        <v>8.9634759091736571E-2</v>
      </c>
      <c r="BH31" s="5">
        <f t="shared" si="15"/>
        <v>8.9779280281511609E-2</v>
      </c>
      <c r="BI31" s="5">
        <f t="shared" si="15"/>
        <v>8.9920414528447123E-2</v>
      </c>
      <c r="BJ31" s="5">
        <f t="shared" si="15"/>
        <v>9.005844731512247E-2</v>
      </c>
      <c r="BK31" s="5">
        <f t="shared" si="15"/>
        <v>9.01936465544253E-2</v>
      </c>
      <c r="BL31" s="5">
        <f t="shared" si="15"/>
        <v>9.0326264505899534E-2</v>
      </c>
      <c r="BM31" s="5">
        <f t="shared" si="15"/>
        <v>9.0456539500324062E-2</v>
      </c>
      <c r="BN31" s="5">
        <f t="shared" si="15"/>
        <v>9.0584697498574451E-2</v>
      </c>
      <c r="BO31" s="5">
        <f t="shared" si="15"/>
        <v>9.0710953507390668E-2</v>
      </c>
      <c r="BP31" s="5">
        <f t="shared" si="15"/>
        <v>9.0835512871623836E-2</v>
      </c>
      <c r="BQ31" s="5">
        <f t="shared" si="15"/>
        <v>9.0958572460181131E-2</v>
      </c>
      <c r="BR31" s="5">
        <f t="shared" si="15"/>
        <v>9.1080321760711458E-2</v>
      </c>
    </row>
    <row r="32" spans="2:82" x14ac:dyDescent="0.25">
      <c r="B32" s="2">
        <f t="shared" si="9"/>
        <v>11</v>
      </c>
      <c r="C32" s="2">
        <f t="shared" si="4"/>
        <v>1</v>
      </c>
      <c r="D32" s="37">
        <f t="shared" si="5"/>
        <v>1</v>
      </c>
      <c r="E32" s="37">
        <f t="shared" si="6"/>
        <v>0</v>
      </c>
      <c r="F32" s="15">
        <f>IF(B32&gt;$D$2,"",($U$6-$U$5^(B32-1))/($U$6-1))</f>
        <v>0.86380445955549767</v>
      </c>
      <c r="G32" s="15">
        <f>IF(B32&gt;$D$2,"",VLOOKUP(F32*$K$4,$K$6:$L$9,2,TRUE))</f>
        <v>0.26129999999999998</v>
      </c>
      <c r="H32" s="37">
        <f>IF(B32&gt;$D$2,"",E32*G32*F32)</f>
        <v>0</v>
      </c>
      <c r="I32" s="37">
        <f t="shared" si="7"/>
        <v>0</v>
      </c>
      <c r="J32" s="16">
        <f>IF(B32&gt;$D$2,"",$U$7*$Q$6)</f>
        <v>2.0909131142155452E-2</v>
      </c>
      <c r="K32" s="16">
        <f>IF(B32&gt;$D$2,"",J32*D32)</f>
        <v>2.0909131142155452E-2</v>
      </c>
      <c r="L32" s="16">
        <f>IF(B32&gt;$D$2,"",$D$11*$Q$6*F32)</f>
        <v>6.3919686831482286E-3</v>
      </c>
      <c r="M32" s="16">
        <f t="shared" si="10"/>
        <v>6.3919686831482286E-3</v>
      </c>
      <c r="N32" s="16"/>
      <c r="O32" s="16">
        <f>IF(B32&gt;$D$2,"",H32+K32+N32)</f>
        <v>2.0909131142155452E-2</v>
      </c>
      <c r="P32" s="16">
        <f>IF(B32&gt;$D$2,"",O32*(1-$D$8))</f>
        <v>2.0700039830733898E-2</v>
      </c>
      <c r="Q32" s="2">
        <f>IF(B32&gt;$D$2,"",$Q$9^B32)</f>
        <v>0.94852800551109129</v>
      </c>
      <c r="AI32" s="29"/>
      <c r="AJ32" s="29"/>
      <c r="AK32" s="29"/>
      <c r="AL32" s="29"/>
      <c r="AM32" s="29"/>
      <c r="AN32" s="29"/>
    </row>
    <row r="33" spans="2:40" x14ac:dyDescent="0.25">
      <c r="B33" s="2">
        <f t="shared" si="9"/>
        <v>12</v>
      </c>
      <c r="C33" s="2">
        <f t="shared" si="4"/>
        <v>1</v>
      </c>
      <c r="D33" s="37">
        <f t="shared" si="5"/>
        <v>1</v>
      </c>
      <c r="E33" s="37">
        <f t="shared" si="6"/>
        <v>0</v>
      </c>
      <c r="F33" s="15">
        <f>IF(B33&gt;$D$2,"",($U$6-$U$5^(B33-1))/($U$6-1))</f>
        <v>0.84959701134539367</v>
      </c>
      <c r="G33" s="15">
        <f>IF(B33&gt;$D$2,"",VLOOKUP(F33*$K$4,$K$6:$L$9,2,TRUE))</f>
        <v>0.26129999999999998</v>
      </c>
      <c r="H33" s="37">
        <f>IF(B33&gt;$D$2,"",E33*G33*F33)</f>
        <v>0</v>
      </c>
      <c r="I33" s="37">
        <f t="shared" si="7"/>
        <v>0</v>
      </c>
      <c r="J33" s="16">
        <f>IF(B33&gt;$D$2,"",$U$7*$Q$6)</f>
        <v>2.0909131142155452E-2</v>
      </c>
      <c r="K33" s="16">
        <f>IF(B33&gt;$D$2,"",J33*D33)</f>
        <v>2.0909131142155452E-2</v>
      </c>
      <c r="L33" s="16">
        <f t="shared" si="8"/>
        <v>6.2868365979617657E-3</v>
      </c>
      <c r="M33" s="16">
        <f t="shared" si="10"/>
        <v>6.2868365979617657E-3</v>
      </c>
      <c r="N33" s="16"/>
      <c r="O33" s="16">
        <f>IF(B33&gt;$D$2,"",H33+K33+N33)</f>
        <v>2.0909131142155452E-2</v>
      </c>
      <c r="P33" s="16">
        <f>IF(B33&gt;$D$2,"",O33*(1-$D$8))</f>
        <v>2.0700039830733898E-2</v>
      </c>
      <c r="Q33" s="2">
        <f>IF(B33&gt;$D$2,"",$Q$9^B33)</f>
        <v>0.9439822078233483</v>
      </c>
      <c r="AI33" s="5"/>
      <c r="AJ33" s="5"/>
      <c r="AK33" s="5"/>
      <c r="AL33" s="5"/>
      <c r="AM33" s="5"/>
      <c r="AN33" s="5"/>
    </row>
    <row r="34" spans="2:40" x14ac:dyDescent="0.25">
      <c r="B34" s="2">
        <f t="shared" si="9"/>
        <v>13</v>
      </c>
      <c r="C34" s="2">
        <f t="shared" si="4"/>
        <v>1</v>
      </c>
      <c r="D34" s="37">
        <f t="shared" si="5"/>
        <v>1</v>
      </c>
      <c r="E34" s="37">
        <f t="shared" si="6"/>
        <v>0</v>
      </c>
      <c r="F34" s="15">
        <f>IF(B34&gt;$D$2,"",($U$6-$U$5^(B34-1))/($U$6-1))</f>
        <v>0.83527933701625989</v>
      </c>
      <c r="G34" s="15">
        <f>IF(B34&gt;$D$2,"",VLOOKUP(F34*$K$4,$K$6:$L$9,2,TRUE))</f>
        <v>0.26129999999999998</v>
      </c>
      <c r="H34" s="37">
        <f>IF(B34&gt;$D$2,"",E34*G34*F34)</f>
        <v>0</v>
      </c>
      <c r="I34" s="37">
        <f t="shared" si="7"/>
        <v>0</v>
      </c>
      <c r="J34" s="16">
        <f>IF(B34&gt;$D$2,"",$U$7*$Q$6)</f>
        <v>2.0909131142155452E-2</v>
      </c>
      <c r="K34" s="16">
        <f>IF(B34&gt;$D$2,"",J34*D34)</f>
        <v>2.0909131142155452E-2</v>
      </c>
      <c r="L34" s="16">
        <f t="shared" si="8"/>
        <v>6.1808888630144002E-3</v>
      </c>
      <c r="M34" s="16">
        <f t="shared" si="10"/>
        <v>6.1808888630144002E-3</v>
      </c>
      <c r="N34" s="16"/>
      <c r="O34" s="16">
        <f>IF(B34&gt;$D$2,"",H34+K34+N34)</f>
        <v>2.0909131142155452E-2</v>
      </c>
      <c r="P34" s="16">
        <f>IF(B34&gt;$D$2,"",O34*(1-$D$8))</f>
        <v>2.0700039830733898E-2</v>
      </c>
      <c r="Q34" s="2">
        <f>IF(B34&gt;$D$2,"",$Q$9^B34)</f>
        <v>0.93945819576185763</v>
      </c>
    </row>
    <row r="35" spans="2:40" x14ac:dyDescent="0.25">
      <c r="B35" s="2">
        <f t="shared" si="9"/>
        <v>14</v>
      </c>
      <c r="C35" s="2">
        <f t="shared" si="4"/>
        <v>1</v>
      </c>
      <c r="D35" s="37">
        <f t="shared" si="5"/>
        <v>1</v>
      </c>
      <c r="E35" s="37">
        <f t="shared" si="6"/>
        <v>0</v>
      </c>
      <c r="F35" s="15">
        <f>IF(B35&gt;$D$2,"",($U$6-$U$5^(B35-1))/($U$6-1))</f>
        <v>0.82085058139712208</v>
      </c>
      <c r="G35" s="15">
        <f>IF(B35&gt;$D$2,"",VLOOKUP(F35*$K$4,$K$6:$L$9,2,TRUE))</f>
        <v>0.26129999999999998</v>
      </c>
      <c r="H35" s="37">
        <f>IF(B35&gt;$D$2,"",E35*G35*F35)</f>
        <v>0</v>
      </c>
      <c r="I35" s="37">
        <f t="shared" si="7"/>
        <v>0</v>
      </c>
      <c r="J35" s="16">
        <f>IF(B35&gt;$D$2,"",$U$7*$Q$6)</f>
        <v>2.0909131142155452E-2</v>
      </c>
      <c r="K35" s="16">
        <f>IF(B35&gt;$D$2,"",J35*D35)</f>
        <v>2.0909131142155452E-2</v>
      </c>
      <c r="L35" s="16">
        <f t="shared" si="8"/>
        <v>6.0741191502233973E-3</v>
      </c>
      <c r="M35" s="16">
        <f t="shared" si="10"/>
        <v>6.0741191502233973E-3</v>
      </c>
      <c r="N35" s="16"/>
      <c r="O35" s="16">
        <f>IF(B35&gt;$D$2,"",H35+K35+N35)</f>
        <v>2.0909131142155452E-2</v>
      </c>
      <c r="P35" s="16">
        <f>IF(B35&gt;$D$2,"",O35*(1-$D$8))</f>
        <v>2.0700039830733898E-2</v>
      </c>
      <c r="Q35" s="2">
        <f>IF(B35&gt;$D$2,"",$Q$9^B35)</f>
        <v>0.93495586491952853</v>
      </c>
    </row>
    <row r="36" spans="2:40" x14ac:dyDescent="0.25">
      <c r="B36" s="2">
        <f t="shared" si="9"/>
        <v>15</v>
      </c>
      <c r="C36" s="2">
        <f t="shared" si="4"/>
        <v>1</v>
      </c>
      <c r="D36" s="37">
        <f t="shared" si="5"/>
        <v>1</v>
      </c>
      <c r="E36" s="37">
        <f t="shared" si="6"/>
        <v>0</v>
      </c>
      <c r="F36" s="15">
        <f>IF(B36&gt;$D$2,"",($U$6-$U$5^(B36-1))/($U$6-1))</f>
        <v>0.80630988268230608</v>
      </c>
      <c r="G36" s="15">
        <f>IF(B36&gt;$D$2,"",VLOOKUP(F36*$K$4,$K$6:$L$9,2,TRUE))</f>
        <v>0.26129999999999998</v>
      </c>
      <c r="H36" s="37">
        <f>IF(B36&gt;$D$2,"",E36*G36*F36)</f>
        <v>0</v>
      </c>
      <c r="I36" s="37">
        <f t="shared" si="7"/>
        <v>0</v>
      </c>
      <c r="J36" s="16">
        <f>IF(B36&gt;$D$2,"",$U$7*$Q$6)</f>
        <v>2.0909131142155452E-2</v>
      </c>
      <c r="K36" s="16">
        <f>IF(B36&gt;$D$2,"",J36*D36)</f>
        <v>2.0909131142155452E-2</v>
      </c>
      <c r="L36" s="16">
        <f t="shared" si="8"/>
        <v>5.9665210824106597E-3</v>
      </c>
      <c r="M36" s="16">
        <f t="shared" si="10"/>
        <v>5.9665210824106597E-3</v>
      </c>
      <c r="N36" s="16"/>
      <c r="O36" s="16">
        <f>IF(B36&gt;$D$2,"",H36+K36+N36)</f>
        <v>2.0909131142155452E-2</v>
      </c>
      <c r="P36" s="16">
        <f>IF(B36&gt;$D$2,"",O36*(1-$D$8))</f>
        <v>2.0700039830733898E-2</v>
      </c>
      <c r="Q36" s="2">
        <f>IF(B36&gt;$D$2,"",$Q$9^B36)</f>
        <v>0.9304751113896389</v>
      </c>
    </row>
    <row r="37" spans="2:40" x14ac:dyDescent="0.25">
      <c r="B37" s="2">
        <f t="shared" si="9"/>
        <v>16</v>
      </c>
      <c r="C37" s="2">
        <f t="shared" si="4"/>
        <v>1</v>
      </c>
      <c r="D37" s="37">
        <f t="shared" si="5"/>
        <v>1</v>
      </c>
      <c r="E37" s="37">
        <f t="shared" si="6"/>
        <v>0</v>
      </c>
      <c r="F37" s="15">
        <f>IF(B37&gt;$D$2,"",($U$6-$U$5^(B37-1))/($U$6-1))</f>
        <v>0.79165637237996056</v>
      </c>
      <c r="G37" s="15">
        <f>IF(B37&gt;$D$2,"",VLOOKUP(F37*$K$4,$K$6:$L$9,2,TRUE))</f>
        <v>0.26129999999999998</v>
      </c>
      <c r="H37" s="37">
        <f>IF(B37&gt;$D$2,"",E37*G37*F37)</f>
        <v>0</v>
      </c>
      <c r="I37" s="37">
        <f t="shared" si="7"/>
        <v>0</v>
      </c>
      <c r="J37" s="16">
        <f>IF(B37&gt;$D$2,"",$U$7*$Q$6)</f>
        <v>2.0909131142155452E-2</v>
      </c>
      <c r="K37" s="16">
        <f>IF(B37&gt;$D$2,"",J37*D37)</f>
        <v>2.0909131142155452E-2</v>
      </c>
      <c r="L37" s="16">
        <f t="shared" si="8"/>
        <v>5.8580882329218051E-3</v>
      </c>
      <c r="M37" s="16">
        <f t="shared" si="10"/>
        <v>5.8580882329218051E-3</v>
      </c>
      <c r="N37" s="16"/>
      <c r="O37" s="16">
        <f>IF(B37&gt;$D$2,"",H37+K37+N37)</f>
        <v>2.0909131142155452E-2</v>
      </c>
      <c r="P37" s="16">
        <f>IF(B37&gt;$D$2,"",O37*(1-$D$8))</f>
        <v>2.0700039830733898E-2</v>
      </c>
      <c r="Q37" s="2">
        <f>IF(B37&gt;$D$2,"",$Q$9^B37)</f>
        <v>0.92601583176343705</v>
      </c>
    </row>
    <row r="38" spans="2:40" x14ac:dyDescent="0.25">
      <c r="B38" s="2">
        <f t="shared" si="9"/>
        <v>17</v>
      </c>
      <c r="C38" s="2">
        <f t="shared" si="4"/>
        <v>1</v>
      </c>
      <c r="D38" s="37">
        <f t="shared" si="5"/>
        <v>1</v>
      </c>
      <c r="E38" s="37">
        <f t="shared" si="6"/>
        <v>0</v>
      </c>
      <c r="F38" s="15">
        <f>IF(B38&gt;$D$2,"",($U$6-$U$5^(B38-1))/($U$6-1))</f>
        <v>0.77688917526018675</v>
      </c>
      <c r="G38" s="15">
        <f>IF(B38&gt;$D$2,"",VLOOKUP(F38*$K$4,$K$6:$L$9,2,TRUE))</f>
        <v>0.26129999999999998</v>
      </c>
      <c r="H38" s="37">
        <f>IF(B38&gt;$D$2,"",E38*G38*F38)</f>
        <v>0</v>
      </c>
      <c r="I38" s="37">
        <f t="shared" si="7"/>
        <v>0</v>
      </c>
      <c r="J38" s="16">
        <f>IF(B38&gt;$D$2,"",$U$7*$Q$6)</f>
        <v>2.0909131142155452E-2</v>
      </c>
      <c r="K38" s="16">
        <f>IF(B38&gt;$D$2,"",J38*D38)</f>
        <v>2.0909131142155452E-2</v>
      </c>
      <c r="L38" s="16">
        <f t="shared" si="8"/>
        <v>5.7488141252423387E-3</v>
      </c>
      <c r="M38" s="16">
        <f t="shared" si="10"/>
        <v>5.7488141252423387E-3</v>
      </c>
      <c r="N38" s="16"/>
      <c r="O38" s="16">
        <f>IF(B38&gt;$D$2,"",H38+K38+N38)</f>
        <v>2.0909131142155452E-2</v>
      </c>
      <c r="P38" s="16">
        <f>IF(B38&gt;$D$2,"",O38*(1-$D$8))</f>
        <v>2.0700039830733898E-2</v>
      </c>
      <c r="Q38" s="2">
        <f>IF(B38&gt;$D$2,"",$Q$9^B38)</f>
        <v>0.92157792312775533</v>
      </c>
    </row>
    <row r="39" spans="2:40" x14ac:dyDescent="0.25">
      <c r="B39" s="2">
        <f t="shared" si="9"/>
        <v>18</v>
      </c>
      <c r="C39" s="2">
        <f t="shared" si="4"/>
        <v>1</v>
      </c>
      <c r="D39" s="37">
        <f t="shared" si="5"/>
        <v>1</v>
      </c>
      <c r="E39" s="37">
        <f t="shared" si="6"/>
        <v>0</v>
      </c>
      <c r="F39" s="15">
        <f>IF(B39&gt;$D$2,"",($U$6-$U$5^(B39-1))/($U$6-1))</f>
        <v>0.76200740930275834</v>
      </c>
      <c r="G39" s="15">
        <f>IF(B39&gt;$D$2,"",VLOOKUP(F39*$K$4,$K$6:$L$9,2,TRUE))</f>
        <v>0.26129999999999998</v>
      </c>
      <c r="H39" s="37">
        <f>IF(B39&gt;$D$2,"",E39*G39*F39)</f>
        <v>0</v>
      </c>
      <c r="I39" s="37">
        <f t="shared" si="7"/>
        <v>0</v>
      </c>
      <c r="J39" s="16">
        <f>IF(B39&gt;$D$2,"",$U$7*$Q$6)</f>
        <v>2.0909131142155452E-2</v>
      </c>
      <c r="K39" s="16">
        <f>IF(B39&gt;$D$2,"",J39*D39)</f>
        <v>2.0909131142155452E-2</v>
      </c>
      <c r="L39" s="16">
        <f t="shared" si="8"/>
        <v>5.6386922326107898E-3</v>
      </c>
      <c r="M39" s="16">
        <f t="shared" si="10"/>
        <v>5.6386922326107898E-3</v>
      </c>
      <c r="N39" s="16"/>
      <c r="O39" s="16">
        <f>IF(B39&gt;$D$2,"",H39+K39+N39)</f>
        <v>2.0909131142155452E-2</v>
      </c>
      <c r="P39" s="16">
        <f>IF(B39&gt;$D$2,"",O39*(1-$D$8))</f>
        <v>2.0700039830733898E-2</v>
      </c>
      <c r="Q39" s="2">
        <f>IF(B39&gt;$D$2,"",$Q$9^B39)</f>
        <v>0.91716128306263478</v>
      </c>
    </row>
    <row r="40" spans="2:40" x14ac:dyDescent="0.25">
      <c r="B40" s="2">
        <f t="shared" si="9"/>
        <v>19</v>
      </c>
      <c r="C40" s="2">
        <f t="shared" si="4"/>
        <v>1</v>
      </c>
      <c r="D40" s="37">
        <f t="shared" si="5"/>
        <v>1</v>
      </c>
      <c r="E40" s="37">
        <f t="shared" si="6"/>
        <v>0</v>
      </c>
      <c r="F40" s="15">
        <f>IF(B40&gt;$D$2,"",($U$6-$U$5^(B40-1))/($U$6-1))</f>
        <v>0.74701018564444355</v>
      </c>
      <c r="G40" s="15">
        <f>IF(B40&gt;$D$2,"",VLOOKUP(F40*$K$4,$K$6:$L$9,2,TRUE))</f>
        <v>0.26129999999999998</v>
      </c>
      <c r="H40" s="37">
        <f>IF(B40&gt;$D$2,"",E40*G40*F40)</f>
        <v>0</v>
      </c>
      <c r="I40" s="37">
        <f t="shared" si="7"/>
        <v>0</v>
      </c>
      <c r="J40" s="16">
        <f>IF(B40&gt;$D$2,"",$U$7*$Q$6)</f>
        <v>2.0909131142155452E-2</v>
      </c>
      <c r="K40" s="16">
        <f>IF(B40&gt;$D$2,"",J40*D40)</f>
        <v>2.0909131142155452E-2</v>
      </c>
      <c r="L40" s="16">
        <f t="shared" si="8"/>
        <v>5.5277159776289074E-3</v>
      </c>
      <c r="M40" s="16">
        <f t="shared" si="10"/>
        <v>5.5277159776289074E-3</v>
      </c>
      <c r="N40" s="16"/>
      <c r="O40" s="16">
        <f>IF(B40&gt;$D$2,"",H40+K40+N40)</f>
        <v>2.0909131142155452E-2</v>
      </c>
      <c r="P40" s="16">
        <f>IF(B40&gt;$D$2,"",O40*(1-$D$8))</f>
        <v>2.0700039830733898E-2</v>
      </c>
      <c r="Q40" s="2">
        <f>IF(B40&gt;$D$2,"",$Q$9^B40)</f>
        <v>0.91276580963896181</v>
      </c>
    </row>
    <row r="41" spans="2:40" x14ac:dyDescent="0.25">
      <c r="B41" s="2">
        <f t="shared" si="9"/>
        <v>20</v>
      </c>
      <c r="C41" s="2">
        <f t="shared" si="4"/>
        <v>1</v>
      </c>
      <c r="D41" s="37">
        <f t="shared" si="5"/>
        <v>1</v>
      </c>
      <c r="E41" s="37">
        <f t="shared" si="6"/>
        <v>0</v>
      </c>
      <c r="F41" s="15">
        <f>IF(B41&gt;$D$2,"",($U$6-$U$5^(B41-1))/($U$6-1))</f>
        <v>0.73189660852591265</v>
      </c>
      <c r="G41" s="15">
        <f>IF(B41&gt;$D$2,"",VLOOKUP(F41*$K$4,$K$6:$L$9,2,TRUE))</f>
        <v>0.26129999999999998</v>
      </c>
      <c r="H41" s="37">
        <f>IF(B41&gt;$D$2,"",E41*G41*F41)</f>
        <v>0</v>
      </c>
      <c r="I41" s="37">
        <f t="shared" si="7"/>
        <v>0</v>
      </c>
      <c r="J41" s="16">
        <f>IF(B41&gt;$D$2,"",$U$7*$Q$6)</f>
        <v>2.0909131142155452E-2</v>
      </c>
      <c r="K41" s="16">
        <f>IF(B41&gt;$D$2,"",J41*D41)</f>
        <v>2.0909131142155452E-2</v>
      </c>
      <c r="L41" s="16">
        <f t="shared" si="8"/>
        <v>5.4158787318687885E-3</v>
      </c>
      <c r="M41" s="16">
        <f t="shared" si="10"/>
        <v>5.4158787318687885E-3</v>
      </c>
      <c r="N41" s="16"/>
      <c r="O41" s="16">
        <f>IF(B41&gt;$D$2,"",H41+K41+N41)</f>
        <v>2.0909131142155452E-2</v>
      </c>
      <c r="P41" s="16">
        <f>IF(B41&gt;$D$2,"",O41*(1-$D$8))</f>
        <v>2.0700039830733898E-2</v>
      </c>
      <c r="Q41" s="2">
        <f>IF(B41&gt;$D$2,"",$Q$9^B41)</f>
        <v>0.90839140141611563</v>
      </c>
    </row>
    <row r="42" spans="2:40" x14ac:dyDescent="0.25">
      <c r="B42" s="2">
        <f t="shared" si="9"/>
        <v>21</v>
      </c>
      <c r="C42" s="2">
        <f t="shared" si="4"/>
        <v>1</v>
      </c>
      <c r="D42" s="37">
        <f t="shared" si="5"/>
        <v>1</v>
      </c>
      <c r="E42" s="37">
        <f t="shared" si="6"/>
        <v>0</v>
      </c>
      <c r="F42" s="15">
        <f>IF(B42&gt;$D$2,"",($U$6-$U$5^(B42-1))/($U$6-1))</f>
        <v>0.71666577523823771</v>
      </c>
      <c r="G42" s="15">
        <f>IF(B42&gt;$D$2,"",VLOOKUP(F42*$K$4,$K$6:$L$9,2,TRUE))</f>
        <v>0.26129999999999998</v>
      </c>
      <c r="H42" s="37">
        <f>IF(B42&gt;$D$2,"",E42*G42*F42)</f>
        <v>0</v>
      </c>
      <c r="I42" s="37">
        <f t="shared" si="7"/>
        <v>0</v>
      </c>
      <c r="J42" s="16">
        <f>IF(B42&gt;$D$2,"",$U$7*$Q$6)</f>
        <v>2.0909131142155452E-2</v>
      </c>
      <c r="K42" s="16">
        <f>IF(B42&gt;$D$2,"",J42*D42)</f>
        <v>2.0909131142155452E-2</v>
      </c>
      <c r="L42" s="16">
        <f t="shared" si="8"/>
        <v>5.3031738154769841E-3</v>
      </c>
      <c r="M42" s="16">
        <f t="shared" si="10"/>
        <v>5.3031738154769841E-3</v>
      </c>
      <c r="N42" s="16"/>
      <c r="O42" s="16">
        <f>IF(B42&gt;$D$2,"",H42+K42+N42)</f>
        <v>2.0909131142155452E-2</v>
      </c>
      <c r="P42" s="16">
        <f>IF(B42&gt;$D$2,"",O42*(1-$D$8))</f>
        <v>2.0700039830733898E-2</v>
      </c>
      <c r="Q42" s="2">
        <f>IF(B42&gt;$D$2,"",$Q$9^B42)</f>
        <v>0.904037957439627</v>
      </c>
    </row>
    <row r="43" spans="2:40" x14ac:dyDescent="0.25">
      <c r="B43" s="2">
        <f t="shared" si="9"/>
        <v>22</v>
      </c>
      <c r="C43" s="2">
        <f t="shared" si="4"/>
        <v>1</v>
      </c>
      <c r="D43" s="37">
        <f t="shared" si="5"/>
        <v>1</v>
      </c>
      <c r="E43" s="37">
        <f t="shared" si="6"/>
        <v>0</v>
      </c>
      <c r="F43" s="15">
        <f>IF(B43&gt;$D$2,"",($U$6-$U$5^(B43-1))/($U$6-1))</f>
        <v>0.70131677606897214</v>
      </c>
      <c r="G43" s="15">
        <f>IF(B43&gt;$D$2,"",VLOOKUP(F43*$K$4,$K$6:$L$9,2,TRUE))</f>
        <v>0.26129999999999998</v>
      </c>
      <c r="H43" s="37">
        <f>IF(B43&gt;$D$2,"",E43*G43*F43)</f>
        <v>0</v>
      </c>
      <c r="I43" s="37">
        <f t="shared" si="7"/>
        <v>0</v>
      </c>
      <c r="J43" s="16">
        <f>IF(B43&gt;$D$2,"",$U$7*$Q$6)</f>
        <v>2.0909131142155452E-2</v>
      </c>
      <c r="K43" s="16">
        <f>IF(B43&gt;$D$2,"",J43*D43)</f>
        <v>2.0909131142155452E-2</v>
      </c>
      <c r="L43" s="16">
        <f t="shared" si="8"/>
        <v>5.189594496775504E-3</v>
      </c>
      <c r="M43" s="16">
        <f t="shared" si="10"/>
        <v>5.189594496775504E-3</v>
      </c>
      <c r="N43" s="16"/>
      <c r="O43" s="16">
        <f>IF(B43&gt;$D$2,"",H43+K43+N43)</f>
        <v>2.0909131142155452E-2</v>
      </c>
      <c r="P43" s="16">
        <f>IF(B43&gt;$D$2,"",O43*(1-$D$8))</f>
        <v>2.0700039830733898E-2</v>
      </c>
      <c r="Q43" s="2">
        <f>IF(B43&gt;$D$2,"",$Q$9^B43)</f>
        <v>0.8997053772388488</v>
      </c>
    </row>
    <row r="44" spans="2:40" x14ac:dyDescent="0.25">
      <c r="B44" s="2">
        <f t="shared" si="9"/>
        <v>23</v>
      </c>
      <c r="C44" s="2">
        <f t="shared" si="4"/>
        <v>1</v>
      </c>
      <c r="D44" s="37">
        <f t="shared" si="5"/>
        <v>1</v>
      </c>
      <c r="E44" s="37">
        <f t="shared" si="6"/>
        <v>0</v>
      </c>
      <c r="F44" s="15">
        <f>IF(B44&gt;$D$2,"",($U$6-$U$5^(B44-1))/($U$6-1))</f>
        <v>0.68584869424781836</v>
      </c>
      <c r="G44" s="15">
        <f>IF(B44&gt;$D$2,"",VLOOKUP(F44*$K$4,$K$6:$L$9,2,TRUE))</f>
        <v>0.26129999999999998</v>
      </c>
      <c r="H44" s="37">
        <f>IF(B44&gt;$D$2,"",E44*G44*F44)</f>
        <v>0</v>
      </c>
      <c r="I44" s="37">
        <f t="shared" si="7"/>
        <v>0</v>
      </c>
      <c r="J44" s="16">
        <f>IF(B44&gt;$D$2,"",$U$7*$Q$6)</f>
        <v>2.0909131142155452E-2</v>
      </c>
      <c r="K44" s="16">
        <f>IF(B44&gt;$D$2,"",J44*D44)</f>
        <v>2.0909131142155452E-2</v>
      </c>
      <c r="L44" s="16">
        <f t="shared" si="8"/>
        <v>5.0751339918597652E-3</v>
      </c>
      <c r="M44" s="16">
        <f t="shared" si="10"/>
        <v>5.0751339918597652E-3</v>
      </c>
      <c r="N44" s="16"/>
      <c r="O44" s="16">
        <f>IF(B44&gt;$D$2,"",H44+K44+N44)</f>
        <v>2.0909131142155452E-2</v>
      </c>
      <c r="P44" s="16">
        <f>IF(B44&gt;$D$2,"",O44*(1-$D$8))</f>
        <v>2.0700039830733898E-2</v>
      </c>
      <c r="Q44" s="2">
        <f>IF(B44&gt;$D$2,"",$Q$9^B44)</f>
        <v>0.89539356082463695</v>
      </c>
    </row>
    <row r="45" spans="2:40" x14ac:dyDescent="0.25">
      <c r="B45" s="2">
        <f t="shared" si="9"/>
        <v>24</v>
      </c>
      <c r="C45" s="2">
        <f t="shared" si="4"/>
        <v>1</v>
      </c>
      <c r="D45" s="37">
        <f t="shared" si="5"/>
        <v>1</v>
      </c>
      <c r="E45" s="37">
        <f t="shared" si="6"/>
        <v>0</v>
      </c>
      <c r="F45" s="15">
        <f>IF(B45&gt;$D$2,"",($U$6-$U$5^(B45-1))/($U$6-1))</f>
        <v>0.67026060589186898</v>
      </c>
      <c r="G45" s="15">
        <f>IF(B45&gt;$D$2,"",VLOOKUP(F45*$K$4,$K$6:$L$9,2,TRUE))</f>
        <v>0.26129999999999998</v>
      </c>
      <c r="H45" s="37">
        <f>IF(B45&gt;$D$2,"",E45*G45*F45)</f>
        <v>0</v>
      </c>
      <c r="I45" s="37">
        <f t="shared" si="7"/>
        <v>0</v>
      </c>
      <c r="J45" s="16">
        <f>IF(B45&gt;$D$2,"",$U$7*$Q$6)</f>
        <v>2.0909131142155452E-2</v>
      </c>
      <c r="K45" s="16">
        <f>IF(B45&gt;$D$2,"",J45*D45)</f>
        <v>2.0909131142155452E-2</v>
      </c>
      <c r="L45" s="16">
        <f t="shared" si="8"/>
        <v>4.959785464193389E-3</v>
      </c>
      <c r="M45" s="16">
        <f t="shared" si="10"/>
        <v>4.959785464193389E-3</v>
      </c>
      <c r="N45" s="16"/>
      <c r="O45" s="16">
        <f>IF(B45&gt;$D$2,"",H45+K45+N45)</f>
        <v>2.0909131142155452E-2</v>
      </c>
      <c r="P45" s="16">
        <f>IF(B45&gt;$D$2,"",O45*(1-$D$8))</f>
        <v>2.0700039830733898E-2</v>
      </c>
      <c r="Q45" s="2">
        <f>IF(B45&gt;$D$2,"",$Q$9^B45)</f>
        <v>0.89110240868704305</v>
      </c>
    </row>
    <row r="46" spans="2:40" x14ac:dyDescent="0.25">
      <c r="B46" s="2">
        <f t="shared" si="9"/>
        <v>25</v>
      </c>
      <c r="C46" s="2">
        <f t="shared" si="4"/>
        <v>1</v>
      </c>
      <c r="D46" s="37">
        <f t="shared" si="5"/>
        <v>1</v>
      </c>
      <c r="E46" s="37">
        <f t="shared" si="6"/>
        <v>0</v>
      </c>
      <c r="F46" s="15">
        <f>IF(B46&gt;$D$2,"",($U$6-$U$5^(B46-1))/($U$6-1))</f>
        <v>0.65455157995042479</v>
      </c>
      <c r="G46" s="15">
        <f>IF(B46&gt;$D$2,"",VLOOKUP(F46*$K$4,$K$6:$L$9,2,TRUE))</f>
        <v>0.58139999999999992</v>
      </c>
      <c r="H46" s="37">
        <f>IF(B46&gt;$D$2,"",E46*G46*F46)</f>
        <v>0</v>
      </c>
      <c r="I46" s="37">
        <f t="shared" si="7"/>
        <v>0</v>
      </c>
      <c r="J46" s="16">
        <f>IF(B46&gt;$D$2,"",$U$7*$Q$6)</f>
        <v>2.0909131142155452E-2</v>
      </c>
      <c r="K46" s="16">
        <f>IF(B46&gt;$D$2,"",J46*D46)</f>
        <v>2.0909131142155452E-2</v>
      </c>
      <c r="L46" s="16">
        <f t="shared" si="8"/>
        <v>4.8435420241998697E-3</v>
      </c>
      <c r="M46" s="16">
        <f t="shared" si="10"/>
        <v>4.8435420241998697E-3</v>
      </c>
      <c r="N46" s="16"/>
      <c r="O46" s="16">
        <f>IF(B46&gt;$D$2,"",H46+K46+N46)</f>
        <v>2.0909131142155452E-2</v>
      </c>
      <c r="P46" s="16">
        <f>IF(B46&gt;$D$2,"",O46*(1-$D$8))</f>
        <v>2.0700039830733898E-2</v>
      </c>
      <c r="Q46" s="2">
        <f>IF(B46&gt;$D$2,"",$Q$9^B46)</f>
        <v>0.88683182179301756</v>
      </c>
    </row>
    <row r="47" spans="2:40" x14ac:dyDescent="0.25">
      <c r="B47" s="2">
        <f t="shared" si="9"/>
        <v>26</v>
      </c>
      <c r="C47" s="2">
        <f t="shared" si="4"/>
        <v>1</v>
      </c>
      <c r="D47" s="37">
        <f t="shared" si="5"/>
        <v>1</v>
      </c>
      <c r="E47" s="37">
        <f t="shared" si="6"/>
        <v>0</v>
      </c>
      <c r="F47" s="15">
        <f>IF(B47&gt;$D$2,"",($U$6-$U$5^(B47-1))/($U$6-1))</f>
        <v>0.63872067814938494</v>
      </c>
      <c r="G47" s="15">
        <f>IF(B47&gt;$D$2,"",VLOOKUP(F47*$K$4,$K$6:$L$9,2,TRUE))</f>
        <v>0.58139999999999992</v>
      </c>
      <c r="H47" s="37">
        <f>IF(B47&gt;$D$2,"",E47*G47*F47)</f>
        <v>0</v>
      </c>
      <c r="I47" s="37">
        <f t="shared" si="7"/>
        <v>0</v>
      </c>
      <c r="J47" s="16">
        <f>IF(B47&gt;$D$2,"",$U$7*$Q$6)</f>
        <v>2.0909131142155452E-2</v>
      </c>
      <c r="K47" s="16">
        <f>IF(B47&gt;$D$2,"",J47*D47)</f>
        <v>2.0909131142155452E-2</v>
      </c>
      <c r="L47" s="16">
        <f t="shared" si="8"/>
        <v>4.7263967288510671E-3</v>
      </c>
      <c r="M47" s="16">
        <f t="shared" si="10"/>
        <v>4.7263967288510671E-3</v>
      </c>
      <c r="N47" s="16"/>
      <c r="O47" s="16">
        <f>IF(B47&gt;$D$2,"",H47+K47+N47)</f>
        <v>2.0909131142155452E-2</v>
      </c>
      <c r="P47" s="16">
        <f>IF(B47&gt;$D$2,"",O47*(1-$D$8))</f>
        <v>2.0700039830733898E-2</v>
      </c>
      <c r="Q47" s="2">
        <f>IF(B47&gt;$D$2,"",$Q$9^B47)</f>
        <v>0.88258170158412463</v>
      </c>
    </row>
    <row r="48" spans="2:40" x14ac:dyDescent="0.25">
      <c r="B48" s="2">
        <f t="shared" si="9"/>
        <v>27</v>
      </c>
      <c r="C48" s="2">
        <f t="shared" si="4"/>
        <v>1</v>
      </c>
      <c r="D48" s="37">
        <f t="shared" si="5"/>
        <v>1</v>
      </c>
      <c r="E48" s="37">
        <f t="shared" si="6"/>
        <v>0</v>
      </c>
      <c r="F48" s="15">
        <f>IF(B48&gt;$D$2,"",($U$6-$U$5^(B48-1))/($U$6-1))</f>
        <v>0.62276695493520495</v>
      </c>
      <c r="G48" s="15">
        <f>IF(B48&gt;$D$2,"",VLOOKUP(F48*$K$4,$K$6:$L$9,2,TRUE))</f>
        <v>0.58139999999999992</v>
      </c>
      <c r="H48" s="37">
        <f>IF(B48&gt;$D$2,"",E48*G48*F48)</f>
        <v>0</v>
      </c>
      <c r="I48" s="37">
        <f t="shared" si="7"/>
        <v>0</v>
      </c>
      <c r="J48" s="16">
        <f>IF(B48&gt;$D$2,"",$U$7*$Q$6)</f>
        <v>2.0909131142155452E-2</v>
      </c>
      <c r="K48" s="16">
        <f>IF(B48&gt;$D$2,"",J48*D48)</f>
        <v>2.0909131142155452E-2</v>
      </c>
      <c r="L48" s="16">
        <f t="shared" si="8"/>
        <v>4.6083425812525136E-3</v>
      </c>
      <c r="M48" s="16">
        <f t="shared" si="10"/>
        <v>4.6083425812525136E-3</v>
      </c>
      <c r="N48" s="16"/>
      <c r="O48" s="16">
        <f>IF(B48&gt;$D$2,"",H48+K48+N48)</f>
        <v>2.0909131142155452E-2</v>
      </c>
      <c r="P48" s="16">
        <f>IF(B48&gt;$D$2,"",O48*(1-$D$8))</f>
        <v>2.0700039830733898E-2</v>
      </c>
      <c r="Q48" s="2">
        <f>IF(B48&gt;$D$2,"",$Q$9^B48)</f>
        <v>0.87835194997426724</v>
      </c>
    </row>
    <row r="49" spans="2:17" x14ac:dyDescent="0.25">
      <c r="B49" s="2">
        <f t="shared" si="9"/>
        <v>28</v>
      </c>
      <c r="C49" s="2">
        <f t="shared" si="4"/>
        <v>1</v>
      </c>
      <c r="D49" s="37">
        <f t="shared" si="5"/>
        <v>1</v>
      </c>
      <c r="E49" s="37">
        <f t="shared" si="6"/>
        <v>0</v>
      </c>
      <c r="F49" s="15">
        <f>IF(B49&gt;$D$2,"",($U$6-$U$5^(B49-1))/($U$6-1))</f>
        <v>0.60668945741842162</v>
      </c>
      <c r="G49" s="15">
        <f>IF(B49&gt;$D$2,"",VLOOKUP(F49*$K$4,$K$6:$L$9,2,TRUE))</f>
        <v>0.58139999999999992</v>
      </c>
      <c r="H49" s="37">
        <f>IF(B49&gt;$D$2,"",E49*G49*F49)</f>
        <v>0</v>
      </c>
      <c r="I49" s="37">
        <f t="shared" si="7"/>
        <v>0</v>
      </c>
      <c r="J49" s="16">
        <f>IF(B49&gt;$D$2,"",$U$7*$Q$6)</f>
        <v>2.0909131142155452E-2</v>
      </c>
      <c r="K49" s="16">
        <f>IF(B49&gt;$D$2,"",J49*D49)</f>
        <v>2.0909131142155452E-2</v>
      </c>
      <c r="L49" s="16">
        <f t="shared" si="8"/>
        <v>4.4893725302255078E-3</v>
      </c>
      <c r="M49" s="16">
        <f t="shared" si="10"/>
        <v>4.4893725302255078E-3</v>
      </c>
      <c r="N49" s="16"/>
      <c r="O49" s="16">
        <f>IF(B49&gt;$D$2,"",H49+K49+N49)</f>
        <v>2.0909131142155452E-2</v>
      </c>
      <c r="P49" s="16">
        <f>IF(B49&gt;$D$2,"",O49*(1-$D$8))</f>
        <v>2.0700039830733898E-2</v>
      </c>
      <c r="Q49" s="2">
        <f>IF(B49&gt;$D$2,"",$Q$9^B49)</f>
        <v>0.87414246934742357</v>
      </c>
    </row>
    <row r="50" spans="2:17" x14ac:dyDescent="0.25">
      <c r="B50" s="2">
        <f t="shared" si="9"/>
        <v>29</v>
      </c>
      <c r="C50" s="2">
        <f t="shared" si="4"/>
        <v>1</v>
      </c>
      <c r="D50" s="37">
        <f t="shared" si="5"/>
        <v>1</v>
      </c>
      <c r="E50" s="37">
        <f t="shared" si="6"/>
        <v>0</v>
      </c>
      <c r="F50" s="15">
        <f>IF(B50&gt;$D$2,"",($U$6-$U$5^(B50-1))/($U$6-1))</f>
        <v>0.59048722531673792</v>
      </c>
      <c r="G50" s="15">
        <f>IF(B50&gt;$D$2,"",VLOOKUP(F50*$K$4,$K$6:$L$9,2,TRUE))</f>
        <v>0.58139999999999992</v>
      </c>
      <c r="H50" s="37">
        <f>IF(B50&gt;$D$2,"",E50*G50*F50)</f>
        <v>0</v>
      </c>
      <c r="I50" s="37">
        <f t="shared" si="7"/>
        <v>0</v>
      </c>
      <c r="J50" s="16">
        <f>IF(B50&gt;$D$2,"",$U$7*$Q$6)</f>
        <v>2.0909131142155452E-2</v>
      </c>
      <c r="K50" s="16">
        <f>IF(B50&gt;$D$2,"",J50*D50)</f>
        <v>2.0909131142155452E-2</v>
      </c>
      <c r="L50" s="16">
        <f t="shared" si="8"/>
        <v>4.3694794698859564E-3</v>
      </c>
      <c r="M50" s="16">
        <f t="shared" si="10"/>
        <v>4.3694794698859564E-3</v>
      </c>
      <c r="N50" s="16"/>
      <c r="O50" s="16">
        <f>IF(B50&gt;$D$2,"",H50+K50+N50)</f>
        <v>2.0909131142155452E-2</v>
      </c>
      <c r="P50" s="16">
        <f>IF(B50&gt;$D$2,"",O50*(1-$D$8))</f>
        <v>2.0700039830733898E-2</v>
      </c>
      <c r="Q50" s="2">
        <f>IF(B50&gt;$D$2,"",$Q$9^B50)</f>
        <v>0.86995316255539445</v>
      </c>
    </row>
    <row r="51" spans="2:17" x14ac:dyDescent="0.25">
      <c r="B51" s="2">
        <f t="shared" si="9"/>
        <v>30</v>
      </c>
      <c r="C51" s="2">
        <f t="shared" si="4"/>
        <v>1</v>
      </c>
      <c r="D51" s="37">
        <f t="shared" si="5"/>
        <v>1</v>
      </c>
      <c r="E51" s="37">
        <f t="shared" si="6"/>
        <v>0</v>
      </c>
      <c r="F51" s="15">
        <f>IF(B51&gt;$D$2,"",($U$6-$U$5^(B51-1))/($U$6-1))</f>
        <v>0.5741592908976646</v>
      </c>
      <c r="G51" s="15">
        <f>IF(B51&gt;$D$2,"",VLOOKUP(F51*$K$4,$K$6:$L$9,2,TRUE))</f>
        <v>0.58139999999999992</v>
      </c>
      <c r="H51" s="37">
        <f>IF(B51&gt;$D$2,"",E51*G51*F51)</f>
        <v>0</v>
      </c>
      <c r="I51" s="37">
        <f t="shared" si="7"/>
        <v>0</v>
      </c>
      <c r="J51" s="16">
        <f>IF(B51&gt;$D$2,"",$U$7*$Q$6)</f>
        <v>2.0909131142155452E-2</v>
      </c>
      <c r="K51" s="16">
        <f>IF(B51&gt;$D$2,"",J51*D51)</f>
        <v>2.0909131142155452E-2</v>
      </c>
      <c r="L51" s="16">
        <f t="shared" si="8"/>
        <v>4.2486562392199312E-3</v>
      </c>
      <c r="M51" s="16">
        <f t="shared" si="10"/>
        <v>4.2486562392199312E-3</v>
      </c>
      <c r="N51" s="16"/>
      <c r="O51" s="16">
        <f>IF(B51&gt;$D$2,"",H51+K51+N51)</f>
        <v>2.0909131142155452E-2</v>
      </c>
      <c r="P51" s="16">
        <f>IF(B51&gt;$D$2,"",O51*(1-$D$8))</f>
        <v>2.0700039830733898E-2</v>
      </c>
      <c r="Q51" s="2">
        <f>IF(B51&gt;$D$2,"",$Q$9^B51)</f>
        <v>0.86578393291556088</v>
      </c>
    </row>
    <row r="52" spans="2:17" x14ac:dyDescent="0.25">
      <c r="B52" s="2">
        <f t="shared" si="9"/>
        <v>31</v>
      </c>
      <c r="C52" s="2">
        <f t="shared" si="4"/>
        <v>1</v>
      </c>
      <c r="D52" s="37">
        <f t="shared" si="5"/>
        <v>1</v>
      </c>
      <c r="E52" s="37">
        <f t="shared" si="6"/>
        <v>0</v>
      </c>
      <c r="F52" s="15">
        <f>IF(B52&gt;$D$2,"",($U$6-$U$5^(B52-1))/($U$6-1))</f>
        <v>0.55770467892072362</v>
      </c>
      <c r="G52" s="15">
        <f>IF(B52&gt;$D$2,"",VLOOKUP(F52*$K$4,$K$6:$L$9,2,TRUE))</f>
        <v>0.58139999999999992</v>
      </c>
      <c r="H52" s="37">
        <f>IF(B52&gt;$D$2,"",E52*G52*F52)</f>
        <v>0</v>
      </c>
      <c r="I52" s="37">
        <f t="shared" si="7"/>
        <v>0</v>
      </c>
      <c r="J52" s="16">
        <f>IF(B52&gt;$D$2,"",$U$7*$Q$6)</f>
        <v>2.0909131142155452E-2</v>
      </c>
      <c r="K52" s="16">
        <f>IF(B52&gt;$D$2,"",J52*D52)</f>
        <v>2.0909131142155452E-2</v>
      </c>
      <c r="L52" s="16">
        <f t="shared" si="8"/>
        <v>4.1268956216559917E-3</v>
      </c>
      <c r="M52" s="16">
        <f t="shared" si="10"/>
        <v>4.1268956216559917E-3</v>
      </c>
      <c r="N52" s="16"/>
      <c r="O52" s="16">
        <f>IF(B52&gt;$D$2,"",H52+K52+N52)</f>
        <v>2.0909131142155452E-2</v>
      </c>
      <c r="P52" s="16">
        <f>IF(B52&gt;$D$2,"",O52*(1-$D$8))</f>
        <v>2.0700039830733898E-2</v>
      </c>
      <c r="Q52" s="2">
        <f>IF(B52&gt;$D$2,"",$Q$9^B52)</f>
        <v>0.86163468420865319</v>
      </c>
    </row>
    <row r="53" spans="2:17" x14ac:dyDescent="0.25">
      <c r="B53" s="2">
        <f t="shared" si="9"/>
        <v>32</v>
      </c>
      <c r="C53" s="2">
        <f t="shared" si="4"/>
        <v>1</v>
      </c>
      <c r="D53" s="37">
        <f t="shared" si="5"/>
        <v>1</v>
      </c>
      <c r="E53" s="37">
        <f t="shared" si="6"/>
        <v>0</v>
      </c>
      <c r="F53" s="15">
        <f>IF(B53&gt;$D$2,"",($U$6-$U$5^(B53-1))/($U$6-1))</f>
        <v>0.54112240657919453</v>
      </c>
      <c r="G53" s="15">
        <f>IF(B53&gt;$D$2,"",VLOOKUP(F53*$K$4,$K$6:$L$9,2,TRUE))</f>
        <v>0.58139999999999992</v>
      </c>
      <c r="H53" s="37">
        <f>IF(B53&gt;$D$2,"",E53*G53*F53)</f>
        <v>0</v>
      </c>
      <c r="I53" s="37">
        <f t="shared" si="7"/>
        <v>0</v>
      </c>
      <c r="J53" s="16">
        <f>IF(B53&gt;$D$2,"",$U$7*$Q$6)</f>
        <v>2.0909131142155452E-2</v>
      </c>
      <c r="K53" s="16">
        <f>IF(B53&gt;$D$2,"",J53*D53)</f>
        <v>2.0909131142155452E-2</v>
      </c>
      <c r="L53" s="16">
        <f t="shared" si="8"/>
        <v>4.0041903446341159E-3</v>
      </c>
      <c r="M53" s="16">
        <f t="shared" si="10"/>
        <v>4.0041903446341159E-3</v>
      </c>
      <c r="N53" s="16"/>
      <c r="O53" s="16">
        <f>IF(B53&gt;$D$2,"",H53+K53+N53)</f>
        <v>2.0909131142155452E-2</v>
      </c>
      <c r="P53" s="16">
        <f>IF(B53&gt;$D$2,"",O53*(1-$D$8))</f>
        <v>2.0700039830733898E-2</v>
      </c>
      <c r="Q53" s="2">
        <f>IF(B53&gt;$D$2,"",$Q$9^B53)</f>
        <v>0.85750532067653018</v>
      </c>
    </row>
    <row r="54" spans="2:17" x14ac:dyDescent="0.25">
      <c r="B54" s="2">
        <f t="shared" si="9"/>
        <v>33</v>
      </c>
      <c r="C54" s="2">
        <f t="shared" si="4"/>
        <v>1</v>
      </c>
      <c r="D54" s="37">
        <f t="shared" si="5"/>
        <v>1</v>
      </c>
      <c r="E54" s="37">
        <f t="shared" si="6"/>
        <v>0</v>
      </c>
      <c r="F54" s="15">
        <f>IF(B54&gt;$D$2,"",($U$6-$U$5^(B54-1))/($U$6-1))</f>
        <v>0.52441148344141653</v>
      </c>
      <c r="G54" s="15">
        <f>IF(B54&gt;$D$2,"",VLOOKUP(F54*$K$4,$K$6:$L$9,2,TRUE))</f>
        <v>0.58139999999999992</v>
      </c>
      <c r="H54" s="37">
        <f>IF(B54&gt;$D$2,"",E54*G54*F54)</f>
        <v>0</v>
      </c>
      <c r="I54" s="37">
        <f t="shared" si="7"/>
        <v>0</v>
      </c>
      <c r="J54" s="16">
        <f>IF(B54&gt;$D$2,"",$U$7*$Q$6)</f>
        <v>2.0909131142155452E-2</v>
      </c>
      <c r="K54" s="16">
        <f>IF(B54&gt;$D$2,"",J54*D54)</f>
        <v>2.0909131142155452E-2</v>
      </c>
      <c r="L54" s="16">
        <f t="shared" si="8"/>
        <v>3.8805330791713516E-3</v>
      </c>
      <c r="M54" s="16">
        <f t="shared" si="10"/>
        <v>3.8805330791713516E-3</v>
      </c>
      <c r="N54" s="16"/>
      <c r="O54" s="16">
        <f>IF(B54&gt;$D$2,"",H54+K54+N54)</f>
        <v>2.0909131142155452E-2</v>
      </c>
      <c r="P54" s="16">
        <f>IF(B54&gt;$D$2,"",O54*(1-$D$8))</f>
        <v>2.0700039830733898E-2</v>
      </c>
      <c r="Q54" s="2">
        <f>IF(B54&gt;$D$2,"",$Q$9^B54)</f>
        <v>0.85339574701996923</v>
      </c>
    </row>
    <row r="55" spans="2:17" x14ac:dyDescent="0.25">
      <c r="B55" s="2">
        <f t="shared" si="9"/>
        <v>34</v>
      </c>
      <c r="C55" s="2">
        <f t="shared" si="4"/>
        <v>1</v>
      </c>
      <c r="D55" s="37">
        <f t="shared" si="5"/>
        <v>1</v>
      </c>
      <c r="E55" s="37">
        <f t="shared" si="6"/>
        <v>0</v>
      </c>
      <c r="F55" s="15">
        <f>IF(B55&gt;$D$2,"",($U$6-$U$5^(B55-1))/($U$6-1))</f>
        <v>0.50757091139162758</v>
      </c>
      <c r="G55" s="15">
        <f>IF(B55&gt;$D$2,"",VLOOKUP(F55*$K$4,$K$6:$L$9,2,TRUE))</f>
        <v>0.58139999999999992</v>
      </c>
      <c r="H55" s="37">
        <f>IF(B55&gt;$D$2,"",E55*G55*F55)</f>
        <v>0</v>
      </c>
      <c r="I55" s="37">
        <f t="shared" si="7"/>
        <v>0</v>
      </c>
      <c r="J55" s="16">
        <f>IF(B55&gt;$D$2,"",$U$7*$Q$6)</f>
        <v>2.0909131142155452E-2</v>
      </c>
      <c r="K55" s="16">
        <f>IF(B55&gt;$D$2,"",J55*D55)</f>
        <v>2.0909131142155452E-2</v>
      </c>
      <c r="L55" s="16">
        <f t="shared" si="8"/>
        <v>3.7559164394240356E-3</v>
      </c>
      <c r="M55" s="16">
        <f t="shared" si="10"/>
        <v>3.7559164394240356E-3</v>
      </c>
      <c r="N55" s="16"/>
      <c r="O55" s="16">
        <f>IF(B55&gt;$D$2,"",H55+K55+N55)</f>
        <v>2.0909131142155452E-2</v>
      </c>
      <c r="P55" s="16">
        <f>IF(B55&gt;$D$2,"",O55*(1-$D$8))</f>
        <v>2.0700039830733898E-2</v>
      </c>
      <c r="Q55" s="2">
        <f>IF(B55&gt;$D$2,"",$Q$9^B55)</f>
        <v>0.84930586839646693</v>
      </c>
    </row>
    <row r="56" spans="2:17" x14ac:dyDescent="0.25">
      <c r="B56" s="2">
        <f t="shared" si="9"/>
        <v>35</v>
      </c>
      <c r="C56" s="2">
        <f t="shared" si="4"/>
        <v>1</v>
      </c>
      <c r="D56" s="37">
        <f t="shared" si="5"/>
        <v>1</v>
      </c>
      <c r="E56" s="37">
        <f t="shared" si="6"/>
        <v>0</v>
      </c>
      <c r="F56" s="15">
        <f>IF(B56&gt;$D$2,"",($U$6-$U$5^(B56-1))/($U$6-1))</f>
        <v>0.49059968457035191</v>
      </c>
      <c r="G56" s="15">
        <f>IF(B56&gt;$D$2,"",VLOOKUP(F56*$K$4,$K$6:$L$9,2,TRUE))</f>
        <v>0.58139999999999992</v>
      </c>
      <c r="H56" s="37">
        <f>IF(B56&gt;$D$2,"",E56*G56*F56)</f>
        <v>0</v>
      </c>
      <c r="I56" s="37">
        <f t="shared" si="7"/>
        <v>0</v>
      </c>
      <c r="J56" s="16">
        <f>IF(B56&gt;$D$2,"",$U$7*$Q$6)</f>
        <v>2.0909131142155452E-2</v>
      </c>
      <c r="K56" s="16">
        <f>IF(B56&gt;$D$2,"",J56*D56)</f>
        <v>2.0909131142155452E-2</v>
      </c>
      <c r="L56" s="16">
        <f t="shared" si="8"/>
        <v>3.6303329822466768E-3</v>
      </c>
      <c r="M56" s="16">
        <f t="shared" si="10"/>
        <v>3.6303329822466768E-3</v>
      </c>
      <c r="N56" s="16"/>
      <c r="O56" s="16">
        <f>IF(B56&gt;$D$2,"",H56+K56+N56)</f>
        <v>2.0909131142155452E-2</v>
      </c>
      <c r="P56" s="16">
        <f>IF(B56&gt;$D$2,"",O56*(1-$D$8))</f>
        <v>2.0700039830733898E-2</v>
      </c>
      <c r="Q56" s="2">
        <f>IF(B56&gt;$D$2,"",$Q$9^B56)</f>
        <v>0.8452355904180503</v>
      </c>
    </row>
    <row r="57" spans="2:17" x14ac:dyDescent="0.25">
      <c r="B57" s="2">
        <f t="shared" si="9"/>
        <v>36</v>
      </c>
      <c r="C57" s="2">
        <f t="shared" si="4"/>
        <v>1</v>
      </c>
      <c r="D57" s="37">
        <f t="shared" si="5"/>
        <v>1</v>
      </c>
      <c r="E57" s="37">
        <f t="shared" si="6"/>
        <v>0</v>
      </c>
      <c r="F57" s="15">
        <f>IF(B57&gt;$D$2,"",($U$6-$U$5^(B57-1))/($U$6-1))</f>
        <v>0.47349678931432143</v>
      </c>
      <c r="G57" s="15">
        <f>IF(B57&gt;$D$2,"",VLOOKUP(F57*$K$4,$K$6:$L$9,2,TRUE))</f>
        <v>0.58139999999999992</v>
      </c>
      <c r="H57" s="37">
        <f>IF(B57&gt;$D$2,"",E57*G57*F57)</f>
        <v>0</v>
      </c>
      <c r="I57" s="37">
        <f t="shared" si="7"/>
        <v>0</v>
      </c>
      <c r="J57" s="16">
        <f>IF(B57&gt;$D$2,"",$U$7*$Q$6)</f>
        <v>2.0909131142155452E-2</v>
      </c>
      <c r="K57" s="16">
        <f>IF(B57&gt;$D$2,"",J57*D57)</f>
        <v>2.0909131142155452E-2</v>
      </c>
      <c r="L57" s="16">
        <f t="shared" si="8"/>
        <v>3.5037752067473855E-3</v>
      </c>
      <c r="M57" s="16">
        <f t="shared" si="10"/>
        <v>3.5037752067473855E-3</v>
      </c>
      <c r="N57" s="16"/>
      <c r="O57" s="16">
        <f>IF(B57&gt;$D$2,"",H57+K57+N57)</f>
        <v>2.0909131142155452E-2</v>
      </c>
      <c r="P57" s="16">
        <f>IF(B57&gt;$D$2,"",O57*(1-$D$8))</f>
        <v>2.0700039830733898E-2</v>
      </c>
      <c r="Q57" s="2">
        <f>IF(B57&gt;$D$2,"",$Q$9^B57)</f>
        <v>0.84118481914909848</v>
      </c>
    </row>
    <row r="58" spans="2:17" x14ac:dyDescent="0.25">
      <c r="B58" s="2">
        <f t="shared" si="9"/>
        <v>37</v>
      </c>
      <c r="C58" s="2">
        <f t="shared" si="4"/>
        <v>1</v>
      </c>
      <c r="D58" s="37">
        <f t="shared" si="5"/>
        <v>1</v>
      </c>
      <c r="E58" s="37">
        <f t="shared" si="6"/>
        <v>0</v>
      </c>
      <c r="F58" s="15">
        <f>IF(B58&gt;$D$2,"",($U$6-$U$5^(B58-1))/($U$6-1))</f>
        <v>0.45626120409592985</v>
      </c>
      <c r="G58" s="15">
        <f>IF(B58&gt;$D$2,"",VLOOKUP(F58*$K$4,$K$6:$L$9,2,TRUE))</f>
        <v>0.58139999999999992</v>
      </c>
      <c r="H58" s="37">
        <f>IF(B58&gt;$D$2,"",E58*G58*F58)</f>
        <v>0</v>
      </c>
      <c r="I58" s="37">
        <f t="shared" si="7"/>
        <v>0</v>
      </c>
      <c r="J58" s="16">
        <f t="shared" ref="J58:J81" si="16">IF(B58&gt;$D$2,"",$U$7*$Q$6)</f>
        <v>2.0909131142155452E-2</v>
      </c>
      <c r="K58" s="16">
        <f t="shared" ref="K58:K81" si="17">IF(B58&gt;$D$2,"",J58*D58)</f>
        <v>2.0909131142155452E-2</v>
      </c>
      <c r="L58" s="16">
        <f t="shared" si="8"/>
        <v>3.3762355538398477E-3</v>
      </c>
      <c r="M58" s="16">
        <f t="shared" si="10"/>
        <v>3.3762355538398477E-3</v>
      </c>
      <c r="N58" s="2"/>
      <c r="O58" s="16">
        <f>IF(B58&gt;$D$2,"",H58+K58+N58)</f>
        <v>2.0909131142155452E-2</v>
      </c>
      <c r="P58" s="16">
        <f>IF(B58&gt;$D$2,"",O58*(1-$D$8))</f>
        <v>2.0700039830733898E-2</v>
      </c>
      <c r="Q58" s="2">
        <f>IF(B58&gt;$D$2,"",$Q$9^B58)</f>
        <v>0.83715346110417499</v>
      </c>
    </row>
    <row r="59" spans="2:17" x14ac:dyDescent="0.25">
      <c r="B59" s="2">
        <f t="shared" si="9"/>
        <v>38</v>
      </c>
      <c r="C59" s="2">
        <f t="shared" si="4"/>
        <v>1</v>
      </c>
      <c r="D59" s="37">
        <f t="shared" si="5"/>
        <v>1</v>
      </c>
      <c r="E59" s="37">
        <f t="shared" si="6"/>
        <v>0</v>
      </c>
      <c r="F59" s="15">
        <f>IF(B59&gt;$D$2,"",($U$6-$U$5^(B59-1))/($U$6-1))</f>
        <v>0.43889189946221857</v>
      </c>
      <c r="G59" s="15">
        <f>IF(B59&gt;$D$2,"",VLOOKUP(F59*$K$4,$K$6:$L$9,2,TRUE))</f>
        <v>0.58139999999999992</v>
      </c>
      <c r="H59" s="37">
        <f>IF(B59&gt;$D$2,"",E59*G59*F59)</f>
        <v>0</v>
      </c>
      <c r="I59" s="37">
        <f t="shared" si="7"/>
        <v>0</v>
      </c>
      <c r="J59" s="16">
        <f t="shared" si="16"/>
        <v>2.0909131142155452E-2</v>
      </c>
      <c r="K59" s="16">
        <f t="shared" si="17"/>
        <v>2.0909131142155452E-2</v>
      </c>
      <c r="L59" s="16">
        <f t="shared" si="8"/>
        <v>3.2477064057918328E-3</v>
      </c>
      <c r="M59" s="16">
        <f t="shared" si="10"/>
        <v>3.2477064057918328E-3</v>
      </c>
      <c r="N59" s="2"/>
      <c r="O59" s="16">
        <f>IF(B59&gt;$D$2,"",H59+K59+N59)</f>
        <v>2.0909131142155452E-2</v>
      </c>
      <c r="P59" s="16">
        <f>IF(B59&gt;$D$2,"",O59*(1-$D$8))</f>
        <v>2.0700039830733898E-2</v>
      </c>
      <c r="Q59" s="2">
        <f>IF(B59&gt;$D$2,"",$Q$9^B59)</f>
        <v>0.83314142324586948</v>
      </c>
    </row>
    <row r="60" spans="2:17" x14ac:dyDescent="0.25">
      <c r="B60" s="2">
        <f t="shared" si="9"/>
        <v>39</v>
      </c>
      <c r="C60" s="2">
        <f t="shared" si="4"/>
        <v>1</v>
      </c>
      <c r="D60" s="37">
        <f t="shared" si="5"/>
        <v>1</v>
      </c>
      <c r="E60" s="37">
        <f t="shared" si="6"/>
        <v>0</v>
      </c>
      <c r="F60" s="15">
        <f>IF(B60&gt;$D$2,"",($U$6-$U$5^(B60-1))/($U$6-1))</f>
        <v>0.42138783797339102</v>
      </c>
      <c r="G60" s="15">
        <f>IF(B60&gt;$D$2,"",VLOOKUP(F60*$K$4,$K$6:$L$9,2,TRUE))</f>
        <v>0.58139999999999992</v>
      </c>
      <c r="H60" s="37">
        <f>IF(B60&gt;$D$2,"",E60*G60*F60)</f>
        <v>0</v>
      </c>
      <c r="I60" s="37">
        <f t="shared" si="7"/>
        <v>0</v>
      </c>
      <c r="J60" s="16">
        <f t="shared" si="16"/>
        <v>2.0909131142155452E-2</v>
      </c>
      <c r="K60" s="16">
        <f t="shared" si="17"/>
        <v>2.0909131142155452E-2</v>
      </c>
      <c r="L60" s="16">
        <f t="shared" si="8"/>
        <v>3.1181800857702146E-3</v>
      </c>
      <c r="M60" s="16">
        <f t="shared" si="10"/>
        <v>3.1181800857702146E-3</v>
      </c>
      <c r="N60" s="2"/>
      <c r="O60" s="16">
        <f>IF(B60&gt;$D$2,"",H60+K60+N60)</f>
        <v>2.0909131142155452E-2</v>
      </c>
      <c r="P60" s="16">
        <f>IF(B60&gt;$D$2,"",O60*(1-$D$8))</f>
        <v>2.0700039830733898E-2</v>
      </c>
      <c r="Q60" s="2">
        <f>IF(B60&gt;$D$2,"",$Q$9^B60)</f>
        <v>0.82914861298265197</v>
      </c>
    </row>
    <row r="61" spans="2:17" x14ac:dyDescent="0.25">
      <c r="B61" s="2">
        <f t="shared" si="9"/>
        <v>40</v>
      </c>
      <c r="C61" s="2">
        <f t="shared" si="4"/>
        <v>1</v>
      </c>
      <c r="D61" s="37">
        <f t="shared" si="5"/>
        <v>1</v>
      </c>
      <c r="E61" s="37">
        <f t="shared" si="6"/>
        <v>0</v>
      </c>
      <c r="F61" s="15">
        <f>IF(B61&gt;$D$2,"",($U$6-$U$5^(B61-1))/($U$6-1))</f>
        <v>0.40374797414084523</v>
      </c>
      <c r="G61" s="15">
        <f>IF(B61&gt;$D$2,"",VLOOKUP(F61*$K$4,$K$6:$L$9,2,TRUE))</f>
        <v>0.58139999999999992</v>
      </c>
      <c r="H61" s="37">
        <f>IF(B61&gt;$D$2,"",E61*G61*F61)</f>
        <v>0</v>
      </c>
      <c r="I61" s="37">
        <f t="shared" si="7"/>
        <v>0</v>
      </c>
      <c r="J61" s="16">
        <f t="shared" si="16"/>
        <v>2.0909131142155452E-2</v>
      </c>
      <c r="K61" s="16">
        <f t="shared" si="17"/>
        <v>2.0909131142155452E-2</v>
      </c>
      <c r="L61" s="16">
        <f t="shared" si="8"/>
        <v>2.9876488573824227E-3</v>
      </c>
      <c r="M61" s="16">
        <f t="shared" si="10"/>
        <v>2.9876488573824227E-3</v>
      </c>
      <c r="N61" s="2"/>
      <c r="O61" s="16">
        <f>IF(B61&gt;$D$2,"",H61+K61+N61)</f>
        <v>2.0909131142155452E-2</v>
      </c>
      <c r="P61" s="16">
        <f>IF(B61&gt;$D$2,"",O61*(1-$D$8))</f>
        <v>2.0700039830733898E-2</v>
      </c>
      <c r="Q61" s="2">
        <f>IF(B61&gt;$D$2,"",$Q$9^B61)</f>
        <v>0.82517493816673437</v>
      </c>
    </row>
    <row r="62" spans="2:17" x14ac:dyDescent="0.25">
      <c r="B62" s="2">
        <f t="shared" si="9"/>
        <v>41</v>
      </c>
      <c r="C62" s="2">
        <f t="shared" si="4"/>
        <v>1</v>
      </c>
      <c r="D62" s="37">
        <f t="shared" si="5"/>
        <v>1</v>
      </c>
      <c r="E62" s="37">
        <f t="shared" si="6"/>
        <v>0</v>
      </c>
      <c r="F62" s="15">
        <f>IF(B62&gt;$D$2,"",($U$6-$U$5^(B62-1))/($U$6-1))</f>
        <v>0.38597125436473312</v>
      </c>
      <c r="G62" s="15">
        <f>IF(B62&gt;$D$2,"",VLOOKUP(F62*$K$4,$K$6:$L$9,2,TRUE))</f>
        <v>0.58139999999999992</v>
      </c>
      <c r="H62" s="37">
        <f>IF(B62&gt;$D$2,"",E62*G62*F62)</f>
        <v>0</v>
      </c>
      <c r="I62" s="37">
        <f t="shared" si="7"/>
        <v>0</v>
      </c>
      <c r="J62" s="16">
        <f t="shared" si="16"/>
        <v>2.0909131142155452E-2</v>
      </c>
      <c r="K62" s="16">
        <f t="shared" si="17"/>
        <v>2.0909131142155452E-2</v>
      </c>
      <c r="L62" s="16">
        <f t="shared" si="8"/>
        <v>2.8561049242143977E-3</v>
      </c>
      <c r="M62" s="16">
        <f t="shared" si="10"/>
        <v>2.8561049242143977E-3</v>
      </c>
      <c r="N62" s="2"/>
      <c r="O62" s="16">
        <f>IF(B62&gt;$D$2,"",H62+K62+N62)</f>
        <v>2.0909131142155452E-2</v>
      </c>
      <c r="P62" s="16">
        <f>IF(B62&gt;$D$2,"",O62*(1-$D$8))</f>
        <v>2.0700039830733898E-2</v>
      </c>
      <c r="Q62" s="2">
        <f>IF(B62&gt;$D$2,"",$Q$9^B62)</f>
        <v>0.82122030709194538</v>
      </c>
    </row>
    <row r="63" spans="2:17" x14ac:dyDescent="0.25">
      <c r="B63" s="2">
        <f t="shared" si="9"/>
        <v>42</v>
      </c>
      <c r="C63" s="2">
        <f t="shared" si="4"/>
        <v>1</v>
      </c>
      <c r="D63" s="37">
        <f t="shared" si="5"/>
        <v>1</v>
      </c>
      <c r="E63" s="37">
        <f t="shared" si="6"/>
        <v>0</v>
      </c>
      <c r="F63" s="15">
        <f>IF(B63&gt;$D$2,"",($U$6-$U$5^(B63-1))/($U$6-1))</f>
        <v>0.36805661687102448</v>
      </c>
      <c r="G63" s="15">
        <f>IF(B63&gt;$D$2,"",VLOOKUP(F63*$K$4,$K$6:$L$9,2,TRUE))</f>
        <v>0.58139999999999992</v>
      </c>
      <c r="H63" s="37">
        <f>IF(B63&gt;$D$2,"",E63*G63*F63)</f>
        <v>0</v>
      </c>
      <c r="I63" s="37">
        <f t="shared" si="7"/>
        <v>0</v>
      </c>
      <c r="J63" s="16">
        <f t="shared" si="16"/>
        <v>2.0909131142155452E-2</v>
      </c>
      <c r="K63" s="16">
        <f t="shared" si="17"/>
        <v>2.0909131142155452E-2</v>
      </c>
      <c r="L63" s="16">
        <f t="shared" si="8"/>
        <v>2.7235404293648757E-3</v>
      </c>
      <c r="M63" s="16">
        <f t="shared" si="10"/>
        <v>2.7235404293648757E-3</v>
      </c>
      <c r="N63" s="2"/>
      <c r="O63" s="16">
        <f>IF(B63&gt;$D$2,"",H63+K63+N63)</f>
        <v>2.0909131142155452E-2</v>
      </c>
      <c r="P63" s="16">
        <f>IF(B63&gt;$D$2,"",O63*(1-$D$8))</f>
        <v>2.0700039830733898E-2</v>
      </c>
      <c r="Q63" s="2">
        <f>IF(B63&gt;$D$2,"",$Q$9^B63)</f>
        <v>0.81728462849161287</v>
      </c>
    </row>
    <row r="64" spans="2:17" x14ac:dyDescent="0.25">
      <c r="B64" s="2">
        <f t="shared" si="9"/>
        <v>43</v>
      </c>
      <c r="C64" s="2">
        <f t="shared" si="4"/>
        <v>1</v>
      </c>
      <c r="D64" s="37">
        <f t="shared" si="5"/>
        <v>1</v>
      </c>
      <c r="E64" s="37">
        <f t="shared" si="6"/>
        <v>0</v>
      </c>
      <c r="F64" s="15">
        <f>IF(B64&gt;$D$2,"",($U$6-$U$5^(B64-1))/($U$6-1))</f>
        <v>0.35000299164809284</v>
      </c>
      <c r="G64" s="15">
        <f>IF(B64&gt;$D$2,"",VLOOKUP(F64*$K$4,$K$6:$L$9,2,TRUE))</f>
        <v>0.58139999999999992</v>
      </c>
      <c r="H64" s="37">
        <f>IF(B64&gt;$D$2,"",E64*G64*F64)</f>
        <v>0</v>
      </c>
      <c r="I64" s="37">
        <f t="shared" si="7"/>
        <v>0</v>
      </c>
      <c r="J64" s="16">
        <f t="shared" si="16"/>
        <v>2.0909131142155452E-2</v>
      </c>
      <c r="K64" s="16">
        <f t="shared" si="17"/>
        <v>2.0909131142155452E-2</v>
      </c>
      <c r="L64" s="16">
        <f t="shared" si="8"/>
        <v>2.5899474549761392E-3</v>
      </c>
      <c r="M64" s="16">
        <f t="shared" si="10"/>
        <v>2.5899474549761392E-3</v>
      </c>
      <c r="N64" s="2"/>
      <c r="O64" s="16">
        <f>IF(B64&gt;$D$2,"",H64+K64+N64)</f>
        <v>2.0909131142155452E-2</v>
      </c>
      <c r="P64" s="16">
        <f>IF(B64&gt;$D$2,"",O64*(1-$D$8))</f>
        <v>2.0700039830733898E-2</v>
      </c>
      <c r="Q64" s="2">
        <f>IF(B64&gt;$D$2,"",$Q$9^B64)</f>
        <v>0.81336781153645787</v>
      </c>
    </row>
    <row r="65" spans="2:17" x14ac:dyDescent="0.25">
      <c r="B65" s="2">
        <f t="shared" si="9"/>
        <v>44</v>
      </c>
      <c r="C65" s="2">
        <f t="shared" si="4"/>
        <v>1</v>
      </c>
      <c r="D65" s="37">
        <f t="shared" si="5"/>
        <v>1</v>
      </c>
      <c r="E65" s="37">
        <f t="shared" si="6"/>
        <v>0</v>
      </c>
      <c r="F65" s="15">
        <f>IF(B65&gt;$D$2,"",($U$6-$U$5^(B65-1))/($U$6-1))</f>
        <v>0.33180930038280726</v>
      </c>
      <c r="G65" s="15">
        <f>IF(B65&gt;$D$2,"",VLOOKUP(F65*$K$4,$K$6:$L$9,2,TRUE))</f>
        <v>0.58139999999999992</v>
      </c>
      <c r="H65" s="37">
        <f>IF(B65&gt;$D$2,"",E65*G65*F65)</f>
        <v>0</v>
      </c>
      <c r="I65" s="37">
        <f t="shared" si="7"/>
        <v>0</v>
      </c>
      <c r="J65" s="16">
        <f t="shared" si="16"/>
        <v>2.0909131142155452E-2</v>
      </c>
      <c r="K65" s="16">
        <f t="shared" si="17"/>
        <v>2.0909131142155452E-2</v>
      </c>
      <c r="L65" s="16">
        <f t="shared" si="8"/>
        <v>2.4553180217611083E-3</v>
      </c>
      <c r="M65" s="16">
        <f t="shared" si="10"/>
        <v>2.4553180217611083E-3</v>
      </c>
      <c r="N65" s="2"/>
      <c r="O65" s="16">
        <f>IF(B65&gt;$D$2,"",H65+K65+N65)</f>
        <v>2.0909131142155452E-2</v>
      </c>
      <c r="P65" s="16">
        <f>IF(B65&gt;$D$2,"",O65*(1-$D$8))</f>
        <v>2.0700039830733898E-2</v>
      </c>
      <c r="Q65" s="2">
        <f>IF(B65&gt;$D$2,"",$Q$9^B65)</f>
        <v>0.80946976583249919</v>
      </c>
    </row>
    <row r="66" spans="2:17" x14ac:dyDescent="0.25">
      <c r="B66" s="2">
        <f t="shared" si="9"/>
        <v>45</v>
      </c>
      <c r="C66" s="2">
        <f t="shared" si="4"/>
        <v>1</v>
      </c>
      <c r="D66" s="37">
        <f t="shared" si="5"/>
        <v>1</v>
      </c>
      <c r="E66" s="37">
        <f t="shared" si="6"/>
        <v>0</v>
      </c>
      <c r="F66" s="15">
        <f>IF(B66&gt;$D$2,"",($U$6-$U$5^(B66-1))/($U$6-1))</f>
        <v>0.31347445639612209</v>
      </c>
      <c r="G66" s="15">
        <f>IF(B66&gt;$D$2,"",VLOOKUP(F66*$K$4,$K$6:$L$9,2,TRUE))</f>
        <v>0.58139999999999992</v>
      </c>
      <c r="H66" s="37">
        <f>IF(B66&gt;$D$2,"",E66*G66*F66)</f>
        <v>0</v>
      </c>
      <c r="I66" s="37">
        <f t="shared" si="7"/>
        <v>0</v>
      </c>
      <c r="J66" s="16">
        <f t="shared" si="16"/>
        <v>2.0909131142155452E-2</v>
      </c>
      <c r="K66" s="16">
        <f t="shared" si="17"/>
        <v>2.0909131142155452E-2</v>
      </c>
      <c r="L66" s="16">
        <f t="shared" si="8"/>
        <v>2.319644088526719E-3</v>
      </c>
      <c r="M66" s="16">
        <f t="shared" si="10"/>
        <v>2.319644088526719E-3</v>
      </c>
      <c r="N66" s="2"/>
      <c r="O66" s="16">
        <f>IF(B66&gt;$D$2,"",H66+K66+N66)</f>
        <v>2.0909131142155452E-2</v>
      </c>
      <c r="P66" s="16">
        <f>IF(B66&gt;$D$2,"",O66*(1-$D$8))</f>
        <v>2.0700039830733898E-2</v>
      </c>
      <c r="Q66" s="2">
        <f>IF(B66&gt;$D$2,"",$Q$9^B66)</f>
        <v>0.80559040141896621</v>
      </c>
    </row>
    <row r="67" spans="2:17" x14ac:dyDescent="0.25">
      <c r="B67" s="2">
        <f t="shared" si="9"/>
        <v>46</v>
      </c>
      <c r="C67" s="2">
        <f t="shared" si="4"/>
        <v>1</v>
      </c>
      <c r="D67" s="37">
        <f t="shared" si="5"/>
        <v>1</v>
      </c>
      <c r="E67" s="37">
        <f t="shared" si="6"/>
        <v>0</v>
      </c>
      <c r="F67" s="15">
        <f>IF(B67&gt;$D$2,"",($U$6-$U$5^(B67-1))/($U$6-1))</f>
        <v>0.2949973645781731</v>
      </c>
      <c r="G67" s="15">
        <f>IF(B67&gt;$D$2,"",VLOOKUP(F67*$K$4,$K$6:$L$9,2,TRUE))</f>
        <v>0.58139999999999992</v>
      </c>
      <c r="H67" s="37">
        <f>IF(B67&gt;$D$2,"",E67*G67*F67)</f>
        <v>0</v>
      </c>
      <c r="I67" s="37">
        <f t="shared" si="7"/>
        <v>0</v>
      </c>
      <c r="J67" s="16">
        <f t="shared" si="16"/>
        <v>2.0909131142155452E-2</v>
      </c>
      <c r="K67" s="16">
        <f t="shared" si="17"/>
        <v>2.0909131142155452E-2</v>
      </c>
      <c r="L67" s="16">
        <f t="shared" si="8"/>
        <v>2.1829175516936495E-3</v>
      </c>
      <c r="M67" s="16">
        <f t="shared" si="10"/>
        <v>2.1829175516936495E-3</v>
      </c>
      <c r="N67" s="2"/>
      <c r="O67" s="16">
        <f>IF(B67&gt;$D$2,"",H67+K67+N67)</f>
        <v>2.0909131142155452E-2</v>
      </c>
      <c r="P67" s="16">
        <f>IF(B67&gt;$D$2,"",O67*(1-$D$8))</f>
        <v>2.0700039830733898E-2</v>
      </c>
      <c r="Q67" s="2">
        <f>IF(B67&gt;$D$2,"",$Q$9^B67)</f>
        <v>0.801729628766223</v>
      </c>
    </row>
    <row r="68" spans="2:17" x14ac:dyDescent="0.25">
      <c r="B68" s="2">
        <f t="shared" si="9"/>
        <v>47</v>
      </c>
      <c r="C68" s="2">
        <f t="shared" si="4"/>
        <v>1</v>
      </c>
      <c r="D68" s="37">
        <f t="shared" si="5"/>
        <v>1</v>
      </c>
      <c r="E68" s="37">
        <f t="shared" si="6"/>
        <v>0</v>
      </c>
      <c r="F68" s="15">
        <f>IF(B68&gt;$D$2,"",($U$6-$U$5^(B68-1))/($U$6-1))</f>
        <v>0.27637692132287001</v>
      </c>
      <c r="G68" s="15">
        <f>IF(B68&gt;$D$2,"",VLOOKUP(F68*$K$4,$K$6:$L$9,2,TRUE))</f>
        <v>0.58139999999999992</v>
      </c>
      <c r="H68" s="37">
        <f>IF(B68&gt;$D$2,"",E68*G68*F68)</f>
        <v>0</v>
      </c>
      <c r="I68" s="37">
        <f t="shared" si="7"/>
        <v>0</v>
      </c>
      <c r="J68" s="16">
        <f t="shared" si="16"/>
        <v>2.0909131142155452E-2</v>
      </c>
      <c r="K68" s="16">
        <f t="shared" si="17"/>
        <v>2.0909131142155452E-2</v>
      </c>
      <c r="L68" s="16">
        <f t="shared" si="8"/>
        <v>2.045130244812318E-3</v>
      </c>
      <c r="M68" s="16">
        <f t="shared" si="10"/>
        <v>2.045130244812318E-3</v>
      </c>
      <c r="N68" s="2"/>
      <c r="O68" s="16">
        <f>IF(B68&gt;$D$2,"",H68+K68+N68)</f>
        <v>2.0909131142155452E-2</v>
      </c>
      <c r="P68" s="16">
        <f>IF(B68&gt;$D$2,"",O68*(1-$D$8))</f>
        <v>2.0700039830733898E-2</v>
      </c>
      <c r="Q68" s="2">
        <f>IF(B68&gt;$D$2,"",$Q$9^B68)</f>
        <v>0.79788735877370243</v>
      </c>
    </row>
    <row r="69" spans="2:17" x14ac:dyDescent="0.25">
      <c r="B69" s="2">
        <f t="shared" si="9"/>
        <v>48</v>
      </c>
      <c r="C69" s="2">
        <f t="shared" si="4"/>
        <v>1</v>
      </c>
      <c r="D69" s="37">
        <f t="shared" si="5"/>
        <v>1</v>
      </c>
      <c r="E69" s="37">
        <f t="shared" si="6"/>
        <v>0</v>
      </c>
      <c r="F69" s="15">
        <f>IF(B69&gt;$D$2,"",($U$6-$U$5^(B69-1))/($U$6-1))</f>
        <v>0.25761201446197757</v>
      </c>
      <c r="G69" s="15">
        <f>IF(B69&gt;$D$2,"",VLOOKUP(F69*$K$4,$K$6:$L$9,2,TRUE))</f>
        <v>0.58139999999999992</v>
      </c>
      <c r="H69" s="37">
        <f>IF(B69&gt;$D$2,"",E69*G69*F69)</f>
        <v>0</v>
      </c>
      <c r="I69" s="37">
        <f t="shared" si="7"/>
        <v>0</v>
      </c>
      <c r="J69" s="16">
        <f t="shared" si="16"/>
        <v>2.0909131142155452E-2</v>
      </c>
      <c r="K69" s="16">
        <f t="shared" si="17"/>
        <v>2.0909131142155452E-2</v>
      </c>
      <c r="L69" s="16">
        <f t="shared" si="8"/>
        <v>1.9062739380750968E-3</v>
      </c>
      <c r="M69" s="16">
        <f t="shared" si="10"/>
        <v>1.9062739380750968E-3</v>
      </c>
      <c r="N69" s="2"/>
      <c r="O69" s="16">
        <f>IF(B69&gt;$D$2,"",H69+K69+N69)</f>
        <v>2.0909131142155452E-2</v>
      </c>
      <c r="P69" s="16">
        <f>IF(B69&gt;$D$2,"",O69*(1-$D$8))</f>
        <v>2.0700039830733898E-2</v>
      </c>
      <c r="Q69" s="2">
        <f>IF(B69&gt;$D$2,"",$Q$9^B69)</f>
        <v>0.79406350276784987</v>
      </c>
    </row>
    <row r="70" spans="2:17" x14ac:dyDescent="0.25">
      <c r="B70" s="2">
        <f t="shared" si="9"/>
        <v>49</v>
      </c>
      <c r="C70" s="2">
        <f t="shared" si="4"/>
        <v>1</v>
      </c>
      <c r="D70" s="37">
        <f t="shared" si="5"/>
        <v>1</v>
      </c>
      <c r="E70" s="37">
        <f t="shared" si="6"/>
        <v>0</v>
      </c>
      <c r="F70" s="15">
        <f>IF(B70&gt;$D$2,"",($U$6-$U$5^(B70-1))/($U$6-1))</f>
        <v>0.23870152319869023</v>
      </c>
      <c r="G70" s="15">
        <f>IF(B70&gt;$D$2,"",VLOOKUP(F70*$K$4,$K$6:$L$9,2,TRUE))</f>
        <v>0.58139999999999992</v>
      </c>
      <c r="H70" s="37">
        <f>IF(B70&gt;$D$2,"",E70*G70*F70)</f>
        <v>0</v>
      </c>
      <c r="I70" s="37">
        <f t="shared" si="7"/>
        <v>0</v>
      </c>
      <c r="J70" s="16">
        <f t="shared" si="16"/>
        <v>2.0909131142155452E-2</v>
      </c>
      <c r="K70" s="16">
        <f t="shared" si="17"/>
        <v>2.0909131142155452E-2</v>
      </c>
      <c r="L70" s="16">
        <f t="shared" si="8"/>
        <v>1.7663403378247789E-3</v>
      </c>
      <c r="M70" s="16">
        <f t="shared" si="10"/>
        <v>1.7663403378247789E-3</v>
      </c>
      <c r="N70" s="2"/>
      <c r="O70" s="16">
        <f>IF(B70&gt;$D$2,"",H70+K70+N70)</f>
        <v>2.0909131142155452E-2</v>
      </c>
      <c r="P70" s="16">
        <f>IF(B70&gt;$D$2,"",O70*(1-$D$8))</f>
        <v>2.0700039830733898E-2</v>
      </c>
      <c r="Q70" s="2">
        <f>IF(B70&gt;$D$2,"",$Q$9^B70)</f>
        <v>0.79025797250007657</v>
      </c>
    </row>
    <row r="71" spans="2:17" x14ac:dyDescent="0.25">
      <c r="B71" s="2">
        <f t="shared" si="9"/>
        <v>50</v>
      </c>
      <c r="C71" s="2">
        <f t="shared" si="4"/>
        <v>1</v>
      </c>
      <c r="D71" s="37">
        <f t="shared" si="5"/>
        <v>1</v>
      </c>
      <c r="E71" s="37">
        <f t="shared" si="6"/>
        <v>0</v>
      </c>
      <c r="F71" s="15">
        <f>IF(B71&gt;$D$2,"",($U$6-$U$5^(B71-1))/($U$6-1))</f>
        <v>0.21964431804068471</v>
      </c>
      <c r="G71" s="15">
        <f>IF(B71&gt;$D$2,"",VLOOKUP(F71*$K$4,$K$6:$L$9,2,TRUE))</f>
        <v>0.58139999999999992</v>
      </c>
      <c r="H71" s="37">
        <f>IF(B71&gt;$D$2,"",E71*G71*F71)</f>
        <v>0</v>
      </c>
      <c r="I71" s="37">
        <f t="shared" si="7"/>
        <v>0</v>
      </c>
      <c r="J71" s="16">
        <f t="shared" si="16"/>
        <v>2.0909131142155452E-2</v>
      </c>
      <c r="K71" s="16">
        <f t="shared" si="17"/>
        <v>2.0909131142155452E-2</v>
      </c>
      <c r="L71" s="16">
        <f t="shared" si="8"/>
        <v>1.625321086059182E-3</v>
      </c>
      <c r="M71" s="16">
        <f t="shared" si="10"/>
        <v>1.625321086059182E-3</v>
      </c>
      <c r="N71" s="2"/>
      <c r="O71" s="16">
        <f>IF(B71&gt;$D$2,"",H71+K71+N71)</f>
        <v>2.0909131142155452E-2</v>
      </c>
      <c r="P71" s="16">
        <f>IF(B71&gt;$D$2,"",O71*(1-$D$8))</f>
        <v>2.0700039830733898E-2</v>
      </c>
      <c r="Q71" s="2">
        <f>IF(B71&gt;$D$2,"",$Q$9^B71)</f>
        <v>0.78647068014472254</v>
      </c>
    </row>
    <row r="72" spans="2:17" x14ac:dyDescent="0.25">
      <c r="B72" s="2">
        <f t="shared" si="9"/>
        <v>51</v>
      </c>
      <c r="C72" s="2">
        <f t="shared" si="4"/>
        <v>1</v>
      </c>
      <c r="D72" s="37">
        <f t="shared" si="5"/>
        <v>1</v>
      </c>
      <c r="E72" s="37">
        <f t="shared" si="6"/>
        <v>0</v>
      </c>
      <c r="F72" s="15">
        <f>IF(B72&gt;$D$2,"",($U$6-$U$5^(B72-1))/($U$6-1))</f>
        <v>0.20043926073266172</v>
      </c>
      <c r="G72" s="15">
        <f>IF(B72&gt;$D$2,"",VLOOKUP(F72*$K$4,$K$6:$L$9,2,TRUE))</f>
        <v>0.58139999999999992</v>
      </c>
      <c r="H72" s="37">
        <f>IF(B72&gt;$D$2,"",E72*G72*F72)</f>
        <v>0</v>
      </c>
      <c r="I72" s="37">
        <f t="shared" si="7"/>
        <v>0</v>
      </c>
      <c r="J72" s="16">
        <f t="shared" si="16"/>
        <v>2.0909131142155452E-2</v>
      </c>
      <c r="K72" s="16">
        <f t="shared" si="17"/>
        <v>2.0909131142155452E-2</v>
      </c>
      <c r="L72" s="16">
        <f t="shared" si="8"/>
        <v>1.4832077599319707E-3</v>
      </c>
      <c r="M72" s="16">
        <f t="shared" si="10"/>
        <v>1.4832077599319707E-3</v>
      </c>
      <c r="N72" s="2"/>
      <c r="O72" s="16">
        <f>IF(B72&gt;$D$2,"",H72+K72+N72)</f>
        <v>2.0909131142155452E-2</v>
      </c>
      <c r="P72" s="16">
        <f>IF(B72&gt;$D$2,"",O72*(1-$D$8))</f>
        <v>2.0700039830733898E-2</v>
      </c>
      <c r="Q72" s="2">
        <f>IF(B72&gt;$D$2,"",$Q$9^B72)</f>
        <v>0.7827015382970306</v>
      </c>
    </row>
    <row r="73" spans="2:17" x14ac:dyDescent="0.25">
      <c r="B73" s="2">
        <f t="shared" si="9"/>
        <v>52</v>
      </c>
      <c r="C73" s="2">
        <f t="shared" si="4"/>
        <v>1</v>
      </c>
      <c r="D73" s="37">
        <f t="shared" si="5"/>
        <v>1</v>
      </c>
      <c r="E73" s="37">
        <f t="shared" si="6"/>
        <v>0</v>
      </c>
      <c r="F73" s="15">
        <f>IF(B73&gt;$D$2,"",($U$6-$U$5^(B73-1))/($U$6-1))</f>
        <v>0.18108520418835686</v>
      </c>
      <c r="G73" s="15">
        <f>IF(B73&gt;$D$2,"",VLOOKUP(F73*$K$4,$K$6:$L$9,2,TRUE))</f>
        <v>0.58139999999999992</v>
      </c>
      <c r="H73" s="37">
        <f>IF(B73&gt;$D$2,"",E73*G73*F73)</f>
        <v>0</v>
      </c>
      <c r="I73" s="37">
        <f t="shared" si="7"/>
        <v>0</v>
      </c>
      <c r="J73" s="16">
        <f t="shared" si="16"/>
        <v>2.0909131142155452E-2</v>
      </c>
      <c r="K73" s="16">
        <f t="shared" si="17"/>
        <v>2.0909131142155452E-2</v>
      </c>
      <c r="L73" s="16">
        <f t="shared" si="8"/>
        <v>1.3399918712495523E-3</v>
      </c>
      <c r="M73" s="16">
        <f t="shared" si="10"/>
        <v>1.3399918712495523E-3</v>
      </c>
      <c r="N73" s="2"/>
      <c r="O73" s="16">
        <f>IF(B73&gt;$D$2,"",H73+K73+N73)</f>
        <v>2.0909131142155452E-2</v>
      </c>
      <c r="P73" s="16">
        <f>IF(B73&gt;$D$2,"",O73*(1-$D$8))</f>
        <v>2.0700039830733898E-2</v>
      </c>
      <c r="Q73" s="2">
        <f>IF(B73&gt;$D$2,"",$Q$9^B73)</f>
        <v>0.77895045997112888</v>
      </c>
    </row>
    <row r="74" spans="2:17" x14ac:dyDescent="0.25">
      <c r="B74" s="2">
        <f t="shared" si="9"/>
        <v>53</v>
      </c>
      <c r="C74" s="2">
        <f t="shared" si="4"/>
        <v>1</v>
      </c>
      <c r="D74" s="37">
        <f t="shared" si="5"/>
        <v>1</v>
      </c>
      <c r="E74" s="37">
        <f t="shared" si="6"/>
        <v>0</v>
      </c>
      <c r="F74" s="15">
        <f>IF(B74&gt;$D$2,"",($U$6-$U$5^(B74-1))/($U$6-1))</f>
        <v>0.16158099242202964</v>
      </c>
      <c r="G74" s="15">
        <f>IF(B74&gt;$D$2,"",VLOOKUP(F74*$K$4,$K$6:$L$9,2,TRUE))</f>
        <v>0.58139999999999992</v>
      </c>
      <c r="H74" s="37">
        <f>IF(B74&gt;$D$2,"",E74*G74*F74)</f>
        <v>0</v>
      </c>
      <c r="I74" s="37">
        <f t="shared" si="7"/>
        <v>0</v>
      </c>
      <c r="J74" s="16">
        <f t="shared" si="16"/>
        <v>2.0909131142155452E-2</v>
      </c>
      <c r="K74" s="16">
        <f t="shared" si="17"/>
        <v>2.0909131142155452E-2</v>
      </c>
      <c r="L74" s="16">
        <f t="shared" si="8"/>
        <v>1.1956648659641102E-3</v>
      </c>
      <c r="M74" s="16">
        <f t="shared" si="10"/>
        <v>1.1956648659641102E-3</v>
      </c>
      <c r="N74" s="2"/>
      <c r="O74" s="16">
        <f>IF(B74&gt;$D$2,"",H74+K74+N74)</f>
        <v>2.0909131142155452E-2</v>
      </c>
      <c r="P74" s="16">
        <f>IF(B74&gt;$D$2,"",O74*(1-$D$8))</f>
        <v>2.0700039830733898E-2</v>
      </c>
      <c r="Q74" s="2">
        <f>IF(B74&gt;$D$2,"",$Q$9^B74)</f>
        <v>0.77521735859802265</v>
      </c>
    </row>
    <row r="75" spans="2:17" x14ac:dyDescent="0.25">
      <c r="B75" s="2">
        <f t="shared" si="9"/>
        <v>54</v>
      </c>
      <c r="C75" s="2">
        <f t="shared" si="4"/>
        <v>1</v>
      </c>
      <c r="D75" s="37">
        <f t="shared" si="5"/>
        <v>1</v>
      </c>
      <c r="E75" s="37">
        <f t="shared" si="6"/>
        <v>0</v>
      </c>
      <c r="F75" s="15">
        <f>IF(B75&gt;$D$2,"",($U$6-$U$5^(B75-1))/($U$6-1))</f>
        <v>0.14192546047941512</v>
      </c>
      <c r="G75" s="15">
        <f>IF(B75&gt;$D$2,"",VLOOKUP(F75*$K$4,$K$6:$L$9,2,TRUE))</f>
        <v>0.58139999999999992</v>
      </c>
      <c r="H75" s="37">
        <f>IF(B75&gt;$D$2,"",E75*G75*F75)</f>
        <v>0</v>
      </c>
      <c r="I75" s="37">
        <f t="shared" si="7"/>
        <v>0</v>
      </c>
      <c r="J75" s="16">
        <f t="shared" si="16"/>
        <v>2.0909131142155452E-2</v>
      </c>
      <c r="K75" s="16">
        <f t="shared" si="17"/>
        <v>2.0909131142155452E-2</v>
      </c>
      <c r="L75" s="16">
        <f t="shared" si="8"/>
        <v>1.0502181236626603E-3</v>
      </c>
      <c r="M75" s="16">
        <f t="shared" si="10"/>
        <v>1.0502181236626603E-3</v>
      </c>
      <c r="N75" s="2"/>
      <c r="O75" s="16">
        <f>IF(B75&gt;$D$2,"",H75+K75+N75)</f>
        <v>2.0909131142155452E-2</v>
      </c>
      <c r="P75" s="16">
        <f>IF(B75&gt;$D$2,"",O75*(1-$D$8))</f>
        <v>2.0700039830733898E-2</v>
      </c>
      <c r="Q75" s="2">
        <f>IF(B75&gt;$D$2,"",$Q$9^B75)</f>
        <v>0.77150214802359762</v>
      </c>
    </row>
    <row r="76" spans="2:17" x14ac:dyDescent="0.25">
      <c r="B76" s="2">
        <f t="shared" si="9"/>
        <v>55</v>
      </c>
      <c r="C76" s="2">
        <f t="shared" si="4"/>
        <v>1</v>
      </c>
      <c r="D76" s="37">
        <f t="shared" si="5"/>
        <v>1</v>
      </c>
      <c r="E76" s="37">
        <f t="shared" si="6"/>
        <v>0</v>
      </c>
      <c r="F76" s="15">
        <f>IF(B76&gt;$D$2,"",($U$6-$U$5^(B76-1))/($U$6-1))</f>
        <v>0.12211743436814555</v>
      </c>
      <c r="G76" s="15">
        <f>IF(B76&gt;$D$2,"",VLOOKUP(F76*$K$4,$K$6:$L$9,2,TRUE))</f>
        <v>0.58139999999999992</v>
      </c>
      <c r="H76" s="37">
        <f>IF(B76&gt;$D$2,"",E76*G76*F76)</f>
        <v>0</v>
      </c>
      <c r="I76" s="37">
        <f t="shared" si="7"/>
        <v>0</v>
      </c>
      <c r="J76" s="16">
        <f t="shared" si="16"/>
        <v>2.0909131142155452E-2</v>
      </c>
      <c r="K76" s="16">
        <f t="shared" si="17"/>
        <v>2.0909131142155452E-2</v>
      </c>
      <c r="L76" s="16">
        <f t="shared" si="8"/>
        <v>9.0364295705218627E-4</v>
      </c>
      <c r="M76" s="16">
        <f t="shared" si="10"/>
        <v>9.0364295705218627E-4</v>
      </c>
      <c r="N76" s="2"/>
      <c r="O76" s="16">
        <f>IF(B76&gt;$D$2,"",H76+K76+N76)</f>
        <v>2.0909131142155452E-2</v>
      </c>
      <c r="P76" s="16">
        <f>IF(B76&gt;$D$2,"",O76*(1-$D$8))</f>
        <v>2.0700039830733898E-2</v>
      </c>
      <c r="Q76" s="2">
        <f>IF(B76&gt;$D$2,"",$Q$9^B76)</f>
        <v>0.76780474250663056</v>
      </c>
    </row>
    <row r="77" spans="2:17" x14ac:dyDescent="0.25">
      <c r="B77" s="2">
        <f t="shared" si="9"/>
        <v>56</v>
      </c>
      <c r="C77" s="2">
        <f t="shared" si="4"/>
        <v>1</v>
      </c>
      <c r="D77" s="37">
        <f t="shared" si="5"/>
        <v>1</v>
      </c>
      <c r="E77" s="37">
        <f t="shared" si="6"/>
        <v>0</v>
      </c>
      <c r="F77" s="15">
        <f>IF(B77&gt;$D$2,"",($U$6-$U$5^(B77-1))/($U$6-1))</f>
        <v>0.10215573098762983</v>
      </c>
      <c r="G77" s="15">
        <f>IF(B77&gt;$D$2,"",VLOOKUP(F77*$K$4,$K$6:$L$9,2,TRUE))</f>
        <v>0.58139999999999992</v>
      </c>
      <c r="H77" s="37">
        <f>IF(B77&gt;$D$2,"",E77*G77*F77)</f>
        <v>0</v>
      </c>
      <c r="I77" s="37">
        <f t="shared" si="7"/>
        <v>0</v>
      </c>
      <c r="J77" s="16">
        <f t="shared" si="16"/>
        <v>2.0909131142155452E-2</v>
      </c>
      <c r="K77" s="16">
        <f t="shared" si="17"/>
        <v>2.0909131142155452E-2</v>
      </c>
      <c r="L77" s="16">
        <f t="shared" si="8"/>
        <v>7.5593061144076275E-4</v>
      </c>
      <c r="M77" s="16">
        <f t="shared" si="10"/>
        <v>7.5593061144076275E-4</v>
      </c>
      <c r="N77" s="2"/>
      <c r="O77" s="16">
        <f>IF(B77&gt;$D$2,"",H77+K77+N77)</f>
        <v>2.0909131142155452E-2</v>
      </c>
      <c r="P77" s="16">
        <f>IF(B77&gt;$D$2,"",O77*(1-$D$8))</f>
        <v>2.0700039830733898E-2</v>
      </c>
      <c r="Q77" s="2">
        <f>IF(B77&gt;$D$2,"",$Q$9^B77)</f>
        <v>0.7641250567168113</v>
      </c>
    </row>
    <row r="78" spans="2:17" x14ac:dyDescent="0.25">
      <c r="B78" s="2">
        <f t="shared" si="9"/>
        <v>57</v>
      </c>
      <c r="C78" s="2">
        <f t="shared" si="4"/>
        <v>1</v>
      </c>
      <c r="D78" s="37">
        <f t="shared" si="5"/>
        <v>1</v>
      </c>
      <c r="E78" s="37">
        <f t="shared" si="6"/>
        <v>0</v>
      </c>
      <c r="F78" s="15">
        <f>IF(B78&gt;$D$2,"",($U$6-$U$5^(B78-1))/($U$6-1))</f>
        <v>8.2039158058386921E-2</v>
      </c>
      <c r="G78" s="15">
        <f>IF(B78&gt;$D$2,"",VLOOKUP(F78*$K$4,$K$6:$L$9,2,TRUE))</f>
        <v>0.58139999999999992</v>
      </c>
      <c r="H78" s="37">
        <f>IF(B78&gt;$D$2,"",E78*G78*F78)</f>
        <v>0</v>
      </c>
      <c r="I78" s="37">
        <f t="shared" si="7"/>
        <v>0</v>
      </c>
      <c r="J78" s="16">
        <f t="shared" si="16"/>
        <v>2.0909131142155452E-2</v>
      </c>
      <c r="K78" s="16">
        <f t="shared" si="17"/>
        <v>2.0909131142155452E-2</v>
      </c>
      <c r="L78" s="16">
        <f t="shared" si="8"/>
        <v>6.070722642146371E-4</v>
      </c>
      <c r="M78" s="16">
        <f t="shared" si="10"/>
        <v>6.070722642146371E-4</v>
      </c>
      <c r="N78" s="2"/>
      <c r="O78" s="16">
        <f>IF(B78&gt;$D$2,"",H78+K78+N78)</f>
        <v>2.0909131142155452E-2</v>
      </c>
      <c r="P78" s="16">
        <f>IF(B78&gt;$D$2,"",O78*(1-$D$8))</f>
        <v>2.0700039830733898E-2</v>
      </c>
      <c r="Q78" s="2">
        <f>IF(B78&gt;$D$2,"",$Q$9^B78)</f>
        <v>0.76046300573277303</v>
      </c>
    </row>
    <row r="79" spans="2:17" x14ac:dyDescent="0.25">
      <c r="B79" s="2">
        <f t="shared" si="9"/>
        <v>58</v>
      </c>
      <c r="C79" s="2">
        <f t="shared" si="4"/>
        <v>1</v>
      </c>
      <c r="D79" s="37">
        <f t="shared" si="5"/>
        <v>1</v>
      </c>
      <c r="E79" s="37">
        <f t="shared" si="6"/>
        <v>0</v>
      </c>
      <c r="F79" s="15">
        <f>IF(B79&gt;$D$2,"",($U$6-$U$5^(B79-1))/($U$6-1))</f>
        <v>6.1766514050834921E-2</v>
      </c>
      <c r="G79" s="15">
        <f>IF(B79&gt;$D$2,"",VLOOKUP(F79*$K$4,$K$6:$L$9,2,TRUE))</f>
        <v>0.58139999999999992</v>
      </c>
      <c r="H79" s="37">
        <f>IF(B79&gt;$D$2,"",E79*G79*F79)</f>
        <v>0</v>
      </c>
      <c r="I79" s="37">
        <f t="shared" si="7"/>
        <v>0</v>
      </c>
      <c r="J79" s="16">
        <f t="shared" si="16"/>
        <v>2.0909131142155452E-2</v>
      </c>
      <c r="K79" s="16">
        <f t="shared" si="17"/>
        <v>2.0909131142155452E-2</v>
      </c>
      <c r="L79" s="16">
        <f t="shared" si="8"/>
        <v>4.5705902431128416E-4</v>
      </c>
      <c r="M79" s="16">
        <f t="shared" si="10"/>
        <v>4.5705902431128416E-4</v>
      </c>
      <c r="N79" s="2"/>
      <c r="O79" s="16">
        <f>IF(B79&gt;$D$2,"",H79+K79+N79)</f>
        <v>2.0909131142155452E-2</v>
      </c>
      <c r="P79" s="16">
        <f>IF(B79&gt;$D$2,"",O79*(1-$D$8))</f>
        <v>2.0700039830733898E-2</v>
      </c>
      <c r="Q79" s="2">
        <f>IF(B79&gt;$D$2,"",$Q$9^B79)</f>
        <v>0.75681850504013248</v>
      </c>
    </row>
    <row r="80" spans="2:17" x14ac:dyDescent="0.25">
      <c r="B80" s="2">
        <f t="shared" si="9"/>
        <v>59</v>
      </c>
      <c r="C80" s="2">
        <f t="shared" si="4"/>
        <v>1</v>
      </c>
      <c r="D80" s="37">
        <f t="shared" si="5"/>
        <v>1</v>
      </c>
      <c r="E80" s="37">
        <f t="shared" si="6"/>
        <v>0</v>
      </c>
      <c r="F80" s="15">
        <f>IF(B80&gt;$D$2,"",($U$6-$U$5^(B80-1))/($U$6-1))</f>
        <v>4.1336588113523351E-2</v>
      </c>
      <c r="G80" s="15">
        <f>IF(B80&gt;$D$2,"",VLOOKUP(F80*$K$4,$K$6:$L$9,2,TRUE))</f>
        <v>0.58139999999999992</v>
      </c>
      <c r="H80" s="37">
        <f>IF(B80&gt;$D$2,"",E80*G80*F80)</f>
        <v>0</v>
      </c>
      <c r="I80" s="37">
        <f t="shared" si="7"/>
        <v>0</v>
      </c>
      <c r="J80" s="16">
        <f t="shared" si="16"/>
        <v>2.0909131142155452E-2</v>
      </c>
      <c r="K80" s="16">
        <f t="shared" si="17"/>
        <v>2.0909131142155452E-2</v>
      </c>
      <c r="L80" s="16">
        <f t="shared" si="8"/>
        <v>3.0588193168834044E-4</v>
      </c>
      <c r="M80" s="16">
        <f t="shared" si="10"/>
        <v>3.0588193168834044E-4</v>
      </c>
      <c r="N80" s="2"/>
      <c r="O80" s="16">
        <f>IF(B80&gt;$D$2,"",H80+K80+N80)</f>
        <v>2.0909131142155452E-2</v>
      </c>
      <c r="P80" s="16">
        <f>IF(B80&gt;$D$2,"",O80*(1-$D$8))</f>
        <v>2.0700039830733898E-2</v>
      </c>
      <c r="Q80" s="2">
        <f>IF(B80&gt;$D$2,"",$Q$9^B80)</f>
        <v>0.75319147052953961</v>
      </c>
    </row>
    <row r="81" spans="2:17" x14ac:dyDescent="0.25">
      <c r="B81" s="2">
        <f t="shared" si="9"/>
        <v>60</v>
      </c>
      <c r="C81" s="2">
        <f t="shared" si="4"/>
        <v>1</v>
      </c>
      <c r="D81" s="37">
        <f t="shared" si="5"/>
        <v>1</v>
      </c>
      <c r="E81" s="37">
        <f t="shared" si="6"/>
        <v>0</v>
      </c>
      <c r="F81" s="15">
        <f>IF(B81&gt;$D$2,"",($U$6-$U$5^(B81-1))/($U$6-1))</f>
        <v>2.0748160000815138E-2</v>
      </c>
      <c r="G81" s="15">
        <f>IF(B81&gt;$D$2,"",VLOOKUP(F81*$K$4,$K$6:$L$9,2,TRUE))</f>
        <v>0.58139999999999992</v>
      </c>
      <c r="H81" s="37">
        <f>IF(B81&gt;$D$2,"",E81*G81*F81)</f>
        <v>0</v>
      </c>
      <c r="I81" s="37">
        <f t="shared" si="7"/>
        <v>0</v>
      </c>
      <c r="J81" s="16">
        <f t="shared" si="16"/>
        <v>2.0909131142155452E-2</v>
      </c>
      <c r="K81" s="16">
        <f t="shared" si="17"/>
        <v>2.0909131142155452E-2</v>
      </c>
      <c r="L81" s="16">
        <f t="shared" si="8"/>
        <v>1.5353195678846624E-4</v>
      </c>
      <c r="M81" s="16">
        <f t="shared" si="10"/>
        <v>1.5353195678846624E-4</v>
      </c>
      <c r="N81" s="2"/>
      <c r="O81" s="16">
        <f>IF(B81&gt;$D$2,"",H81+K81+N81)</f>
        <v>2.0909131142155452E-2</v>
      </c>
      <c r="P81" s="16">
        <f>IF(B81&gt;$D$2,"",O81*(1-$D$8))</f>
        <v>2.0700039830733898E-2</v>
      </c>
      <c r="Q81" s="2">
        <f>IF(B81&gt;$D$2,"",$Q$9^B81)</f>
        <v>0.74958181849473637</v>
      </c>
    </row>
  </sheetData>
  <dataConsolidate/>
  <mergeCells count="3">
    <mergeCell ref="B2:C2"/>
    <mergeCell ref="B4:C4"/>
    <mergeCell ref="B5:C5"/>
  </mergeCell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Props1.xml><?xml version="1.0" encoding="utf-8"?>
<ds:datastoreItem xmlns:ds="http://schemas.openxmlformats.org/officeDocument/2006/customXml" ds:itemID="{89D69E37-92BF-4DCC-BD5B-E045AAFB4EDB}">
  <ds:schemaRefs/>
</ds:datastoreItem>
</file>

<file path=customXml/itemProps2.xml><?xml version="1.0" encoding="utf-8"?>
<ds:datastoreItem xmlns:ds="http://schemas.openxmlformats.org/officeDocument/2006/customXml" ds:itemID="{83291956-BD3A-422E-96C7-EF639E0E082F}">
  <ds:schemaRefs/>
</ds:datastoreItem>
</file>

<file path=customXml/itemProps3.xml><?xml version="1.0" encoding="utf-8"?>
<ds:datastoreItem xmlns:ds="http://schemas.openxmlformats.org/officeDocument/2006/customXml" ds:itemID="{049F9E93-35F7-4AF3-8096-4D5311D5544C}">
  <ds:schemaRefs/>
</ds:datastoreItem>
</file>

<file path=customXml/itemProps4.xml><?xml version="1.0" encoding="utf-8"?>
<ds:datastoreItem xmlns:ds="http://schemas.openxmlformats.org/officeDocument/2006/customXml" ds:itemID="{0839543E-DDD8-47B4-9AE8-B867864DC303}">
  <ds:schemaRefs/>
</ds:datastoreItem>
</file>

<file path=customXml/itemProps5.xml><?xml version="1.0" encoding="utf-8"?>
<ds:datastoreItem xmlns:ds="http://schemas.openxmlformats.org/officeDocument/2006/customXml" ds:itemID="{5D41E2F2-DEFB-4306-84C1-AE4F5962ECDA}">
  <ds:schemaRefs/>
</ds:datastoreItem>
</file>

<file path=customXml/itemProps6.xml><?xml version="1.0" encoding="utf-8"?>
<ds:datastoreItem xmlns:ds="http://schemas.openxmlformats.org/officeDocument/2006/customXml" ds:itemID="{2C5A1EC0-F8FE-4866-B80D-F7DB2DE78F9C}">
  <ds:schemaRefs/>
</ds:datastoreItem>
</file>

<file path=customXml/itemProps7.xml><?xml version="1.0" encoding="utf-8"?>
<ds:datastoreItem xmlns:ds="http://schemas.openxmlformats.org/officeDocument/2006/customXml" ds:itemID="{D70730AB-ACE3-4FBF-B116-3EA7FF37356C}">
  <ds:schemaRefs/>
</ds:datastoreItem>
</file>

<file path=customXml/itemProps8.xml><?xml version="1.0" encoding="utf-8"?>
<ds:datastoreItem xmlns:ds="http://schemas.openxmlformats.org/officeDocument/2006/customXml" ds:itemID="{634386CC-F7A8-4892-BE4D-1BEED68FD7FB}">
  <ds:schemaRefs/>
</ds:datastoreItem>
</file>

<file path=customXml/itemProps9.xml><?xml version="1.0" encoding="utf-8"?>
<ds:datastoreItem xmlns:ds="http://schemas.openxmlformats.org/officeDocument/2006/customXml" ds:itemID="{34F2DC93-F328-4186-BA07-B8998C8D9139}">
  <ds:schemaRefs/>
</ds:datastoreItem>
</file>

<file path=customXml/itemProps10.xml><?xml version="1.0" encoding="utf-8"?>
<ds:datastoreItem xmlns:ds="http://schemas.openxmlformats.org/officeDocument/2006/customXml" ds:itemID="{4EC95313-81B3-4A69-85F7-11784A543343}">
  <ds:schemaRefs/>
</ds:datastoreItem>
</file>

<file path=customXml/itemProps11.xml><?xml version="1.0" encoding="utf-8"?>
<ds:datastoreItem xmlns:ds="http://schemas.openxmlformats.org/officeDocument/2006/customXml" ds:itemID="{B787EF2E-9707-402D-8F3E-8AC24FF42C85}">
  <ds:schemaRefs/>
</ds:datastoreItem>
</file>

<file path=customXml/itemProps12.xml><?xml version="1.0" encoding="utf-8"?>
<ds:datastoreItem xmlns:ds="http://schemas.openxmlformats.org/officeDocument/2006/customXml" ds:itemID="{AB26934B-23C8-4F99-8A89-8A0ECEF2C415}">
  <ds:schemaRefs/>
</ds:datastoreItem>
</file>

<file path=customXml/itemProps13.xml><?xml version="1.0" encoding="utf-8"?>
<ds:datastoreItem xmlns:ds="http://schemas.openxmlformats.org/officeDocument/2006/customXml" ds:itemID="{91F5C896-A8ED-4D9D-B36F-B988B7F56DF8}">
  <ds:schemaRefs/>
</ds:datastoreItem>
</file>

<file path=customXml/itemProps14.xml><?xml version="1.0" encoding="utf-8"?>
<ds:datastoreItem xmlns:ds="http://schemas.openxmlformats.org/officeDocument/2006/customXml" ds:itemID="{4953663D-F943-49C5-9B70-8072473C7DC0}">
  <ds:schemaRefs/>
</ds:datastoreItem>
</file>

<file path=customXml/itemProps15.xml><?xml version="1.0" encoding="utf-8"?>
<ds:datastoreItem xmlns:ds="http://schemas.openxmlformats.org/officeDocument/2006/customXml" ds:itemID="{5DBDB01D-C8A4-4B14-A4F1-A819F431DE5A}">
  <ds:schemaRefs/>
</ds:datastoreItem>
</file>

<file path=customXml/itemProps16.xml><?xml version="1.0" encoding="utf-8"?>
<ds:datastoreItem xmlns:ds="http://schemas.openxmlformats.org/officeDocument/2006/customXml" ds:itemID="{A8A78281-7A4B-4DDD-A335-E159D0FE6483}">
  <ds:schemaRefs/>
</ds:datastoreItem>
</file>

<file path=customXml/itemProps17.xml><?xml version="1.0" encoding="utf-8"?>
<ds:datastoreItem xmlns:ds="http://schemas.openxmlformats.org/officeDocument/2006/customXml" ds:itemID="{92D32EF4-7F83-4292-9818-DE79D31C8AD6}">
  <ds:schemaRefs/>
</ds:datastoreItem>
</file>

<file path=customXml/itemProps18.xml><?xml version="1.0" encoding="utf-8"?>
<ds:datastoreItem xmlns:ds="http://schemas.openxmlformats.org/officeDocument/2006/customXml" ds:itemID="{813D125E-1D56-4C9A-A1E4-0E1E6A296A18}">
  <ds:schemaRefs/>
</ds:datastoreItem>
</file>

<file path=customXml/itemProps19.xml><?xml version="1.0" encoding="utf-8"?>
<ds:datastoreItem xmlns:ds="http://schemas.openxmlformats.org/officeDocument/2006/customXml" ds:itemID="{E116C2F3-11C3-42D1-941C-F93010E3DA64}">
  <ds:schemaRefs/>
</ds:datastoreItem>
</file>

<file path=customXml/itemProps20.xml><?xml version="1.0" encoding="utf-8"?>
<ds:datastoreItem xmlns:ds="http://schemas.openxmlformats.org/officeDocument/2006/customXml" ds:itemID="{48B8BCA2-37D9-47D0-89E1-2D348C91A937}">
  <ds:schemaRefs/>
</ds:datastoreItem>
</file>

<file path=customXml/itemProps21.xml><?xml version="1.0" encoding="utf-8"?>
<ds:datastoreItem xmlns:ds="http://schemas.openxmlformats.org/officeDocument/2006/customXml" ds:itemID="{5DE2CE8B-F773-4BE7-9A18-ACCCB028555B}">
  <ds:schemaRefs/>
</ds:datastoreItem>
</file>

<file path=customXml/itemProps22.xml><?xml version="1.0" encoding="utf-8"?>
<ds:datastoreItem xmlns:ds="http://schemas.openxmlformats.org/officeDocument/2006/customXml" ds:itemID="{BC522178-4BEB-4C54-9896-AAABDB35B97F}">
  <ds:schemaRefs/>
</ds:datastoreItem>
</file>

<file path=customXml/itemProps23.xml><?xml version="1.0" encoding="utf-8"?>
<ds:datastoreItem xmlns:ds="http://schemas.openxmlformats.org/officeDocument/2006/customXml" ds:itemID="{73378951-27FF-40D3-880C-E78B972E8ADA}">
  <ds:schemaRefs/>
</ds:datastoreItem>
</file>

<file path=customXml/itemProps24.xml><?xml version="1.0" encoding="utf-8"?>
<ds:datastoreItem xmlns:ds="http://schemas.openxmlformats.org/officeDocument/2006/customXml" ds:itemID="{C9FC8D1F-B248-4E40-9CD4-FBBDD46CF6AE}">
  <ds:schemaRefs/>
</ds:datastoreItem>
</file>

<file path=customXml/itemProps25.xml><?xml version="1.0" encoding="utf-8"?>
<ds:datastoreItem xmlns:ds="http://schemas.openxmlformats.org/officeDocument/2006/customXml" ds:itemID="{7DCAACE0-9F11-406F-9397-5F675DE1CF8E}">
  <ds:schemaRefs/>
</ds:datastoreItem>
</file>

<file path=customXml/itemProps26.xml><?xml version="1.0" encoding="utf-8"?>
<ds:datastoreItem xmlns:ds="http://schemas.openxmlformats.org/officeDocument/2006/customXml" ds:itemID="{EC416282-A4E6-487B-838C-E784713739E7}">
  <ds:schemaRefs/>
</ds:datastoreItem>
</file>

<file path=customXml/itemProps27.xml><?xml version="1.0" encoding="utf-8"?>
<ds:datastoreItem xmlns:ds="http://schemas.openxmlformats.org/officeDocument/2006/customXml" ds:itemID="{CABDE1CB-5E01-446C-B45E-3F9E771A84D3}">
  <ds:schemaRefs/>
</ds:datastoreItem>
</file>

<file path=customXml/itemProps28.xml><?xml version="1.0" encoding="utf-8"?>
<ds:datastoreItem xmlns:ds="http://schemas.openxmlformats.org/officeDocument/2006/customXml" ds:itemID="{E581D5A3-2407-485D-9A6D-33B3E59AFFA3}">
  <ds:schemaRefs/>
</ds:datastoreItem>
</file>

<file path=customXml/itemProps29.xml><?xml version="1.0" encoding="utf-8"?>
<ds:datastoreItem xmlns:ds="http://schemas.openxmlformats.org/officeDocument/2006/customXml" ds:itemID="{DC4E8942-8069-44EA-97FA-C9D5110AD2E8}">
  <ds:schemaRefs/>
</ds:datastoreItem>
</file>

<file path=customXml/itemProps30.xml><?xml version="1.0" encoding="utf-8"?>
<ds:datastoreItem xmlns:ds="http://schemas.openxmlformats.org/officeDocument/2006/customXml" ds:itemID="{CB604C3C-18DB-42E7-A210-D6CBF94DD2A0}">
  <ds:schemaRefs/>
</ds:datastoreItem>
</file>

<file path=customXml/itemProps31.xml><?xml version="1.0" encoding="utf-8"?>
<ds:datastoreItem xmlns:ds="http://schemas.openxmlformats.org/officeDocument/2006/customXml" ds:itemID="{35F601E8-8FA6-4AF3-99C6-471EB3E28B0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pricing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Raencker</dc:creator>
  <cp:lastModifiedBy>Sean Violante</cp:lastModifiedBy>
  <dcterms:created xsi:type="dcterms:W3CDTF">2014-10-10T15:49:58Z</dcterms:created>
  <dcterms:modified xsi:type="dcterms:W3CDTF">2015-04-24T10:43:11Z</dcterms:modified>
</cp:coreProperties>
</file>