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45" windowWidth="18195" windowHeight="12840"/>
  </bookViews>
  <sheets>
    <sheet name="SlotMachineCalcs" sheetId="1" r:id="rId1"/>
  </sheets>
  <calcPr calcId="145621"/>
</workbook>
</file>

<file path=xl/calcChain.xml><?xml version="1.0" encoding="utf-8"?>
<calcChain xmlns="http://schemas.openxmlformats.org/spreadsheetml/2006/main">
  <c r="M10" i="1" l="1"/>
  <c r="M9" i="1"/>
  <c r="M8" i="1"/>
  <c r="M7" i="1"/>
  <c r="M6" i="1"/>
  <c r="H47" i="1"/>
  <c r="J47" i="1" s="1"/>
  <c r="K47" i="1" s="1"/>
  <c r="H48" i="1"/>
  <c r="H49" i="1"/>
  <c r="H50" i="1"/>
  <c r="J50" i="1" s="1"/>
  <c r="K50" i="1" s="1"/>
  <c r="H51" i="1"/>
  <c r="I51" i="1"/>
  <c r="I50" i="1"/>
  <c r="I49" i="1"/>
  <c r="L49" i="1" s="1"/>
  <c r="I48" i="1"/>
  <c r="I47" i="1"/>
  <c r="L51" i="1"/>
  <c r="L50" i="1"/>
  <c r="L48" i="1"/>
  <c r="L47" i="1"/>
  <c r="C20" i="1"/>
  <c r="J51" i="1" l="1"/>
  <c r="K51" i="1" s="1"/>
  <c r="J49" i="1"/>
  <c r="K49" i="1" s="1"/>
  <c r="J48" i="1"/>
  <c r="K48" i="1" s="1"/>
  <c r="E6" i="1"/>
  <c r="L39" i="1"/>
  <c r="F10" i="1" l="1"/>
  <c r="F9" i="1"/>
  <c r="F8" i="1"/>
  <c r="F7" i="1"/>
  <c r="F6" i="1"/>
  <c r="F5" i="1"/>
  <c r="H3" i="1" l="1"/>
  <c r="L6" i="1" s="1"/>
  <c r="L7" i="1" l="1"/>
  <c r="L8" i="1"/>
  <c r="E7" i="1"/>
  <c r="D7" i="1" s="1"/>
  <c r="L10" i="1"/>
  <c r="E8" i="1"/>
  <c r="D8" i="1" s="1"/>
  <c r="L9" i="1"/>
  <c r="E9" i="1"/>
  <c r="D9" i="1" s="1"/>
  <c r="E10" i="1"/>
  <c r="D10" i="1" s="1"/>
  <c r="D6" i="1"/>
  <c r="B23" i="1"/>
  <c r="B24" i="1"/>
  <c r="B25" i="1"/>
  <c r="B26" i="1"/>
  <c r="B27" i="1"/>
  <c r="B28" i="1"/>
  <c r="H39" i="1"/>
  <c r="H38" i="1"/>
  <c r="H37" i="1"/>
  <c r="H36" i="1"/>
  <c r="H35" i="1"/>
  <c r="B22" i="1"/>
  <c r="I15" i="1"/>
  <c r="I36" i="1"/>
  <c r="L36" i="1" s="1"/>
  <c r="C10" i="1"/>
  <c r="C9" i="1"/>
  <c r="C8" i="1"/>
  <c r="J8" i="1" s="1"/>
  <c r="C7" i="1"/>
  <c r="J7" i="1" s="1"/>
  <c r="C6" i="1"/>
  <c r="G5" i="1"/>
  <c r="H5" i="1" s="1"/>
  <c r="J9" i="1" l="1"/>
  <c r="J10" i="1"/>
  <c r="E5" i="1"/>
  <c r="I37" i="1"/>
  <c r="L37" i="1" s="1"/>
  <c r="I38" i="1"/>
  <c r="L38" i="1" s="1"/>
  <c r="I39" i="1"/>
  <c r="I35" i="1"/>
  <c r="J36" i="1"/>
  <c r="K36" i="1" s="1"/>
  <c r="G6" i="1"/>
  <c r="H6" i="1" s="1"/>
  <c r="I6" i="1" s="1"/>
  <c r="G7" i="1"/>
  <c r="H7" i="1" s="1"/>
  <c r="I7" i="1" s="1"/>
  <c r="G8" i="1"/>
  <c r="H8" i="1" s="1"/>
  <c r="I8" i="1" s="1"/>
  <c r="G9" i="1"/>
  <c r="H9" i="1" s="1"/>
  <c r="G10" i="1"/>
  <c r="H10" i="1" s="1"/>
  <c r="I10" i="1" s="1"/>
  <c r="J35" i="1" l="1"/>
  <c r="K35" i="1" s="1"/>
  <c r="L35" i="1"/>
  <c r="J38" i="1"/>
  <c r="K38" i="1" s="1"/>
  <c r="J39" i="1"/>
  <c r="K39" i="1" s="1"/>
  <c r="J37" i="1"/>
  <c r="K37" i="1" s="1"/>
  <c r="I5" i="1"/>
  <c r="I9" i="1"/>
  <c r="I13" i="1" l="1"/>
  <c r="I16" i="1" s="1"/>
  <c r="I12" i="1"/>
  <c r="I14" i="1"/>
  <c r="C22" i="1" l="1"/>
  <c r="G22" i="1" s="1"/>
  <c r="C23" i="1"/>
  <c r="G23" i="1" s="1"/>
  <c r="D28" i="1"/>
  <c r="D25" i="1"/>
  <c r="H25" i="1" s="1"/>
  <c r="C24" i="1"/>
  <c r="G24" i="1" s="1"/>
  <c r="C26" i="1"/>
  <c r="G26" i="1" s="1"/>
  <c r="D22" i="1"/>
  <c r="H22" i="1" s="1"/>
  <c r="C27" i="1"/>
  <c r="G27" i="1" s="1"/>
  <c r="C28" i="1"/>
  <c r="G28" i="1" s="1"/>
  <c r="D26" i="1"/>
  <c r="H26" i="1" s="1"/>
  <c r="D27" i="1"/>
  <c r="H27" i="1" s="1"/>
  <c r="C25" i="1"/>
  <c r="G25" i="1" s="1"/>
  <c r="D24" i="1"/>
  <c r="H24" i="1" s="1"/>
  <c r="D23" i="1"/>
  <c r="H23" i="1" s="1"/>
  <c r="F22" i="1" l="1"/>
  <c r="F24" i="1"/>
  <c r="F27" i="1"/>
  <c r="E28" i="1"/>
  <c r="F26" i="1"/>
  <c r="E25" i="1"/>
  <c r="F23" i="1"/>
  <c r="H28" i="1"/>
  <c r="F28" i="1" s="1"/>
  <c r="F25" i="1"/>
  <c r="E26" i="1"/>
  <c r="E22" i="1"/>
  <c r="E27" i="1"/>
  <c r="E23" i="1"/>
  <c r="E24" i="1"/>
  <c r="J6" i="1"/>
  <c r="D5" i="1"/>
  <c r="J5" i="1" s="1"/>
  <c r="J11" i="1" s="1"/>
</calcChain>
</file>

<file path=xl/comments1.xml><?xml version="1.0" encoding="utf-8"?>
<comments xmlns="http://schemas.openxmlformats.org/spreadsheetml/2006/main">
  <authors>
    <author>Daniel J. Murphy</author>
    <author>dmurphy</author>
  </authors>
  <commentList>
    <comment ref="B4" authorId="0">
      <text>
        <r>
          <rPr>
            <b/>
            <sz val="9"/>
            <color indexed="81"/>
            <rFont val="Tahoma"/>
            <family val="2"/>
          </rPr>
          <t>Daniel J. Murphy:</t>
        </r>
        <r>
          <rPr>
            <sz val="9"/>
            <color indexed="81"/>
            <rFont val="Tahoma"/>
            <family val="2"/>
          </rPr>
          <t xml:space="preserve">
Adjust values in this column to make Total Credits Won or Lost as close to zero as possible.  Fractions are fine.</t>
        </r>
      </text>
    </comment>
    <comment ref="K10" authorId="0">
      <text>
        <r>
          <rPr>
            <b/>
            <sz val="9"/>
            <color indexed="81"/>
            <rFont val="Tahoma"/>
            <family val="2"/>
          </rPr>
          <t>Daniel J. Murphy:</t>
        </r>
        <r>
          <rPr>
            <sz val="9"/>
            <color indexed="81"/>
            <rFont val="Tahoma"/>
            <family val="2"/>
          </rPr>
          <t xml:space="preserve">
This is the jackpot.</t>
        </r>
      </text>
    </comment>
    <comment ref="J11" authorId="1">
      <text>
        <r>
          <rPr>
            <b/>
            <sz val="9"/>
            <color indexed="81"/>
            <rFont val="Tahoma"/>
            <family val="2"/>
          </rPr>
          <t>dmurphy:</t>
        </r>
        <r>
          <rPr>
            <sz val="9"/>
            <color indexed="81"/>
            <rFont val="Tahoma"/>
            <family val="2"/>
          </rPr>
          <t xml:space="preserve">
Get this number as close to zero as possible by adjusting values in the Payout column.</t>
        </r>
      </text>
    </comment>
    <comment ref="I16" authorId="1">
      <text>
        <r>
          <rPr>
            <b/>
            <sz val="9"/>
            <color indexed="81"/>
            <rFont val="Tahoma"/>
            <family val="2"/>
          </rPr>
          <t>dmurphy:</t>
        </r>
        <r>
          <rPr>
            <sz val="9"/>
            <color indexed="81"/>
            <rFont val="Tahoma"/>
            <family val="2"/>
          </rPr>
          <t xml:space="preserve">
Try to keep this number as low as possible, i.e. &lt; 20, when adjusting values in the Payout column.</t>
        </r>
      </text>
    </comment>
    <comment ref="B19" authorId="1">
      <text>
        <r>
          <rPr>
            <b/>
            <sz val="9"/>
            <color indexed="81"/>
            <rFont val="Tahoma"/>
            <family val="2"/>
          </rPr>
          <t>dmurphy:</t>
        </r>
        <r>
          <rPr>
            <sz val="9"/>
            <color indexed="81"/>
            <rFont val="Tahoma"/>
            <family val="2"/>
          </rPr>
          <t xml:space="preserve">
The percentage of every wager that the house keeps (over time).</t>
        </r>
      </text>
    </comment>
    <comment ref="B20" authorId="1">
      <text>
        <r>
          <rPr>
            <b/>
            <sz val="9"/>
            <color indexed="81"/>
            <rFont val="Tahoma"/>
            <family val="2"/>
          </rPr>
          <t>dmurphy:</t>
        </r>
        <r>
          <rPr>
            <sz val="9"/>
            <color indexed="81"/>
            <rFont val="Tahoma"/>
            <family val="2"/>
          </rPr>
          <t xml:space="preserve">
Inverse of the Hold; the percentage of every wager that the player keeps, over time.</t>
        </r>
      </text>
    </comment>
    <comment ref="B40" authorId="1">
      <text>
        <r>
          <rPr>
            <b/>
            <sz val="9"/>
            <color indexed="81"/>
            <rFont val="Tahoma"/>
            <family val="2"/>
          </rPr>
          <t>dmurphy:</t>
        </r>
        <r>
          <rPr>
            <sz val="9"/>
            <color indexed="81"/>
            <rFont val="Tahoma"/>
            <family val="2"/>
          </rPr>
          <t xml:space="preserve">
When entering data in the cells on this row only flip the sign if you are copying the value from the metrics on the LCD.  This value is from the house's perspective.</t>
        </r>
      </text>
    </comment>
    <comment ref="B52" authorId="1">
      <text>
        <r>
          <rPr>
            <b/>
            <sz val="9"/>
            <color indexed="81"/>
            <rFont val="Tahoma"/>
            <family val="2"/>
          </rPr>
          <t>dmurphy:</t>
        </r>
        <r>
          <rPr>
            <sz val="9"/>
            <color indexed="81"/>
            <rFont val="Tahoma"/>
            <family val="2"/>
          </rPr>
          <t xml:space="preserve">
When entering data in the cells on this row only flip the sign if you are copying the value from the metrics on the LCD.  This value is from the house's perspective.</t>
        </r>
      </text>
    </comment>
  </commentList>
</comments>
</file>

<file path=xl/sharedStrings.xml><?xml version="1.0" encoding="utf-8"?>
<sst xmlns="http://schemas.openxmlformats.org/spreadsheetml/2006/main" count="76" uniqueCount="52">
  <si>
    <t>Plays:</t>
  </si>
  <si>
    <t>Payout Minus Wager</t>
  </si>
  <si>
    <t>Outcome</t>
  </si>
  <si>
    <t>House Win</t>
  </si>
  <si>
    <t>Combinations:</t>
  </si>
  <si>
    <t>Total:</t>
  </si>
  <si>
    <t>Variance:</t>
  </si>
  <si>
    <t>Standard Deviation:</t>
  </si>
  <si>
    <t>Mean:</t>
  </si>
  <si>
    <t>z-score for a 90% confidence:</t>
  </si>
  <si>
    <t>Hold:</t>
  </si>
  <si>
    <t>Wager:</t>
  </si>
  <si>
    <t>Volitility Index:</t>
  </si>
  <si>
    <t>Payback %:</t>
  </si>
  <si>
    <t>Payback Low %</t>
  </si>
  <si>
    <t>Payback High %</t>
  </si>
  <si>
    <t>% Delta</t>
  </si>
  <si>
    <t>Avg Income</t>
  </si>
  <si>
    <t>Income High</t>
  </si>
  <si>
    <t>Income Low</t>
  </si>
  <si>
    <t>Actual</t>
  </si>
  <si>
    <t>Probabilities</t>
  </si>
  <si>
    <t>Calculated</t>
  </si>
  <si>
    <t>Difference</t>
  </si>
  <si>
    <t>Pct Diff Prob</t>
  </si>
  <si>
    <t>credit(s)</t>
  </si>
  <si>
    <t>Credits Wagered</t>
  </si>
  <si>
    <t>Actual Results</t>
  </si>
  <si>
    <t>Calculated Probability</t>
  </si>
  <si>
    <t>Odds; 1 in:</t>
  </si>
  <si>
    <t>Calculating Payout (House's perspective)</t>
  </si>
  <si>
    <t>Understanding Potential Income (House's perspective)</t>
  </si>
  <si>
    <t>2 Match:</t>
  </si>
  <si>
    <t>Ship 1 Match:</t>
  </si>
  <si>
    <t>Ship 2 Match:</t>
  </si>
  <si>
    <t>3 Match:</t>
  </si>
  <si>
    <t>Ship 3 Match:</t>
  </si>
  <si>
    <t>House Pays:</t>
  </si>
  <si>
    <t>Simulations</t>
  </si>
  <si>
    <t>Calculated Occurrences</t>
  </si>
  <si>
    <t>2 Symbol Match</t>
  </si>
  <si>
    <t>1 Ship Match</t>
  </si>
  <si>
    <t>2 Ship Match</t>
  </si>
  <si>
    <t>3 Symbol Match</t>
  </si>
  <si>
    <t>3 Ship Match</t>
  </si>
  <si>
    <t>Income for All Plays</t>
  </si>
  <si>
    <t>Hold</t>
  </si>
  <si>
    <t>Income minus Hold</t>
  </si>
  <si>
    <t>(Income - Hold) Squared</t>
  </si>
  <si>
    <t>Probability X ((Income - Hold) Squared)</t>
  </si>
  <si>
    <t>Odds</t>
  </si>
  <si>
    <t>Payout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</si>
</sst>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00000"/>
    <numFmt numFmtId="165" formatCode="0.000000"/>
    <numFmt numFmtId="166" formatCode="0.0000"/>
    <numFmt numFmtId="167" formatCode="0.0000%"/>
  </numFmts>
  <fonts count="6" x14ac:knownFonts="1">
    <font>
      <sz val="11"/>
      <color theme="1"/>
      <name val="Calibri"/>
      <family val="2"/>
      <scheme val="minor"/>
    </font>
    <font>
      <sz val="11"/>
      <color rgb="FFFF0000"/>
      <name val="Calibri"/>
      <family val="2"/>
      <scheme val="minor"/>
    </font>
    <font>
      <b/>
      <sz val="11"/>
      <color theme="1"/>
      <name val="Calibri"/>
      <family val="2"/>
      <scheme val="minor"/>
    </font>
    <font>
      <sz val="8"/>
      <color theme="1"/>
      <name val="Calibri"/>
      <family val="2"/>
      <scheme val="minor"/>
    </font>
    <font>
      <b/>
      <sz val="9"/>
      <color indexed="81"/>
      <name val="Tahoma"/>
      <family val="2"/>
    </font>
    <font>
      <sz val="9"/>
      <color indexed="81"/>
      <name val="Tahoma"/>
      <family val="2"/>
    </font>
  </fonts>
  <fills count="5">
    <fill>
      <patternFill patternType="none"/>
    </fill>
    <fill>
      <patternFill patternType="gray125"/>
    </fill>
    <fill>
      <patternFill patternType="solid">
        <fgColor theme="0" tint="-4.9989318521683403E-2"/>
        <bgColor indexed="64"/>
      </patternFill>
    </fill>
    <fill>
      <patternFill patternType="solid">
        <fgColor theme="7" tint="0.59999389629810485"/>
        <bgColor indexed="64"/>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bottom style="thick">
        <color indexed="64"/>
      </bottom>
      <diagonal/>
    </border>
  </borders>
  <cellStyleXfs count="1">
    <xf numFmtId="0" fontId="0" fillId="0" borderId="0"/>
  </cellStyleXfs>
  <cellXfs count="92">
    <xf numFmtId="0" fontId="0" fillId="0" borderId="0" xfId="0"/>
    <xf numFmtId="0" fontId="0" fillId="2" borderId="1" xfId="0" applyFill="1" applyBorder="1"/>
    <xf numFmtId="164" fontId="0" fillId="0" borderId="0" xfId="0" applyNumberFormat="1"/>
    <xf numFmtId="0" fontId="2" fillId="3" borderId="3" xfId="0" applyFont="1" applyFill="1" applyBorder="1" applyAlignment="1">
      <alignment wrapText="1"/>
    </xf>
    <xf numFmtId="0" fontId="2" fillId="3" borderId="2" xfId="0" applyFont="1" applyFill="1" applyBorder="1" applyAlignment="1">
      <alignment wrapText="1"/>
    </xf>
    <xf numFmtId="0" fontId="0" fillId="2" borderId="6" xfId="0" applyFill="1" applyBorder="1"/>
    <xf numFmtId="0" fontId="0" fillId="2" borderId="8" xfId="0" applyFill="1" applyBorder="1"/>
    <xf numFmtId="0" fontId="0" fillId="2" borderId="9" xfId="0" applyFill="1" applyBorder="1"/>
    <xf numFmtId="165" fontId="0" fillId="2" borderId="9" xfId="0" applyNumberFormat="1" applyFill="1" applyBorder="1"/>
    <xf numFmtId="0" fontId="0" fillId="2" borderId="11" xfId="0" applyFill="1" applyBorder="1"/>
    <xf numFmtId="0" fontId="0" fillId="2" borderId="3" xfId="0" applyFill="1" applyBorder="1"/>
    <xf numFmtId="165" fontId="0" fillId="0" borderId="0" xfId="0" applyNumberFormat="1"/>
    <xf numFmtId="0" fontId="0" fillId="2" borderId="1" xfId="0" applyFill="1" applyBorder="1" applyAlignment="1">
      <alignment horizontal="right"/>
    </xf>
    <xf numFmtId="4" fontId="0" fillId="2" borderId="1" xfId="0" applyNumberFormat="1" applyFill="1" applyBorder="1"/>
    <xf numFmtId="4" fontId="1" fillId="0" borderId="0" xfId="0" applyNumberFormat="1" applyFont="1"/>
    <xf numFmtId="0" fontId="0" fillId="2" borderId="7" xfId="0" applyFill="1" applyBorder="1" applyAlignment="1">
      <alignment horizontal="left" readingOrder="2"/>
    </xf>
    <xf numFmtId="0" fontId="0" fillId="2" borderId="12" xfId="0" applyFill="1" applyBorder="1"/>
    <xf numFmtId="0" fontId="0" fillId="2" borderId="13" xfId="0" applyFill="1" applyBorder="1" applyAlignment="1">
      <alignment horizontal="left" readingOrder="2"/>
    </xf>
    <xf numFmtId="0" fontId="3" fillId="2" borderId="13" xfId="0" applyFont="1" applyFill="1" applyBorder="1" applyAlignment="1">
      <alignment horizontal="left" readingOrder="2"/>
    </xf>
    <xf numFmtId="0" fontId="0" fillId="2" borderId="7" xfId="0" applyFill="1" applyBorder="1"/>
    <xf numFmtId="0" fontId="0" fillId="2" borderId="14" xfId="0" applyFill="1" applyBorder="1" applyAlignment="1">
      <alignment horizontal="left" readingOrder="2"/>
    </xf>
    <xf numFmtId="0" fontId="0" fillId="2" borderId="15" xfId="0" applyFill="1" applyBorder="1"/>
    <xf numFmtId="0" fontId="0" fillId="4" borderId="0" xfId="0" applyFill="1" applyBorder="1" applyAlignment="1">
      <alignment wrapText="1"/>
    </xf>
    <xf numFmtId="3" fontId="0" fillId="2" borderId="6" xfId="0" applyNumberFormat="1" applyFill="1" applyBorder="1"/>
    <xf numFmtId="10" fontId="0" fillId="2" borderId="6" xfId="0" applyNumberFormat="1" applyFill="1" applyBorder="1"/>
    <xf numFmtId="10" fontId="0" fillId="2" borderId="1" xfId="0" applyNumberFormat="1" applyFill="1" applyBorder="1"/>
    <xf numFmtId="3" fontId="0" fillId="2" borderId="10" xfId="0" applyNumberFormat="1" applyFill="1" applyBorder="1"/>
    <xf numFmtId="3" fontId="0" fillId="2" borderId="1" xfId="0" applyNumberFormat="1" applyFill="1" applyBorder="1"/>
    <xf numFmtId="3" fontId="0" fillId="0" borderId="0" xfId="0" applyNumberFormat="1" applyBorder="1"/>
    <xf numFmtId="0" fontId="1" fillId="0" borderId="0" xfId="0" applyFont="1"/>
    <xf numFmtId="0" fontId="0" fillId="0" borderId="0" xfId="0" applyBorder="1"/>
    <xf numFmtId="1" fontId="0" fillId="4" borderId="0" xfId="0" applyNumberFormat="1" applyFill="1" applyBorder="1"/>
    <xf numFmtId="0" fontId="0" fillId="4" borderId="0" xfId="0" applyFill="1" applyBorder="1"/>
    <xf numFmtId="165" fontId="0" fillId="4" borderId="0" xfId="0" applyNumberFormat="1" applyFill="1" applyBorder="1"/>
    <xf numFmtId="165" fontId="0" fillId="2" borderId="1" xfId="0" applyNumberFormat="1" applyFill="1" applyBorder="1"/>
    <xf numFmtId="0" fontId="0" fillId="3" borderId="7" xfId="0" applyFill="1" applyBorder="1" applyAlignment="1">
      <alignment horizontal="right"/>
    </xf>
    <xf numFmtId="164" fontId="0" fillId="2" borderId="5" xfId="0" applyNumberFormat="1" applyFill="1" applyBorder="1"/>
    <xf numFmtId="0" fontId="0" fillId="4" borderId="0" xfId="0" applyFill="1" applyBorder="1" applyAlignment="1">
      <alignment horizontal="left" readingOrder="2"/>
    </xf>
    <xf numFmtId="167" fontId="0" fillId="2" borderId="1" xfId="0" applyNumberFormat="1" applyFill="1" applyBorder="1"/>
    <xf numFmtId="0" fontId="2" fillId="0" borderId="0" xfId="0" applyFont="1"/>
    <xf numFmtId="0" fontId="0" fillId="2" borderId="5" xfId="0" applyFill="1" applyBorder="1"/>
    <xf numFmtId="3" fontId="0" fillId="0" borderId="0" xfId="0" applyNumberFormat="1"/>
    <xf numFmtId="166" fontId="0" fillId="2" borderId="10" xfId="0" applyNumberFormat="1" applyFill="1" applyBorder="1"/>
    <xf numFmtId="166" fontId="0" fillId="2" borderId="1" xfId="0" applyNumberFormat="1" applyFill="1" applyBorder="1"/>
    <xf numFmtId="0" fontId="2" fillId="3" borderId="11" xfId="0" applyFont="1" applyFill="1" applyBorder="1" applyAlignment="1">
      <alignment wrapText="1"/>
    </xf>
    <xf numFmtId="164" fontId="0" fillId="2" borderId="1" xfId="0" applyNumberFormat="1" applyFill="1" applyBorder="1"/>
    <xf numFmtId="1" fontId="0" fillId="2" borderId="1" xfId="0" applyNumberFormat="1" applyFill="1" applyBorder="1" applyAlignment="1">
      <alignment horizontal="left"/>
    </xf>
    <xf numFmtId="0" fontId="2" fillId="3" borderId="5" xfId="0" applyFont="1" applyFill="1" applyBorder="1" applyAlignment="1">
      <alignment wrapText="1"/>
    </xf>
    <xf numFmtId="166" fontId="0" fillId="2" borderId="13" xfId="0" applyNumberFormat="1" applyFill="1" applyBorder="1" applyAlignment="1">
      <alignment horizontal="right"/>
    </xf>
    <xf numFmtId="0" fontId="0" fillId="2" borderId="14" xfId="0" applyFill="1" applyBorder="1" applyAlignment="1">
      <alignment horizontal="right"/>
    </xf>
    <xf numFmtId="0" fontId="2" fillId="3" borderId="14" xfId="0" applyFont="1" applyFill="1" applyBorder="1" applyAlignment="1">
      <alignment horizontal="right"/>
    </xf>
    <xf numFmtId="164" fontId="2" fillId="3" borderId="4" xfId="0" applyNumberFormat="1" applyFont="1" applyFill="1" applyBorder="1" applyAlignment="1">
      <alignment horizontal="right"/>
    </xf>
    <xf numFmtId="0" fontId="2" fillId="3" borderId="4" xfId="0" applyFont="1" applyFill="1" applyBorder="1" applyAlignment="1">
      <alignment horizontal="right"/>
    </xf>
    <xf numFmtId="0" fontId="2" fillId="3" borderId="12" xfId="0" applyFont="1" applyFill="1" applyBorder="1" applyAlignment="1">
      <alignment horizontal="right"/>
    </xf>
    <xf numFmtId="164" fontId="2" fillId="3" borderId="11" xfId="0" applyNumberFormat="1" applyFont="1" applyFill="1" applyBorder="1" applyAlignment="1">
      <alignment horizontal="right"/>
    </xf>
    <xf numFmtId="0" fontId="2" fillId="3" borderId="11" xfId="0" applyFont="1" applyFill="1" applyBorder="1" applyAlignment="1">
      <alignment horizontal="right"/>
    </xf>
    <xf numFmtId="0" fontId="2" fillId="3" borderId="15" xfId="0" applyFont="1" applyFill="1" applyBorder="1" applyAlignment="1">
      <alignment horizontal="right"/>
    </xf>
    <xf numFmtId="0" fontId="2" fillId="3" borderId="3" xfId="0" applyFont="1" applyFill="1" applyBorder="1" applyAlignment="1">
      <alignment horizontal="right" wrapText="1"/>
    </xf>
    <xf numFmtId="0" fontId="2" fillId="3" borderId="2" xfId="0" applyFont="1" applyFill="1" applyBorder="1" applyAlignment="1">
      <alignment horizontal="right" wrapText="1"/>
    </xf>
    <xf numFmtId="164" fontId="2" fillId="3" borderId="1" xfId="0" applyNumberFormat="1" applyFont="1" applyFill="1" applyBorder="1" applyAlignment="1">
      <alignment horizontal="right" wrapText="1"/>
    </xf>
    <xf numFmtId="10" fontId="0" fillId="2" borderId="5" xfId="0" applyNumberFormat="1" applyFill="1" applyBorder="1"/>
    <xf numFmtId="0" fontId="0" fillId="2" borderId="1" xfId="0" applyFill="1" applyBorder="1" applyAlignment="1" applyProtection="1">
      <alignment horizontal="left"/>
    </xf>
    <xf numFmtId="0" fontId="0" fillId="2" borderId="2" xfId="0" applyFill="1" applyBorder="1" applyAlignment="1">
      <alignment horizontal="right"/>
    </xf>
    <xf numFmtId="0" fontId="2" fillId="3" borderId="0" xfId="0" applyFont="1" applyFill="1" applyBorder="1" applyAlignment="1">
      <alignment horizontal="right" wrapText="1"/>
    </xf>
    <xf numFmtId="10" fontId="0" fillId="2" borderId="14" xfId="0" applyNumberFormat="1" applyFill="1" applyBorder="1"/>
    <xf numFmtId="0" fontId="0" fillId="2" borderId="4" xfId="0" applyFill="1" applyBorder="1" applyAlignment="1">
      <alignment horizontal="right"/>
    </xf>
    <xf numFmtId="0" fontId="0" fillId="2" borderId="6" xfId="0" applyFont="1" applyFill="1" applyBorder="1"/>
    <xf numFmtId="0" fontId="0" fillId="0" borderId="16" xfId="0" applyBorder="1" applyProtection="1">
      <protection locked="0"/>
    </xf>
    <xf numFmtId="10" fontId="0" fillId="0" borderId="16" xfId="0" applyNumberFormat="1" applyBorder="1" applyProtection="1">
      <protection locked="0"/>
    </xf>
    <xf numFmtId="0" fontId="0" fillId="0" borderId="16" xfId="0" applyBorder="1" applyAlignment="1" applyProtection="1">
      <alignment horizontal="center"/>
      <protection locked="0"/>
    </xf>
    <xf numFmtId="0" fontId="0" fillId="0" borderId="16" xfId="0" applyBorder="1" applyAlignment="1" applyProtection="1">
      <alignment horizontal="left"/>
      <protection locked="0"/>
    </xf>
    <xf numFmtId="2" fontId="0" fillId="2" borderId="6" xfId="0" applyNumberFormat="1" applyFill="1" applyBorder="1"/>
    <xf numFmtId="0" fontId="2" fillId="2" borderId="10" xfId="0" applyFont="1" applyFill="1" applyBorder="1"/>
    <xf numFmtId="0" fontId="0" fillId="0" borderId="0" xfId="0" applyFont="1" applyAlignment="1">
      <alignment horizontal="right"/>
    </xf>
    <xf numFmtId="0" fontId="0" fillId="0" borderId="17" xfId="0" applyBorder="1" applyProtection="1">
      <protection locked="0"/>
    </xf>
    <xf numFmtId="0" fontId="0" fillId="2" borderId="2" xfId="0" applyFill="1" applyBorder="1"/>
    <xf numFmtId="0" fontId="0" fillId="2" borderId="2" xfId="0" applyFont="1" applyFill="1" applyBorder="1"/>
    <xf numFmtId="3" fontId="0" fillId="0" borderId="0" xfId="0" applyNumberFormat="1" applyFill="1" applyBorder="1"/>
    <xf numFmtId="1" fontId="1" fillId="4" borderId="0" xfId="0" applyNumberFormat="1" applyFont="1" applyFill="1" applyBorder="1"/>
    <xf numFmtId="1" fontId="1" fillId="0" borderId="0" xfId="0" applyNumberFormat="1" applyFont="1"/>
    <xf numFmtId="165" fontId="0" fillId="2" borderId="5" xfId="0" applyNumberFormat="1" applyFill="1" applyBorder="1"/>
    <xf numFmtId="4" fontId="0" fillId="2" borderId="7" xfId="0" applyNumberFormat="1" applyFill="1" applyBorder="1" applyProtection="1"/>
    <xf numFmtId="4" fontId="0" fillId="2" borderId="1" xfId="0" applyNumberFormat="1" applyFill="1" applyBorder="1" applyProtection="1"/>
    <xf numFmtId="4" fontId="2" fillId="2" borderId="12" xfId="0" applyNumberFormat="1" applyFont="1" applyFill="1" applyBorder="1"/>
    <xf numFmtId="1" fontId="0" fillId="0" borderId="16" xfId="0" applyNumberFormat="1" applyBorder="1" applyProtection="1">
      <protection locked="0"/>
    </xf>
    <xf numFmtId="1" fontId="0" fillId="0" borderId="0" xfId="0" applyNumberFormat="1"/>
    <xf numFmtId="2" fontId="0" fillId="2" borderId="1" xfId="0" applyNumberFormat="1" applyFill="1" applyBorder="1"/>
    <xf numFmtId="0" fontId="0" fillId="2" borderId="3" xfId="0" applyFill="1" applyBorder="1" applyAlignment="1">
      <alignment horizontal="center"/>
    </xf>
    <xf numFmtId="0" fontId="0" fillId="2" borderId="2" xfId="0" applyFill="1" applyBorder="1" applyAlignment="1">
      <alignment horizontal="center"/>
    </xf>
    <xf numFmtId="0" fontId="0" fillId="2" borderId="5" xfId="0" applyFill="1" applyBorder="1" applyAlignment="1">
      <alignment horizontal="center"/>
    </xf>
    <xf numFmtId="0" fontId="0" fillId="2" borderId="3" xfId="0" applyFill="1" applyBorder="1" applyAlignment="1">
      <alignment horizontal="right"/>
    </xf>
    <xf numFmtId="0" fontId="0" fillId="0" borderId="2" xfId="0"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U53"/>
  <sheetViews>
    <sheetView tabSelected="1" workbookViewId="0"/>
  </sheetViews>
  <sheetFormatPr defaultRowHeight="15" x14ac:dyDescent="0.25"/>
  <cols>
    <col min="1" max="1" width="4.140625" customWidth="1"/>
    <col min="2" max="2" width="17.140625" customWidth="1"/>
    <col min="3" max="5" width="12.7109375" customWidth="1"/>
    <col min="6" max="6" width="10.85546875" customWidth="1"/>
    <col min="7" max="10" width="12.7109375" customWidth="1"/>
    <col min="11" max="11" width="14.7109375" customWidth="1"/>
    <col min="12" max="12" width="12.7109375" customWidth="1"/>
  </cols>
  <sheetData>
    <row r="2" spans="2:21" ht="15.75" thickBot="1" x14ac:dyDescent="0.3">
      <c r="B2" s="39" t="s">
        <v>30</v>
      </c>
    </row>
    <row r="3" spans="2:21" ht="15.6" thickTop="1" thickBot="1" x14ac:dyDescent="0.35">
      <c r="B3" s="12" t="s">
        <v>11</v>
      </c>
      <c r="C3" s="61">
        <v>1</v>
      </c>
      <c r="D3" s="90" t="s">
        <v>0</v>
      </c>
      <c r="E3" s="91"/>
      <c r="F3" s="70">
        <v>1000001</v>
      </c>
      <c r="G3" s="62" t="s">
        <v>4</v>
      </c>
      <c r="H3" s="46">
        <f>25*25*25</f>
        <v>15625</v>
      </c>
      <c r="L3" s="2"/>
    </row>
    <row r="4" spans="2:21" ht="60.75" thickTop="1" x14ac:dyDescent="0.25">
      <c r="B4" s="57" t="s">
        <v>51</v>
      </c>
      <c r="C4" s="58" t="s">
        <v>1</v>
      </c>
      <c r="D4" s="58" t="s">
        <v>39</v>
      </c>
      <c r="E4" s="58" t="s">
        <v>28</v>
      </c>
      <c r="F4" s="63" t="s">
        <v>46</v>
      </c>
      <c r="G4" s="58" t="s">
        <v>47</v>
      </c>
      <c r="H4" s="58" t="s">
        <v>48</v>
      </c>
      <c r="I4" s="58" t="s">
        <v>49</v>
      </c>
      <c r="J4" s="58" t="s">
        <v>45</v>
      </c>
      <c r="K4" s="58" t="s">
        <v>2</v>
      </c>
      <c r="L4" s="59" t="s">
        <v>28</v>
      </c>
      <c r="M4" s="59" t="s">
        <v>50</v>
      </c>
    </row>
    <row r="5" spans="2:21" thickBot="1" x14ac:dyDescent="0.35">
      <c r="B5" s="5">
        <v>1</v>
      </c>
      <c r="C5" s="1">
        <v>1</v>
      </c>
      <c r="D5" s="81">
        <f>F3-SUM(D6:D10)</f>
        <v>777216.77721600002</v>
      </c>
      <c r="E5" s="34">
        <f>1-SUM(E6:E10)</f>
        <v>0.77721600000000002</v>
      </c>
      <c r="F5" s="60">
        <f t="shared" ref="F5:F10" si="0">C$19</f>
        <v>0.15</v>
      </c>
      <c r="G5" s="1">
        <f t="shared" ref="G5:G10" si="1">C5-F5</f>
        <v>0.85</v>
      </c>
      <c r="H5" s="1">
        <f t="shared" ref="H5:H10" si="2">G5*G5</f>
        <v>0.72249999999999992</v>
      </c>
      <c r="I5" s="34">
        <f t="shared" ref="I5:I10" si="3">E5*H5</f>
        <v>0.56153855999999991</v>
      </c>
      <c r="J5" s="71">
        <f t="shared" ref="J5:J10" si="4">C5*D5</f>
        <v>777216.77721600002</v>
      </c>
      <c r="K5" s="1" t="s">
        <v>3</v>
      </c>
      <c r="L5" s="45"/>
      <c r="M5" s="1"/>
      <c r="O5" s="30"/>
      <c r="Q5" s="30"/>
      <c r="U5" s="30"/>
    </row>
    <row r="6" spans="2:21" ht="15.6" thickTop="1" thickBot="1" x14ac:dyDescent="0.35">
      <c r="B6" s="67">
        <v>-2</v>
      </c>
      <c r="C6" s="75">
        <f>B6+C$3</f>
        <v>-1</v>
      </c>
      <c r="D6" s="82">
        <f>F$3*E6</f>
        <v>105984.10598399999</v>
      </c>
      <c r="E6" s="80">
        <f>(23*3*24)/$H$3</f>
        <v>0.10598399999999999</v>
      </c>
      <c r="F6" s="60">
        <f t="shared" si="0"/>
        <v>0.15</v>
      </c>
      <c r="G6" s="1">
        <f t="shared" si="1"/>
        <v>-1.1499999999999999</v>
      </c>
      <c r="H6" s="1">
        <f t="shared" si="2"/>
        <v>1.3224999999999998</v>
      </c>
      <c r="I6" s="34">
        <f t="shared" si="3"/>
        <v>0.14016383999999998</v>
      </c>
      <c r="J6" s="71">
        <f t="shared" si="4"/>
        <v>-105984.10598399999</v>
      </c>
      <c r="K6" s="43" t="s">
        <v>40</v>
      </c>
      <c r="L6" s="34">
        <f>(23*3*24)/$H$3</f>
        <v>0.10598399999999999</v>
      </c>
      <c r="M6" s="86">
        <f>1/L6-1</f>
        <v>8.4353864734299524</v>
      </c>
      <c r="N6" s="2"/>
      <c r="O6" s="30"/>
      <c r="Q6" s="30"/>
      <c r="U6" s="30"/>
    </row>
    <row r="7" spans="2:21" ht="15.6" thickTop="1" thickBot="1" x14ac:dyDescent="0.35">
      <c r="B7" s="67">
        <v>-3</v>
      </c>
      <c r="C7" s="75">
        <f>B7+C$3</f>
        <v>-2</v>
      </c>
      <c r="D7" s="82">
        <f>F$3*E7</f>
        <v>110592.110592</v>
      </c>
      <c r="E7" s="80">
        <f>(24*24*3)/$H$3</f>
        <v>0.110592</v>
      </c>
      <c r="F7" s="60">
        <f t="shared" si="0"/>
        <v>0.15</v>
      </c>
      <c r="G7" s="1">
        <f t="shared" si="1"/>
        <v>-2.15</v>
      </c>
      <c r="H7" s="1">
        <f t="shared" si="2"/>
        <v>4.6224999999999996</v>
      </c>
      <c r="I7" s="34">
        <f t="shared" si="3"/>
        <v>0.51121151999999992</v>
      </c>
      <c r="J7" s="71">
        <f t="shared" si="4"/>
        <v>-221184.22118399999</v>
      </c>
      <c r="K7" s="43" t="s">
        <v>41</v>
      </c>
      <c r="L7" s="34">
        <f>(24*24*3)/$H$3</f>
        <v>0.110592</v>
      </c>
      <c r="M7" s="86">
        <f>1/L7-1</f>
        <v>8.0422453703703702</v>
      </c>
      <c r="N7" s="2"/>
      <c r="O7" s="30"/>
      <c r="Q7" s="30"/>
      <c r="U7" s="30"/>
    </row>
    <row r="8" spans="2:21" ht="15.6" thickTop="1" thickBot="1" x14ac:dyDescent="0.35">
      <c r="B8" s="67">
        <v>-50</v>
      </c>
      <c r="C8" s="75">
        <f>B8+C$3</f>
        <v>-49</v>
      </c>
      <c r="D8" s="82">
        <f>F$3*E8</f>
        <v>4608.0046080000002</v>
      </c>
      <c r="E8" s="80">
        <f>(24*3)/$H$3</f>
        <v>4.6080000000000001E-3</v>
      </c>
      <c r="F8" s="60">
        <f t="shared" si="0"/>
        <v>0.15</v>
      </c>
      <c r="G8" s="1">
        <f t="shared" si="1"/>
        <v>-49.15</v>
      </c>
      <c r="H8" s="1">
        <f t="shared" si="2"/>
        <v>2415.7224999999999</v>
      </c>
      <c r="I8" s="34">
        <f t="shared" si="3"/>
        <v>11.13164928</v>
      </c>
      <c r="J8" s="71">
        <f t="shared" si="4"/>
        <v>-225792.22579200001</v>
      </c>
      <c r="K8" s="43" t="s">
        <v>42</v>
      </c>
      <c r="L8" s="34">
        <f>(24*3)/$H$3</f>
        <v>4.6080000000000001E-3</v>
      </c>
      <c r="M8" s="86">
        <f>1/L8-1</f>
        <v>216.01388888888889</v>
      </c>
      <c r="N8" s="2"/>
      <c r="O8" s="30"/>
      <c r="Q8" s="30"/>
      <c r="U8" s="30"/>
    </row>
    <row r="9" spans="2:21" ht="15.6" thickTop="1" thickBot="1" x14ac:dyDescent="0.35">
      <c r="B9" s="67">
        <v>-122</v>
      </c>
      <c r="C9" s="75">
        <f>B9+C$3</f>
        <v>-121</v>
      </c>
      <c r="D9" s="82">
        <f>F$3*E9</f>
        <v>1536.001536</v>
      </c>
      <c r="E9" s="80">
        <f>24/$H$3</f>
        <v>1.536E-3</v>
      </c>
      <c r="F9" s="60">
        <f t="shared" si="0"/>
        <v>0.15</v>
      </c>
      <c r="G9" s="1">
        <f t="shared" si="1"/>
        <v>-121.15</v>
      </c>
      <c r="H9" s="1">
        <f t="shared" si="2"/>
        <v>14677.322500000002</v>
      </c>
      <c r="I9" s="34">
        <f t="shared" si="3"/>
        <v>22.544367360000003</v>
      </c>
      <c r="J9" s="71">
        <f t="shared" si="4"/>
        <v>-185856.185856</v>
      </c>
      <c r="K9" s="43" t="s">
        <v>43</v>
      </c>
      <c r="L9" s="34">
        <f>24/$H$3</f>
        <v>1.536E-3</v>
      </c>
      <c r="M9" s="86">
        <f>1/L9-1</f>
        <v>650.04166666666663</v>
      </c>
      <c r="N9" s="2"/>
      <c r="O9" s="30"/>
      <c r="Q9" s="30"/>
      <c r="U9" s="30"/>
    </row>
    <row r="10" spans="2:21" ht="15.6" thickTop="1" thickBot="1" x14ac:dyDescent="0.35">
      <c r="B10" s="67">
        <v>-600</v>
      </c>
      <c r="C10" s="75">
        <f>B10+C$3</f>
        <v>-599</v>
      </c>
      <c r="D10" s="82">
        <f>F$3*E10</f>
        <v>64.000063999999995</v>
      </c>
      <c r="E10" s="80">
        <f>1/$H$3</f>
        <v>6.3999999999999997E-5</v>
      </c>
      <c r="F10" s="60">
        <f t="shared" si="0"/>
        <v>0.15</v>
      </c>
      <c r="G10" s="1">
        <f t="shared" si="1"/>
        <v>-599.15</v>
      </c>
      <c r="H10" s="1">
        <f t="shared" si="2"/>
        <v>358980.72249999997</v>
      </c>
      <c r="I10" s="34">
        <f t="shared" si="3"/>
        <v>22.974766239999997</v>
      </c>
      <c r="J10" s="71">
        <f t="shared" si="4"/>
        <v>-38336.038335999998</v>
      </c>
      <c r="K10" s="43" t="s">
        <v>44</v>
      </c>
      <c r="L10" s="34">
        <f>1/$H$3</f>
        <v>6.3999999999999997E-5</v>
      </c>
      <c r="M10" s="86">
        <f>1/L10-1</f>
        <v>15624</v>
      </c>
      <c r="N10" s="2"/>
      <c r="O10" s="30"/>
      <c r="Q10" s="30"/>
      <c r="U10" s="30"/>
    </row>
    <row r="11" spans="2:21" thickTop="1" x14ac:dyDescent="0.3">
      <c r="D11" s="31"/>
      <c r="E11" s="11"/>
      <c r="I11" s="12" t="s">
        <v>5</v>
      </c>
      <c r="J11" s="83">
        <f>SUM(J5:J10)</f>
        <v>64.000063999963459</v>
      </c>
      <c r="K11" s="13"/>
      <c r="L11" s="14"/>
      <c r="S11" s="11"/>
    </row>
    <row r="12" spans="2:21" ht="14.45" x14ac:dyDescent="0.3">
      <c r="I12" s="8">
        <f>_xlfn.VAR.P(I5:I10)</f>
        <v>100.42728998651187</v>
      </c>
      <c r="J12" s="15" t="s">
        <v>6</v>
      </c>
      <c r="K12" s="16"/>
      <c r="L12" s="2"/>
      <c r="S12" s="11"/>
    </row>
    <row r="13" spans="2:21" ht="14.45" x14ac:dyDescent="0.3">
      <c r="I13" s="8">
        <f>STDEVPA(I5:I10)</f>
        <v>10.021341725862454</v>
      </c>
      <c r="J13" s="17" t="s">
        <v>7</v>
      </c>
      <c r="K13" s="6"/>
      <c r="L13" s="2"/>
      <c r="S13" s="11"/>
    </row>
    <row r="14" spans="2:21" ht="14.45" x14ac:dyDescent="0.3">
      <c r="E14" s="30"/>
      <c r="I14" s="8">
        <f>AVERAGE(I5:I10)</f>
        <v>9.6439494666666672</v>
      </c>
      <c r="J14" s="17" t="s">
        <v>8</v>
      </c>
      <c r="K14" s="6"/>
      <c r="L14" s="2"/>
      <c r="S14" s="11"/>
    </row>
    <row r="15" spans="2:21" ht="14.45" x14ac:dyDescent="0.3">
      <c r="I15" s="7">
        <f>1.645</f>
        <v>1.645</v>
      </c>
      <c r="J15" s="18" t="s">
        <v>9</v>
      </c>
      <c r="K15" s="6"/>
      <c r="L15" s="2"/>
      <c r="S15" s="11"/>
    </row>
    <row r="16" spans="2:21" ht="14.45" x14ac:dyDescent="0.3">
      <c r="I16" s="72">
        <f>$I15*$I13</f>
        <v>16.485107139043738</v>
      </c>
      <c r="J16" s="20" t="s">
        <v>12</v>
      </c>
      <c r="K16" s="21"/>
      <c r="L16" s="2"/>
      <c r="S16" s="11"/>
    </row>
    <row r="17" spans="2:20" ht="14.45" x14ac:dyDescent="0.3">
      <c r="I17" s="32"/>
      <c r="J17" s="37"/>
      <c r="K17" s="32"/>
      <c r="L17" s="2"/>
      <c r="S17" s="11"/>
    </row>
    <row r="18" spans="2:20" thickBot="1" x14ac:dyDescent="0.35">
      <c r="B18" s="39" t="s">
        <v>31</v>
      </c>
      <c r="I18" s="32"/>
      <c r="J18" s="37"/>
      <c r="K18" s="32"/>
      <c r="L18" s="2"/>
      <c r="S18" s="11"/>
    </row>
    <row r="19" spans="2:20" ht="15.6" thickTop="1" thickBot="1" x14ac:dyDescent="0.35">
      <c r="B19" s="19" t="s">
        <v>10</v>
      </c>
      <c r="C19" s="68">
        <v>0.15</v>
      </c>
      <c r="D19" s="65" t="s">
        <v>11</v>
      </c>
      <c r="E19" s="69">
        <v>1</v>
      </c>
      <c r="F19" s="40" t="s">
        <v>25</v>
      </c>
      <c r="L19" s="2"/>
    </row>
    <row r="20" spans="2:20" thickTop="1" x14ac:dyDescent="0.3">
      <c r="B20" s="10" t="s">
        <v>13</v>
      </c>
      <c r="C20" s="64">
        <f>1-C19</f>
        <v>0.85</v>
      </c>
      <c r="D20" s="10"/>
      <c r="E20" s="9"/>
      <c r="F20" s="21"/>
      <c r="J20" s="22"/>
      <c r="K20" s="22"/>
      <c r="L20" s="2"/>
    </row>
    <row r="21" spans="2:20" ht="28.9" x14ac:dyDescent="0.3">
      <c r="B21" s="3" t="s">
        <v>26</v>
      </c>
      <c r="C21" s="4" t="s">
        <v>14</v>
      </c>
      <c r="D21" s="44" t="s">
        <v>15</v>
      </c>
      <c r="E21" s="44" t="s">
        <v>16</v>
      </c>
      <c r="F21" s="4" t="s">
        <v>17</v>
      </c>
      <c r="G21" s="4" t="s">
        <v>18</v>
      </c>
      <c r="H21" s="47" t="s">
        <v>19</v>
      </c>
      <c r="J21" s="28"/>
      <c r="K21" s="28"/>
      <c r="L21" s="2"/>
      <c r="T21" s="2"/>
    </row>
    <row r="22" spans="2:20" ht="14.45" x14ac:dyDescent="0.3">
      <c r="B22" s="23">
        <f>E$19*1000</f>
        <v>1000</v>
      </c>
      <c r="C22" s="24">
        <f t="shared" ref="C22:C28" si="5">C$20-I$16/SQRT(B22)</f>
        <v>0.32869513968719721</v>
      </c>
      <c r="D22" s="24">
        <f t="shared" ref="D22:D28" si="6">C$20+I$16/SQRT(B22)</f>
        <v>1.3713048603128026</v>
      </c>
      <c r="E22" s="25">
        <f t="shared" ref="E22:E28" si="7">(D22-C22)/2</f>
        <v>0.52130486031280276</v>
      </c>
      <c r="F22" s="27">
        <f t="shared" ref="F22:F28" si="8">(G22-H22)/2+H22</f>
        <v>150.00000000000006</v>
      </c>
      <c r="G22" s="26">
        <f t="shared" ref="G22:G28" si="9">(1-C22)*B22</f>
        <v>671.30486031280282</v>
      </c>
      <c r="H22" s="27">
        <f t="shared" ref="H22:H28" si="10">(1-D22)*B22</f>
        <v>-371.30486031280265</v>
      </c>
      <c r="I22" s="41"/>
      <c r="J22" s="28"/>
      <c r="K22" s="28"/>
      <c r="L22" s="2"/>
      <c r="M22" s="77"/>
      <c r="T22" s="2"/>
    </row>
    <row r="23" spans="2:20" ht="14.45" x14ac:dyDescent="0.3">
      <c r="B23" s="23">
        <f>E$19*10000</f>
        <v>10000</v>
      </c>
      <c r="C23" s="24">
        <f t="shared" si="5"/>
        <v>0.68514892860956267</v>
      </c>
      <c r="D23" s="24">
        <f t="shared" si="6"/>
        <v>1.0148510713904373</v>
      </c>
      <c r="E23" s="25">
        <f t="shared" si="7"/>
        <v>0.16485107139043731</v>
      </c>
      <c r="F23" s="27">
        <f t="shared" si="8"/>
        <v>1500.0000000000005</v>
      </c>
      <c r="G23" s="26">
        <f t="shared" si="9"/>
        <v>3148.5107139043735</v>
      </c>
      <c r="H23" s="27">
        <f t="shared" si="10"/>
        <v>-148.51071390437286</v>
      </c>
      <c r="I23" s="41"/>
      <c r="J23" s="28"/>
      <c r="K23" s="28"/>
      <c r="L23" s="77"/>
      <c r="M23" s="77"/>
      <c r="T23" s="2"/>
    </row>
    <row r="24" spans="2:20" ht="14.45" x14ac:dyDescent="0.3">
      <c r="B24" s="23">
        <f>E$19*100000</f>
        <v>100000</v>
      </c>
      <c r="C24" s="24">
        <f t="shared" si="5"/>
        <v>0.79786951396871975</v>
      </c>
      <c r="D24" s="24">
        <f t="shared" si="6"/>
        <v>0.90213048603128021</v>
      </c>
      <c r="E24" s="25">
        <f t="shared" si="7"/>
        <v>5.2130486031280232E-2</v>
      </c>
      <c r="F24" s="27">
        <f t="shared" si="8"/>
        <v>15000.000000000004</v>
      </c>
      <c r="G24" s="26">
        <f t="shared" si="9"/>
        <v>20213.048603128027</v>
      </c>
      <c r="H24" s="27">
        <f t="shared" si="10"/>
        <v>9786.9513968719784</v>
      </c>
      <c r="I24" s="41"/>
      <c r="J24" s="28"/>
      <c r="K24" s="31"/>
      <c r="L24" s="79"/>
      <c r="M24" s="31"/>
      <c r="N24" s="33"/>
      <c r="O24" s="32"/>
      <c r="P24" s="32"/>
      <c r="Q24" s="32"/>
      <c r="R24" s="33"/>
      <c r="T24" s="2"/>
    </row>
    <row r="25" spans="2:20" ht="14.45" x14ac:dyDescent="0.3">
      <c r="B25" s="23">
        <f>E$19*1000000</f>
        <v>1000000</v>
      </c>
      <c r="C25" s="24">
        <f t="shared" si="5"/>
        <v>0.83351489286095626</v>
      </c>
      <c r="D25" s="24">
        <f t="shared" si="6"/>
        <v>0.8664851071390437</v>
      </c>
      <c r="E25" s="25">
        <f t="shared" si="7"/>
        <v>1.648510713904372E-2</v>
      </c>
      <c r="F25" s="27">
        <f t="shared" si="8"/>
        <v>150000.00000000003</v>
      </c>
      <c r="G25" s="26">
        <f t="shared" si="9"/>
        <v>166485.10713904374</v>
      </c>
      <c r="H25" s="27">
        <f t="shared" si="10"/>
        <v>133514.89286095632</v>
      </c>
      <c r="I25" s="41"/>
      <c r="J25" s="28"/>
      <c r="K25" s="31"/>
      <c r="L25" s="78"/>
      <c r="M25" s="31"/>
      <c r="N25" s="33"/>
      <c r="O25" s="33"/>
      <c r="P25" s="32"/>
      <c r="Q25" s="32"/>
      <c r="R25" s="33"/>
      <c r="T25" s="2"/>
    </row>
    <row r="26" spans="2:20" ht="14.45" x14ac:dyDescent="0.3">
      <c r="B26" s="23">
        <f>E$19*10000000</f>
        <v>10000000</v>
      </c>
      <c r="C26" s="24">
        <f t="shared" si="5"/>
        <v>0.84478695139687199</v>
      </c>
      <c r="D26" s="24">
        <f t="shared" si="6"/>
        <v>0.85521304860312797</v>
      </c>
      <c r="E26" s="25">
        <f t="shared" si="7"/>
        <v>5.2130486031279899E-3</v>
      </c>
      <c r="F26" s="27">
        <f t="shared" si="8"/>
        <v>1500000.0000000002</v>
      </c>
      <c r="G26" s="26">
        <f t="shared" si="9"/>
        <v>1552130.4860312801</v>
      </c>
      <c r="H26" s="27">
        <f t="shared" si="10"/>
        <v>1447869.5139687203</v>
      </c>
      <c r="I26" s="41"/>
      <c r="J26" s="28"/>
      <c r="K26" s="31"/>
      <c r="L26" s="31"/>
      <c r="M26" s="31"/>
      <c r="N26" s="33"/>
      <c r="O26" s="33"/>
      <c r="P26" s="32"/>
      <c r="Q26" s="32"/>
      <c r="R26" s="33"/>
    </row>
    <row r="27" spans="2:20" ht="14.45" x14ac:dyDescent="0.3">
      <c r="B27" s="23">
        <f>E$19*100000000</f>
        <v>100000000</v>
      </c>
      <c r="C27" s="24">
        <f t="shared" si="5"/>
        <v>0.84835148928609561</v>
      </c>
      <c r="D27" s="24">
        <f t="shared" si="6"/>
        <v>0.85164851071390435</v>
      </c>
      <c r="E27" s="25">
        <f t="shared" si="7"/>
        <v>1.648510713904372E-3</v>
      </c>
      <c r="F27" s="27">
        <f t="shared" si="8"/>
        <v>15000000.000000002</v>
      </c>
      <c r="G27" s="26">
        <f t="shared" si="9"/>
        <v>15164851.071390439</v>
      </c>
      <c r="H27" s="27">
        <f t="shared" si="10"/>
        <v>14835148.928609565</v>
      </c>
      <c r="I27" s="41"/>
      <c r="J27" s="28"/>
      <c r="K27" s="31"/>
      <c r="L27" s="31"/>
      <c r="M27" s="31"/>
      <c r="N27" s="33"/>
      <c r="O27" s="33"/>
      <c r="P27" s="32"/>
      <c r="Q27" s="32"/>
      <c r="R27" s="33"/>
    </row>
    <row r="28" spans="2:20" ht="14.45" x14ac:dyDescent="0.3">
      <c r="B28" s="27">
        <f>E$19*1000000000</f>
        <v>1000000000</v>
      </c>
      <c r="C28" s="25">
        <f t="shared" si="5"/>
        <v>0.84947869513968721</v>
      </c>
      <c r="D28" s="25">
        <f t="shared" si="6"/>
        <v>0.85052130486031274</v>
      </c>
      <c r="E28" s="25">
        <f t="shared" si="7"/>
        <v>5.2130486031276568E-4</v>
      </c>
      <c r="F28" s="27">
        <f t="shared" si="8"/>
        <v>150000000.00000003</v>
      </c>
      <c r="G28" s="26">
        <f t="shared" si="9"/>
        <v>150521304.86031279</v>
      </c>
      <c r="H28" s="27">
        <f t="shared" si="10"/>
        <v>149478695.13968727</v>
      </c>
      <c r="I28" s="41"/>
      <c r="K28" s="31"/>
      <c r="L28" s="31"/>
      <c r="M28" s="31"/>
      <c r="N28" s="33"/>
      <c r="O28" s="33"/>
      <c r="P28" s="32"/>
      <c r="Q28" s="32"/>
      <c r="R28" s="33"/>
    </row>
    <row r="29" spans="2:20" ht="14.45" x14ac:dyDescent="0.3">
      <c r="F29" s="29"/>
      <c r="H29" s="2"/>
    </row>
    <row r="30" spans="2:20" ht="14.45" x14ac:dyDescent="0.3">
      <c r="C30" s="87" t="s">
        <v>38</v>
      </c>
      <c r="D30" s="88"/>
      <c r="E30" s="88"/>
      <c r="F30" s="88"/>
      <c r="G30" s="89"/>
      <c r="H30" s="2"/>
    </row>
    <row r="31" spans="2:20" ht="14.45" x14ac:dyDescent="0.3">
      <c r="B31" s="39" t="s">
        <v>27</v>
      </c>
      <c r="C31" s="5">
        <v>1</v>
      </c>
      <c r="D31" s="5">
        <v>2</v>
      </c>
      <c r="E31" s="5">
        <v>3</v>
      </c>
      <c r="F31" s="66">
        <v>4</v>
      </c>
      <c r="G31" s="5">
        <v>5</v>
      </c>
    </row>
    <row r="32" spans="2:20" ht="14.45" x14ac:dyDescent="0.3">
      <c r="B32" s="73" t="s">
        <v>10</v>
      </c>
      <c r="C32" s="10">
        <v>0</v>
      </c>
      <c r="D32" s="75">
        <v>0</v>
      </c>
      <c r="E32" s="75">
        <v>0</v>
      </c>
      <c r="F32" s="76">
        <v>0</v>
      </c>
      <c r="G32" s="40">
        <v>0</v>
      </c>
    </row>
    <row r="33" spans="2:12" thickBot="1" x14ac:dyDescent="0.35">
      <c r="B33" s="35" t="s">
        <v>0</v>
      </c>
      <c r="C33" s="74">
        <v>1000001</v>
      </c>
      <c r="D33" s="74">
        <v>1000001</v>
      </c>
      <c r="E33" s="74">
        <v>1000001</v>
      </c>
      <c r="F33" s="74">
        <v>1000001</v>
      </c>
      <c r="G33" s="74">
        <v>1000001</v>
      </c>
      <c r="H33" s="51" t="s">
        <v>21</v>
      </c>
      <c r="I33" s="52"/>
      <c r="J33" s="52"/>
      <c r="K33" s="52"/>
      <c r="L33" s="53" t="s">
        <v>22</v>
      </c>
    </row>
    <row r="34" spans="2:12" ht="15.6" thickTop="1" thickBot="1" x14ac:dyDescent="0.35">
      <c r="B34" s="50" t="s">
        <v>2</v>
      </c>
      <c r="C34" s="7"/>
      <c r="D34" s="7"/>
      <c r="E34" s="7"/>
      <c r="F34" s="7"/>
      <c r="G34" s="7"/>
      <c r="H34" s="54" t="s">
        <v>20</v>
      </c>
      <c r="I34" s="55" t="s">
        <v>22</v>
      </c>
      <c r="J34" s="55" t="s">
        <v>23</v>
      </c>
      <c r="K34" s="55" t="s">
        <v>24</v>
      </c>
      <c r="L34" s="56" t="s">
        <v>29</v>
      </c>
    </row>
    <row r="35" spans="2:12" ht="15.6" thickTop="1" thickBot="1" x14ac:dyDescent="0.35">
      <c r="B35" s="48" t="s">
        <v>32</v>
      </c>
      <c r="C35" s="67">
        <v>105509</v>
      </c>
      <c r="D35" s="67">
        <v>105984</v>
      </c>
      <c r="E35" s="67">
        <v>105327</v>
      </c>
      <c r="F35" s="67">
        <v>105866</v>
      </c>
      <c r="G35" s="84">
        <v>106077</v>
      </c>
      <c r="H35" s="36">
        <f>SUM(C35:G35)/SUM(C$33:G$33)</f>
        <v>0.10575249424750575</v>
      </c>
      <c r="I35" s="34">
        <f>L6</f>
        <v>0.10598399999999999</v>
      </c>
      <c r="J35" s="34">
        <f>H35-I35</f>
        <v>-2.3150575249424044E-4</v>
      </c>
      <c r="K35" s="38">
        <f>J35/I35</f>
        <v>-2.1843462456053787E-3</v>
      </c>
      <c r="L35" s="42">
        <f>1/I35-1</f>
        <v>8.4353864734299524</v>
      </c>
    </row>
    <row r="36" spans="2:12" ht="15.6" thickTop="1" thickBot="1" x14ac:dyDescent="0.35">
      <c r="B36" s="48" t="s">
        <v>33</v>
      </c>
      <c r="C36" s="67">
        <v>110614</v>
      </c>
      <c r="D36" s="67">
        <v>110613</v>
      </c>
      <c r="E36" s="67">
        <v>110944</v>
      </c>
      <c r="F36" s="67">
        <v>110437</v>
      </c>
      <c r="G36" s="84">
        <v>110612</v>
      </c>
      <c r="H36" s="36">
        <f>SUM(C36:G36)/SUM(C$33:G$33)</f>
        <v>0.11064388935611065</v>
      </c>
      <c r="I36" s="34">
        <f>L7</f>
        <v>0.110592</v>
      </c>
      <c r="J36" s="34">
        <f>H36-I36</f>
        <v>5.1889356110654261E-5</v>
      </c>
      <c r="K36" s="38">
        <f>J36/I36</f>
        <v>4.6919629006306299E-4</v>
      </c>
      <c r="L36" s="43">
        <f>1/I36-1</f>
        <v>8.0422453703703702</v>
      </c>
    </row>
    <row r="37" spans="2:12" ht="15.6" thickTop="1" thickBot="1" x14ac:dyDescent="0.35">
      <c r="B37" s="48" t="s">
        <v>34</v>
      </c>
      <c r="C37" s="67">
        <v>4795</v>
      </c>
      <c r="D37" s="67">
        <v>4660</v>
      </c>
      <c r="E37" s="67">
        <v>4575</v>
      </c>
      <c r="F37" s="67">
        <v>4765</v>
      </c>
      <c r="G37" s="84">
        <v>4642</v>
      </c>
      <c r="H37" s="36">
        <f>SUM(C37:G37)/SUM(C$33:G$33)</f>
        <v>4.6873953126046874E-3</v>
      </c>
      <c r="I37" s="34">
        <f>L8</f>
        <v>4.6080000000000001E-3</v>
      </c>
      <c r="J37" s="34">
        <f>H37-I37</f>
        <v>7.9395312604687261E-5</v>
      </c>
      <c r="K37" s="38">
        <f>J37/I37</f>
        <v>1.7229885547892201E-2</v>
      </c>
      <c r="L37" s="43">
        <f>1/I37-1</f>
        <v>216.01388888888889</v>
      </c>
    </row>
    <row r="38" spans="2:12" ht="15.6" thickTop="1" thickBot="1" x14ac:dyDescent="0.35">
      <c r="B38" s="48" t="s">
        <v>35</v>
      </c>
      <c r="C38" s="67">
        <v>1538</v>
      </c>
      <c r="D38" s="67">
        <v>1442</v>
      </c>
      <c r="E38" s="67">
        <v>1509</v>
      </c>
      <c r="F38" s="67">
        <v>1562</v>
      </c>
      <c r="G38" s="84">
        <v>1537</v>
      </c>
      <c r="H38" s="36">
        <f>SUM(C38:G38)/SUM(C$33:G$33)</f>
        <v>1.5175984824015176E-3</v>
      </c>
      <c r="I38" s="34">
        <f>L9</f>
        <v>1.536E-3</v>
      </c>
      <c r="J38" s="34">
        <f>H38-I38</f>
        <v>-1.8401517598482442E-5</v>
      </c>
      <c r="K38" s="38">
        <f>J38/I38</f>
        <v>-1.1980154686512007E-2</v>
      </c>
      <c r="L38" s="43">
        <f>1/I38-1</f>
        <v>650.04166666666663</v>
      </c>
    </row>
    <row r="39" spans="2:12" ht="15.6" thickTop="1" thickBot="1" x14ac:dyDescent="0.35">
      <c r="B39" s="48" t="s">
        <v>36</v>
      </c>
      <c r="C39" s="67">
        <v>59</v>
      </c>
      <c r="D39" s="67">
        <v>77</v>
      </c>
      <c r="E39" s="67">
        <v>74</v>
      </c>
      <c r="F39" s="67">
        <v>65</v>
      </c>
      <c r="G39" s="84">
        <v>68</v>
      </c>
      <c r="H39" s="36">
        <f>SUM(C39:G39)/SUM(C$33:G$33)</f>
        <v>6.8599931400068601E-5</v>
      </c>
      <c r="I39" s="34">
        <f>L10</f>
        <v>6.3999999999999997E-5</v>
      </c>
      <c r="J39" s="34">
        <f>H39-I39</f>
        <v>4.5999314000686039E-6</v>
      </c>
      <c r="K39" s="38">
        <f>J39/I39</f>
        <v>7.1873928126071934E-2</v>
      </c>
      <c r="L39" s="43">
        <f>1/(I39/(1 - I39))</f>
        <v>15624</v>
      </c>
    </row>
    <row r="40" spans="2:12" ht="15.6" thickTop="1" thickBot="1" x14ac:dyDescent="0.35">
      <c r="B40" s="49" t="s">
        <v>37</v>
      </c>
      <c r="C40" s="67">
        <v>5645</v>
      </c>
      <c r="D40" s="67">
        <v>-1070</v>
      </c>
      <c r="E40" s="67">
        <v>733</v>
      </c>
      <c r="F40" s="67">
        <v>-10856</v>
      </c>
      <c r="G40" s="67">
        <v>4405</v>
      </c>
      <c r="H40" s="85"/>
    </row>
    <row r="41" spans="2:12" ht="15.75" thickTop="1" x14ac:dyDescent="0.25"/>
    <row r="42" spans="2:12" x14ac:dyDescent="0.25">
      <c r="C42" s="87" t="s">
        <v>38</v>
      </c>
      <c r="D42" s="88"/>
      <c r="E42" s="88"/>
      <c r="F42" s="88"/>
      <c r="G42" s="89"/>
      <c r="H42" s="2"/>
    </row>
    <row r="43" spans="2:12" x14ac:dyDescent="0.25">
      <c r="B43" s="39" t="s">
        <v>27</v>
      </c>
      <c r="C43" s="5">
        <v>1</v>
      </c>
      <c r="D43" s="5">
        <v>2</v>
      </c>
      <c r="E43" s="5">
        <v>3</v>
      </c>
      <c r="F43" s="66">
        <v>4</v>
      </c>
      <c r="G43" s="5">
        <v>5</v>
      </c>
    </row>
    <row r="44" spans="2:12" x14ac:dyDescent="0.25">
      <c r="B44" s="73" t="s">
        <v>10</v>
      </c>
      <c r="C44" s="10">
        <v>15</v>
      </c>
      <c r="D44" s="75">
        <v>15</v>
      </c>
      <c r="E44" s="75">
        <v>15</v>
      </c>
      <c r="F44" s="76">
        <v>15</v>
      </c>
      <c r="G44" s="40">
        <v>15</v>
      </c>
    </row>
    <row r="45" spans="2:12" ht="15.75" thickBot="1" x14ac:dyDescent="0.3">
      <c r="B45" s="35" t="s">
        <v>0</v>
      </c>
      <c r="C45" s="74">
        <v>1000001</v>
      </c>
      <c r="D45" s="74">
        <v>1000001</v>
      </c>
      <c r="E45" s="74">
        <v>1000001</v>
      </c>
      <c r="F45" s="74">
        <v>1000001</v>
      </c>
      <c r="G45" s="74">
        <v>1000001</v>
      </c>
      <c r="H45" s="51" t="s">
        <v>21</v>
      </c>
      <c r="I45" s="52"/>
      <c r="J45" s="52"/>
      <c r="K45" s="52"/>
      <c r="L45" s="53" t="s">
        <v>22</v>
      </c>
    </row>
    <row r="46" spans="2:12" ht="16.5" thickTop="1" thickBot="1" x14ac:dyDescent="0.3">
      <c r="B46" s="50" t="s">
        <v>2</v>
      </c>
      <c r="C46" s="7"/>
      <c r="D46" s="7"/>
      <c r="E46" s="7"/>
      <c r="F46" s="7"/>
      <c r="G46" s="7"/>
      <c r="H46" s="54" t="s">
        <v>20</v>
      </c>
      <c r="I46" s="55" t="s">
        <v>22</v>
      </c>
      <c r="J46" s="55" t="s">
        <v>23</v>
      </c>
      <c r="K46" s="55" t="s">
        <v>24</v>
      </c>
      <c r="L46" s="56" t="s">
        <v>29</v>
      </c>
    </row>
    <row r="47" spans="2:12" ht="16.5" thickTop="1" thickBot="1" x14ac:dyDescent="0.3">
      <c r="B47" s="48" t="s">
        <v>32</v>
      </c>
      <c r="C47" s="67">
        <v>105554</v>
      </c>
      <c r="D47" s="67">
        <v>105445</v>
      </c>
      <c r="E47" s="67">
        <v>105931</v>
      </c>
      <c r="F47" s="67">
        <v>106198</v>
      </c>
      <c r="G47" s="84">
        <v>105744</v>
      </c>
      <c r="H47" s="36">
        <f>SUM(C47:G47)/SUM(C$45:G$45)</f>
        <v>0.10577429422570578</v>
      </c>
      <c r="I47" s="34">
        <f>L6</f>
        <v>0.10598399999999999</v>
      </c>
      <c r="J47" s="34">
        <f>H47-I47</f>
        <v>-2.0970577429421655E-4</v>
      </c>
      <c r="K47" s="38">
        <f>J47/I47</f>
        <v>-1.9786550261758056E-3</v>
      </c>
      <c r="L47" s="42">
        <f>1/I47-1</f>
        <v>8.4353864734299524</v>
      </c>
    </row>
    <row r="48" spans="2:12" ht="16.5" thickTop="1" thickBot="1" x14ac:dyDescent="0.3">
      <c r="B48" s="48" t="s">
        <v>33</v>
      </c>
      <c r="C48" s="67">
        <v>110728</v>
      </c>
      <c r="D48" s="67">
        <v>111149</v>
      </c>
      <c r="E48" s="67">
        <v>110890</v>
      </c>
      <c r="F48" s="67">
        <v>110925</v>
      </c>
      <c r="G48" s="84">
        <v>111485</v>
      </c>
      <c r="H48" s="36">
        <f>SUM(C48:G48)/SUM(C$45:G$45)</f>
        <v>0.11103528896471103</v>
      </c>
      <c r="I48" s="34">
        <f>L7</f>
        <v>0.110592</v>
      </c>
      <c r="J48" s="34">
        <f>H48-I48</f>
        <v>4.432889647110333E-4</v>
      </c>
      <c r="K48" s="38">
        <f>J48/I48</f>
        <v>4.0083275888946153E-3</v>
      </c>
      <c r="L48" s="43">
        <f>1/I48-1</f>
        <v>8.0422453703703702</v>
      </c>
    </row>
    <row r="49" spans="2:12" ht="16.5" thickTop="1" thickBot="1" x14ac:dyDescent="0.3">
      <c r="B49" s="48" t="s">
        <v>34</v>
      </c>
      <c r="C49" s="67">
        <v>4698</v>
      </c>
      <c r="D49" s="67">
        <v>4690</v>
      </c>
      <c r="E49" s="67">
        <v>4611</v>
      </c>
      <c r="F49" s="67">
        <v>4654</v>
      </c>
      <c r="G49" s="84">
        <v>4567</v>
      </c>
      <c r="H49" s="36">
        <f>SUM(C49:G49)/SUM(C$45:G$45)</f>
        <v>4.6439953560046439E-3</v>
      </c>
      <c r="I49" s="34">
        <f>L8</f>
        <v>4.6080000000000001E-3</v>
      </c>
      <c r="J49" s="34">
        <f>H49-I49</f>
        <v>3.5995356004643771E-5</v>
      </c>
      <c r="K49" s="38">
        <f>J49/I49</f>
        <v>7.811492188507763E-3</v>
      </c>
      <c r="L49" s="43">
        <f>1/I49-1</f>
        <v>216.01388888888889</v>
      </c>
    </row>
    <row r="50" spans="2:12" ht="16.5" thickTop="1" thickBot="1" x14ac:dyDescent="0.3">
      <c r="B50" s="48" t="s">
        <v>35</v>
      </c>
      <c r="C50" s="67">
        <v>1557</v>
      </c>
      <c r="D50" s="67">
        <v>1557</v>
      </c>
      <c r="E50" s="67">
        <v>1554</v>
      </c>
      <c r="F50" s="67">
        <v>1564</v>
      </c>
      <c r="G50" s="84">
        <v>1560</v>
      </c>
      <c r="H50" s="36">
        <f>SUM(C50:G50)/SUM(C$45:G$45)</f>
        <v>1.5583984416015584E-3</v>
      </c>
      <c r="I50" s="34">
        <f>L9</f>
        <v>1.536E-3</v>
      </c>
      <c r="J50" s="34">
        <f>H50-I50</f>
        <v>2.2398441601558352E-5</v>
      </c>
      <c r="K50" s="38">
        <f>J50/I50</f>
        <v>1.4582318751014551E-2</v>
      </c>
      <c r="L50" s="43">
        <f>1/I50-1</f>
        <v>650.04166666666663</v>
      </c>
    </row>
    <row r="51" spans="2:12" ht="16.5" thickTop="1" thickBot="1" x14ac:dyDescent="0.3">
      <c r="B51" s="48" t="s">
        <v>36</v>
      </c>
      <c r="C51" s="67">
        <v>63</v>
      </c>
      <c r="D51" s="67">
        <v>60</v>
      </c>
      <c r="E51" s="67">
        <v>60</v>
      </c>
      <c r="F51" s="67">
        <v>64</v>
      </c>
      <c r="G51" s="84">
        <v>61</v>
      </c>
      <c r="H51" s="36">
        <f>SUM(C51:G51)/SUM(C$45:G$45)</f>
        <v>6.15999384000616E-5</v>
      </c>
      <c r="I51" s="34">
        <f>L10</f>
        <v>6.3999999999999997E-5</v>
      </c>
      <c r="J51" s="34">
        <f>H51-I51</f>
        <v>-2.4000615999383976E-6</v>
      </c>
      <c r="K51" s="38">
        <f>J51/I51</f>
        <v>-3.7500962499037463E-2</v>
      </c>
      <c r="L51" s="43">
        <f>1/(I51/(1 - I51))</f>
        <v>15624</v>
      </c>
    </row>
    <row r="52" spans="2:12" ht="16.5" thickTop="1" thickBot="1" x14ac:dyDescent="0.3">
      <c r="B52" s="49" t="s">
        <v>37</v>
      </c>
      <c r="C52" s="67">
        <v>-144446</v>
      </c>
      <c r="D52" s="67">
        <v>-145928</v>
      </c>
      <c r="E52" s="67">
        <v>-149431</v>
      </c>
      <c r="F52" s="67">
        <v>-143983</v>
      </c>
      <c r="G52" s="67">
        <v>-148969</v>
      </c>
      <c r="H52" s="85"/>
    </row>
    <row r="53" spans="2:12" ht="15.75" thickTop="1" x14ac:dyDescent="0.25"/>
  </sheetData>
  <sheetProtection sheet="1" objects="1" scenarios="1"/>
  <mergeCells count="3">
    <mergeCell ref="C30:G30"/>
    <mergeCell ref="D3:E3"/>
    <mergeCell ref="C42:G42"/>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SlotMachineCalcs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dmurphy</dc:creator>
  <cp:lastModifiedBy>dmurphy</cp:lastModifiedBy>
  <dcterms:created xsi:type="dcterms:W3CDTF">2018-08-27T11:09:55Z</dcterms:created>
  <dcterms:modified xsi:type="dcterms:W3CDTF">2018-08-29T23:02:07Z</dcterms:modified>
</cp:coreProperties>
</file>