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Documents\Benin\EWB Bristol OAN Water\Benin Trip Team\"/>
    </mc:Choice>
  </mc:AlternateContent>
  <bookViews>
    <workbookView xWindow="0" yWindow="0" windowWidth="23040" windowHeight="8652" tabRatio="772" activeTab="7"/>
  </bookViews>
  <sheets>
    <sheet name="Standard Costs" sheetId="4" r:id="rId1"/>
    <sheet name="Sizing" sheetId="2" r:id="rId2"/>
    <sheet name="Materials Bill" sheetId="1" r:id="rId3"/>
    <sheet name="Concrete Ratios" sheetId="10" r:id="rId4"/>
    <sheet name="Material Bill Summary" sheetId="3" r:id="rId5"/>
    <sheet name="Labour Bill" sheetId="5" r:id="rId6"/>
    <sheet name="TOTAL BILL SUMMARY" sheetId="6" r:id="rId7"/>
    <sheet name="Grillage Costs" sheetId="7" r:id="rId8"/>
  </sheets>
  <definedNames>
    <definedName name="_xlnm.Print_Area" localSheetId="1">Sizing!$K$38:$AC$60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7" l="1"/>
  <c r="R5" i="7"/>
  <c r="D35" i="10" l="1"/>
  <c r="D34" i="10"/>
  <c r="D36" i="10" s="1"/>
  <c r="E34" i="10"/>
  <c r="E35" i="10" s="1"/>
  <c r="C34" i="10"/>
  <c r="E36" i="10" l="1"/>
  <c r="E27" i="10"/>
  <c r="E28" i="10" s="1"/>
  <c r="D27" i="10"/>
  <c r="D28" i="10" s="1"/>
  <c r="C27" i="10"/>
  <c r="E29" i="10" l="1"/>
  <c r="D29" i="10"/>
  <c r="D20" i="10" l="1"/>
  <c r="D21" i="10" s="1"/>
  <c r="E20" i="10"/>
  <c r="E21" i="10" s="1"/>
  <c r="E22" i="10" s="1"/>
  <c r="C20" i="10"/>
  <c r="M12" i="10"/>
  <c r="M13" i="10" s="1"/>
  <c r="N12" i="10"/>
  <c r="L12" i="10"/>
  <c r="L13" i="10" s="1"/>
  <c r="D10" i="10"/>
  <c r="E10" i="10"/>
  <c r="D11" i="10"/>
  <c r="E11" i="10"/>
  <c r="C11" i="10"/>
  <c r="C10" i="10"/>
  <c r="I73" i="2"/>
  <c r="I72" i="2"/>
  <c r="I71" i="2"/>
  <c r="I70" i="2"/>
  <c r="I69" i="2"/>
  <c r="D53" i="2"/>
  <c r="I61" i="2"/>
  <c r="I55" i="2"/>
  <c r="I56" i="2" s="1"/>
  <c r="I57" i="2" s="1"/>
  <c r="H17" i="2"/>
  <c r="I54" i="2"/>
  <c r="I53" i="2"/>
  <c r="N26" i="1"/>
  <c r="O26" i="1"/>
  <c r="P26" i="1"/>
  <c r="N27" i="1"/>
  <c r="O27" i="1"/>
  <c r="P27" i="1"/>
  <c r="P19" i="1"/>
  <c r="P21" i="1" s="1"/>
  <c r="J74" i="1"/>
  <c r="H27" i="1"/>
  <c r="M27" i="1" s="1"/>
  <c r="H26" i="1"/>
  <c r="M26" i="1" s="1"/>
  <c r="AI44" i="2" s="1"/>
  <c r="G5" i="4"/>
  <c r="G6" i="1"/>
  <c r="K8" i="1"/>
  <c r="K7" i="1"/>
  <c r="L77" i="1"/>
  <c r="H8" i="1"/>
  <c r="F8" i="1" s="1"/>
  <c r="G7" i="4"/>
  <c r="G3" i="4"/>
  <c r="C8" i="1"/>
  <c r="C12" i="1"/>
  <c r="C19" i="1" s="1"/>
  <c r="O5" i="1"/>
  <c r="O4" i="1"/>
  <c r="C24" i="1"/>
  <c r="X51" i="2"/>
  <c r="W43" i="2" s="1"/>
  <c r="H21" i="4"/>
  <c r="H22" i="4"/>
  <c r="I23" i="4" s="1"/>
  <c r="J23" i="4" s="1"/>
  <c r="C75" i="1"/>
  <c r="H7" i="4"/>
  <c r="I60" i="2" l="1"/>
  <c r="I62" i="2" s="1"/>
  <c r="I63" i="2" s="1"/>
  <c r="D22" i="10"/>
  <c r="N13" i="10"/>
  <c r="AK44" i="2"/>
  <c r="AJ45" i="2"/>
  <c r="AJ44" i="2"/>
  <c r="AL44" i="2"/>
  <c r="AK45" i="2"/>
  <c r="AL45" i="2"/>
  <c r="D55" i="2"/>
  <c r="D56" i="2" s="1"/>
  <c r="Q27" i="1"/>
  <c r="C36" i="1"/>
  <c r="Q26" i="1"/>
  <c r="C33" i="1"/>
  <c r="C34" i="1"/>
  <c r="J22" i="4"/>
  <c r="H23" i="4"/>
  <c r="V8" i="2" l="1"/>
  <c r="F9" i="5" l="1"/>
  <c r="C12" i="6" l="1"/>
  <c r="U11" i="7"/>
  <c r="V5" i="7"/>
  <c r="U6" i="7"/>
  <c r="V6" i="7" s="1"/>
  <c r="R6" i="7"/>
  <c r="U7" i="7" l="1"/>
  <c r="F17" i="7"/>
  <c r="F16" i="7"/>
  <c r="F15" i="7"/>
  <c r="U8" i="7" l="1"/>
  <c r="U13" i="7"/>
  <c r="E12" i="7"/>
  <c r="F12" i="7" s="1"/>
  <c r="F11" i="7"/>
  <c r="F10" i="7"/>
  <c r="F6" i="7"/>
  <c r="F7" i="7"/>
  <c r="F5" i="7"/>
  <c r="E11" i="7"/>
  <c r="E10" i="7"/>
  <c r="J19" i="1" l="1"/>
  <c r="D12" i="6"/>
  <c r="D13" i="6"/>
  <c r="D11" i="6"/>
  <c r="C14" i="6"/>
  <c r="D14" i="6" s="1"/>
  <c r="D18" i="6" s="1"/>
  <c r="D9" i="3"/>
  <c r="J21" i="5"/>
  <c r="I17" i="5"/>
  <c r="J17" i="5" s="1"/>
  <c r="G16" i="5"/>
  <c r="F16" i="5"/>
  <c r="E16" i="5"/>
  <c r="D16" i="5"/>
  <c r="C16" i="5"/>
  <c r="I18" i="5"/>
  <c r="J18" i="5" s="1"/>
  <c r="F10" i="5"/>
  <c r="F11" i="5" s="1"/>
  <c r="F12" i="5" s="1"/>
  <c r="I8" i="4"/>
  <c r="H15" i="4"/>
  <c r="G15" i="4"/>
  <c r="H14" i="4"/>
  <c r="G14" i="4"/>
  <c r="G12" i="4"/>
  <c r="H12" i="4" s="1"/>
  <c r="Q55" i="2"/>
  <c r="Q43" i="2"/>
  <c r="H22" i="1"/>
  <c r="H21" i="1"/>
  <c r="H20" i="1"/>
  <c r="H19" i="1"/>
  <c r="Y50" i="2" l="1"/>
  <c r="N55" i="2"/>
  <c r="U55" i="2" s="1"/>
  <c r="Y46" i="2"/>
  <c r="Y45" i="2"/>
  <c r="Y48" i="2"/>
  <c r="C18" i="6"/>
  <c r="I16" i="5"/>
  <c r="J16" i="5" s="1"/>
  <c r="J19" i="5" s="1"/>
  <c r="J23" i="5" s="1"/>
  <c r="D23" i="3"/>
  <c r="D5" i="3"/>
  <c r="D11" i="3"/>
  <c r="D10" i="3"/>
  <c r="D8" i="3"/>
  <c r="H6" i="4"/>
  <c r="H5" i="4"/>
  <c r="G6" i="4"/>
  <c r="G8" i="1" s="1"/>
  <c r="C5" i="1"/>
  <c r="F5" i="1" s="1"/>
  <c r="D5" i="1"/>
  <c r="E5" i="1"/>
  <c r="H5" i="1"/>
  <c r="E6" i="1"/>
  <c r="H6" i="1"/>
  <c r="D8" i="1"/>
  <c r="D4" i="1"/>
  <c r="H4" i="1"/>
  <c r="F4" i="1" s="1"/>
  <c r="C4" i="1"/>
  <c r="G4" i="4"/>
  <c r="G5" i="1" s="1"/>
  <c r="G4" i="1"/>
  <c r="M74" i="1"/>
  <c r="C20" i="1"/>
  <c r="C21" i="1" s="1"/>
  <c r="C65" i="1"/>
  <c r="C59" i="1"/>
  <c r="C60" i="1" s="1"/>
  <c r="C61" i="1" s="1"/>
  <c r="F10" i="3" s="1"/>
  <c r="K47" i="1"/>
  <c r="G47" i="1"/>
  <c r="C47" i="1"/>
  <c r="C43" i="1"/>
  <c r="C42" i="1"/>
  <c r="G42" i="1" s="1"/>
  <c r="F6" i="1" l="1"/>
  <c r="H7" i="1"/>
  <c r="L8" i="1"/>
  <c r="L7" i="1"/>
  <c r="N7" i="1"/>
  <c r="N8" i="1"/>
  <c r="M7" i="1"/>
  <c r="E10" i="3"/>
  <c r="H3" i="4"/>
  <c r="G10" i="3"/>
  <c r="H10" i="3" s="1"/>
  <c r="K77" i="1"/>
  <c r="M77" i="1" s="1"/>
  <c r="C66" i="1"/>
  <c r="C67" i="1" s="1"/>
  <c r="C68" i="1" s="1"/>
  <c r="I19" i="5"/>
  <c r="I23" i="5" s="1"/>
  <c r="G49" i="1"/>
  <c r="G50" i="1" s="1"/>
  <c r="G51" i="1" s="1"/>
  <c r="G52" i="1" s="1"/>
  <c r="C11" i="1"/>
  <c r="C13" i="1" s="1"/>
  <c r="C1" i="7" s="1"/>
  <c r="K19" i="1"/>
  <c r="L26" i="1" s="1"/>
  <c r="J20" i="1"/>
  <c r="M8" i="1"/>
  <c r="C22" i="1"/>
  <c r="C23" i="1" s="1"/>
  <c r="K48" i="1"/>
  <c r="C48" i="1"/>
  <c r="C50" i="1" s="1"/>
  <c r="K49" i="1"/>
  <c r="C25" i="1" l="1"/>
  <c r="C28" i="1" s="1"/>
  <c r="C26" i="1"/>
  <c r="C27" i="1" s="1"/>
  <c r="F11" i="3" s="1"/>
  <c r="G11" i="3" s="1"/>
  <c r="H11" i="3" s="1"/>
  <c r="G7" i="1"/>
  <c r="F7" i="1"/>
  <c r="S26" i="1"/>
  <c r="R26" i="1" s="1"/>
  <c r="U26" i="1"/>
  <c r="T26" i="1"/>
  <c r="O8" i="1"/>
  <c r="O7" i="1"/>
  <c r="H12" i="7"/>
  <c r="H15" i="7"/>
  <c r="H16" i="7"/>
  <c r="H5" i="7"/>
  <c r="H17" i="7"/>
  <c r="H7" i="7"/>
  <c r="H11" i="7"/>
  <c r="H10" i="7"/>
  <c r="H6" i="7"/>
  <c r="F65" i="1"/>
  <c r="J21" i="1"/>
  <c r="K20" i="1"/>
  <c r="C74" i="1"/>
  <c r="C76" i="1" s="1"/>
  <c r="C81" i="1" s="1"/>
  <c r="E11" i="3"/>
  <c r="J11" i="3" s="1"/>
  <c r="C51" i="1"/>
  <c r="C52" i="1" s="1"/>
  <c r="F8" i="3" s="1"/>
  <c r="E8" i="3"/>
  <c r="K50" i="1"/>
  <c r="C69" i="1"/>
  <c r="C70" i="1" s="1"/>
  <c r="F17" i="3" s="1"/>
  <c r="G17" i="3" s="1"/>
  <c r="V26" i="1" l="1"/>
  <c r="L27" i="1"/>
  <c r="C79" i="1"/>
  <c r="D21" i="3" s="1"/>
  <c r="F66" i="1"/>
  <c r="D16" i="3"/>
  <c r="E16" i="3" s="1"/>
  <c r="C80" i="1"/>
  <c r="E80" i="1" s="1"/>
  <c r="E21" i="3" s="1"/>
  <c r="E22" i="3" s="1"/>
  <c r="G8" i="3"/>
  <c r="H8" i="3" s="1"/>
  <c r="J22" i="1"/>
  <c r="K22" i="1" s="1"/>
  <c r="K21" i="1"/>
  <c r="E81" i="1"/>
  <c r="F21" i="3"/>
  <c r="K51" i="1"/>
  <c r="K52" i="1" s="1"/>
  <c r="F9" i="3" s="1"/>
  <c r="G9" i="3" s="1"/>
  <c r="H9" i="3" s="1"/>
  <c r="E9" i="3"/>
  <c r="E13" i="3" s="1"/>
  <c r="H17" i="3"/>
  <c r="S27" i="1" l="1"/>
  <c r="R27" i="1" s="1"/>
  <c r="R28" i="1" s="1"/>
  <c r="T27" i="1"/>
  <c r="U27" i="1"/>
  <c r="C38" i="1" s="1"/>
  <c r="F38" i="1" s="1"/>
  <c r="J38" i="1" s="1"/>
  <c r="C37" i="1"/>
  <c r="E37" i="1" s="1"/>
  <c r="F3" i="3"/>
  <c r="L21" i="3" s="1"/>
  <c r="C35" i="1"/>
  <c r="E35" i="1" s="1"/>
  <c r="D3" i="3"/>
  <c r="E34" i="1"/>
  <c r="E3" i="3" s="1"/>
  <c r="E4" i="3" s="1"/>
  <c r="L22" i="3"/>
  <c r="F22" i="3"/>
  <c r="F23" i="3" s="1"/>
  <c r="E79" i="1"/>
  <c r="G16" i="3"/>
  <c r="G18" i="3" s="1"/>
  <c r="C7" i="6" s="1"/>
  <c r="D7" i="6" s="1"/>
  <c r="D17" i="3"/>
  <c r="E17" i="3" s="1"/>
  <c r="G13" i="3"/>
  <c r="C6" i="6" s="1"/>
  <c r="D6" i="6" s="1"/>
  <c r="F13" i="3"/>
  <c r="H13" i="3"/>
  <c r="H3" i="3" l="1"/>
  <c r="H4" i="3" s="1"/>
  <c r="H5" i="3" s="1"/>
  <c r="G38" i="1"/>
  <c r="E38" i="1"/>
  <c r="V27" i="1"/>
  <c r="E36" i="1"/>
  <c r="G3" i="3"/>
  <c r="G4" i="3" s="1"/>
  <c r="G5" i="3" s="1"/>
  <c r="E33" i="1"/>
  <c r="G22" i="3"/>
  <c r="C4" i="6"/>
  <c r="D4" i="6" s="1"/>
  <c r="E23" i="3"/>
  <c r="G23" i="3" s="1"/>
  <c r="H16" i="3"/>
  <c r="H18" i="3" s="1"/>
  <c r="I4" i="3" l="1"/>
  <c r="C5" i="6"/>
  <c r="D5" i="6" s="1"/>
  <c r="F5" i="3"/>
  <c r="L23" i="3" l="1"/>
  <c r="D25" i="3" l="1"/>
  <c r="D26" i="3" s="1"/>
  <c r="E5" i="3"/>
  <c r="I5" i="3" s="1"/>
  <c r="C3" i="6"/>
  <c r="D3" i="6" l="1"/>
  <c r="C8" i="6"/>
  <c r="C17" i="6" l="1"/>
  <c r="C19" i="6" s="1"/>
  <c r="D8" i="6"/>
  <c r="D17" i="6" s="1"/>
  <c r="D19" i="6" s="1"/>
</calcChain>
</file>

<file path=xl/sharedStrings.xml><?xml version="1.0" encoding="utf-8"?>
<sst xmlns="http://schemas.openxmlformats.org/spreadsheetml/2006/main" count="503" uniqueCount="259">
  <si>
    <t>BILL OF MATERIALS</t>
  </si>
  <si>
    <t>Foundations</t>
  </si>
  <si>
    <t>Gravel</t>
  </si>
  <si>
    <t>Sand</t>
  </si>
  <si>
    <t>Lean Concrete</t>
  </si>
  <si>
    <t>Reinforced Concrete</t>
  </si>
  <si>
    <t>Thickness (mm)</t>
  </si>
  <si>
    <t>Diameter (m)</t>
  </si>
  <si>
    <t>Volume (m3)</t>
  </si>
  <si>
    <t>Cement</t>
  </si>
  <si>
    <t>Quantity</t>
  </si>
  <si>
    <t>Rebar</t>
  </si>
  <si>
    <t>Cost (CFA)</t>
  </si>
  <si>
    <t>Water</t>
  </si>
  <si>
    <t>Mass Ratios</t>
  </si>
  <si>
    <t>Volume Ratios</t>
  </si>
  <si>
    <t>Volume m3</t>
  </si>
  <si>
    <t>Total</t>
  </si>
  <si>
    <t>Mass kg</t>
  </si>
  <si>
    <t>Cost CFA</t>
  </si>
  <si>
    <t>Cost GBP</t>
  </si>
  <si>
    <t>Cost per kg</t>
  </si>
  <si>
    <t>Density kg/m3</t>
  </si>
  <si>
    <t>kg</t>
  </si>
  <si>
    <t>m3</t>
  </si>
  <si>
    <t>Vertical Bars</t>
  </si>
  <si>
    <t>Spacing</t>
  </si>
  <si>
    <t>Spacing mm</t>
  </si>
  <si>
    <t>Height</t>
  </si>
  <si>
    <t>Height:</t>
  </si>
  <si>
    <t>Diameter to Midpoint:</t>
  </si>
  <si>
    <t>m</t>
  </si>
  <si>
    <t>Rise</t>
  </si>
  <si>
    <t>Thickness of Wall:</t>
  </si>
  <si>
    <t>mm</t>
  </si>
  <si>
    <t>Upper Bar Spacing</t>
  </si>
  <si>
    <t>Bottom 5 Bar Spacing</t>
  </si>
  <si>
    <t>Base Diameter</t>
  </si>
  <si>
    <t>(if welded mesh)</t>
  </si>
  <si>
    <t>No bars</t>
  </si>
  <si>
    <t>Verical Bar Diameter</t>
  </si>
  <si>
    <t>Horizontal Bar Diameters</t>
  </si>
  <si>
    <t>Anchorage bars</t>
  </si>
  <si>
    <t>Length of Bars inc anchorage</t>
  </si>
  <si>
    <t>Total Length</t>
  </si>
  <si>
    <t>Total Length of bars</t>
  </si>
  <si>
    <t>Total Volume</t>
  </si>
  <si>
    <t>Total Mass</t>
  </si>
  <si>
    <t>5 Bottom Horizontal Bars</t>
  </si>
  <si>
    <t>No Bars</t>
  </si>
  <si>
    <t>Length Per Bar</t>
  </si>
  <si>
    <t>Mid Point Perimeter</t>
  </si>
  <si>
    <t>Mass</t>
  </si>
  <si>
    <t>Upper Horizontal Bars</t>
  </si>
  <si>
    <t>Length inc anchorage</t>
  </si>
  <si>
    <t>Number of Complete Diameter Bars</t>
  </si>
  <si>
    <t>Roof Bar Diameters</t>
  </si>
  <si>
    <t>Radial Main Bars</t>
  </si>
  <si>
    <t>Radial Minor Bars</t>
  </si>
  <si>
    <t>none</t>
  </si>
  <si>
    <t>Mesh</t>
  </si>
  <si>
    <t>No per m</t>
  </si>
  <si>
    <t>length per 1m2</t>
  </si>
  <si>
    <t>Diameter of Wire</t>
  </si>
  <si>
    <t>Total Volume per 1m2</t>
  </si>
  <si>
    <t>Total mass per 1m2</t>
  </si>
  <si>
    <t>Total Area of Tank Walls</t>
  </si>
  <si>
    <t>Total Area of Tank Roof</t>
  </si>
  <si>
    <t>Total Area of Ferro Cement</t>
  </si>
  <si>
    <t>Area</t>
  </si>
  <si>
    <t>Areas</t>
  </si>
  <si>
    <t>Total Area</t>
  </si>
  <si>
    <t>Chicken Wire</t>
  </si>
  <si>
    <t>Width of Roll</t>
  </si>
  <si>
    <t>Total Length of Roll</t>
  </si>
  <si>
    <t>WALL CROSS SECTION</t>
  </si>
  <si>
    <t>ROOF PLAN</t>
  </si>
  <si>
    <t>CHICKEN WIRE</t>
  </si>
  <si>
    <t>WALLS OF TANK</t>
  </si>
  <si>
    <t>Base Mesh</t>
  </si>
  <si>
    <t>BASE Plan</t>
  </si>
  <si>
    <t>Tank Diameter to Midpoint</t>
  </si>
  <si>
    <t>No of Meshes</t>
  </si>
  <si>
    <t>Diameter of Mesh Bars</t>
  </si>
  <si>
    <t>No Bars Per metre</t>
  </si>
  <si>
    <t>Reinforcement Mesh</t>
  </si>
  <si>
    <t>Total Length per base  mesh</t>
  </si>
  <si>
    <t>Length per m2</t>
  </si>
  <si>
    <t>Total length of both meshes</t>
  </si>
  <si>
    <t>Total Volume of both meshes</t>
  </si>
  <si>
    <t>Total Mass of Both Meshes</t>
  </si>
  <si>
    <t>m2</t>
  </si>
  <si>
    <t>Gravel m3</t>
  </si>
  <si>
    <t>Sand m3</t>
  </si>
  <si>
    <t>Cement m3</t>
  </si>
  <si>
    <t>Water litres</t>
  </si>
  <si>
    <t>THICK WIRE MESH</t>
  </si>
  <si>
    <t>Thick Wire Mesh</t>
  </si>
  <si>
    <t>Wall Reinforcement</t>
  </si>
  <si>
    <t>Roof Reinforcement</t>
  </si>
  <si>
    <t>Ferrocement Mix</t>
  </si>
  <si>
    <t>Assume same as RC Base</t>
  </si>
  <si>
    <t xml:space="preserve">Thickness </t>
  </si>
  <si>
    <t>Vertical Walls Rebar</t>
  </si>
  <si>
    <t>Length</t>
  </si>
  <si>
    <t>Horizontal Walls Rebar</t>
  </si>
  <si>
    <t>Roof Rebar</t>
  </si>
  <si>
    <t>Cost per kg CFA</t>
  </si>
  <si>
    <t>?</t>
  </si>
  <si>
    <t>m @ m roll</t>
  </si>
  <si>
    <t>Cost per m3 CFA</t>
  </si>
  <si>
    <t>Cost per m</t>
  </si>
  <si>
    <t>Base Rebar</t>
  </si>
  <si>
    <t>Total Mass kg</t>
  </si>
  <si>
    <t>TOTAL</t>
  </si>
  <si>
    <t>CFA</t>
  </si>
  <si>
    <t>GBP</t>
  </si>
  <si>
    <t>Cost fro Quantity (CFA)</t>
  </si>
  <si>
    <t>Vertical Bar Spacing</t>
  </si>
  <si>
    <t>Diameter mm</t>
  </si>
  <si>
    <t xml:space="preserve">FOUNDATIONS </t>
  </si>
  <si>
    <t>Length m</t>
  </si>
  <si>
    <t xml:space="preserve"> </t>
  </si>
  <si>
    <t>Inside</t>
  </si>
  <si>
    <t>Outisde</t>
  </si>
  <si>
    <t>Seke</t>
  </si>
  <si>
    <t>Worker Rates</t>
  </si>
  <si>
    <t>per ouvrier</t>
  </si>
  <si>
    <t>they pay for food</t>
  </si>
  <si>
    <t>per month for everyone's accomodation</t>
  </si>
  <si>
    <t>for seke</t>
  </si>
  <si>
    <t>per day</t>
  </si>
  <si>
    <t>workers</t>
  </si>
  <si>
    <t>wee need to buy the:</t>
  </si>
  <si>
    <t>plastic tank</t>
  </si>
  <si>
    <t>guttering</t>
  </si>
  <si>
    <t>m @ 1.2 m roll</t>
  </si>
  <si>
    <t>griagge</t>
  </si>
  <si>
    <t>batt</t>
  </si>
  <si>
    <t>plomberie</t>
  </si>
  <si>
    <t>Area Twice Covered</t>
  </si>
  <si>
    <t>mesh for inlet and overflow valves</t>
  </si>
  <si>
    <t>days :</t>
  </si>
  <si>
    <t>Initial Payment</t>
  </si>
  <si>
    <t>Remaining Labour Costs</t>
  </si>
  <si>
    <t>Week 1</t>
  </si>
  <si>
    <t>Macon 1</t>
  </si>
  <si>
    <t>Macon 2</t>
  </si>
  <si>
    <t>Appretisage</t>
  </si>
  <si>
    <t>Travailleur en Acier</t>
  </si>
  <si>
    <t>Week 2</t>
  </si>
  <si>
    <t>Week 3</t>
  </si>
  <si>
    <t>TOTAL CFA</t>
  </si>
  <si>
    <t>TOTAL GBP</t>
  </si>
  <si>
    <t>Total Accomodation</t>
  </si>
  <si>
    <t>Total Material Cost CFA</t>
  </si>
  <si>
    <t>Total Material Cost GBP</t>
  </si>
  <si>
    <t>Materials</t>
  </si>
  <si>
    <t>Acier</t>
  </si>
  <si>
    <t>Labour</t>
  </si>
  <si>
    <t>4 others Combined</t>
  </si>
  <si>
    <t>Accomodation</t>
  </si>
  <si>
    <t>Ma.co.no</t>
  </si>
  <si>
    <t>Type</t>
  </si>
  <si>
    <t>Width</t>
  </si>
  <si>
    <t>Cost/m</t>
  </si>
  <si>
    <t>Thin or Thick Square</t>
  </si>
  <si>
    <t>Big Chicken Wire</t>
  </si>
  <si>
    <t>Wissam</t>
  </si>
  <si>
    <t>Thin Squares</t>
  </si>
  <si>
    <t>Cost/m2</t>
  </si>
  <si>
    <t>Total Cost</t>
  </si>
  <si>
    <t>Small Guy Accents</t>
  </si>
  <si>
    <t>Thin square</t>
  </si>
  <si>
    <t>Thick Square</t>
  </si>
  <si>
    <t>Thin Squares shorter</t>
  </si>
  <si>
    <t>To Buy</t>
  </si>
  <si>
    <t>Rolls</t>
  </si>
  <si>
    <t>Length per roll</t>
  </si>
  <si>
    <t>Cost per roll</t>
  </si>
  <si>
    <t>Fine Long chicken</t>
  </si>
  <si>
    <t>Base L-Bars</t>
  </si>
  <si>
    <t>s</t>
  </si>
  <si>
    <t>we need to buy the:</t>
  </si>
  <si>
    <t>Volume Total</t>
  </si>
  <si>
    <t>Blue Gravel</t>
  </si>
  <si>
    <t>Sable</t>
  </si>
  <si>
    <t xml:space="preserve">gravier orange </t>
  </si>
  <si>
    <t>bleu gravier</t>
  </si>
  <si>
    <t>have to buy 7 m2 of sand</t>
  </si>
  <si>
    <t>Orange Gravel</t>
  </si>
  <si>
    <t>Blue Gravier</t>
  </si>
  <si>
    <t>per 7m3 camion</t>
  </si>
  <si>
    <t>Volume</t>
  </si>
  <si>
    <t>Total Number of 12m length</t>
  </si>
  <si>
    <t>Total Perimeter of Mesh</t>
  </si>
  <si>
    <t>Aggregate</t>
  </si>
  <si>
    <t>Foundation Gravel</t>
  </si>
  <si>
    <t>ANCHORAGE L-BARS</t>
  </si>
  <si>
    <t>Circumference Spacing</t>
  </si>
  <si>
    <t>Number of Bars</t>
  </si>
  <si>
    <t>Total Bar Length</t>
  </si>
  <si>
    <t>Bar Length</t>
  </si>
  <si>
    <t>Sieved Sand</t>
  </si>
  <si>
    <t>Base Layers</t>
  </si>
  <si>
    <t>Reinforced</t>
  </si>
  <si>
    <t>Lean</t>
  </si>
  <si>
    <t>Ratio By weight</t>
  </si>
  <si>
    <t>Foundation Concrete</t>
  </si>
  <si>
    <t>Sieved Sand m3</t>
  </si>
  <si>
    <t>Water m3</t>
  </si>
  <si>
    <t>Volumes Ratios</t>
  </si>
  <si>
    <t>Volume Breakdown</t>
  </si>
  <si>
    <t>Sum of Ratios</t>
  </si>
  <si>
    <t>Aggregate Blue Gravel</t>
  </si>
  <si>
    <t>Cost per m3</t>
  </si>
  <si>
    <t>Number of 12m Lengths</t>
  </si>
  <si>
    <t>Cement kg</t>
  </si>
  <si>
    <t>Number of Barilles</t>
  </si>
  <si>
    <t>Aggregate m3</t>
  </si>
  <si>
    <t>Volume of Basket of Aggreagte</t>
  </si>
  <si>
    <t>Volume of  Barrel of Aggregate</t>
  </si>
  <si>
    <t>Height of Basket</t>
  </si>
  <si>
    <t>Diaamter of Basket</t>
  </si>
  <si>
    <t>Number of Baskegts for Barrel</t>
  </si>
  <si>
    <t>Number of Baskets</t>
  </si>
  <si>
    <t>HORIZONTAL BARS</t>
  </si>
  <si>
    <t>Horizontal Bars</t>
  </si>
  <si>
    <t>5 Bottom Bars</t>
  </si>
  <si>
    <t>Other Bars</t>
  </si>
  <si>
    <t>Total Bars</t>
  </si>
  <si>
    <t>Circumference</t>
  </si>
  <si>
    <t>Circumference Length</t>
  </si>
  <si>
    <t>Length of Bars</t>
  </si>
  <si>
    <t>Number of 12m lengths</t>
  </si>
  <si>
    <t>Number of 12m Length</t>
  </si>
  <si>
    <t>Central Column</t>
  </si>
  <si>
    <t>L Bar Length</t>
  </si>
  <si>
    <t>Number Colums</t>
  </si>
  <si>
    <t>Number of L Bar</t>
  </si>
  <si>
    <t>Total Column Length</t>
  </si>
  <si>
    <t>Total L Bar Length</t>
  </si>
  <si>
    <t>Total 12m Length</t>
  </si>
  <si>
    <t>Per Sac/Brouette</t>
  </si>
  <si>
    <t>Kilos</t>
  </si>
  <si>
    <t>Volume/sac</t>
  </si>
  <si>
    <t>Bought</t>
  </si>
  <si>
    <t>8mm</t>
  </si>
  <si>
    <t>6mm</t>
  </si>
  <si>
    <t>Beton avec Baree Arme</t>
  </si>
  <si>
    <t>Beton avec Barre Arme</t>
  </si>
  <si>
    <t>Beton sans Barre Arme</t>
  </si>
  <si>
    <t>Use:</t>
  </si>
  <si>
    <t>Mass Ratio</t>
  </si>
  <si>
    <t>Gravier</t>
  </si>
  <si>
    <t>Walls</t>
  </si>
  <si>
    <t>0.8 or 0.9</t>
  </si>
  <si>
    <t>Thin Square 1m</t>
  </si>
  <si>
    <t>Fine long 1.5m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</si>
</sst>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£&quot;* #,##0.00_-;\-&quot;£&quot;* #,##0.00_-;_-&quot;£&quot;* &quot;-&quot;??_-;_-@_-"/>
    <numFmt numFmtId="164" formatCode="0.0000"/>
    <numFmt numFmtId="165" formatCode="0.000"/>
    <numFmt numFmtId="166" formatCode="0.0"/>
    <numFmt numFmtId="167" formatCode="&quot;£&quot;#,##0.00"/>
    <numFmt numFmtId="168" formatCode="_-[$XOF]\ * #,##0.00_-;\-[$XOF]\ * #,##0.00_-;_-[$XOF]\ * &quot;-&quot;??_-;_-@_-"/>
    <numFmt numFmtId="169" formatCode="_-[$XOF]\ * #,##0_-;\-[$XOF]\ * #,##0_-;_-[$XOF]\ * &quot;-&quot;??_-;_-@_-"/>
    <numFmt numFmtId="170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0" xfId="0" applyBorder="1"/>
    <xf numFmtId="2" fontId="0" fillId="0" borderId="1" xfId="0" applyNumberFormat="1" applyBorder="1"/>
    <xf numFmtId="166" fontId="0" fillId="0" borderId="0" xfId="0" applyNumberFormat="1" applyBorder="1"/>
    <xf numFmtId="2" fontId="0" fillId="0" borderId="0" xfId="0" applyNumberFormat="1" applyBorder="1"/>
    <xf numFmtId="1" fontId="0" fillId="0" borderId="0" xfId="0" applyNumberFormat="1" applyBorder="1"/>
    <xf numFmtId="4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left"/>
    </xf>
    <xf numFmtId="0" fontId="1" fillId="0" borderId="5" xfId="0" applyFont="1" applyBorder="1"/>
    <xf numFmtId="2" fontId="1" fillId="0" borderId="0" xfId="0" applyNumberFormat="1" applyFont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5" xfId="0" applyNumberFormat="1" applyFont="1" applyBorder="1"/>
    <xf numFmtId="2" fontId="1" fillId="0" borderId="7" xfId="0" applyNumberFormat="1" applyFont="1" applyBorder="1"/>
    <xf numFmtId="2" fontId="0" fillId="0" borderId="2" xfId="0" applyNumberFormat="1" applyBorder="1"/>
    <xf numFmtId="0" fontId="1" fillId="0" borderId="9" xfId="0" applyFont="1" applyBorder="1"/>
    <xf numFmtId="0" fontId="0" fillId="0" borderId="9" xfId="0" applyBorder="1"/>
    <xf numFmtId="1" fontId="1" fillId="0" borderId="9" xfId="0" applyNumberFormat="1" applyFont="1" applyBorder="1"/>
    <xf numFmtId="1" fontId="0" fillId="0" borderId="9" xfId="0" applyNumberFormat="1" applyBorder="1"/>
    <xf numFmtId="2" fontId="0" fillId="0" borderId="9" xfId="0" applyNumberFormat="1" applyBorder="1"/>
    <xf numFmtId="0" fontId="0" fillId="0" borderId="2" xfId="0" applyBorder="1"/>
    <xf numFmtId="168" fontId="0" fillId="0" borderId="0" xfId="0" applyNumberFormat="1" applyBorder="1"/>
    <xf numFmtId="44" fontId="0" fillId="0" borderId="8" xfId="0" applyNumberFormat="1" applyBorder="1"/>
    <xf numFmtId="44" fontId="0" fillId="0" borderId="6" xfId="0" applyNumberFormat="1" applyBorder="1"/>
    <xf numFmtId="170" fontId="0" fillId="0" borderId="1" xfId="0" applyNumberFormat="1" applyBorder="1"/>
    <xf numFmtId="170" fontId="0" fillId="0" borderId="6" xfId="0" applyNumberFormat="1" applyBorder="1"/>
    <xf numFmtId="44" fontId="0" fillId="0" borderId="8" xfId="1" applyFont="1" applyBorder="1"/>
    <xf numFmtId="44" fontId="0" fillId="0" borderId="0" xfId="0" applyNumberFormat="1" applyBorder="1"/>
    <xf numFmtId="2" fontId="1" fillId="0" borderId="10" xfId="0" applyNumberFormat="1" applyFont="1" applyBorder="1"/>
    <xf numFmtId="2" fontId="0" fillId="0" borderId="11" xfId="0" applyNumberFormat="1" applyBorder="1"/>
    <xf numFmtId="169" fontId="0" fillId="2" borderId="11" xfId="0" applyNumberFormat="1" applyFill="1" applyBorder="1"/>
    <xf numFmtId="167" fontId="0" fillId="0" borderId="12" xfId="0" applyNumberFormat="1" applyBorder="1"/>
    <xf numFmtId="168" fontId="0" fillId="2" borderId="11" xfId="0" applyNumberFormat="1" applyFill="1" applyBorder="1"/>
    <xf numFmtId="168" fontId="0" fillId="2" borderId="4" xfId="0" applyNumberFormat="1" applyFill="1" applyBorder="1"/>
    <xf numFmtId="44" fontId="0" fillId="0" borderId="1" xfId="1" applyFont="1" applyBorder="1"/>
    <xf numFmtId="44" fontId="0" fillId="0" borderId="12" xfId="1" applyFont="1" applyBorder="1"/>
    <xf numFmtId="169" fontId="0" fillId="0" borderId="0" xfId="0" applyNumberFormat="1" applyBorder="1"/>
    <xf numFmtId="169" fontId="0" fillId="2" borderId="1" xfId="0" applyNumberFormat="1" applyFill="1" applyBorder="1"/>
    <xf numFmtId="169" fontId="0" fillId="0" borderId="0" xfId="0" applyNumberFormat="1"/>
    <xf numFmtId="169" fontId="1" fillId="0" borderId="3" xfId="0" applyNumberFormat="1" applyFont="1" applyBorder="1"/>
    <xf numFmtId="169" fontId="0" fillId="0" borderId="1" xfId="0" applyNumberFormat="1" applyBorder="1"/>
    <xf numFmtId="0" fontId="0" fillId="0" borderId="9" xfId="0" applyFont="1" applyBorder="1"/>
    <xf numFmtId="2" fontId="1" fillId="0" borderId="13" xfId="0" applyNumberFormat="1" applyFont="1" applyBorder="1"/>
    <xf numFmtId="2" fontId="0" fillId="0" borderId="14" xfId="0" applyNumberFormat="1" applyBorder="1"/>
    <xf numFmtId="169" fontId="0" fillId="2" borderId="14" xfId="0" applyNumberFormat="1" applyFill="1" applyBorder="1"/>
    <xf numFmtId="170" fontId="0" fillId="0" borderId="15" xfId="0" applyNumberFormat="1" applyBorder="1"/>
    <xf numFmtId="44" fontId="0" fillId="0" borderId="0" xfId="1" applyFont="1"/>
    <xf numFmtId="0" fontId="0" fillId="0" borderId="5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1" xfId="0" applyFont="1" applyBorder="1"/>
    <xf numFmtId="44" fontId="5" fillId="0" borderId="8" xfId="1" applyFont="1" applyBorder="1"/>
    <xf numFmtId="0" fontId="0" fillId="0" borderId="13" xfId="0" applyBorder="1"/>
    <xf numFmtId="0" fontId="0" fillId="0" borderId="14" xfId="0" applyBorder="1"/>
    <xf numFmtId="44" fontId="0" fillId="0" borderId="15" xfId="1" applyFont="1" applyBorder="1"/>
    <xf numFmtId="0" fontId="1" fillId="0" borderId="3" xfId="0" applyFont="1" applyBorder="1"/>
    <xf numFmtId="0" fontId="1" fillId="0" borderId="4" xfId="0" applyFont="1" applyBorder="1"/>
    <xf numFmtId="44" fontId="0" fillId="0" borderId="6" xfId="1" applyFont="1" applyBorder="1"/>
    <xf numFmtId="1" fontId="0" fillId="0" borderId="9" xfId="0" applyNumberFormat="1" applyFont="1" applyBorder="1"/>
    <xf numFmtId="0" fontId="1" fillId="0" borderId="0" xfId="0" applyFont="1" applyBorder="1"/>
    <xf numFmtId="166" fontId="0" fillId="0" borderId="9" xfId="0" applyNumberFormat="1" applyBorder="1"/>
    <xf numFmtId="0" fontId="0" fillId="0" borderId="9" xfId="0" applyFill="1" applyBorder="1"/>
    <xf numFmtId="165" fontId="0" fillId="0" borderId="9" xfId="0" applyNumberFormat="1" applyBorder="1"/>
    <xf numFmtId="0" fontId="0" fillId="0" borderId="6" xfId="0" applyFill="1" applyBorder="1"/>
    <xf numFmtId="166" fontId="0" fillId="0" borderId="6" xfId="0" applyNumberFormat="1" applyBorder="1"/>
    <xf numFmtId="0" fontId="0" fillId="0" borderId="9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535077</xdr:colOff>
      <xdr:row>37</xdr:row>
      <xdr:rowOff>21772</xdr:rowOff>
    </xdr:from>
    <xdr:to>
      <xdr:col>25</xdr:col>
      <xdr:colOff>54430</xdr:colOff>
      <xdr:row>41</xdr:row>
      <xdr:rowOff>22607</xdr:rowOff>
    </xdr:to>
    <xdr:sp macro="" textlink="">
      <xdr:nvSpPr>
        <xdr:cNvPr id="185" name="Rectangle 184"/>
        <xdr:cNvSpPr/>
      </xdr:nvSpPr>
      <xdr:spPr>
        <a:xfrm>
          <a:off x="13695906" y="6868886"/>
          <a:ext cx="1957753" cy="741064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Shallow Foundation</a:t>
          </a:r>
          <a:r>
            <a:rPr lang="en-GB" sz="1100" baseline="0"/>
            <a:t> </a:t>
          </a:r>
          <a:r>
            <a:rPr lang="en-GB" sz="1100"/>
            <a:t>House</a:t>
          </a:r>
        </a:p>
      </xdr:txBody>
    </xdr:sp>
    <xdr:clientData/>
  </xdr:twoCellAnchor>
  <xdr:twoCellAnchor>
    <xdr:from>
      <xdr:col>2</xdr:col>
      <xdr:colOff>4355</xdr:colOff>
      <xdr:row>0</xdr:row>
      <xdr:rowOff>181791</xdr:rowOff>
    </xdr:from>
    <xdr:to>
      <xdr:col>6</xdr:col>
      <xdr:colOff>27215</xdr:colOff>
      <xdr:row>14</xdr:row>
      <xdr:rowOff>88174</xdr:rowOff>
    </xdr:to>
    <xdr:sp macro="" textlink="">
      <xdr:nvSpPr>
        <xdr:cNvPr id="71" name="Oval 70"/>
        <xdr:cNvSpPr/>
      </xdr:nvSpPr>
      <xdr:spPr>
        <a:xfrm>
          <a:off x="744584" y="181791"/>
          <a:ext cx="2461260" cy="2497183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137160</xdr:colOff>
      <xdr:row>1</xdr:row>
      <xdr:rowOff>152400</xdr:rowOff>
    </xdr:from>
    <xdr:to>
      <xdr:col>5</xdr:col>
      <xdr:colOff>480060</xdr:colOff>
      <xdr:row>13</xdr:row>
      <xdr:rowOff>153489</xdr:rowOff>
    </xdr:to>
    <xdr:sp macro="" textlink="">
      <xdr:nvSpPr>
        <xdr:cNvPr id="2" name="Oval 1"/>
        <xdr:cNvSpPr/>
      </xdr:nvSpPr>
      <xdr:spPr>
        <a:xfrm>
          <a:off x="876300" y="335280"/>
          <a:ext cx="2171700" cy="21956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350520</xdr:colOff>
      <xdr:row>2</xdr:row>
      <xdr:rowOff>167640</xdr:rowOff>
    </xdr:from>
    <xdr:to>
      <xdr:col>17</xdr:col>
      <xdr:colOff>114300</xdr:colOff>
      <xdr:row>6</xdr:row>
      <xdr:rowOff>91440</xdr:rowOff>
    </xdr:to>
    <xdr:sp macro="" textlink="">
      <xdr:nvSpPr>
        <xdr:cNvPr id="7" name="Oval 6"/>
        <xdr:cNvSpPr/>
      </xdr:nvSpPr>
      <xdr:spPr>
        <a:xfrm>
          <a:off x="7056120" y="350520"/>
          <a:ext cx="2811780" cy="6553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312420</xdr:colOff>
      <xdr:row>2</xdr:row>
      <xdr:rowOff>91440</xdr:rowOff>
    </xdr:from>
    <xdr:to>
      <xdr:col>17</xdr:col>
      <xdr:colOff>320040</xdr:colOff>
      <xdr:row>4</xdr:row>
      <xdr:rowOff>160020</xdr:rowOff>
    </xdr:to>
    <xdr:cxnSp macro="">
      <xdr:nvCxnSpPr>
        <xdr:cNvPr id="4" name="Straight Arrow Connector 3"/>
        <xdr:cNvCxnSpPr/>
      </xdr:nvCxnSpPr>
      <xdr:spPr>
        <a:xfrm flipH="1">
          <a:off x="10066020" y="274320"/>
          <a:ext cx="7620" cy="4343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350520</xdr:colOff>
      <xdr:row>4</xdr:row>
      <xdr:rowOff>106680</xdr:rowOff>
    </xdr:from>
    <xdr:to>
      <xdr:col>17</xdr:col>
      <xdr:colOff>121920</xdr:colOff>
      <xdr:row>13</xdr:row>
      <xdr:rowOff>68580</xdr:rowOff>
    </xdr:to>
    <xdr:sp macro="" textlink="">
      <xdr:nvSpPr>
        <xdr:cNvPr id="5" name="Rectangle 4"/>
        <xdr:cNvSpPr/>
      </xdr:nvSpPr>
      <xdr:spPr>
        <a:xfrm>
          <a:off x="7056120" y="655320"/>
          <a:ext cx="2819400" cy="16078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312420</xdr:colOff>
      <xdr:row>4</xdr:row>
      <xdr:rowOff>121920</xdr:rowOff>
    </xdr:from>
    <xdr:to>
      <xdr:col>17</xdr:col>
      <xdr:colOff>312420</xdr:colOff>
      <xdr:row>13</xdr:row>
      <xdr:rowOff>68580</xdr:rowOff>
    </xdr:to>
    <xdr:cxnSp macro="">
      <xdr:nvCxnSpPr>
        <xdr:cNvPr id="8" name="Straight Arrow Connector 7"/>
        <xdr:cNvCxnSpPr/>
      </xdr:nvCxnSpPr>
      <xdr:spPr>
        <a:xfrm>
          <a:off x="10066020" y="670560"/>
          <a:ext cx="0" cy="159258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2</xdr:row>
      <xdr:rowOff>60960</xdr:rowOff>
    </xdr:from>
    <xdr:to>
      <xdr:col>6</xdr:col>
      <xdr:colOff>266700</xdr:colOff>
      <xdr:row>13</xdr:row>
      <xdr:rowOff>137160</xdr:rowOff>
    </xdr:to>
    <xdr:cxnSp macro="">
      <xdr:nvCxnSpPr>
        <xdr:cNvPr id="10" name="Straight Arrow Connector 9"/>
        <xdr:cNvCxnSpPr/>
      </xdr:nvCxnSpPr>
      <xdr:spPr>
        <a:xfrm>
          <a:off x="3314700" y="243840"/>
          <a:ext cx="0" cy="208788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213360</xdr:colOff>
      <xdr:row>23</xdr:row>
      <xdr:rowOff>129540</xdr:rowOff>
    </xdr:from>
    <xdr:to>
      <xdr:col>7</xdr:col>
      <xdr:colOff>586740</xdr:colOff>
      <xdr:row>27</xdr:row>
      <xdr:rowOff>152400</xdr:rowOff>
    </xdr:to>
    <xdr:sp macro="" textlink="">
      <xdr:nvSpPr>
        <xdr:cNvPr id="12" name="Rounded Rectangle 11"/>
        <xdr:cNvSpPr/>
      </xdr:nvSpPr>
      <xdr:spPr>
        <a:xfrm>
          <a:off x="822960" y="3055620"/>
          <a:ext cx="3421380" cy="7543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198120</xdr:colOff>
      <xdr:row>5</xdr:row>
      <xdr:rowOff>114300</xdr:rowOff>
    </xdr:from>
    <xdr:to>
      <xdr:col>12</xdr:col>
      <xdr:colOff>198120</xdr:colOff>
      <xdr:row>7</xdr:row>
      <xdr:rowOff>45720</xdr:rowOff>
    </xdr:to>
    <xdr:cxnSp macro="">
      <xdr:nvCxnSpPr>
        <xdr:cNvPr id="13" name="Straight Arrow Connector 12"/>
        <xdr:cNvCxnSpPr/>
      </xdr:nvCxnSpPr>
      <xdr:spPr>
        <a:xfrm>
          <a:off x="6903720" y="845820"/>
          <a:ext cx="0" cy="29718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525780</xdr:colOff>
      <xdr:row>24</xdr:row>
      <xdr:rowOff>175260</xdr:rowOff>
    </xdr:from>
    <xdr:to>
      <xdr:col>2</xdr:col>
      <xdr:colOff>707571</xdr:colOff>
      <xdr:row>25</xdr:row>
      <xdr:rowOff>130628</xdr:rowOff>
    </xdr:to>
    <xdr:sp macro="" textlink="">
      <xdr:nvSpPr>
        <xdr:cNvPr id="16" name="Oval 15"/>
        <xdr:cNvSpPr/>
      </xdr:nvSpPr>
      <xdr:spPr>
        <a:xfrm>
          <a:off x="1266009" y="4616631"/>
          <a:ext cx="181791" cy="140426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525780</xdr:colOff>
      <xdr:row>24</xdr:row>
      <xdr:rowOff>167640</xdr:rowOff>
    </xdr:from>
    <xdr:to>
      <xdr:col>6</xdr:col>
      <xdr:colOff>83820</xdr:colOff>
      <xdr:row>25</xdr:row>
      <xdr:rowOff>152400</xdr:rowOff>
    </xdr:to>
    <xdr:sp macro="" textlink="">
      <xdr:nvSpPr>
        <xdr:cNvPr id="17" name="Oval 16"/>
        <xdr:cNvSpPr/>
      </xdr:nvSpPr>
      <xdr:spPr>
        <a:xfrm>
          <a:off x="2964180" y="3276600"/>
          <a:ext cx="167640" cy="16764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510540</xdr:colOff>
      <xdr:row>24</xdr:row>
      <xdr:rowOff>160020</xdr:rowOff>
    </xdr:from>
    <xdr:to>
      <xdr:col>5</xdr:col>
      <xdr:colOff>68580</xdr:colOff>
      <xdr:row>25</xdr:row>
      <xdr:rowOff>144780</xdr:rowOff>
    </xdr:to>
    <xdr:sp macro="" textlink="">
      <xdr:nvSpPr>
        <xdr:cNvPr id="18" name="Oval 17"/>
        <xdr:cNvSpPr/>
      </xdr:nvSpPr>
      <xdr:spPr>
        <a:xfrm>
          <a:off x="2339340" y="3268980"/>
          <a:ext cx="167640" cy="16764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556260</xdr:colOff>
      <xdr:row>24</xdr:row>
      <xdr:rowOff>167640</xdr:rowOff>
    </xdr:from>
    <xdr:to>
      <xdr:col>4</xdr:col>
      <xdr:colOff>114300</xdr:colOff>
      <xdr:row>25</xdr:row>
      <xdr:rowOff>152400</xdr:rowOff>
    </xdr:to>
    <xdr:sp macro="" textlink="">
      <xdr:nvSpPr>
        <xdr:cNvPr id="19" name="Oval 18"/>
        <xdr:cNvSpPr/>
      </xdr:nvSpPr>
      <xdr:spPr>
        <a:xfrm>
          <a:off x="1775460" y="3276600"/>
          <a:ext cx="167640" cy="16764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541020</xdr:colOff>
      <xdr:row>24</xdr:row>
      <xdr:rowOff>160020</xdr:rowOff>
    </xdr:from>
    <xdr:to>
      <xdr:col>7</xdr:col>
      <xdr:colOff>99060</xdr:colOff>
      <xdr:row>25</xdr:row>
      <xdr:rowOff>144780</xdr:rowOff>
    </xdr:to>
    <xdr:sp macro="" textlink="">
      <xdr:nvSpPr>
        <xdr:cNvPr id="21" name="Oval 20"/>
        <xdr:cNvSpPr/>
      </xdr:nvSpPr>
      <xdr:spPr>
        <a:xfrm>
          <a:off x="3589020" y="3268980"/>
          <a:ext cx="167640" cy="16764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388620</xdr:colOff>
      <xdr:row>26</xdr:row>
      <xdr:rowOff>7620</xdr:rowOff>
    </xdr:from>
    <xdr:to>
      <xdr:col>7</xdr:col>
      <xdr:colOff>419100</xdr:colOff>
      <xdr:row>26</xdr:row>
      <xdr:rowOff>137160</xdr:rowOff>
    </xdr:to>
    <xdr:sp macro="" textlink="">
      <xdr:nvSpPr>
        <xdr:cNvPr id="22" name="Rectangle 21"/>
        <xdr:cNvSpPr/>
      </xdr:nvSpPr>
      <xdr:spPr>
        <a:xfrm>
          <a:off x="998220" y="3482340"/>
          <a:ext cx="3078480" cy="12954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tIns="0" rtlCol="0" anchor="t"/>
        <a:lstStyle/>
        <a:p>
          <a:pPr algn="l"/>
          <a:r>
            <a:rPr lang="en-GB" sz="1100"/>
            <a:t>Horizontal Bars</a:t>
          </a:r>
        </a:p>
      </xdr:txBody>
    </xdr:sp>
    <xdr:clientData/>
  </xdr:twoCellAnchor>
  <xdr:twoCellAnchor>
    <xdr:from>
      <xdr:col>5</xdr:col>
      <xdr:colOff>571500</xdr:colOff>
      <xdr:row>23</xdr:row>
      <xdr:rowOff>45720</xdr:rowOff>
    </xdr:from>
    <xdr:to>
      <xdr:col>7</xdr:col>
      <xdr:colOff>99060</xdr:colOff>
      <xdr:row>23</xdr:row>
      <xdr:rowOff>53340</xdr:rowOff>
    </xdr:to>
    <xdr:cxnSp macro="">
      <xdr:nvCxnSpPr>
        <xdr:cNvPr id="23" name="Straight Arrow Connector 22"/>
        <xdr:cNvCxnSpPr/>
      </xdr:nvCxnSpPr>
      <xdr:spPr>
        <a:xfrm flipH="1" flipV="1">
          <a:off x="3009900" y="2971800"/>
          <a:ext cx="746760" cy="76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472440</xdr:colOff>
      <xdr:row>10</xdr:row>
      <xdr:rowOff>167640</xdr:rowOff>
    </xdr:from>
    <xdr:to>
      <xdr:col>17</xdr:col>
      <xdr:colOff>91440</xdr:colOff>
      <xdr:row>12</xdr:row>
      <xdr:rowOff>137160</xdr:rowOff>
    </xdr:to>
    <xdr:grpSp>
      <xdr:nvGrpSpPr>
        <xdr:cNvPr id="31" name="Group 30"/>
        <xdr:cNvGrpSpPr/>
      </xdr:nvGrpSpPr>
      <xdr:grpSpPr>
        <a:xfrm>
          <a:off x="8147858" y="1968731"/>
          <a:ext cx="2667000" cy="329738"/>
          <a:chOff x="7170420" y="937260"/>
          <a:chExt cx="2667000" cy="1074420"/>
        </a:xfrm>
      </xdr:grpSpPr>
      <xdr:sp macro="" textlink="">
        <xdr:nvSpPr>
          <xdr:cNvPr id="26" name="Rectangle 25"/>
          <xdr:cNvSpPr/>
        </xdr:nvSpPr>
        <xdr:spPr>
          <a:xfrm>
            <a:off x="7170420" y="1943100"/>
            <a:ext cx="2636520" cy="68580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" name="Rectangle 26"/>
          <xdr:cNvSpPr/>
        </xdr:nvSpPr>
        <xdr:spPr>
          <a:xfrm>
            <a:off x="7178040" y="1158240"/>
            <a:ext cx="2636520" cy="68580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" name="Rectangle 27"/>
          <xdr:cNvSpPr/>
        </xdr:nvSpPr>
        <xdr:spPr>
          <a:xfrm>
            <a:off x="7185660" y="937260"/>
            <a:ext cx="2636520" cy="68580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" name="Rectangle 28"/>
          <xdr:cNvSpPr/>
        </xdr:nvSpPr>
        <xdr:spPr>
          <a:xfrm>
            <a:off x="7200900" y="1424940"/>
            <a:ext cx="2636520" cy="68580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0" name="Rectangle 29"/>
          <xdr:cNvSpPr/>
        </xdr:nvSpPr>
        <xdr:spPr>
          <a:xfrm>
            <a:off x="7193280" y="1691640"/>
            <a:ext cx="2636520" cy="68580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15</xdr:col>
      <xdr:colOff>7620</xdr:colOff>
      <xdr:row>4</xdr:row>
      <xdr:rowOff>152400</xdr:rowOff>
    </xdr:from>
    <xdr:to>
      <xdr:col>16</xdr:col>
      <xdr:colOff>403860</xdr:colOff>
      <xdr:row>12</xdr:row>
      <xdr:rowOff>152400</xdr:rowOff>
    </xdr:to>
    <xdr:grpSp>
      <xdr:nvGrpSpPr>
        <xdr:cNvPr id="52" name="Group 51"/>
        <xdr:cNvGrpSpPr/>
      </xdr:nvGrpSpPr>
      <xdr:grpSpPr>
        <a:xfrm>
          <a:off x="9511838" y="872836"/>
          <a:ext cx="1005840" cy="1440873"/>
          <a:chOff x="7261860" y="701040"/>
          <a:chExt cx="2286000" cy="1463040"/>
        </a:xfrm>
      </xdr:grpSpPr>
      <xdr:sp macro="" textlink="">
        <xdr:nvSpPr>
          <xdr:cNvPr id="45" name="Rectangle 44"/>
          <xdr:cNvSpPr/>
        </xdr:nvSpPr>
        <xdr:spPr>
          <a:xfrm>
            <a:off x="7261860" y="746760"/>
            <a:ext cx="60960" cy="141732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6" name="Rectangle 45"/>
          <xdr:cNvSpPr/>
        </xdr:nvSpPr>
        <xdr:spPr>
          <a:xfrm>
            <a:off x="7597140" y="739140"/>
            <a:ext cx="60960" cy="141732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7" name="Rectangle 46"/>
          <xdr:cNvSpPr/>
        </xdr:nvSpPr>
        <xdr:spPr>
          <a:xfrm>
            <a:off x="7932420" y="723900"/>
            <a:ext cx="60960" cy="141732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8" name="Rectangle 47"/>
          <xdr:cNvSpPr/>
        </xdr:nvSpPr>
        <xdr:spPr>
          <a:xfrm>
            <a:off x="8282940" y="739140"/>
            <a:ext cx="60960" cy="141732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9" name="Rectangle 48"/>
          <xdr:cNvSpPr/>
        </xdr:nvSpPr>
        <xdr:spPr>
          <a:xfrm>
            <a:off x="8671560" y="723900"/>
            <a:ext cx="60960" cy="141732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0" name="Rectangle 49"/>
          <xdr:cNvSpPr/>
        </xdr:nvSpPr>
        <xdr:spPr>
          <a:xfrm>
            <a:off x="9029700" y="701040"/>
            <a:ext cx="60960" cy="141732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1" name="Rectangle 50"/>
          <xdr:cNvSpPr/>
        </xdr:nvSpPr>
        <xdr:spPr>
          <a:xfrm>
            <a:off x="9486900" y="716280"/>
            <a:ext cx="60960" cy="141732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13</xdr:col>
      <xdr:colOff>83820</xdr:colOff>
      <xdr:row>4</xdr:row>
      <xdr:rowOff>175260</xdr:rowOff>
    </xdr:from>
    <xdr:to>
      <xdr:col>14</xdr:col>
      <xdr:colOff>480060</xdr:colOff>
      <xdr:row>12</xdr:row>
      <xdr:rowOff>175260</xdr:rowOff>
    </xdr:to>
    <xdr:grpSp>
      <xdr:nvGrpSpPr>
        <xdr:cNvPr id="53" name="Group 52"/>
        <xdr:cNvGrpSpPr/>
      </xdr:nvGrpSpPr>
      <xdr:grpSpPr>
        <a:xfrm>
          <a:off x="8368838" y="895696"/>
          <a:ext cx="1005840" cy="1440873"/>
          <a:chOff x="7261860" y="701040"/>
          <a:chExt cx="2286000" cy="1463040"/>
        </a:xfrm>
      </xdr:grpSpPr>
      <xdr:sp macro="" textlink="">
        <xdr:nvSpPr>
          <xdr:cNvPr id="54" name="Rectangle 53"/>
          <xdr:cNvSpPr/>
        </xdr:nvSpPr>
        <xdr:spPr>
          <a:xfrm>
            <a:off x="7261860" y="746760"/>
            <a:ext cx="60960" cy="141732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5" name="Rectangle 54"/>
          <xdr:cNvSpPr/>
        </xdr:nvSpPr>
        <xdr:spPr>
          <a:xfrm>
            <a:off x="7597140" y="739140"/>
            <a:ext cx="60960" cy="141732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6" name="Rectangle 55"/>
          <xdr:cNvSpPr/>
        </xdr:nvSpPr>
        <xdr:spPr>
          <a:xfrm>
            <a:off x="7932420" y="723900"/>
            <a:ext cx="60960" cy="141732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7" name="Rectangle 56"/>
          <xdr:cNvSpPr/>
        </xdr:nvSpPr>
        <xdr:spPr>
          <a:xfrm>
            <a:off x="8282940" y="739140"/>
            <a:ext cx="60960" cy="141732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8" name="Rectangle 57"/>
          <xdr:cNvSpPr/>
        </xdr:nvSpPr>
        <xdr:spPr>
          <a:xfrm>
            <a:off x="8671560" y="723900"/>
            <a:ext cx="60960" cy="141732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9" name="Rectangle 58"/>
          <xdr:cNvSpPr/>
        </xdr:nvSpPr>
        <xdr:spPr>
          <a:xfrm>
            <a:off x="9029700" y="701040"/>
            <a:ext cx="60960" cy="141732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0" name="Rectangle 59"/>
          <xdr:cNvSpPr/>
        </xdr:nvSpPr>
        <xdr:spPr>
          <a:xfrm>
            <a:off x="9486900" y="716280"/>
            <a:ext cx="60960" cy="141732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12</xdr:col>
      <xdr:colOff>487680</xdr:colOff>
      <xdr:row>5</xdr:row>
      <xdr:rowOff>175260</xdr:rowOff>
    </xdr:from>
    <xdr:to>
      <xdr:col>17</xdr:col>
      <xdr:colOff>106680</xdr:colOff>
      <xdr:row>10</xdr:row>
      <xdr:rowOff>60960</xdr:rowOff>
    </xdr:to>
    <xdr:grpSp>
      <xdr:nvGrpSpPr>
        <xdr:cNvPr id="61" name="Group 60"/>
        <xdr:cNvGrpSpPr/>
      </xdr:nvGrpSpPr>
      <xdr:grpSpPr>
        <a:xfrm>
          <a:off x="8163098" y="1075805"/>
          <a:ext cx="2667000" cy="786246"/>
          <a:chOff x="7170420" y="937260"/>
          <a:chExt cx="2667000" cy="1074420"/>
        </a:xfrm>
      </xdr:grpSpPr>
      <xdr:sp macro="" textlink="">
        <xdr:nvSpPr>
          <xdr:cNvPr id="62" name="Rectangle 61"/>
          <xdr:cNvSpPr/>
        </xdr:nvSpPr>
        <xdr:spPr>
          <a:xfrm>
            <a:off x="7170420" y="1943100"/>
            <a:ext cx="2636520" cy="68580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3" name="Rectangle 62"/>
          <xdr:cNvSpPr/>
        </xdr:nvSpPr>
        <xdr:spPr>
          <a:xfrm>
            <a:off x="7178040" y="1158240"/>
            <a:ext cx="2636520" cy="68580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4" name="Rectangle 63"/>
          <xdr:cNvSpPr/>
        </xdr:nvSpPr>
        <xdr:spPr>
          <a:xfrm>
            <a:off x="7185660" y="937260"/>
            <a:ext cx="2636520" cy="68580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5" name="Rectangle 64"/>
          <xdr:cNvSpPr/>
        </xdr:nvSpPr>
        <xdr:spPr>
          <a:xfrm>
            <a:off x="7200900" y="1424940"/>
            <a:ext cx="2636520" cy="68580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6" name="Rectangle 65"/>
          <xdr:cNvSpPr/>
        </xdr:nvSpPr>
        <xdr:spPr>
          <a:xfrm>
            <a:off x="7193280" y="1691640"/>
            <a:ext cx="2636520" cy="68580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12</xdr:col>
      <xdr:colOff>243840</xdr:colOff>
      <xdr:row>11</xdr:row>
      <xdr:rowOff>160020</xdr:rowOff>
    </xdr:from>
    <xdr:to>
      <xdr:col>12</xdr:col>
      <xdr:colOff>243840</xdr:colOff>
      <xdr:row>12</xdr:row>
      <xdr:rowOff>167640</xdr:rowOff>
    </xdr:to>
    <xdr:cxnSp macro="">
      <xdr:nvCxnSpPr>
        <xdr:cNvPr id="67" name="Straight Arrow Connector 66"/>
        <xdr:cNvCxnSpPr/>
      </xdr:nvCxnSpPr>
      <xdr:spPr>
        <a:xfrm>
          <a:off x="6949440" y="1988820"/>
          <a:ext cx="0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795745</xdr:colOff>
      <xdr:row>24</xdr:row>
      <xdr:rowOff>39189</xdr:rowOff>
    </xdr:from>
    <xdr:to>
      <xdr:col>7</xdr:col>
      <xdr:colOff>810985</xdr:colOff>
      <xdr:row>27</xdr:row>
      <xdr:rowOff>100149</xdr:rowOff>
    </xdr:to>
    <xdr:cxnSp macro="">
      <xdr:nvCxnSpPr>
        <xdr:cNvPr id="69" name="Straight Arrow Connector 68"/>
        <xdr:cNvCxnSpPr/>
      </xdr:nvCxnSpPr>
      <xdr:spPr>
        <a:xfrm flipH="1">
          <a:off x="4583974" y="4480560"/>
          <a:ext cx="15240" cy="61613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403860</xdr:colOff>
      <xdr:row>1</xdr:row>
      <xdr:rowOff>114300</xdr:rowOff>
    </xdr:from>
    <xdr:to>
      <xdr:col>1</xdr:col>
      <xdr:colOff>413657</xdr:colOff>
      <xdr:row>15</xdr:row>
      <xdr:rowOff>0</xdr:rowOff>
    </xdr:to>
    <xdr:cxnSp macro="">
      <xdr:nvCxnSpPr>
        <xdr:cNvPr id="72" name="Straight Arrow Connector 71"/>
        <xdr:cNvCxnSpPr/>
      </xdr:nvCxnSpPr>
      <xdr:spPr>
        <a:xfrm>
          <a:off x="534489" y="299357"/>
          <a:ext cx="9797" cy="2476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25</xdr:row>
      <xdr:rowOff>76200</xdr:rowOff>
    </xdr:from>
    <xdr:to>
      <xdr:col>2</xdr:col>
      <xdr:colOff>525780</xdr:colOff>
      <xdr:row>29</xdr:row>
      <xdr:rowOff>129540</xdr:rowOff>
    </xdr:to>
    <xdr:cxnSp macro="">
      <xdr:nvCxnSpPr>
        <xdr:cNvPr id="77" name="Straight Arrow Connector 76"/>
        <xdr:cNvCxnSpPr/>
      </xdr:nvCxnSpPr>
      <xdr:spPr>
        <a:xfrm flipV="1">
          <a:off x="723900" y="3368040"/>
          <a:ext cx="411480" cy="784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510540</xdr:colOff>
      <xdr:row>26</xdr:row>
      <xdr:rowOff>106680</xdr:rowOff>
    </xdr:from>
    <xdr:to>
      <xdr:col>7</xdr:col>
      <xdr:colOff>114300</xdr:colOff>
      <xdr:row>29</xdr:row>
      <xdr:rowOff>160020</xdr:rowOff>
    </xdr:to>
    <xdr:cxnSp macro="">
      <xdr:nvCxnSpPr>
        <xdr:cNvPr id="78" name="Straight Arrow Connector 77"/>
        <xdr:cNvCxnSpPr/>
      </xdr:nvCxnSpPr>
      <xdr:spPr>
        <a:xfrm flipH="1" flipV="1">
          <a:off x="3558540" y="3581400"/>
          <a:ext cx="213360" cy="6019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35</xdr:row>
      <xdr:rowOff>0</xdr:rowOff>
    </xdr:from>
    <xdr:to>
      <xdr:col>5</xdr:col>
      <xdr:colOff>373380</xdr:colOff>
      <xdr:row>47</xdr:row>
      <xdr:rowOff>0</xdr:rowOff>
    </xdr:to>
    <xdr:sp macro="" textlink="">
      <xdr:nvSpPr>
        <xdr:cNvPr id="80" name="Oval 79"/>
        <xdr:cNvSpPr/>
      </xdr:nvSpPr>
      <xdr:spPr>
        <a:xfrm>
          <a:off x="609600" y="5120640"/>
          <a:ext cx="2202180" cy="21945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0</xdr:colOff>
      <xdr:row>41</xdr:row>
      <xdr:rowOff>0</xdr:rowOff>
    </xdr:from>
    <xdr:to>
      <xdr:col>5</xdr:col>
      <xdr:colOff>373380</xdr:colOff>
      <xdr:row>41</xdr:row>
      <xdr:rowOff>0</xdr:rowOff>
    </xdr:to>
    <xdr:cxnSp macro="">
      <xdr:nvCxnSpPr>
        <xdr:cNvPr id="83" name="Straight Connector 82"/>
        <xdr:cNvCxnSpPr>
          <a:stCxn id="80" idx="2"/>
          <a:endCxn id="80" idx="6"/>
        </xdr:cNvCxnSpPr>
      </xdr:nvCxnSpPr>
      <xdr:spPr>
        <a:xfrm>
          <a:off x="609600" y="6217920"/>
          <a:ext cx="2202180" cy="0"/>
        </a:xfrm>
        <a:prstGeom prst="line">
          <a:avLst/>
        </a:prstGeom>
        <a:ln w="571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121920</xdr:colOff>
      <xdr:row>38</xdr:row>
      <xdr:rowOff>137160</xdr:rowOff>
    </xdr:from>
    <xdr:to>
      <xdr:col>5</xdr:col>
      <xdr:colOff>289560</xdr:colOff>
      <xdr:row>43</xdr:row>
      <xdr:rowOff>45720</xdr:rowOff>
    </xdr:to>
    <xdr:cxnSp macro="">
      <xdr:nvCxnSpPr>
        <xdr:cNvPr id="87" name="Straight Connector 86"/>
        <xdr:cNvCxnSpPr/>
      </xdr:nvCxnSpPr>
      <xdr:spPr>
        <a:xfrm flipV="1">
          <a:off x="731520" y="5806440"/>
          <a:ext cx="1996440" cy="822960"/>
        </a:xfrm>
        <a:prstGeom prst="line">
          <a:avLst/>
        </a:prstGeom>
        <a:ln w="571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491490</xdr:colOff>
      <xdr:row>35</xdr:row>
      <xdr:rowOff>0</xdr:rowOff>
    </xdr:from>
    <xdr:to>
      <xdr:col>3</xdr:col>
      <xdr:colOff>491490</xdr:colOff>
      <xdr:row>47</xdr:row>
      <xdr:rowOff>0</xdr:rowOff>
    </xdr:to>
    <xdr:cxnSp macro="">
      <xdr:nvCxnSpPr>
        <xdr:cNvPr id="88" name="Straight Connector 87"/>
        <xdr:cNvCxnSpPr>
          <a:stCxn id="80" idx="0"/>
          <a:endCxn id="80" idx="4"/>
        </xdr:cNvCxnSpPr>
      </xdr:nvCxnSpPr>
      <xdr:spPr>
        <a:xfrm>
          <a:off x="1710690" y="5120640"/>
          <a:ext cx="0" cy="2194560"/>
        </a:xfrm>
        <a:prstGeom prst="line">
          <a:avLst/>
        </a:prstGeom>
        <a:ln w="571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35</xdr:row>
      <xdr:rowOff>160020</xdr:rowOff>
    </xdr:from>
    <xdr:to>
      <xdr:col>4</xdr:col>
      <xdr:colOff>441960</xdr:colOff>
      <xdr:row>45</xdr:row>
      <xdr:rowOff>152400</xdr:rowOff>
    </xdr:to>
    <xdr:cxnSp macro="">
      <xdr:nvCxnSpPr>
        <xdr:cNvPr id="96" name="Straight Connector 95"/>
        <xdr:cNvCxnSpPr/>
      </xdr:nvCxnSpPr>
      <xdr:spPr>
        <a:xfrm flipV="1">
          <a:off x="1181100" y="5280660"/>
          <a:ext cx="1089660" cy="1821180"/>
        </a:xfrm>
        <a:prstGeom prst="line">
          <a:avLst/>
        </a:prstGeom>
        <a:ln w="571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35</xdr:row>
      <xdr:rowOff>160020</xdr:rowOff>
    </xdr:from>
    <xdr:to>
      <xdr:col>4</xdr:col>
      <xdr:colOff>426720</xdr:colOff>
      <xdr:row>46</xdr:row>
      <xdr:rowOff>0</xdr:rowOff>
    </xdr:to>
    <xdr:cxnSp macro="">
      <xdr:nvCxnSpPr>
        <xdr:cNvPr id="99" name="Straight Connector 98"/>
        <xdr:cNvCxnSpPr/>
      </xdr:nvCxnSpPr>
      <xdr:spPr>
        <a:xfrm>
          <a:off x="1226820" y="5280660"/>
          <a:ext cx="1028700" cy="1851660"/>
        </a:xfrm>
        <a:prstGeom prst="line">
          <a:avLst/>
        </a:prstGeom>
        <a:ln w="571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205740</xdr:colOff>
      <xdr:row>37</xdr:row>
      <xdr:rowOff>167640</xdr:rowOff>
    </xdr:from>
    <xdr:to>
      <xdr:col>5</xdr:col>
      <xdr:colOff>213360</xdr:colOff>
      <xdr:row>43</xdr:row>
      <xdr:rowOff>144780</xdr:rowOff>
    </xdr:to>
    <xdr:cxnSp macro="">
      <xdr:nvCxnSpPr>
        <xdr:cNvPr id="102" name="Straight Connector 101"/>
        <xdr:cNvCxnSpPr/>
      </xdr:nvCxnSpPr>
      <xdr:spPr>
        <a:xfrm>
          <a:off x="815340" y="5654040"/>
          <a:ext cx="1836420" cy="1074420"/>
        </a:xfrm>
        <a:prstGeom prst="line">
          <a:avLst/>
        </a:prstGeom>
        <a:ln w="571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40</xdr:row>
      <xdr:rowOff>91440</xdr:rowOff>
    </xdr:from>
    <xdr:to>
      <xdr:col>6</xdr:col>
      <xdr:colOff>106680</xdr:colOff>
      <xdr:row>41</xdr:row>
      <xdr:rowOff>7620</xdr:rowOff>
    </xdr:to>
    <xdr:cxnSp macro="">
      <xdr:nvCxnSpPr>
        <xdr:cNvPr id="107" name="Straight Arrow Connector 106"/>
        <xdr:cNvCxnSpPr/>
      </xdr:nvCxnSpPr>
      <xdr:spPr>
        <a:xfrm flipH="1">
          <a:off x="2705100" y="6126480"/>
          <a:ext cx="449580" cy="99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586740</xdr:colOff>
      <xdr:row>22</xdr:row>
      <xdr:rowOff>30480</xdr:rowOff>
    </xdr:from>
    <xdr:to>
      <xdr:col>14</xdr:col>
      <xdr:colOff>426720</xdr:colOff>
      <xdr:row>28</xdr:row>
      <xdr:rowOff>83820</xdr:rowOff>
    </xdr:to>
    <xdr:grpSp>
      <xdr:nvGrpSpPr>
        <xdr:cNvPr id="118" name="Group 117"/>
        <xdr:cNvGrpSpPr/>
      </xdr:nvGrpSpPr>
      <xdr:grpSpPr>
        <a:xfrm>
          <a:off x="8262158" y="3992880"/>
          <a:ext cx="1059180" cy="1133995"/>
          <a:chOff x="7292340" y="2773680"/>
          <a:chExt cx="1059180" cy="1150620"/>
        </a:xfrm>
      </xdr:grpSpPr>
      <xdr:cxnSp macro="">
        <xdr:nvCxnSpPr>
          <xdr:cNvPr id="110" name="Straight Connector 109"/>
          <xdr:cNvCxnSpPr/>
        </xdr:nvCxnSpPr>
        <xdr:spPr>
          <a:xfrm>
            <a:off x="7292340" y="2827020"/>
            <a:ext cx="0" cy="109728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Straight Connector 110"/>
          <xdr:cNvCxnSpPr/>
        </xdr:nvCxnSpPr>
        <xdr:spPr>
          <a:xfrm>
            <a:off x="7444740" y="2788920"/>
            <a:ext cx="0" cy="109728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Straight Connector 111"/>
          <xdr:cNvCxnSpPr/>
        </xdr:nvCxnSpPr>
        <xdr:spPr>
          <a:xfrm>
            <a:off x="7597140" y="2819400"/>
            <a:ext cx="0" cy="109728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Straight Connector 112"/>
          <xdr:cNvCxnSpPr/>
        </xdr:nvCxnSpPr>
        <xdr:spPr>
          <a:xfrm>
            <a:off x="7741920" y="2819400"/>
            <a:ext cx="0" cy="109728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Straight Connector 113"/>
          <xdr:cNvCxnSpPr/>
        </xdr:nvCxnSpPr>
        <xdr:spPr>
          <a:xfrm>
            <a:off x="7901940" y="2811780"/>
            <a:ext cx="0" cy="109728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Straight Connector 114"/>
          <xdr:cNvCxnSpPr/>
        </xdr:nvCxnSpPr>
        <xdr:spPr>
          <a:xfrm>
            <a:off x="8054340" y="2773680"/>
            <a:ext cx="0" cy="109728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" name="Straight Connector 115"/>
          <xdr:cNvCxnSpPr/>
        </xdr:nvCxnSpPr>
        <xdr:spPr>
          <a:xfrm>
            <a:off x="8206740" y="2804160"/>
            <a:ext cx="0" cy="109728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" name="Straight Connector 116"/>
          <xdr:cNvCxnSpPr/>
        </xdr:nvCxnSpPr>
        <xdr:spPr>
          <a:xfrm>
            <a:off x="8351520" y="2804160"/>
            <a:ext cx="0" cy="109728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579120</xdr:colOff>
      <xdr:row>22</xdr:row>
      <xdr:rowOff>121920</xdr:rowOff>
    </xdr:from>
    <xdr:to>
      <xdr:col>14</xdr:col>
      <xdr:colOff>510540</xdr:colOff>
      <xdr:row>28</xdr:row>
      <xdr:rowOff>83820</xdr:rowOff>
    </xdr:to>
    <xdr:grpSp>
      <xdr:nvGrpSpPr>
        <xdr:cNvPr id="119" name="Group 118"/>
        <xdr:cNvGrpSpPr/>
      </xdr:nvGrpSpPr>
      <xdr:grpSpPr>
        <a:xfrm rot="16200000">
          <a:off x="8308570" y="4030288"/>
          <a:ext cx="1042555" cy="1150620"/>
          <a:chOff x="7292340" y="2773680"/>
          <a:chExt cx="1059180" cy="1150620"/>
        </a:xfrm>
      </xdr:grpSpPr>
      <xdr:cxnSp macro="">
        <xdr:nvCxnSpPr>
          <xdr:cNvPr id="120" name="Straight Connector 119"/>
          <xdr:cNvCxnSpPr/>
        </xdr:nvCxnSpPr>
        <xdr:spPr>
          <a:xfrm>
            <a:off x="7292340" y="2827020"/>
            <a:ext cx="0" cy="109728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7444740" y="2788920"/>
            <a:ext cx="0" cy="109728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Straight Connector 121"/>
          <xdr:cNvCxnSpPr/>
        </xdr:nvCxnSpPr>
        <xdr:spPr>
          <a:xfrm>
            <a:off x="7597140" y="2819400"/>
            <a:ext cx="0" cy="109728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Straight Connector 122"/>
          <xdr:cNvCxnSpPr/>
        </xdr:nvCxnSpPr>
        <xdr:spPr>
          <a:xfrm>
            <a:off x="7741920" y="2819400"/>
            <a:ext cx="0" cy="109728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Straight Connector 123"/>
          <xdr:cNvCxnSpPr/>
        </xdr:nvCxnSpPr>
        <xdr:spPr>
          <a:xfrm>
            <a:off x="7901940" y="2811780"/>
            <a:ext cx="0" cy="109728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5" name="Straight Connector 124"/>
          <xdr:cNvCxnSpPr/>
        </xdr:nvCxnSpPr>
        <xdr:spPr>
          <a:xfrm>
            <a:off x="8054340" y="2773680"/>
            <a:ext cx="0" cy="109728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Straight Connector 125"/>
          <xdr:cNvCxnSpPr/>
        </xdr:nvCxnSpPr>
        <xdr:spPr>
          <a:xfrm>
            <a:off x="8206740" y="2804160"/>
            <a:ext cx="0" cy="109728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" name="Straight Connector 126"/>
          <xdr:cNvCxnSpPr/>
        </xdr:nvCxnSpPr>
        <xdr:spPr>
          <a:xfrm>
            <a:off x="8351520" y="2804160"/>
            <a:ext cx="0" cy="109728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38100</xdr:colOff>
      <xdr:row>31</xdr:row>
      <xdr:rowOff>22860</xdr:rowOff>
    </xdr:from>
    <xdr:to>
      <xdr:col>15</xdr:col>
      <xdr:colOff>579120</xdr:colOff>
      <xdr:row>34</xdr:row>
      <xdr:rowOff>45720</xdr:rowOff>
    </xdr:to>
    <xdr:sp macro="" textlink="">
      <xdr:nvSpPr>
        <xdr:cNvPr id="128" name="Rectangle 127"/>
        <xdr:cNvSpPr/>
      </xdr:nvSpPr>
      <xdr:spPr>
        <a:xfrm>
          <a:off x="7353300" y="4229100"/>
          <a:ext cx="1150620" cy="5715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457200</xdr:colOff>
      <xdr:row>31</xdr:row>
      <xdr:rowOff>11038</xdr:rowOff>
    </xdr:from>
    <xdr:to>
      <xdr:col>13</xdr:col>
      <xdr:colOff>457200</xdr:colOff>
      <xdr:row>34</xdr:row>
      <xdr:rowOff>38100</xdr:rowOff>
    </xdr:to>
    <xdr:cxnSp macro="">
      <xdr:nvCxnSpPr>
        <xdr:cNvPr id="129" name="Straight Arrow Connector 128"/>
        <xdr:cNvCxnSpPr/>
      </xdr:nvCxnSpPr>
      <xdr:spPr>
        <a:xfrm>
          <a:off x="7162800" y="4217278"/>
          <a:ext cx="0" cy="57570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335281</xdr:colOff>
      <xdr:row>2</xdr:row>
      <xdr:rowOff>170904</xdr:rowOff>
    </xdr:from>
    <xdr:to>
      <xdr:col>5</xdr:col>
      <xdr:colOff>176349</xdr:colOff>
      <xdr:row>12</xdr:row>
      <xdr:rowOff>99059</xdr:rowOff>
    </xdr:to>
    <xdr:grpSp>
      <xdr:nvGrpSpPr>
        <xdr:cNvPr id="150" name="Group 149"/>
        <xdr:cNvGrpSpPr/>
      </xdr:nvGrpSpPr>
      <xdr:grpSpPr>
        <a:xfrm>
          <a:off x="1076499" y="531122"/>
          <a:ext cx="1919250" cy="1729246"/>
          <a:chOff x="1264920" y="751114"/>
          <a:chExt cx="1480457" cy="1480457"/>
        </a:xfrm>
      </xdr:grpSpPr>
      <xdr:grpSp>
        <xdr:nvGrpSpPr>
          <xdr:cNvPr id="132" name="Group 131"/>
          <xdr:cNvGrpSpPr/>
        </xdr:nvGrpSpPr>
        <xdr:grpSpPr>
          <a:xfrm>
            <a:off x="1458686" y="751114"/>
            <a:ext cx="1005840" cy="1480457"/>
            <a:chOff x="7261860" y="701040"/>
            <a:chExt cx="2286000" cy="1463040"/>
          </a:xfrm>
        </xdr:grpSpPr>
        <xdr:sp macro="" textlink="">
          <xdr:nvSpPr>
            <xdr:cNvPr id="133" name="Rectangle 132"/>
            <xdr:cNvSpPr/>
          </xdr:nvSpPr>
          <xdr:spPr>
            <a:xfrm>
              <a:off x="7261860" y="74676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34" name="Rectangle 133"/>
            <xdr:cNvSpPr/>
          </xdr:nvSpPr>
          <xdr:spPr>
            <a:xfrm>
              <a:off x="7597140" y="73914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35" name="Rectangle 134"/>
            <xdr:cNvSpPr/>
          </xdr:nvSpPr>
          <xdr:spPr>
            <a:xfrm>
              <a:off x="7932420" y="72390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36" name="Rectangle 135"/>
            <xdr:cNvSpPr/>
          </xdr:nvSpPr>
          <xdr:spPr>
            <a:xfrm>
              <a:off x="8282940" y="73914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37" name="Rectangle 136"/>
            <xdr:cNvSpPr/>
          </xdr:nvSpPr>
          <xdr:spPr>
            <a:xfrm>
              <a:off x="8671560" y="72390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38" name="Rectangle 137"/>
            <xdr:cNvSpPr/>
          </xdr:nvSpPr>
          <xdr:spPr>
            <a:xfrm>
              <a:off x="9029700" y="70104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39" name="Rectangle 138"/>
            <xdr:cNvSpPr/>
          </xdr:nvSpPr>
          <xdr:spPr>
            <a:xfrm>
              <a:off x="9486900" y="71628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  <xdr:grpSp>
        <xdr:nvGrpSpPr>
          <xdr:cNvPr id="140" name="Group 139"/>
          <xdr:cNvGrpSpPr/>
        </xdr:nvGrpSpPr>
        <xdr:grpSpPr>
          <a:xfrm rot="5400000">
            <a:off x="1502229" y="794658"/>
            <a:ext cx="1005840" cy="1480457"/>
            <a:chOff x="7261860" y="701040"/>
            <a:chExt cx="2286000" cy="1463040"/>
          </a:xfrm>
        </xdr:grpSpPr>
        <xdr:sp macro="" textlink="">
          <xdr:nvSpPr>
            <xdr:cNvPr id="141" name="Rectangle 140"/>
            <xdr:cNvSpPr/>
          </xdr:nvSpPr>
          <xdr:spPr>
            <a:xfrm>
              <a:off x="7261860" y="74676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42" name="Rectangle 141"/>
            <xdr:cNvSpPr/>
          </xdr:nvSpPr>
          <xdr:spPr>
            <a:xfrm>
              <a:off x="7597140" y="73914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43" name="Rectangle 142"/>
            <xdr:cNvSpPr/>
          </xdr:nvSpPr>
          <xdr:spPr>
            <a:xfrm>
              <a:off x="7932420" y="72390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44" name="Rectangle 143"/>
            <xdr:cNvSpPr/>
          </xdr:nvSpPr>
          <xdr:spPr>
            <a:xfrm>
              <a:off x="8282940" y="73914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45" name="Rectangle 144"/>
            <xdr:cNvSpPr/>
          </xdr:nvSpPr>
          <xdr:spPr>
            <a:xfrm>
              <a:off x="8671560" y="72390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46" name="Rectangle 145"/>
            <xdr:cNvSpPr/>
          </xdr:nvSpPr>
          <xdr:spPr>
            <a:xfrm>
              <a:off x="9029700" y="70104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47" name="Rectangle 146"/>
            <xdr:cNvSpPr/>
          </xdr:nvSpPr>
          <xdr:spPr>
            <a:xfrm>
              <a:off x="9486900" y="71628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</xdr:grpSp>
    <xdr:clientData/>
  </xdr:twoCellAnchor>
  <xdr:twoCellAnchor>
    <xdr:from>
      <xdr:col>2</xdr:col>
      <xdr:colOff>277585</xdr:colOff>
      <xdr:row>11</xdr:row>
      <xdr:rowOff>91439</xdr:rowOff>
    </xdr:from>
    <xdr:to>
      <xdr:col>3</xdr:col>
      <xdr:colOff>79465</xdr:colOff>
      <xdr:row>15</xdr:row>
      <xdr:rowOff>144779</xdr:rowOff>
    </xdr:to>
    <xdr:cxnSp macro="">
      <xdr:nvCxnSpPr>
        <xdr:cNvPr id="149" name="Straight Arrow Connector 148"/>
        <xdr:cNvCxnSpPr/>
      </xdr:nvCxnSpPr>
      <xdr:spPr>
        <a:xfrm flipV="1">
          <a:off x="1017814" y="2127068"/>
          <a:ext cx="411480" cy="793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437986</xdr:colOff>
      <xdr:row>2</xdr:row>
      <xdr:rowOff>175576</xdr:rowOff>
    </xdr:from>
    <xdr:to>
      <xdr:col>5</xdr:col>
      <xdr:colOff>284166</xdr:colOff>
      <xdr:row>12</xdr:row>
      <xdr:rowOff>15754</xdr:rowOff>
    </xdr:to>
    <xdr:grpSp>
      <xdr:nvGrpSpPr>
        <xdr:cNvPr id="151" name="Group 150"/>
        <xdr:cNvGrpSpPr/>
      </xdr:nvGrpSpPr>
      <xdr:grpSpPr>
        <a:xfrm rot="2790079">
          <a:off x="1320750" y="394248"/>
          <a:ext cx="1641269" cy="1924362"/>
          <a:chOff x="1264920" y="751114"/>
          <a:chExt cx="1480457" cy="1480457"/>
        </a:xfrm>
      </xdr:grpSpPr>
      <xdr:grpSp>
        <xdr:nvGrpSpPr>
          <xdr:cNvPr id="152" name="Group 151"/>
          <xdr:cNvGrpSpPr/>
        </xdr:nvGrpSpPr>
        <xdr:grpSpPr>
          <a:xfrm>
            <a:off x="1458686" y="751114"/>
            <a:ext cx="1005840" cy="1480457"/>
            <a:chOff x="7261860" y="701040"/>
            <a:chExt cx="2286000" cy="1463040"/>
          </a:xfrm>
        </xdr:grpSpPr>
        <xdr:sp macro="" textlink="">
          <xdr:nvSpPr>
            <xdr:cNvPr id="161" name="Rectangle 160"/>
            <xdr:cNvSpPr/>
          </xdr:nvSpPr>
          <xdr:spPr>
            <a:xfrm>
              <a:off x="7261860" y="74676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62" name="Rectangle 161"/>
            <xdr:cNvSpPr/>
          </xdr:nvSpPr>
          <xdr:spPr>
            <a:xfrm>
              <a:off x="7597140" y="73914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63" name="Rectangle 162"/>
            <xdr:cNvSpPr/>
          </xdr:nvSpPr>
          <xdr:spPr>
            <a:xfrm>
              <a:off x="7932420" y="72390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64" name="Rectangle 163"/>
            <xdr:cNvSpPr/>
          </xdr:nvSpPr>
          <xdr:spPr>
            <a:xfrm>
              <a:off x="8282940" y="73914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65" name="Rectangle 164"/>
            <xdr:cNvSpPr/>
          </xdr:nvSpPr>
          <xdr:spPr>
            <a:xfrm>
              <a:off x="8671560" y="72390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66" name="Rectangle 165"/>
            <xdr:cNvSpPr/>
          </xdr:nvSpPr>
          <xdr:spPr>
            <a:xfrm>
              <a:off x="9029700" y="70104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67" name="Rectangle 166"/>
            <xdr:cNvSpPr/>
          </xdr:nvSpPr>
          <xdr:spPr>
            <a:xfrm>
              <a:off x="9486900" y="71628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  <xdr:grpSp>
        <xdr:nvGrpSpPr>
          <xdr:cNvPr id="153" name="Group 152"/>
          <xdr:cNvGrpSpPr/>
        </xdr:nvGrpSpPr>
        <xdr:grpSpPr>
          <a:xfrm rot="5400000">
            <a:off x="1502229" y="794658"/>
            <a:ext cx="1005840" cy="1480457"/>
            <a:chOff x="7261860" y="701040"/>
            <a:chExt cx="2286000" cy="1463040"/>
          </a:xfrm>
        </xdr:grpSpPr>
        <xdr:sp macro="" textlink="">
          <xdr:nvSpPr>
            <xdr:cNvPr id="154" name="Rectangle 153"/>
            <xdr:cNvSpPr/>
          </xdr:nvSpPr>
          <xdr:spPr>
            <a:xfrm>
              <a:off x="7261860" y="74676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55" name="Rectangle 154"/>
            <xdr:cNvSpPr/>
          </xdr:nvSpPr>
          <xdr:spPr>
            <a:xfrm>
              <a:off x="7597140" y="73914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56" name="Rectangle 155"/>
            <xdr:cNvSpPr/>
          </xdr:nvSpPr>
          <xdr:spPr>
            <a:xfrm>
              <a:off x="7932420" y="72390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57" name="Rectangle 156"/>
            <xdr:cNvSpPr/>
          </xdr:nvSpPr>
          <xdr:spPr>
            <a:xfrm>
              <a:off x="8282940" y="73914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58" name="Rectangle 157"/>
            <xdr:cNvSpPr/>
          </xdr:nvSpPr>
          <xdr:spPr>
            <a:xfrm>
              <a:off x="8671560" y="72390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59" name="Rectangle 158"/>
            <xdr:cNvSpPr/>
          </xdr:nvSpPr>
          <xdr:spPr>
            <a:xfrm>
              <a:off x="9029700" y="70104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60" name="Rectangle 159"/>
            <xdr:cNvSpPr/>
          </xdr:nvSpPr>
          <xdr:spPr>
            <a:xfrm>
              <a:off x="9486900" y="716280"/>
              <a:ext cx="60960" cy="1417320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</xdr:grpSp>
    <xdr:clientData/>
  </xdr:twoCellAnchor>
  <xdr:twoCellAnchor>
    <xdr:from>
      <xdr:col>14</xdr:col>
      <xdr:colOff>114794</xdr:colOff>
      <xdr:row>65</xdr:row>
      <xdr:rowOff>2773</xdr:rowOff>
    </xdr:from>
    <xdr:to>
      <xdr:col>21</xdr:col>
      <xdr:colOff>21771</xdr:colOff>
      <xdr:row>65</xdr:row>
      <xdr:rowOff>48492</xdr:rowOff>
    </xdr:to>
    <xdr:sp macro="" textlink="">
      <xdr:nvSpPr>
        <xdr:cNvPr id="6" name="Rectangle 5"/>
        <xdr:cNvSpPr/>
      </xdr:nvSpPr>
      <xdr:spPr>
        <a:xfrm>
          <a:off x="9009412" y="11709864"/>
          <a:ext cx="4423559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Piere Mort (Gravier)</a:t>
          </a:r>
        </a:p>
      </xdr:txBody>
    </xdr:sp>
    <xdr:clientData/>
  </xdr:twoCellAnchor>
  <xdr:twoCellAnchor>
    <xdr:from>
      <xdr:col>13</xdr:col>
      <xdr:colOff>391049</xdr:colOff>
      <xdr:row>46</xdr:row>
      <xdr:rowOff>44380</xdr:rowOff>
    </xdr:from>
    <xdr:to>
      <xdr:col>20</xdr:col>
      <xdr:colOff>401935</xdr:colOff>
      <xdr:row>47</xdr:row>
      <xdr:rowOff>167640</xdr:rowOff>
    </xdr:to>
    <xdr:sp macro="" textlink="">
      <xdr:nvSpPr>
        <xdr:cNvPr id="131" name="Rectangle 130"/>
        <xdr:cNvSpPr/>
      </xdr:nvSpPr>
      <xdr:spPr>
        <a:xfrm>
          <a:off x="6433709" y="8456860"/>
          <a:ext cx="4438106" cy="30614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Sable</a:t>
          </a:r>
        </a:p>
      </xdr:txBody>
    </xdr:sp>
    <xdr:clientData/>
  </xdr:twoCellAnchor>
  <xdr:twoCellAnchor>
    <xdr:from>
      <xdr:col>13</xdr:col>
      <xdr:colOff>402772</xdr:colOff>
      <xdr:row>43</xdr:row>
      <xdr:rowOff>158750</xdr:rowOff>
    </xdr:from>
    <xdr:to>
      <xdr:col>20</xdr:col>
      <xdr:colOff>413658</xdr:colOff>
      <xdr:row>44</xdr:row>
      <xdr:rowOff>158748</xdr:rowOff>
    </xdr:to>
    <xdr:sp macro="" textlink="">
      <xdr:nvSpPr>
        <xdr:cNvPr id="148" name="Rectangle 147"/>
        <xdr:cNvSpPr/>
      </xdr:nvSpPr>
      <xdr:spPr>
        <a:xfrm>
          <a:off x="8683172" y="8077200"/>
          <a:ext cx="4424136" cy="184148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391886</xdr:colOff>
      <xdr:row>44</xdr:row>
      <xdr:rowOff>180869</xdr:rowOff>
    </xdr:from>
    <xdr:to>
      <xdr:col>20</xdr:col>
      <xdr:colOff>402772</xdr:colOff>
      <xdr:row>45</xdr:row>
      <xdr:rowOff>180868</xdr:rowOff>
    </xdr:to>
    <xdr:sp macro="" textlink="">
      <xdr:nvSpPr>
        <xdr:cNvPr id="168" name="Rectangle 167"/>
        <xdr:cNvSpPr/>
      </xdr:nvSpPr>
      <xdr:spPr>
        <a:xfrm>
          <a:off x="6435132" y="8176007"/>
          <a:ext cx="4436348" cy="181707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Beton</a:t>
          </a:r>
          <a:r>
            <a:rPr lang="en-GB" sz="1100" baseline="0"/>
            <a:t> sans barre arme</a:t>
          </a:r>
          <a:endParaRPr lang="en-GB" sz="1100"/>
        </a:p>
      </xdr:txBody>
    </xdr:sp>
    <xdr:clientData/>
  </xdr:twoCellAnchor>
  <xdr:twoCellAnchor>
    <xdr:from>
      <xdr:col>13</xdr:col>
      <xdr:colOff>551906</xdr:colOff>
      <xdr:row>43</xdr:row>
      <xdr:rowOff>181792</xdr:rowOff>
    </xdr:from>
    <xdr:to>
      <xdr:col>20</xdr:col>
      <xdr:colOff>293914</xdr:colOff>
      <xdr:row>44</xdr:row>
      <xdr:rowOff>42453</xdr:rowOff>
    </xdr:to>
    <xdr:sp macro="" textlink="">
      <xdr:nvSpPr>
        <xdr:cNvPr id="169" name="Rectangle 168"/>
        <xdr:cNvSpPr/>
      </xdr:nvSpPr>
      <xdr:spPr>
        <a:xfrm>
          <a:off x="6593477" y="7213963"/>
          <a:ext cx="4172494" cy="4571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tIns="0" rtlCol="0" anchor="t"/>
        <a:lstStyle/>
        <a:p>
          <a:pPr algn="l"/>
          <a:r>
            <a:rPr lang="en-GB" sz="1100"/>
            <a:t>Horizontal Bars</a:t>
          </a:r>
        </a:p>
      </xdr:txBody>
    </xdr:sp>
    <xdr:clientData/>
  </xdr:twoCellAnchor>
  <xdr:twoCellAnchor>
    <xdr:from>
      <xdr:col>22</xdr:col>
      <xdr:colOff>243840</xdr:colOff>
      <xdr:row>43</xdr:row>
      <xdr:rowOff>176515</xdr:rowOff>
    </xdr:from>
    <xdr:to>
      <xdr:col>22</xdr:col>
      <xdr:colOff>252467</xdr:colOff>
      <xdr:row>50</xdr:row>
      <xdr:rowOff>7620</xdr:rowOff>
    </xdr:to>
    <xdr:cxnSp macro="">
      <xdr:nvCxnSpPr>
        <xdr:cNvPr id="170" name="Straight Arrow Connector 169"/>
        <xdr:cNvCxnSpPr/>
      </xdr:nvCxnSpPr>
      <xdr:spPr>
        <a:xfrm flipH="1">
          <a:off x="12077700" y="8040355"/>
          <a:ext cx="8627" cy="11112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391886</xdr:colOff>
      <xdr:row>53</xdr:row>
      <xdr:rowOff>163285</xdr:rowOff>
    </xdr:from>
    <xdr:to>
      <xdr:col>20</xdr:col>
      <xdr:colOff>435429</xdr:colOff>
      <xdr:row>54</xdr:row>
      <xdr:rowOff>10885</xdr:rowOff>
    </xdr:to>
    <xdr:cxnSp macro="">
      <xdr:nvCxnSpPr>
        <xdr:cNvPr id="171" name="Straight Arrow Connector 170"/>
        <xdr:cNvCxnSpPr/>
      </xdr:nvCxnSpPr>
      <xdr:spPr>
        <a:xfrm>
          <a:off x="6433457" y="9971314"/>
          <a:ext cx="4474029" cy="3265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415835</xdr:colOff>
      <xdr:row>40</xdr:row>
      <xdr:rowOff>119742</xdr:rowOff>
    </xdr:from>
    <xdr:to>
      <xdr:col>13</xdr:col>
      <xdr:colOff>685801</xdr:colOff>
      <xdr:row>43</xdr:row>
      <xdr:rowOff>127362</xdr:rowOff>
    </xdr:to>
    <xdr:sp macro="" textlink="">
      <xdr:nvSpPr>
        <xdr:cNvPr id="172" name="Rectangle 171"/>
        <xdr:cNvSpPr/>
      </xdr:nvSpPr>
      <xdr:spPr>
        <a:xfrm>
          <a:off x="6457406" y="7522028"/>
          <a:ext cx="269966" cy="5627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89263</xdr:colOff>
      <xdr:row>40</xdr:row>
      <xdr:rowOff>130628</xdr:rowOff>
    </xdr:from>
    <xdr:to>
      <xdr:col>20</xdr:col>
      <xdr:colOff>359229</xdr:colOff>
      <xdr:row>43</xdr:row>
      <xdr:rowOff>138248</xdr:rowOff>
    </xdr:to>
    <xdr:sp macro="" textlink="">
      <xdr:nvSpPr>
        <xdr:cNvPr id="173" name="Rectangle 172"/>
        <xdr:cNvSpPr/>
      </xdr:nvSpPr>
      <xdr:spPr>
        <a:xfrm>
          <a:off x="10561320" y="7532914"/>
          <a:ext cx="269966" cy="5627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685801</xdr:colOff>
      <xdr:row>42</xdr:row>
      <xdr:rowOff>31024</xdr:rowOff>
    </xdr:from>
    <xdr:to>
      <xdr:col>20</xdr:col>
      <xdr:colOff>89263</xdr:colOff>
      <xdr:row>42</xdr:row>
      <xdr:rowOff>41910</xdr:rowOff>
    </xdr:to>
    <xdr:cxnSp macro="">
      <xdr:nvCxnSpPr>
        <xdr:cNvPr id="174" name="Straight Arrow Connector 173"/>
        <xdr:cNvCxnSpPr>
          <a:stCxn id="172" idx="3"/>
          <a:endCxn id="173" idx="1"/>
        </xdr:cNvCxnSpPr>
      </xdr:nvCxnSpPr>
      <xdr:spPr>
        <a:xfrm>
          <a:off x="6727372" y="7803424"/>
          <a:ext cx="3833948" cy="1088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405355</xdr:colOff>
      <xdr:row>39</xdr:row>
      <xdr:rowOff>11877</xdr:rowOff>
    </xdr:from>
    <xdr:to>
      <xdr:col>21</xdr:col>
      <xdr:colOff>220881</xdr:colOff>
      <xdr:row>48</xdr:row>
      <xdr:rowOff>3168</xdr:rowOff>
    </xdr:to>
    <xdr:sp macro="" textlink="">
      <xdr:nvSpPr>
        <xdr:cNvPr id="175" name="Rectangle 174"/>
        <xdr:cNvSpPr/>
      </xdr:nvSpPr>
      <xdr:spPr>
        <a:xfrm>
          <a:off x="13103046" y="7036132"/>
          <a:ext cx="529035" cy="1612272"/>
        </a:xfrm>
        <a:prstGeom prst="rect">
          <a:avLst/>
        </a:prstGeom>
        <a:gradFill flip="none"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36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bg1"/>
            </a:gs>
          </a:gsLst>
          <a:lin ang="0" scaled="1"/>
          <a:tileRect/>
        </a:gra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396587</xdr:colOff>
      <xdr:row>39</xdr:row>
      <xdr:rowOff>60945</xdr:rowOff>
    </xdr:from>
    <xdr:to>
      <xdr:col>13</xdr:col>
      <xdr:colOff>396587</xdr:colOff>
      <xdr:row>48</xdr:row>
      <xdr:rowOff>21588</xdr:rowOff>
    </xdr:to>
    <xdr:sp macro="" textlink="">
      <xdr:nvSpPr>
        <xdr:cNvPr id="176" name="Rectangle 175"/>
        <xdr:cNvSpPr/>
      </xdr:nvSpPr>
      <xdr:spPr>
        <a:xfrm>
          <a:off x="8072005" y="7085200"/>
          <a:ext cx="609600" cy="1581624"/>
        </a:xfrm>
        <a:prstGeom prst="rect">
          <a:avLst/>
        </a:prstGeom>
        <a:gradFill flip="none"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36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bg1"/>
            </a:gs>
          </a:gsLst>
          <a:lin ang="10800000" scaled="1"/>
          <a:tileRect/>
        </a:gra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610002</xdr:colOff>
      <xdr:row>39</xdr:row>
      <xdr:rowOff>80160</xdr:rowOff>
    </xdr:from>
    <xdr:to>
      <xdr:col>20</xdr:col>
      <xdr:colOff>641268</xdr:colOff>
      <xdr:row>48</xdr:row>
      <xdr:rowOff>17023</xdr:rowOff>
    </xdr:to>
    <xdr:cxnSp macro="">
      <xdr:nvCxnSpPr>
        <xdr:cNvPr id="182" name="Straight Arrow Connector 181"/>
        <xdr:cNvCxnSpPr/>
      </xdr:nvCxnSpPr>
      <xdr:spPr>
        <a:xfrm flipH="1">
          <a:off x="13307693" y="7104415"/>
          <a:ext cx="31266" cy="155784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551906</xdr:colOff>
      <xdr:row>44</xdr:row>
      <xdr:rowOff>83819</xdr:rowOff>
    </xdr:from>
    <xdr:to>
      <xdr:col>20</xdr:col>
      <xdr:colOff>293914</xdr:colOff>
      <xdr:row>44</xdr:row>
      <xdr:rowOff>129537</xdr:rowOff>
    </xdr:to>
    <xdr:sp macro="" textlink="">
      <xdr:nvSpPr>
        <xdr:cNvPr id="184" name="Rectangle 183"/>
        <xdr:cNvSpPr/>
      </xdr:nvSpPr>
      <xdr:spPr>
        <a:xfrm>
          <a:off x="8585563" y="8226333"/>
          <a:ext cx="4150722" cy="4571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tIns="0" rtlCol="0" anchor="t"/>
        <a:lstStyle/>
        <a:p>
          <a:pPr algn="l"/>
          <a:r>
            <a:rPr lang="en-GB" sz="1100"/>
            <a:t>Horizontal Bars</a:t>
          </a:r>
        </a:p>
      </xdr:txBody>
    </xdr:sp>
    <xdr:clientData/>
  </xdr:twoCellAnchor>
  <xdr:twoCellAnchor>
    <xdr:from>
      <xdr:col>13</xdr:col>
      <xdr:colOff>65315</xdr:colOff>
      <xdr:row>56</xdr:row>
      <xdr:rowOff>0</xdr:rowOff>
    </xdr:from>
    <xdr:to>
      <xdr:col>21</xdr:col>
      <xdr:colOff>97972</xdr:colOff>
      <xdr:row>56</xdr:row>
      <xdr:rowOff>21771</xdr:rowOff>
    </xdr:to>
    <xdr:cxnSp macro="">
      <xdr:nvCxnSpPr>
        <xdr:cNvPr id="180" name="Straight Arrow Connector 179"/>
        <xdr:cNvCxnSpPr/>
      </xdr:nvCxnSpPr>
      <xdr:spPr>
        <a:xfrm>
          <a:off x="8098972" y="10363200"/>
          <a:ext cx="5159829" cy="2177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250372</xdr:colOff>
      <xdr:row>41</xdr:row>
      <xdr:rowOff>65314</xdr:rowOff>
    </xdr:from>
    <xdr:to>
      <xdr:col>22</xdr:col>
      <xdr:colOff>255816</xdr:colOff>
      <xdr:row>44</xdr:row>
      <xdr:rowOff>11974</xdr:rowOff>
    </xdr:to>
    <xdr:cxnSp macro="">
      <xdr:nvCxnSpPr>
        <xdr:cNvPr id="181" name="Straight Arrow Connector 180"/>
        <xdr:cNvCxnSpPr/>
      </xdr:nvCxnSpPr>
      <xdr:spPr>
        <a:xfrm>
          <a:off x="12083143" y="7652657"/>
          <a:ext cx="5444" cy="50183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522514</xdr:colOff>
      <xdr:row>58</xdr:row>
      <xdr:rowOff>87086</xdr:rowOff>
    </xdr:from>
    <xdr:to>
      <xdr:col>21</xdr:col>
      <xdr:colOff>511628</xdr:colOff>
      <xdr:row>58</xdr:row>
      <xdr:rowOff>97972</xdr:rowOff>
    </xdr:to>
    <xdr:cxnSp macro="">
      <xdr:nvCxnSpPr>
        <xdr:cNvPr id="183" name="Straight Arrow Connector 182"/>
        <xdr:cNvCxnSpPr/>
      </xdr:nvCxnSpPr>
      <xdr:spPr>
        <a:xfrm flipV="1">
          <a:off x="7946571" y="10820400"/>
          <a:ext cx="5725886" cy="1088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96323</xdr:colOff>
      <xdr:row>39</xdr:row>
      <xdr:rowOff>55418</xdr:rowOff>
    </xdr:from>
    <xdr:to>
      <xdr:col>12</xdr:col>
      <xdr:colOff>368467</xdr:colOff>
      <xdr:row>48</xdr:row>
      <xdr:rowOff>57315</xdr:rowOff>
    </xdr:to>
    <xdr:sp macro="" textlink="">
      <xdr:nvSpPr>
        <xdr:cNvPr id="186" name="Rectangle 185"/>
        <xdr:cNvSpPr/>
      </xdr:nvSpPr>
      <xdr:spPr>
        <a:xfrm>
          <a:off x="7162141" y="7079673"/>
          <a:ext cx="881744" cy="1622878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Clinic</a:t>
          </a:r>
        </a:p>
      </xdr:txBody>
    </xdr:sp>
    <xdr:clientData/>
  </xdr:twoCellAnchor>
  <xdr:twoCellAnchor>
    <xdr:from>
      <xdr:col>20</xdr:col>
      <xdr:colOff>446316</xdr:colOff>
      <xdr:row>54</xdr:row>
      <xdr:rowOff>10886</xdr:rowOff>
    </xdr:from>
    <xdr:to>
      <xdr:col>21</xdr:col>
      <xdr:colOff>533400</xdr:colOff>
      <xdr:row>54</xdr:row>
      <xdr:rowOff>21771</xdr:rowOff>
    </xdr:to>
    <xdr:cxnSp macro="">
      <xdr:nvCxnSpPr>
        <xdr:cNvPr id="187" name="Straight Arrow Connector 186"/>
        <xdr:cNvCxnSpPr/>
      </xdr:nvCxnSpPr>
      <xdr:spPr>
        <a:xfrm>
          <a:off x="12888687" y="10003972"/>
          <a:ext cx="805542" cy="1088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261257</xdr:colOff>
      <xdr:row>53</xdr:row>
      <xdr:rowOff>174171</xdr:rowOff>
    </xdr:from>
    <xdr:to>
      <xdr:col>13</xdr:col>
      <xdr:colOff>391886</xdr:colOff>
      <xdr:row>54</xdr:row>
      <xdr:rowOff>0</xdr:rowOff>
    </xdr:to>
    <xdr:cxnSp macro="">
      <xdr:nvCxnSpPr>
        <xdr:cNvPr id="188" name="Straight Arrow Connector 187"/>
        <xdr:cNvCxnSpPr/>
      </xdr:nvCxnSpPr>
      <xdr:spPr>
        <a:xfrm flipV="1">
          <a:off x="7685314" y="9982200"/>
          <a:ext cx="740229" cy="1088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</xdr:colOff>
      <xdr:row>38</xdr:row>
      <xdr:rowOff>165100</xdr:rowOff>
    </xdr:from>
    <xdr:to>
      <xdr:col>4</xdr:col>
      <xdr:colOff>292100</xdr:colOff>
      <xdr:row>43</xdr:row>
      <xdr:rowOff>25400</xdr:rowOff>
    </xdr:to>
    <xdr:sp macro="" textlink="">
      <xdr:nvSpPr>
        <xdr:cNvPr id="40" name="Oval 39"/>
        <xdr:cNvSpPr/>
      </xdr:nvSpPr>
      <xdr:spPr>
        <a:xfrm>
          <a:off x="1625600" y="6921500"/>
          <a:ext cx="876300" cy="749300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609600</xdr:colOff>
      <xdr:row>37</xdr:row>
      <xdr:rowOff>88900</xdr:rowOff>
    </xdr:from>
    <xdr:to>
      <xdr:col>4</xdr:col>
      <xdr:colOff>558800</xdr:colOff>
      <xdr:row>44</xdr:row>
      <xdr:rowOff>88900</xdr:rowOff>
    </xdr:to>
    <xdr:sp macro="" textlink="">
      <xdr:nvSpPr>
        <xdr:cNvPr id="190" name="Oval 189"/>
        <xdr:cNvSpPr/>
      </xdr:nvSpPr>
      <xdr:spPr>
        <a:xfrm>
          <a:off x="1346200" y="6667500"/>
          <a:ext cx="1422400" cy="1244600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393700</xdr:colOff>
      <xdr:row>36</xdr:row>
      <xdr:rowOff>76200</xdr:rowOff>
    </xdr:from>
    <xdr:to>
      <xdr:col>5</xdr:col>
      <xdr:colOff>127000</xdr:colOff>
      <xdr:row>45</xdr:row>
      <xdr:rowOff>101600</xdr:rowOff>
    </xdr:to>
    <xdr:sp macro="" textlink="">
      <xdr:nvSpPr>
        <xdr:cNvPr id="191" name="Oval 190"/>
        <xdr:cNvSpPr/>
      </xdr:nvSpPr>
      <xdr:spPr>
        <a:xfrm>
          <a:off x="1130300" y="6477000"/>
          <a:ext cx="1816100" cy="1625600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220687</xdr:colOff>
      <xdr:row>48</xdr:row>
      <xdr:rowOff>694</xdr:rowOff>
    </xdr:from>
    <xdr:to>
      <xdr:col>22</xdr:col>
      <xdr:colOff>2974</xdr:colOff>
      <xdr:row>52</xdr:row>
      <xdr:rowOff>14844</xdr:rowOff>
    </xdr:to>
    <xdr:sp macro="" textlink="">
      <xdr:nvSpPr>
        <xdr:cNvPr id="177" name="Rectangle 176"/>
        <xdr:cNvSpPr/>
      </xdr:nvSpPr>
      <xdr:spPr>
        <a:xfrm rot="16200000">
          <a:off x="10592646" y="5949389"/>
          <a:ext cx="734587" cy="6127669"/>
        </a:xfrm>
        <a:prstGeom prst="rect">
          <a:avLst/>
        </a:prstGeom>
        <a:gradFill flip="none"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36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bg1"/>
            </a:gs>
          </a:gsLst>
          <a:lin ang="10800000" scaled="1"/>
          <a:tileRect/>
        </a:gra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Pierre Orange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434340</xdr:colOff>
      <xdr:row>17</xdr:row>
      <xdr:rowOff>0</xdr:rowOff>
    </xdr:from>
    <xdr:to>
      <xdr:col>13</xdr:col>
      <xdr:colOff>449580</xdr:colOff>
      <xdr:row>20</xdr:row>
      <xdr:rowOff>114300</xdr:rowOff>
    </xdr:to>
    <xdr:sp macro="" textlink="">
      <xdr:nvSpPr>
        <xdr:cNvPr id="3" name="Can 2"/>
        <xdr:cNvSpPr/>
      </xdr:nvSpPr>
      <xdr:spPr>
        <a:xfrm>
          <a:off x="6515100" y="3108960"/>
          <a:ext cx="2453640" cy="662940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426720</xdr:colOff>
      <xdr:row>14</xdr:row>
      <xdr:rowOff>7620</xdr:rowOff>
    </xdr:from>
    <xdr:to>
      <xdr:col>13</xdr:col>
      <xdr:colOff>441960</xdr:colOff>
      <xdr:row>17</xdr:row>
      <xdr:rowOff>121920</xdr:rowOff>
    </xdr:to>
    <xdr:sp macro="" textlink="">
      <xdr:nvSpPr>
        <xdr:cNvPr id="4" name="Can 3"/>
        <xdr:cNvSpPr/>
      </xdr:nvSpPr>
      <xdr:spPr>
        <a:xfrm>
          <a:off x="6507480" y="2567940"/>
          <a:ext cx="2453640" cy="662940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487680</xdr:colOff>
      <xdr:row>16</xdr:row>
      <xdr:rowOff>175260</xdr:rowOff>
    </xdr:from>
    <xdr:to>
      <xdr:col>14</xdr:col>
      <xdr:colOff>586740</xdr:colOff>
      <xdr:row>19</xdr:row>
      <xdr:rowOff>144780</xdr:rowOff>
    </xdr:to>
    <xdr:sp macro="" textlink="">
      <xdr:nvSpPr>
        <xdr:cNvPr id="5" name="Curved Up Arrow 4"/>
        <xdr:cNvSpPr/>
      </xdr:nvSpPr>
      <xdr:spPr>
        <a:xfrm>
          <a:off x="5958840" y="3101340"/>
          <a:ext cx="3756660" cy="51816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556260</xdr:colOff>
      <xdr:row>14</xdr:row>
      <xdr:rowOff>38100</xdr:rowOff>
    </xdr:from>
    <xdr:to>
      <xdr:col>14</xdr:col>
      <xdr:colOff>609600</xdr:colOff>
      <xdr:row>17</xdr:row>
      <xdr:rowOff>15240</xdr:rowOff>
    </xdr:to>
    <xdr:sp macro="" textlink="">
      <xdr:nvSpPr>
        <xdr:cNvPr id="6" name="Curved Up Arrow 5"/>
        <xdr:cNvSpPr/>
      </xdr:nvSpPr>
      <xdr:spPr>
        <a:xfrm>
          <a:off x="6073140" y="2598420"/>
          <a:ext cx="3710940" cy="52578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167640</xdr:colOff>
      <xdr:row>14</xdr:row>
      <xdr:rowOff>53340</xdr:rowOff>
    </xdr:from>
    <xdr:to>
      <xdr:col>15</xdr:col>
      <xdr:colOff>182880</xdr:colOff>
      <xdr:row>19</xdr:row>
      <xdr:rowOff>121920</xdr:rowOff>
    </xdr:to>
    <xdr:cxnSp macro="">
      <xdr:nvCxnSpPr>
        <xdr:cNvPr id="8" name="Straight Arrow Connector 7"/>
        <xdr:cNvCxnSpPr/>
      </xdr:nvCxnSpPr>
      <xdr:spPr>
        <a:xfrm>
          <a:off x="9951720" y="2613660"/>
          <a:ext cx="15240" cy="98298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434340</xdr:colOff>
      <xdr:row>13</xdr:row>
      <xdr:rowOff>68580</xdr:rowOff>
    </xdr:from>
    <xdr:to>
      <xdr:col>13</xdr:col>
      <xdr:colOff>510540</xdr:colOff>
      <xdr:row>13</xdr:row>
      <xdr:rowOff>91440</xdr:rowOff>
    </xdr:to>
    <xdr:cxnSp macro="">
      <xdr:nvCxnSpPr>
        <xdr:cNvPr id="10" name="Straight Arrow Connector 9"/>
        <xdr:cNvCxnSpPr/>
      </xdr:nvCxnSpPr>
      <xdr:spPr>
        <a:xfrm>
          <a:off x="6515100" y="2446020"/>
          <a:ext cx="2514600" cy="228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3"/>
  <sheetViews>
    <sheetView workbookViewId="0">
      <selection activeCell="E4" sqref="E4"/>
    </sheetView>
  </sheetViews>
  <sheetFormatPr defaultRowHeight="14.4" x14ac:dyDescent="0.3"/>
  <cols>
    <col min="2" max="2" width="13.6640625" customWidth="1"/>
    <col min="4" max="4" width="9.77734375" customWidth="1"/>
    <col min="5" max="5" width="21.21875" customWidth="1"/>
    <col min="6" max="6" width="12.77734375" customWidth="1"/>
    <col min="7" max="7" width="13.5546875" customWidth="1"/>
    <col min="8" max="8" width="15.33203125" customWidth="1"/>
    <col min="9" max="9" width="10.5546875" customWidth="1"/>
    <col min="13" max="13" width="10.88671875" bestFit="1" customWidth="1"/>
  </cols>
  <sheetData>
    <row r="2" spans="2:22" x14ac:dyDescent="0.3">
      <c r="B2" s="38"/>
      <c r="C2" s="38" t="s">
        <v>10</v>
      </c>
      <c r="D2" s="38"/>
      <c r="E2" s="38" t="s">
        <v>117</v>
      </c>
      <c r="F2" s="38" t="s">
        <v>22</v>
      </c>
      <c r="G2" s="38" t="s">
        <v>107</v>
      </c>
      <c r="H2" s="38" t="s">
        <v>110</v>
      </c>
      <c r="I2" s="38" t="s">
        <v>111</v>
      </c>
    </row>
    <row r="3" spans="2:22" x14ac:dyDescent="0.3">
      <c r="B3" s="38" t="s">
        <v>9</v>
      </c>
      <c r="C3" s="39">
        <v>1000</v>
      </c>
      <c r="D3" s="39" t="s">
        <v>23</v>
      </c>
      <c r="E3" s="39">
        <v>77000</v>
      </c>
      <c r="F3" s="39">
        <v>1600</v>
      </c>
      <c r="G3" s="39">
        <f>E3/C3</f>
        <v>77</v>
      </c>
      <c r="H3" s="40">
        <f>G3*F3</f>
        <v>123200</v>
      </c>
      <c r="I3" s="39"/>
    </row>
    <row r="4" spans="2:22" x14ac:dyDescent="0.3">
      <c r="B4" s="38" t="s">
        <v>11</v>
      </c>
      <c r="C4" s="39">
        <v>1000</v>
      </c>
      <c r="D4" s="39" t="s">
        <v>23</v>
      </c>
      <c r="E4" s="39">
        <v>470000</v>
      </c>
      <c r="F4" s="39">
        <v>7800</v>
      </c>
      <c r="G4" s="38">
        <f>E4/C4</f>
        <v>470</v>
      </c>
      <c r="H4" s="41"/>
      <c r="I4" s="39"/>
    </row>
    <row r="5" spans="2:22" x14ac:dyDescent="0.3">
      <c r="B5" s="38" t="s">
        <v>3</v>
      </c>
      <c r="C5" s="39">
        <v>6.5</v>
      </c>
      <c r="D5" s="39" t="s">
        <v>24</v>
      </c>
      <c r="E5" s="38">
        <v>27000</v>
      </c>
      <c r="F5" s="39">
        <v>1600</v>
      </c>
      <c r="G5" s="42">
        <f>E5/(C5*F5)</f>
        <v>2.5961538461538463</v>
      </c>
      <c r="H5" s="82">
        <f>E5/C5</f>
        <v>4153.8461538461543</v>
      </c>
      <c r="I5" s="39"/>
    </row>
    <row r="6" spans="2:22" x14ac:dyDescent="0.3">
      <c r="B6" s="38" t="s">
        <v>190</v>
      </c>
      <c r="C6" s="39">
        <v>6.5</v>
      </c>
      <c r="D6" s="39" t="s">
        <v>24</v>
      </c>
      <c r="E6" s="39">
        <v>85000</v>
      </c>
      <c r="F6" s="39">
        <v>1600</v>
      </c>
      <c r="G6" s="42">
        <f>E6/(C6*F6)</f>
        <v>8.1730769230769234</v>
      </c>
      <c r="H6" s="40">
        <f>E6/C6</f>
        <v>13076.923076923076</v>
      </c>
      <c r="I6" s="39"/>
    </row>
    <row r="7" spans="2:22" x14ac:dyDescent="0.3">
      <c r="B7" s="38" t="s">
        <v>191</v>
      </c>
      <c r="C7" s="39">
        <v>4</v>
      </c>
      <c r="D7" s="39" t="s">
        <v>24</v>
      </c>
      <c r="E7" s="38">
        <v>85000</v>
      </c>
      <c r="F7" s="39">
        <v>1442</v>
      </c>
      <c r="G7" s="42">
        <f>E7/(C7*F7)</f>
        <v>14.736477115117891</v>
      </c>
      <c r="H7" s="82">
        <f>E7/C7</f>
        <v>21250</v>
      </c>
      <c r="I7" s="39"/>
    </row>
    <row r="8" spans="2:22" x14ac:dyDescent="0.3">
      <c r="B8" s="38" t="s">
        <v>72</v>
      </c>
      <c r="C8" s="39">
        <v>25</v>
      </c>
      <c r="D8" s="39" t="s">
        <v>136</v>
      </c>
      <c r="E8" s="64">
        <v>40000</v>
      </c>
      <c r="F8" s="39"/>
      <c r="G8" s="39"/>
      <c r="H8" s="39"/>
      <c r="I8" s="38">
        <f>E8/C8</f>
        <v>1600</v>
      </c>
    </row>
    <row r="10" spans="2:22" x14ac:dyDescent="0.3">
      <c r="B10" s="19" t="s">
        <v>125</v>
      </c>
    </row>
    <row r="11" spans="2:22" x14ac:dyDescent="0.3">
      <c r="B11" s="38"/>
      <c r="C11" s="38" t="s">
        <v>10</v>
      </c>
      <c r="D11" s="38"/>
      <c r="E11" s="38" t="s">
        <v>117</v>
      </c>
      <c r="F11" s="38" t="s">
        <v>22</v>
      </c>
      <c r="G11" s="38" t="s">
        <v>107</v>
      </c>
      <c r="H11" s="38" t="s">
        <v>110</v>
      </c>
      <c r="I11" s="38" t="s">
        <v>111</v>
      </c>
    </row>
    <row r="12" spans="2:22" x14ac:dyDescent="0.3">
      <c r="B12" s="38" t="s">
        <v>9</v>
      </c>
      <c r="C12" s="39">
        <v>1000</v>
      </c>
      <c r="D12" s="39" t="s">
        <v>23</v>
      </c>
      <c r="E12" s="39">
        <v>82000</v>
      </c>
      <c r="F12" s="39">
        <v>1600</v>
      </c>
      <c r="G12" s="39">
        <f>E12/C12</f>
        <v>82</v>
      </c>
      <c r="H12" s="40">
        <f>G12*F12</f>
        <v>131200</v>
      </c>
      <c r="I12" s="39"/>
      <c r="V12" t="s">
        <v>115</v>
      </c>
    </row>
    <row r="13" spans="2:22" x14ac:dyDescent="0.3">
      <c r="B13" s="38" t="s">
        <v>11</v>
      </c>
      <c r="C13" s="39">
        <v>1000</v>
      </c>
      <c r="D13" s="39" t="s">
        <v>23</v>
      </c>
      <c r="E13" s="39" t="s">
        <v>108</v>
      </c>
      <c r="F13" s="39">
        <v>7800</v>
      </c>
      <c r="G13" s="38" t="s">
        <v>108</v>
      </c>
      <c r="H13" s="41"/>
      <c r="I13" s="39"/>
    </row>
    <row r="14" spans="2:22" x14ac:dyDescent="0.3">
      <c r="B14" s="38" t="s">
        <v>3</v>
      </c>
      <c r="C14" s="39">
        <v>6.5</v>
      </c>
      <c r="D14" s="39" t="s">
        <v>24</v>
      </c>
      <c r="E14" s="39">
        <v>30000</v>
      </c>
      <c r="F14" s="39">
        <v>1600</v>
      </c>
      <c r="G14" s="42">
        <f>E14/(C14*F14)</f>
        <v>2.8846153846153846</v>
      </c>
      <c r="H14" s="40">
        <f>E14/C14</f>
        <v>4615.3846153846152</v>
      </c>
      <c r="I14" s="39"/>
    </row>
    <row r="15" spans="2:22" x14ac:dyDescent="0.3">
      <c r="B15" s="38" t="s">
        <v>2</v>
      </c>
      <c r="C15" s="39">
        <v>6.5</v>
      </c>
      <c r="D15" s="39" t="s">
        <v>24</v>
      </c>
      <c r="E15" s="39">
        <v>85000</v>
      </c>
      <c r="F15" s="39">
        <v>1600</v>
      </c>
      <c r="G15" s="42">
        <f>E15/(C15*F15)</f>
        <v>8.1730769230769234</v>
      </c>
      <c r="H15" s="40">
        <f>E15/C15</f>
        <v>13076.923076923076</v>
      </c>
      <c r="I15" s="39"/>
    </row>
    <row r="16" spans="2:22" x14ac:dyDescent="0.3">
      <c r="B16" s="38" t="s">
        <v>72</v>
      </c>
      <c r="C16" s="39">
        <v>1</v>
      </c>
      <c r="D16" s="39" t="s">
        <v>109</v>
      </c>
      <c r="E16" s="39" t="s">
        <v>108</v>
      </c>
      <c r="F16" s="39"/>
      <c r="G16" s="39"/>
      <c r="H16" s="39"/>
      <c r="I16" s="38" t="s">
        <v>108</v>
      </c>
    </row>
    <row r="19" spans="2:11" x14ac:dyDescent="0.3">
      <c r="B19" t="s">
        <v>183</v>
      </c>
      <c r="D19" t="s">
        <v>134</v>
      </c>
    </row>
    <row r="20" spans="2:11" x14ac:dyDescent="0.3">
      <c r="D20" t="s">
        <v>135</v>
      </c>
    </row>
    <row r="21" spans="2:11" x14ac:dyDescent="0.3">
      <c r="D21" t="s">
        <v>137</v>
      </c>
      <c r="H21">
        <f>200000/7</f>
        <v>28571.428571428572</v>
      </c>
    </row>
    <row r="22" spans="2:11" x14ac:dyDescent="0.3">
      <c r="D22" t="s">
        <v>138</v>
      </c>
      <c r="H22">
        <f>125000/4</f>
        <v>31250</v>
      </c>
      <c r="J22">
        <f>7*H22</f>
        <v>218750</v>
      </c>
      <c r="K22" t="s">
        <v>192</v>
      </c>
    </row>
    <row r="23" spans="2:11" x14ac:dyDescent="0.3">
      <c r="D23" t="s">
        <v>139</v>
      </c>
      <c r="H23" s="6">
        <f>100*(H22-H21)/H21</f>
        <v>9.3749999999999947</v>
      </c>
      <c r="I23">
        <f>H22-H21</f>
        <v>2678.5714285714275</v>
      </c>
      <c r="J23" s="4">
        <f>I23/750</f>
        <v>3.5714285714285698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L73"/>
  <sheetViews>
    <sheetView zoomScale="110" zoomScaleNormal="110" workbookViewId="0">
      <selection activeCell="G11" sqref="G11"/>
    </sheetView>
  </sheetViews>
  <sheetFormatPr defaultRowHeight="14.4" x14ac:dyDescent="0.3"/>
  <cols>
    <col min="1" max="1" width="1.88671875" customWidth="1"/>
    <col min="3" max="3" width="12.5546875" customWidth="1"/>
    <col min="8" max="8" width="15.109375" customWidth="1"/>
    <col min="11" max="11" width="11.21875" customWidth="1"/>
    <col min="18" max="18" width="11" bestFit="1" customWidth="1"/>
    <col min="21" max="21" width="10.44140625" customWidth="1"/>
  </cols>
  <sheetData>
    <row r="2" spans="2:22" x14ac:dyDescent="0.3">
      <c r="B2" s="20" t="s">
        <v>80</v>
      </c>
      <c r="C2" s="21"/>
      <c r="D2" s="21"/>
      <c r="E2" s="21"/>
      <c r="F2" s="21"/>
      <c r="G2" s="21"/>
      <c r="H2" s="22"/>
      <c r="J2" s="20" t="s">
        <v>78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2"/>
    </row>
    <row r="3" spans="2:22" x14ac:dyDescent="0.3">
      <c r="B3" s="23"/>
      <c r="C3" s="9"/>
      <c r="D3" s="9"/>
      <c r="E3" s="9"/>
      <c r="F3" s="9"/>
      <c r="G3" s="9"/>
      <c r="H3" s="24"/>
      <c r="J3" s="23"/>
      <c r="K3" s="9"/>
      <c r="L3" s="9"/>
      <c r="M3" s="9"/>
      <c r="N3" s="9"/>
      <c r="O3" s="9"/>
      <c r="P3" s="9"/>
      <c r="Q3" s="9"/>
      <c r="R3" s="9"/>
      <c r="S3" s="9"/>
      <c r="T3" s="9"/>
      <c r="U3" s="24"/>
    </row>
    <row r="4" spans="2:22" x14ac:dyDescent="0.3">
      <c r="B4" s="23"/>
      <c r="C4" s="9"/>
      <c r="D4" s="9"/>
      <c r="E4" s="9"/>
      <c r="F4" s="9"/>
      <c r="G4" s="9"/>
      <c r="H4" s="24"/>
      <c r="J4" s="23"/>
      <c r="K4" s="9"/>
      <c r="L4" s="9"/>
      <c r="M4" s="9"/>
      <c r="N4" s="9"/>
      <c r="O4" s="9"/>
      <c r="P4" s="9"/>
      <c r="Q4" s="9"/>
      <c r="R4" s="9"/>
      <c r="S4" s="9" t="s">
        <v>32</v>
      </c>
      <c r="T4" s="9">
        <v>0.2</v>
      </c>
      <c r="U4" s="24" t="s">
        <v>31</v>
      </c>
    </row>
    <row r="5" spans="2:22" x14ac:dyDescent="0.3">
      <c r="B5" s="23"/>
      <c r="C5" s="9"/>
      <c r="D5" s="9"/>
      <c r="E5" s="9"/>
      <c r="F5" s="9"/>
      <c r="G5" s="9"/>
      <c r="H5" s="24"/>
      <c r="J5" s="23"/>
      <c r="K5" s="9"/>
      <c r="L5" s="9"/>
      <c r="M5" s="9"/>
      <c r="N5" s="9"/>
      <c r="O5" s="9"/>
      <c r="P5" s="9"/>
      <c r="Q5" s="9"/>
      <c r="R5" s="9"/>
      <c r="S5" s="9"/>
      <c r="T5" s="9"/>
      <c r="U5" s="24"/>
    </row>
    <row r="6" spans="2:22" x14ac:dyDescent="0.3">
      <c r="B6" s="23"/>
      <c r="C6" s="9"/>
      <c r="D6" s="9"/>
      <c r="E6" s="9"/>
      <c r="F6" s="9"/>
      <c r="G6" s="9"/>
      <c r="H6" s="24"/>
      <c r="J6" s="23"/>
      <c r="K6" s="9"/>
      <c r="L6" s="9"/>
      <c r="M6" s="9"/>
      <c r="N6" s="9"/>
      <c r="O6" s="9"/>
      <c r="P6" s="9"/>
      <c r="Q6" s="9"/>
      <c r="R6" s="9"/>
      <c r="S6" s="9"/>
      <c r="T6" s="9"/>
      <c r="U6" s="24"/>
    </row>
    <row r="7" spans="2:22" x14ac:dyDescent="0.3">
      <c r="B7" s="23" t="s">
        <v>37</v>
      </c>
      <c r="C7" s="9"/>
      <c r="D7" s="9"/>
      <c r="E7" s="9"/>
      <c r="F7" s="9"/>
      <c r="G7" s="9"/>
      <c r="H7" s="24"/>
      <c r="J7" s="23" t="s">
        <v>35</v>
      </c>
      <c r="K7" s="9"/>
      <c r="L7" s="9">
        <v>300</v>
      </c>
      <c r="M7" s="9" t="s">
        <v>34</v>
      </c>
      <c r="N7" s="9"/>
      <c r="O7" s="9"/>
      <c r="P7" s="9"/>
      <c r="Q7" s="9"/>
      <c r="R7" s="9"/>
      <c r="S7" s="9"/>
      <c r="T7" s="9"/>
      <c r="U7" s="24"/>
    </row>
    <row r="8" spans="2:22" x14ac:dyDescent="0.3">
      <c r="B8" s="27">
        <v>7.6</v>
      </c>
      <c r="C8" s="9" t="s">
        <v>31</v>
      </c>
      <c r="D8" s="9"/>
      <c r="E8" s="9"/>
      <c r="F8" s="9"/>
      <c r="G8" s="9"/>
      <c r="H8" s="24"/>
      <c r="J8" s="23"/>
      <c r="K8" s="9"/>
      <c r="L8" s="9"/>
      <c r="M8" s="9"/>
      <c r="N8" s="9"/>
      <c r="O8" s="9"/>
      <c r="P8" s="9"/>
      <c r="Q8" s="9"/>
      <c r="R8" s="9"/>
      <c r="S8" s="9" t="s">
        <v>28</v>
      </c>
      <c r="T8" s="9">
        <v>2.2999999999999998</v>
      </c>
      <c r="U8" s="24" t="s">
        <v>31</v>
      </c>
      <c r="V8">
        <f>S13+T8</f>
        <v>2.15</v>
      </c>
    </row>
    <row r="9" spans="2:22" x14ac:dyDescent="0.3">
      <c r="B9" s="23"/>
      <c r="C9" s="9"/>
      <c r="D9" s="9"/>
      <c r="E9" s="9"/>
      <c r="F9" s="9"/>
      <c r="G9" s="9" t="s">
        <v>81</v>
      </c>
      <c r="H9" s="24"/>
      <c r="J9" s="23"/>
      <c r="K9" s="9"/>
      <c r="L9" s="9"/>
      <c r="M9" s="9"/>
      <c r="N9" s="9"/>
      <c r="O9" s="9"/>
      <c r="P9" s="9"/>
      <c r="Q9" s="9"/>
      <c r="R9" s="9"/>
      <c r="S9" s="9"/>
      <c r="T9" s="9"/>
      <c r="U9" s="24"/>
    </row>
    <row r="10" spans="2:22" x14ac:dyDescent="0.3">
      <c r="B10" s="23"/>
      <c r="C10" s="9"/>
      <c r="D10" s="9"/>
      <c r="E10" s="9"/>
      <c r="F10" s="9"/>
      <c r="G10" s="9">
        <v>7</v>
      </c>
      <c r="H10" s="24" t="s">
        <v>31</v>
      </c>
      <c r="J10" s="23"/>
      <c r="K10" s="9"/>
      <c r="L10" s="9"/>
      <c r="M10" s="9"/>
      <c r="N10" s="9"/>
      <c r="O10" s="9"/>
      <c r="P10" s="9"/>
      <c r="Q10" s="9"/>
      <c r="R10" s="9"/>
      <c r="S10" s="9"/>
      <c r="T10" s="9"/>
      <c r="U10" s="24"/>
    </row>
    <row r="11" spans="2:22" x14ac:dyDescent="0.3">
      <c r="B11" s="23"/>
      <c r="C11" s="9"/>
      <c r="D11" s="9"/>
      <c r="E11" s="9"/>
      <c r="F11" s="9"/>
      <c r="G11" s="9"/>
      <c r="H11" s="24"/>
      <c r="J11" s="23"/>
      <c r="K11" s="9"/>
      <c r="L11" s="9"/>
      <c r="M11" s="9"/>
      <c r="N11" s="9"/>
      <c r="O11" s="9"/>
      <c r="P11" s="9"/>
      <c r="Q11" s="9"/>
      <c r="R11" s="9"/>
      <c r="S11" s="9"/>
      <c r="T11" s="9"/>
      <c r="U11" s="24"/>
    </row>
    <row r="12" spans="2:22" x14ac:dyDescent="0.3">
      <c r="B12" s="23"/>
      <c r="C12" s="9"/>
      <c r="D12" s="9"/>
      <c r="E12" s="9"/>
      <c r="F12" s="9"/>
      <c r="G12" s="9"/>
      <c r="H12" s="24"/>
      <c r="J12" s="23"/>
      <c r="K12" s="9"/>
      <c r="L12" s="9"/>
      <c r="M12" s="9"/>
      <c r="N12" s="9"/>
      <c r="O12" s="9"/>
      <c r="P12" s="9"/>
      <c r="Q12" s="9"/>
      <c r="R12" s="9"/>
      <c r="S12" s="9"/>
      <c r="T12" s="9"/>
      <c r="U12" s="24"/>
    </row>
    <row r="13" spans="2:22" x14ac:dyDescent="0.3">
      <c r="B13" s="23"/>
      <c r="C13" s="9"/>
      <c r="D13" s="9"/>
      <c r="E13" s="9"/>
      <c r="F13" s="9"/>
      <c r="G13" s="9"/>
      <c r="H13" s="24"/>
      <c r="J13" s="23" t="s">
        <v>36</v>
      </c>
      <c r="K13" s="9"/>
      <c r="L13" s="9">
        <v>200</v>
      </c>
      <c r="M13" s="9" t="s">
        <v>34</v>
      </c>
      <c r="N13" s="9"/>
      <c r="O13" s="9"/>
      <c r="P13" s="9"/>
      <c r="Q13" s="9"/>
      <c r="R13" s="9"/>
      <c r="S13" s="9">
        <v>-0.15</v>
      </c>
      <c r="T13" s="9"/>
      <c r="U13" s="24"/>
    </row>
    <row r="14" spans="2:22" x14ac:dyDescent="0.3">
      <c r="B14" s="23"/>
      <c r="C14" s="9"/>
      <c r="D14" s="9"/>
      <c r="E14" s="9"/>
      <c r="F14" s="9"/>
      <c r="G14" s="9"/>
      <c r="H14" s="24"/>
      <c r="J14" s="23"/>
      <c r="K14" s="9"/>
      <c r="L14" s="9"/>
      <c r="M14" s="9"/>
      <c r="N14" s="9"/>
      <c r="O14" s="9"/>
      <c r="P14" s="9"/>
      <c r="Q14" s="9"/>
      <c r="R14" s="9"/>
      <c r="S14" s="9"/>
      <c r="T14" s="9"/>
      <c r="U14" s="24"/>
    </row>
    <row r="15" spans="2:22" x14ac:dyDescent="0.3">
      <c r="B15" s="23"/>
      <c r="C15" s="9"/>
      <c r="D15" s="9"/>
      <c r="E15" s="9"/>
      <c r="F15" s="9"/>
      <c r="G15" s="9"/>
      <c r="H15" s="24"/>
      <c r="J15" s="23"/>
      <c r="K15" s="9"/>
      <c r="L15" s="9"/>
      <c r="M15" s="9"/>
      <c r="R15" s="9"/>
      <c r="S15" s="9"/>
      <c r="T15" s="9"/>
      <c r="U15" s="24"/>
    </row>
    <row r="16" spans="2:22" x14ac:dyDescent="0.3">
      <c r="B16" s="23"/>
      <c r="C16" s="9"/>
      <c r="D16" s="9"/>
      <c r="E16" s="9"/>
      <c r="F16" s="9"/>
      <c r="G16" s="9"/>
      <c r="H16" s="24"/>
      <c r="J16" s="25"/>
      <c r="K16" s="8"/>
      <c r="L16" s="8"/>
      <c r="M16" s="8"/>
      <c r="N16" s="8"/>
      <c r="O16" s="8"/>
      <c r="P16" s="8"/>
      <c r="Q16" s="8"/>
      <c r="R16" s="8"/>
      <c r="S16" s="8"/>
      <c r="T16" s="8"/>
      <c r="U16" s="26"/>
    </row>
    <row r="17" spans="2:21" x14ac:dyDescent="0.3">
      <c r="B17" s="28" t="s">
        <v>79</v>
      </c>
      <c r="C17" s="9"/>
      <c r="D17" s="9"/>
      <c r="E17" s="9"/>
      <c r="F17" s="9"/>
      <c r="G17" s="9" t="s">
        <v>231</v>
      </c>
      <c r="H17" s="88">
        <f>PI()*G10</f>
        <v>21.991148575128552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2:21" x14ac:dyDescent="0.3">
      <c r="B18" s="23" t="s">
        <v>83</v>
      </c>
      <c r="C18" s="9"/>
      <c r="D18" s="9">
        <v>6</v>
      </c>
      <c r="E18" s="9" t="s">
        <v>34</v>
      </c>
      <c r="F18" s="9"/>
      <c r="G18" s="9"/>
      <c r="H18" s="24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2:21" x14ac:dyDescent="0.3">
      <c r="B19" s="23" t="s">
        <v>84</v>
      </c>
      <c r="C19" s="9"/>
      <c r="D19" s="9">
        <v>5</v>
      </c>
      <c r="E19" s="9"/>
      <c r="F19" s="9"/>
      <c r="G19" s="9"/>
      <c r="H19" s="24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2:21" x14ac:dyDescent="0.3">
      <c r="B20" s="23" t="s">
        <v>82</v>
      </c>
      <c r="C20" s="9"/>
      <c r="D20" s="9">
        <v>2</v>
      </c>
      <c r="E20" s="9"/>
      <c r="F20" s="9"/>
      <c r="G20" s="9"/>
      <c r="H20" s="24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2:21" x14ac:dyDescent="0.3">
      <c r="B21" s="25"/>
      <c r="C21" s="8"/>
      <c r="D21" s="8"/>
      <c r="E21" s="8"/>
      <c r="F21" s="8"/>
      <c r="G21" s="8"/>
      <c r="H21" s="26"/>
    </row>
    <row r="22" spans="2:21" x14ac:dyDescent="0.3">
      <c r="B22" s="9"/>
      <c r="C22" s="9"/>
      <c r="D22" s="9"/>
      <c r="E22" s="9"/>
      <c r="F22" s="9"/>
      <c r="G22" s="9"/>
      <c r="H22" s="9"/>
      <c r="M22" s="20" t="s">
        <v>96</v>
      </c>
      <c r="N22" s="21"/>
      <c r="O22" s="21"/>
      <c r="P22" s="21"/>
      <c r="Q22" s="21"/>
      <c r="R22" s="21"/>
      <c r="S22" s="22"/>
    </row>
    <row r="23" spans="2:21" x14ac:dyDescent="0.3">
      <c r="B23" s="20" t="s">
        <v>75</v>
      </c>
      <c r="C23" s="21"/>
      <c r="D23" s="21"/>
      <c r="E23" s="21"/>
      <c r="F23" s="21"/>
      <c r="G23" s="21" t="s">
        <v>118</v>
      </c>
      <c r="H23" s="21"/>
      <c r="I23" s="21">
        <v>200</v>
      </c>
      <c r="J23" s="21" t="s">
        <v>34</v>
      </c>
      <c r="K23" s="22"/>
      <c r="M23" s="23"/>
      <c r="N23" s="9"/>
      <c r="O23" s="9"/>
      <c r="P23" s="9"/>
      <c r="Q23" s="9"/>
      <c r="R23" s="9"/>
      <c r="S23" s="24"/>
    </row>
    <row r="24" spans="2:21" x14ac:dyDescent="0.3">
      <c r="B24" s="23"/>
      <c r="C24" s="9"/>
      <c r="D24" s="9"/>
      <c r="E24" s="9"/>
      <c r="F24" s="9"/>
      <c r="G24" s="9"/>
      <c r="H24" s="9"/>
      <c r="I24" s="9"/>
      <c r="J24" s="9"/>
      <c r="K24" s="24"/>
      <c r="M24" s="23"/>
      <c r="N24" s="9"/>
      <c r="O24" s="9"/>
      <c r="P24" s="9"/>
      <c r="Q24" s="9"/>
      <c r="R24" s="9"/>
      <c r="S24" s="24"/>
    </row>
    <row r="25" spans="2:21" x14ac:dyDescent="0.3">
      <c r="B25" s="23" t="s">
        <v>123</v>
      </c>
      <c r="C25" s="9"/>
      <c r="D25" s="9"/>
      <c r="E25" s="9"/>
      <c r="F25" s="9"/>
      <c r="G25" s="9"/>
      <c r="H25" s="9"/>
      <c r="I25" s="9"/>
      <c r="J25" s="9"/>
      <c r="K25" s="24"/>
      <c r="M25" s="23"/>
      <c r="N25" s="9"/>
      <c r="O25" s="9"/>
      <c r="P25" s="9" t="s">
        <v>61</v>
      </c>
      <c r="Q25" s="9"/>
      <c r="R25" s="9">
        <v>0</v>
      </c>
      <c r="S25" s="24"/>
    </row>
    <row r="26" spans="2:21" x14ac:dyDescent="0.3">
      <c r="B26" s="23"/>
      <c r="C26" s="9"/>
      <c r="D26" s="9"/>
      <c r="E26" s="9"/>
      <c r="F26" s="9"/>
      <c r="G26" s="9"/>
      <c r="H26" s="9"/>
      <c r="I26" s="9" t="s">
        <v>33</v>
      </c>
      <c r="J26" s="9"/>
      <c r="K26" s="24">
        <v>60</v>
      </c>
      <c r="L26" t="s">
        <v>34</v>
      </c>
      <c r="M26" s="23"/>
      <c r="N26" s="9"/>
      <c r="O26" s="9"/>
      <c r="P26" s="9" t="s">
        <v>63</v>
      </c>
      <c r="Q26" s="9"/>
      <c r="R26" s="9">
        <v>3</v>
      </c>
      <c r="S26" s="24" t="s">
        <v>34</v>
      </c>
    </row>
    <row r="27" spans="2:21" x14ac:dyDescent="0.3">
      <c r="B27" s="23" t="s">
        <v>124</v>
      </c>
      <c r="C27" s="9"/>
      <c r="D27" s="9"/>
      <c r="E27" s="9"/>
      <c r="F27" s="9"/>
      <c r="G27" s="9"/>
      <c r="H27" s="9"/>
      <c r="I27" s="9"/>
      <c r="J27" s="9"/>
      <c r="K27" s="24"/>
      <c r="M27" s="23"/>
      <c r="N27" s="9"/>
      <c r="O27" s="9"/>
      <c r="P27" s="9"/>
      <c r="Q27" s="9"/>
      <c r="R27" s="9"/>
      <c r="S27" s="24"/>
    </row>
    <row r="28" spans="2:21" x14ac:dyDescent="0.3">
      <c r="B28" s="23"/>
      <c r="C28" s="9"/>
      <c r="D28" s="9"/>
      <c r="E28" s="9"/>
      <c r="F28" s="9"/>
      <c r="G28" s="9"/>
      <c r="H28" s="9"/>
      <c r="I28" s="9"/>
      <c r="J28" s="9"/>
      <c r="K28" s="24"/>
      <c r="M28" s="23"/>
      <c r="N28" s="9"/>
      <c r="O28" s="9"/>
      <c r="P28" s="9"/>
      <c r="Q28" s="9"/>
      <c r="R28" s="9"/>
      <c r="S28" s="24"/>
    </row>
    <row r="29" spans="2:21" x14ac:dyDescent="0.3">
      <c r="B29" s="23"/>
      <c r="C29" s="9"/>
      <c r="D29" s="9"/>
      <c r="E29" s="9"/>
      <c r="F29" s="9"/>
      <c r="G29" s="9"/>
      <c r="H29" s="9"/>
      <c r="I29" s="9"/>
      <c r="J29" s="9"/>
      <c r="K29" s="24"/>
      <c r="M29" s="25"/>
      <c r="N29" s="8"/>
      <c r="O29" s="8"/>
      <c r="P29" s="8"/>
      <c r="Q29" s="8"/>
      <c r="R29" s="8"/>
      <c r="S29" s="26"/>
    </row>
    <row r="30" spans="2:21" x14ac:dyDescent="0.3">
      <c r="B30" s="23"/>
      <c r="C30" s="9"/>
      <c r="D30" s="9"/>
      <c r="E30" s="9"/>
      <c r="F30" s="9"/>
      <c r="G30" s="9"/>
      <c r="H30" s="9"/>
      <c r="I30" s="9"/>
      <c r="J30" s="9"/>
      <c r="K30" s="24"/>
    </row>
    <row r="31" spans="2:21" x14ac:dyDescent="0.3">
      <c r="B31" s="25" t="s">
        <v>40</v>
      </c>
      <c r="C31" s="8"/>
      <c r="D31" s="8">
        <v>10</v>
      </c>
      <c r="E31" s="8" t="s">
        <v>34</v>
      </c>
      <c r="F31" s="8"/>
      <c r="G31" s="8"/>
      <c r="H31" s="8" t="s">
        <v>41</v>
      </c>
      <c r="I31" s="8"/>
      <c r="J31" s="8">
        <v>10</v>
      </c>
      <c r="K31" s="26" t="s">
        <v>34</v>
      </c>
      <c r="M31" s="20" t="s">
        <v>77</v>
      </c>
      <c r="N31" s="21"/>
      <c r="O31" s="21"/>
      <c r="P31" s="21"/>
      <c r="Q31" s="21"/>
      <c r="R31" s="21"/>
      <c r="S31" s="22"/>
    </row>
    <row r="32" spans="2:21" x14ac:dyDescent="0.3">
      <c r="M32" s="23"/>
      <c r="N32" s="9"/>
      <c r="O32" s="9"/>
      <c r="P32" s="9"/>
      <c r="Q32" s="9"/>
      <c r="R32" s="9"/>
      <c r="S32" s="24"/>
    </row>
    <row r="33" spans="2:38" x14ac:dyDescent="0.3">
      <c r="M33" s="23" t="s">
        <v>73</v>
      </c>
      <c r="N33" s="9"/>
      <c r="O33" s="9"/>
      <c r="P33" s="9"/>
      <c r="Q33" s="9"/>
      <c r="R33" s="9"/>
      <c r="S33" s="24"/>
    </row>
    <row r="34" spans="2:38" x14ac:dyDescent="0.3">
      <c r="M34" s="23">
        <v>1.2</v>
      </c>
      <c r="N34" s="9" t="s">
        <v>31</v>
      </c>
      <c r="O34" s="9"/>
      <c r="P34" s="9"/>
      <c r="Q34" s="9"/>
      <c r="R34" s="9"/>
      <c r="S34" s="24"/>
    </row>
    <row r="35" spans="2:38" x14ac:dyDescent="0.3">
      <c r="B35" s="20" t="s">
        <v>76</v>
      </c>
      <c r="C35" s="21"/>
      <c r="D35" s="21"/>
      <c r="E35" s="21"/>
      <c r="F35" s="21"/>
      <c r="G35" s="21"/>
      <c r="H35" s="22"/>
      <c r="M35" s="23"/>
      <c r="N35" s="9"/>
      <c r="O35" s="9"/>
      <c r="P35" s="9"/>
      <c r="Q35" s="9"/>
      <c r="R35" s="9"/>
      <c r="S35" s="24"/>
    </row>
    <row r="36" spans="2:38" x14ac:dyDescent="0.3">
      <c r="B36" s="23"/>
      <c r="C36" s="9"/>
      <c r="D36" s="9"/>
      <c r="E36" s="9"/>
      <c r="F36" s="9"/>
      <c r="G36" s="9"/>
      <c r="H36" s="24"/>
      <c r="M36" s="25"/>
      <c r="N36" s="8"/>
      <c r="O36" s="8"/>
      <c r="P36" s="8"/>
      <c r="Q36" s="8"/>
      <c r="R36" s="8"/>
      <c r="S36" s="26"/>
    </row>
    <row r="37" spans="2:38" x14ac:dyDescent="0.3">
      <c r="B37" s="23"/>
      <c r="C37" s="9"/>
      <c r="D37" s="9"/>
      <c r="E37" s="9"/>
      <c r="F37" s="9"/>
      <c r="G37" s="9"/>
      <c r="H37" s="24"/>
    </row>
    <row r="38" spans="2:38" x14ac:dyDescent="0.3">
      <c r="B38" s="23"/>
      <c r="C38" s="9"/>
      <c r="D38" s="9"/>
      <c r="E38" s="9"/>
      <c r="F38" s="9"/>
      <c r="G38" s="9"/>
      <c r="H38" s="24"/>
    </row>
    <row r="39" spans="2:38" x14ac:dyDescent="0.3">
      <c r="B39" s="23"/>
      <c r="C39" s="9"/>
      <c r="D39" s="9"/>
      <c r="E39" s="9"/>
      <c r="F39" s="9"/>
      <c r="G39" s="9"/>
      <c r="H39" s="24"/>
      <c r="M39" s="83" t="s">
        <v>120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2:38" x14ac:dyDescent="0.3">
      <c r="B40" s="23"/>
      <c r="C40" s="9"/>
      <c r="D40" s="9"/>
      <c r="E40" s="9"/>
      <c r="F40" s="9"/>
      <c r="G40" s="9"/>
      <c r="H40" s="24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2:38" x14ac:dyDescent="0.3">
      <c r="B41" s="23"/>
      <c r="C41" s="9"/>
      <c r="D41" s="9"/>
      <c r="E41" s="9"/>
      <c r="F41" s="9"/>
      <c r="G41" s="9" t="s">
        <v>56</v>
      </c>
      <c r="H41" s="24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2:38" x14ac:dyDescent="0.3">
      <c r="B42" s="23"/>
      <c r="C42" s="9"/>
      <c r="D42" s="9"/>
      <c r="E42" s="9"/>
      <c r="F42" s="9"/>
      <c r="G42" s="9">
        <v>12</v>
      </c>
      <c r="H42" s="24" t="s">
        <v>34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 t="s">
        <v>193</v>
      </c>
      <c r="Z42" s="9"/>
      <c r="AA42" s="9"/>
    </row>
    <row r="43" spans="2:38" x14ac:dyDescent="0.3">
      <c r="B43" s="23"/>
      <c r="C43" s="9"/>
      <c r="D43" s="9"/>
      <c r="E43" s="9"/>
      <c r="F43" s="9"/>
      <c r="G43" s="9"/>
      <c r="H43" s="24"/>
      <c r="M43" s="9"/>
      <c r="N43" s="9"/>
      <c r="O43" s="9"/>
      <c r="P43" s="9"/>
      <c r="Q43" s="9">
        <f>G10</f>
        <v>7</v>
      </c>
      <c r="R43" s="9" t="s">
        <v>31</v>
      </c>
      <c r="S43" s="9"/>
      <c r="T43" s="9"/>
      <c r="U43" s="9"/>
      <c r="V43" s="9"/>
      <c r="W43" s="9">
        <f>U46-X51</f>
        <v>200</v>
      </c>
      <c r="X43" s="9" t="s">
        <v>34</v>
      </c>
      <c r="Y43" s="9"/>
      <c r="Z43" s="9"/>
      <c r="AA43" s="9"/>
    </row>
    <row r="44" spans="2:38" x14ac:dyDescent="0.3">
      <c r="B44" s="23"/>
      <c r="C44" s="9"/>
      <c r="D44" s="9"/>
      <c r="E44" s="9"/>
      <c r="F44" s="9"/>
      <c r="G44" s="9"/>
      <c r="H44" s="24"/>
      <c r="M44" s="9"/>
      <c r="N44" s="9"/>
      <c r="O44" s="9"/>
      <c r="P44" s="9" t="s">
        <v>249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I44">
        <f>'Materials Bill'!M26/'Materials Bill'!M26</f>
        <v>1</v>
      </c>
      <c r="AJ44">
        <f>'Materials Bill'!N26/'Materials Bill'!M26</f>
        <v>2</v>
      </c>
      <c r="AK44" s="6">
        <f>'Materials Bill'!O26/'Materials Bill'!M26</f>
        <v>4.0221914008321775</v>
      </c>
      <c r="AL44" s="6">
        <f>'Materials Bill'!P26/'Materials Bill'!M26</f>
        <v>8.9230769230769234</v>
      </c>
    </row>
    <row r="45" spans="2:38" x14ac:dyDescent="0.3">
      <c r="B45" s="23"/>
      <c r="C45" s="9"/>
      <c r="D45" s="9"/>
      <c r="E45" s="9"/>
      <c r="F45" s="9"/>
      <c r="G45" s="9"/>
      <c r="H45" s="24"/>
      <c r="M45" s="9"/>
      <c r="N45" s="9"/>
      <c r="O45" s="9"/>
      <c r="P45" s="9"/>
      <c r="Q45" s="9"/>
      <c r="R45" s="9"/>
      <c r="S45" s="9"/>
      <c r="T45" s="9"/>
      <c r="U45" s="9"/>
      <c r="V45" s="9"/>
      <c r="W45" s="9">
        <v>100</v>
      </c>
      <c r="X45" s="9" t="s">
        <v>34</v>
      </c>
      <c r="Y45" s="11">
        <f>PI()*(W45/1000)*($Q$55/2)^2</f>
        <v>4.5364597917836615</v>
      </c>
      <c r="Z45" s="9" t="s">
        <v>24</v>
      </c>
      <c r="AA45" s="9" t="s">
        <v>250</v>
      </c>
      <c r="AI45" s="9">
        <v>1</v>
      </c>
      <c r="AJ45" s="11">
        <f>'Materials Bill'!N27/'Materials Bill'!M27</f>
        <v>2</v>
      </c>
      <c r="AK45" s="11">
        <f>'Materials Bill'!O27/'Materials Bill'!M27</f>
        <v>8</v>
      </c>
      <c r="AL45" s="11">
        <f>'Materials Bill'!P27/'Materials Bill'!M27</f>
        <v>16</v>
      </c>
    </row>
    <row r="46" spans="2:38" x14ac:dyDescent="0.3">
      <c r="B46" s="23"/>
      <c r="C46" s="9"/>
      <c r="D46" s="9"/>
      <c r="E46" s="9"/>
      <c r="F46" s="9"/>
      <c r="G46" s="9"/>
      <c r="H46" s="24"/>
      <c r="M46" s="9"/>
      <c r="N46" s="9"/>
      <c r="O46" s="9"/>
      <c r="P46" s="9"/>
      <c r="Q46" s="9"/>
      <c r="R46" s="9"/>
      <c r="S46" s="9"/>
      <c r="T46" s="9"/>
      <c r="U46" s="9">
        <v>500</v>
      </c>
      <c r="V46" s="9">
        <v>500</v>
      </c>
      <c r="W46" s="9">
        <v>50</v>
      </c>
      <c r="X46" s="9" t="s">
        <v>34</v>
      </c>
      <c r="Y46" s="11">
        <f>PI()*(W46/1000)*($Q$55/2)^2</f>
        <v>2.2682298958918308</v>
      </c>
      <c r="Z46" s="9" t="s">
        <v>24</v>
      </c>
      <c r="AA46" s="9" t="s">
        <v>251</v>
      </c>
    </row>
    <row r="47" spans="2:38" x14ac:dyDescent="0.3">
      <c r="B47" s="23"/>
      <c r="C47" s="9"/>
      <c r="D47" s="9"/>
      <c r="E47" s="9"/>
      <c r="F47" s="9"/>
      <c r="G47" s="9"/>
      <c r="H47" s="24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9"/>
    </row>
    <row r="48" spans="2:38" x14ac:dyDescent="0.3">
      <c r="B48" s="25"/>
      <c r="C48" s="8"/>
      <c r="D48" s="8"/>
      <c r="E48" s="8"/>
      <c r="F48" s="8"/>
      <c r="G48" s="8"/>
      <c r="H48" s="26"/>
      <c r="M48" s="9"/>
      <c r="N48" s="9"/>
      <c r="O48" s="9"/>
      <c r="P48" s="9"/>
      <c r="Q48" s="9"/>
      <c r="R48" s="9"/>
      <c r="S48" s="9"/>
      <c r="T48" s="9"/>
      <c r="U48" s="9"/>
      <c r="V48" s="9"/>
      <c r="W48" s="9">
        <v>150</v>
      </c>
      <c r="X48" s="9" t="s">
        <v>34</v>
      </c>
      <c r="Y48" s="11">
        <f>PI()*(W48/1000)*($Q$55/2)^2</f>
        <v>6.8046896876754914</v>
      </c>
      <c r="Z48" s="9" t="s">
        <v>24</v>
      </c>
      <c r="AA48" s="9" t="s">
        <v>186</v>
      </c>
    </row>
    <row r="49" spans="2:27" x14ac:dyDescent="0.3"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9"/>
    </row>
    <row r="50" spans="2:27" x14ac:dyDescent="0.3">
      <c r="B50" s="1" t="s">
        <v>198</v>
      </c>
      <c r="G50" s="1" t="s">
        <v>226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>
        <v>0</v>
      </c>
      <c r="X50" s="9" t="s">
        <v>34</v>
      </c>
      <c r="Y50" s="11">
        <f>PI()*(W50/1000)*($Q$55/2)^2</f>
        <v>0</v>
      </c>
      <c r="Z50" s="9" t="s">
        <v>24</v>
      </c>
      <c r="AA50" s="18"/>
    </row>
    <row r="51" spans="2:27" x14ac:dyDescent="0.3">
      <c r="B51" s="9" t="s">
        <v>42</v>
      </c>
      <c r="C51" s="9"/>
      <c r="D51" s="9">
        <v>10</v>
      </c>
      <c r="E51" s="9" t="s">
        <v>34</v>
      </c>
      <c r="G51" t="s">
        <v>227</v>
      </c>
      <c r="I51">
        <v>10</v>
      </c>
      <c r="J51" t="s">
        <v>34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>
        <f>SUM(W45:W50)</f>
        <v>300</v>
      </c>
      <c r="Y51" s="9"/>
      <c r="Z51" s="9"/>
      <c r="AA51" s="9"/>
    </row>
    <row r="52" spans="2:27" x14ac:dyDescent="0.3">
      <c r="B52" t="s">
        <v>199</v>
      </c>
      <c r="D52">
        <v>200</v>
      </c>
      <c r="E52" t="s">
        <v>34</v>
      </c>
      <c r="G52" t="s">
        <v>228</v>
      </c>
      <c r="I52">
        <v>5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2:27" x14ac:dyDescent="0.3">
      <c r="B53" t="s">
        <v>200</v>
      </c>
      <c r="D53" s="6">
        <f>PI()*G10/0.2</f>
        <v>109.95574287564276</v>
      </c>
      <c r="G53" t="s">
        <v>229</v>
      </c>
      <c r="I53">
        <f>1.3/0.3</f>
        <v>4.3333333333333339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2:27" x14ac:dyDescent="0.3">
      <c r="B54" t="s">
        <v>202</v>
      </c>
      <c r="D54" s="7">
        <v>1000</v>
      </c>
      <c r="E54" t="s">
        <v>34</v>
      </c>
      <c r="G54" t="s">
        <v>230</v>
      </c>
      <c r="I54">
        <f>SUM(I53+I52)</f>
        <v>9.3333333333333339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Y54" s="9"/>
      <c r="Z54" s="9"/>
      <c r="AA54" s="9"/>
    </row>
    <row r="55" spans="2:27" x14ac:dyDescent="0.3">
      <c r="B55" t="s">
        <v>44</v>
      </c>
      <c r="D55" s="7">
        <f>D54*D53/1000</f>
        <v>109.95574287564276</v>
      </c>
      <c r="E55" t="s">
        <v>31</v>
      </c>
      <c r="G55" t="s">
        <v>232</v>
      </c>
      <c r="I55">
        <f>PI()*G10</f>
        <v>21.991148575128552</v>
      </c>
      <c r="M55" s="9"/>
      <c r="N55" s="9">
        <f>(Q60-Q55)/2</f>
        <v>0.40000000000000036</v>
      </c>
      <c r="O55" s="9" t="s">
        <v>31</v>
      </c>
      <c r="P55" s="9"/>
      <c r="Q55" s="9">
        <f>B8</f>
        <v>7.6</v>
      </c>
      <c r="R55" s="9" t="s">
        <v>31</v>
      </c>
      <c r="S55" s="9"/>
      <c r="T55" s="9"/>
      <c r="U55" s="9">
        <f>N55</f>
        <v>0.40000000000000036</v>
      </c>
      <c r="V55" s="9" t="s">
        <v>31</v>
      </c>
      <c r="W55" s="9"/>
      <c r="X55" s="9"/>
      <c r="Y55" s="9"/>
      <c r="Z55" s="9"/>
      <c r="AA55" s="9"/>
    </row>
    <row r="56" spans="2:27" x14ac:dyDescent="0.3">
      <c r="B56" t="s">
        <v>216</v>
      </c>
      <c r="D56">
        <f>ROUND(D55/12,0)</f>
        <v>9</v>
      </c>
      <c r="G56" t="s">
        <v>44</v>
      </c>
      <c r="I56">
        <f>I55*I54</f>
        <v>205.25072003453317</v>
      </c>
      <c r="M56" s="9"/>
      <c r="N56" s="9"/>
      <c r="O56" s="9"/>
      <c r="P56" s="9"/>
      <c r="S56" s="9"/>
      <c r="T56" s="9"/>
      <c r="U56" s="9"/>
      <c r="V56" s="9"/>
      <c r="W56" s="9"/>
      <c r="X56" s="9"/>
      <c r="Y56" s="9"/>
      <c r="Z56" s="9"/>
      <c r="AA56" s="9"/>
    </row>
    <row r="57" spans="2:27" x14ac:dyDescent="0.3">
      <c r="D57" s="7"/>
      <c r="G57" t="s">
        <v>235</v>
      </c>
      <c r="I57" s="5">
        <f>I56/12</f>
        <v>17.104226669544431</v>
      </c>
      <c r="M57" s="9"/>
      <c r="N57" s="9"/>
      <c r="O57" s="9"/>
      <c r="P57" s="9"/>
      <c r="Q57" s="9">
        <v>7.6</v>
      </c>
      <c r="R57" s="9" t="s">
        <v>31</v>
      </c>
      <c r="S57" s="9"/>
      <c r="T57" s="9"/>
      <c r="U57" s="9"/>
      <c r="V57" s="9"/>
      <c r="W57" s="9"/>
      <c r="X57" s="9"/>
      <c r="Y57" s="9"/>
      <c r="Z57" s="9"/>
      <c r="AA57" s="9"/>
    </row>
    <row r="59" spans="2:27" x14ac:dyDescent="0.3">
      <c r="G59" s="1" t="s">
        <v>25</v>
      </c>
    </row>
    <row r="60" spans="2:27" x14ac:dyDescent="0.3">
      <c r="G60" t="s">
        <v>200</v>
      </c>
      <c r="I60">
        <f>I55*1000/I23</f>
        <v>109.95574287564276</v>
      </c>
      <c r="Q60">
        <v>8.4</v>
      </c>
      <c r="R60" t="s">
        <v>31</v>
      </c>
    </row>
    <row r="61" spans="2:27" x14ac:dyDescent="0.3">
      <c r="G61" t="s">
        <v>233</v>
      </c>
      <c r="I61">
        <f>2.3</f>
        <v>2.2999999999999998</v>
      </c>
    </row>
    <row r="62" spans="2:27" x14ac:dyDescent="0.3">
      <c r="G62" t="s">
        <v>44</v>
      </c>
      <c r="I62">
        <f>I61*I60</f>
        <v>252.89820861397831</v>
      </c>
    </row>
    <row r="63" spans="2:27" x14ac:dyDescent="0.3">
      <c r="G63" t="s">
        <v>234</v>
      </c>
      <c r="I63">
        <f>I62/12</f>
        <v>21.074850717831527</v>
      </c>
    </row>
    <row r="65" spans="2:9" x14ac:dyDescent="0.3">
      <c r="G65" s="1" t="s">
        <v>236</v>
      </c>
    </row>
    <row r="66" spans="2:9" x14ac:dyDescent="0.3">
      <c r="B66" t="s">
        <v>246</v>
      </c>
      <c r="G66" t="s">
        <v>104</v>
      </c>
      <c r="I66">
        <v>3.5</v>
      </c>
    </row>
    <row r="67" spans="2:9" x14ac:dyDescent="0.3">
      <c r="B67" t="s">
        <v>247</v>
      </c>
      <c r="C67">
        <v>52</v>
      </c>
      <c r="G67" t="s">
        <v>237</v>
      </c>
      <c r="I67">
        <v>0.6</v>
      </c>
    </row>
    <row r="68" spans="2:9" x14ac:dyDescent="0.3">
      <c r="B68" t="s">
        <v>248</v>
      </c>
      <c r="C68" s="7">
        <v>2</v>
      </c>
      <c r="G68" t="s">
        <v>238</v>
      </c>
      <c r="I68">
        <v>6</v>
      </c>
    </row>
    <row r="69" spans="2:9" x14ac:dyDescent="0.3">
      <c r="C69" s="7"/>
      <c r="G69" t="s">
        <v>239</v>
      </c>
      <c r="I69">
        <f>6</f>
        <v>6</v>
      </c>
    </row>
    <row r="70" spans="2:9" x14ac:dyDescent="0.3">
      <c r="G70" t="s">
        <v>240</v>
      </c>
      <c r="I70">
        <f>I68*I66</f>
        <v>21</v>
      </c>
    </row>
    <row r="71" spans="2:9" x14ac:dyDescent="0.3">
      <c r="G71" t="s">
        <v>241</v>
      </c>
      <c r="I71">
        <f>I69*I67</f>
        <v>3.5999999999999996</v>
      </c>
    </row>
    <row r="72" spans="2:9" x14ac:dyDescent="0.3">
      <c r="G72" t="s">
        <v>201</v>
      </c>
      <c r="I72">
        <f>I71+I70</f>
        <v>24.6</v>
      </c>
    </row>
    <row r="73" spans="2:9" x14ac:dyDescent="0.3">
      <c r="G73" t="s">
        <v>242</v>
      </c>
      <c r="I73">
        <f>I72/12</f>
        <v>2.0500000000000003</v>
      </c>
    </row>
  </sheetData>
  <pageMargins left="0.70866141732283472" right="0.70866141732283472" top="0.74803149606299213" bottom="0.74803149606299213" header="0.31496062992125984" footer="0.31496062992125984"/>
  <pageSetup paperSize="9" scale="74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81"/>
  <sheetViews>
    <sheetView topLeftCell="A24" zoomScale="80" zoomScaleNormal="80" workbookViewId="0">
      <selection activeCell="E80" sqref="E80"/>
    </sheetView>
  </sheetViews>
  <sheetFormatPr defaultRowHeight="14.4" x14ac:dyDescent="0.3"/>
  <cols>
    <col min="2" max="2" width="28.88671875" customWidth="1"/>
    <col min="3" max="3" width="13.21875" customWidth="1"/>
    <col min="4" max="4" width="4.33203125" bestFit="1" customWidth="1"/>
    <col min="5" max="5" width="12.5546875" bestFit="1" customWidth="1"/>
    <col min="6" max="6" width="15" customWidth="1"/>
    <col min="7" max="7" width="12.5546875" customWidth="1"/>
    <col min="8" max="8" width="12.33203125" customWidth="1"/>
    <col min="9" max="9" width="2.5546875" customWidth="1"/>
    <col min="10" max="10" width="12.77734375" customWidth="1"/>
    <col min="11" max="11" width="19.77734375" customWidth="1"/>
    <col min="14" max="14" width="12.44140625" customWidth="1"/>
    <col min="16" max="16" width="10.21875" customWidth="1"/>
    <col min="17" max="17" width="11.77734375" customWidth="1"/>
    <col min="25" max="25" width="12.44140625" customWidth="1"/>
  </cols>
  <sheetData>
    <row r="2" spans="2:15" ht="23.4" x14ac:dyDescent="0.45">
      <c r="B2" s="17" t="s">
        <v>0</v>
      </c>
    </row>
    <row r="3" spans="2:15" x14ac:dyDescent="0.3">
      <c r="B3" s="1"/>
      <c r="C3" s="1" t="s">
        <v>10</v>
      </c>
      <c r="D3" s="1"/>
      <c r="E3" s="1" t="s">
        <v>22</v>
      </c>
      <c r="F3" s="1" t="s">
        <v>215</v>
      </c>
      <c r="G3" s="1" t="s">
        <v>21</v>
      </c>
      <c r="H3" s="1" t="s">
        <v>12</v>
      </c>
      <c r="J3" s="1" t="s">
        <v>14</v>
      </c>
      <c r="K3" s="1" t="s">
        <v>13</v>
      </c>
      <c r="L3" s="1" t="s">
        <v>9</v>
      </c>
      <c r="M3" s="1" t="s">
        <v>3</v>
      </c>
      <c r="N3" s="1" t="s">
        <v>196</v>
      </c>
      <c r="O3" s="1" t="s">
        <v>17</v>
      </c>
    </row>
    <row r="4" spans="2:15" x14ac:dyDescent="0.3">
      <c r="B4" s="1" t="s">
        <v>9</v>
      </c>
      <c r="C4">
        <f>'Standard Costs'!C3</f>
        <v>1000</v>
      </c>
      <c r="D4" t="str">
        <f>'Standard Costs'!D3</f>
        <v>kg</v>
      </c>
      <c r="E4">
        <v>1450</v>
      </c>
      <c r="F4" s="7">
        <f>C4*H4/E4</f>
        <v>53103.448275862072</v>
      </c>
      <c r="G4">
        <f>'Standard Costs'!G3</f>
        <v>77</v>
      </c>
      <c r="H4">
        <f>'Standard Costs'!E3</f>
        <v>77000</v>
      </c>
      <c r="J4" t="s">
        <v>5</v>
      </c>
      <c r="K4">
        <v>0.5</v>
      </c>
      <c r="L4">
        <v>1</v>
      </c>
      <c r="M4">
        <v>2</v>
      </c>
      <c r="N4">
        <v>4</v>
      </c>
      <c r="O4">
        <f>SUM(K4:N4)</f>
        <v>7.5</v>
      </c>
    </row>
    <row r="5" spans="2:15" x14ac:dyDescent="0.3">
      <c r="B5" s="1" t="s">
        <v>11</v>
      </c>
      <c r="C5">
        <f>'Standard Costs'!C4</f>
        <v>1000</v>
      </c>
      <c r="D5" t="str">
        <f>'Standard Costs'!D4</f>
        <v>kg</v>
      </c>
      <c r="E5">
        <f>'Standard Costs'!F4</f>
        <v>7800</v>
      </c>
      <c r="F5" s="7">
        <f>C5*H5/E5</f>
        <v>60256.410256410258</v>
      </c>
      <c r="G5">
        <f>'Standard Costs'!G4</f>
        <v>470</v>
      </c>
      <c r="H5">
        <f>'Standard Costs'!E4</f>
        <v>470000</v>
      </c>
      <c r="J5" t="s">
        <v>4</v>
      </c>
      <c r="K5">
        <v>0.5</v>
      </c>
      <c r="L5">
        <v>1</v>
      </c>
      <c r="M5">
        <v>4</v>
      </c>
      <c r="N5">
        <v>8</v>
      </c>
      <c r="O5">
        <f>SUM(K5:N5)</f>
        <v>13.5</v>
      </c>
    </row>
    <row r="6" spans="2:15" x14ac:dyDescent="0.3">
      <c r="B6" s="1" t="s">
        <v>3</v>
      </c>
      <c r="C6">
        <v>6.5</v>
      </c>
      <c r="D6" t="s">
        <v>24</v>
      </c>
      <c r="E6">
        <f>'Standard Costs'!F5</f>
        <v>1600</v>
      </c>
      <c r="F6" s="7">
        <f>H6/C6</f>
        <v>4153.8461538461543</v>
      </c>
      <c r="G6" s="5">
        <f>'Standard Costs'!G5</f>
        <v>2.5961538461538463</v>
      </c>
      <c r="H6">
        <f>'Standard Costs'!E5</f>
        <v>27000</v>
      </c>
      <c r="J6" s="1" t="s">
        <v>15</v>
      </c>
    </row>
    <row r="7" spans="2:15" x14ac:dyDescent="0.3">
      <c r="B7" s="1" t="s">
        <v>203</v>
      </c>
      <c r="C7">
        <v>6.5</v>
      </c>
      <c r="D7" t="s">
        <v>24</v>
      </c>
      <c r="E7">
        <v>1442</v>
      </c>
      <c r="F7" s="7">
        <f t="shared" ref="F7:F8" si="0">H7/C7</f>
        <v>4608.9832497599482</v>
      </c>
      <c r="G7" s="5">
        <f>H7/(C7*E7)</f>
        <v>3.1962435851317257</v>
      </c>
      <c r="H7" s="7">
        <f>H6*E6/E7</f>
        <v>29958.391123439666</v>
      </c>
      <c r="J7" t="s">
        <v>5</v>
      </c>
      <c r="K7">
        <f>K4</f>
        <v>0.5</v>
      </c>
      <c r="L7">
        <f>L4/(E4/1000)</f>
        <v>0.68965517241379315</v>
      </c>
      <c r="M7">
        <f>M4*1000/E6</f>
        <v>1.25</v>
      </c>
      <c r="N7">
        <f>N4*E8/1000</f>
        <v>5.2</v>
      </c>
      <c r="O7">
        <f>SUM(K7:N7)</f>
        <v>7.6396551724137929</v>
      </c>
    </row>
    <row r="8" spans="2:15" x14ac:dyDescent="0.3">
      <c r="B8" s="1" t="s">
        <v>185</v>
      </c>
      <c r="C8">
        <f>'Standard Costs'!C7</f>
        <v>4</v>
      </c>
      <c r="D8" t="str">
        <f>'Standard Costs'!D6</f>
        <v>m3</v>
      </c>
      <c r="E8">
        <v>1300</v>
      </c>
      <c r="F8" s="7">
        <f t="shared" si="0"/>
        <v>21250</v>
      </c>
      <c r="G8" s="5">
        <f>'Standard Costs'!G6</f>
        <v>8.1730769230769234</v>
      </c>
      <c r="H8" s="5">
        <f>'Standard Costs'!E7</f>
        <v>85000</v>
      </c>
      <c r="J8" t="s">
        <v>4</v>
      </c>
      <c r="K8">
        <f>K5</f>
        <v>0.5</v>
      </c>
      <c r="L8">
        <f>L5*1000/E4</f>
        <v>0.68965517241379315</v>
      </c>
      <c r="M8">
        <f>M5*1000/E6</f>
        <v>2.5</v>
      </c>
      <c r="N8">
        <f>N5*E8/1000</f>
        <v>10.4</v>
      </c>
      <c r="O8">
        <f>SUM(K8:N8)</f>
        <v>14.089655172413794</v>
      </c>
    </row>
    <row r="9" spans="2:15" x14ac:dyDescent="0.3">
      <c r="B9" s="1"/>
      <c r="F9" s="5"/>
    </row>
    <row r="10" spans="2:15" x14ac:dyDescent="0.3">
      <c r="B10" s="1" t="s">
        <v>70</v>
      </c>
      <c r="F10" s="5"/>
    </row>
    <row r="11" spans="2:15" x14ac:dyDescent="0.3">
      <c r="B11" t="s">
        <v>66</v>
      </c>
      <c r="C11" s="5">
        <f>G42*Sizing!T8</f>
        <v>50.579641722795664</v>
      </c>
      <c r="F11" s="5"/>
    </row>
    <row r="12" spans="2:15" x14ac:dyDescent="0.3">
      <c r="B12" t="s">
        <v>67</v>
      </c>
      <c r="C12" s="5">
        <f>PI()*(Sizing!G10/2)^2</f>
        <v>38.484510006474963</v>
      </c>
      <c r="F12" s="5"/>
    </row>
    <row r="13" spans="2:15" x14ac:dyDescent="0.3">
      <c r="B13" t="s">
        <v>68</v>
      </c>
      <c r="C13" s="7">
        <f>C11+C12</f>
        <v>89.064151729270634</v>
      </c>
      <c r="F13" s="5"/>
    </row>
    <row r="15" spans="2:15" s="8" customFormat="1" x14ac:dyDescent="0.3"/>
    <row r="16" spans="2:15" ht="21" x14ac:dyDescent="0.4">
      <c r="B16" s="16" t="s">
        <v>1</v>
      </c>
    </row>
    <row r="17" spans="2:22" x14ac:dyDescent="0.3">
      <c r="M17" t="s">
        <v>222</v>
      </c>
      <c r="P17">
        <v>0.27</v>
      </c>
    </row>
    <row r="18" spans="2:22" x14ac:dyDescent="0.3">
      <c r="B18" s="38" t="s">
        <v>85</v>
      </c>
      <c r="C18" s="39"/>
      <c r="D18" s="39"/>
      <c r="G18" s="38" t="s">
        <v>204</v>
      </c>
      <c r="H18" s="39" t="s">
        <v>6</v>
      </c>
      <c r="I18" s="39"/>
      <c r="J18" s="39" t="s">
        <v>7</v>
      </c>
      <c r="K18" s="39" t="s">
        <v>8</v>
      </c>
      <c r="M18" t="s">
        <v>223</v>
      </c>
      <c r="P18">
        <v>0.38</v>
      </c>
    </row>
    <row r="19" spans="2:22" x14ac:dyDescent="0.3">
      <c r="B19" s="39" t="s">
        <v>69</v>
      </c>
      <c r="C19" s="42">
        <f>C12</f>
        <v>38.484510006474963</v>
      </c>
      <c r="D19" s="39" t="s">
        <v>91</v>
      </c>
      <c r="G19" s="64" t="s">
        <v>5</v>
      </c>
      <c r="H19" s="39">
        <f>Sizing!W45</f>
        <v>100</v>
      </c>
      <c r="I19" s="39"/>
      <c r="J19" s="39">
        <f>Sizing!B8</f>
        <v>7.6</v>
      </c>
      <c r="K19" s="84">
        <f>(H19*PI()*(J19/2)^2)/1000</f>
        <v>4.5364597917836607</v>
      </c>
      <c r="M19" s="39" t="s">
        <v>220</v>
      </c>
      <c r="N19" s="39"/>
      <c r="O19" s="39"/>
      <c r="P19" s="39">
        <f>P17*PI()*(P18/2)^2</f>
        <v>3.0621103594539716E-2</v>
      </c>
    </row>
    <row r="20" spans="2:22" x14ac:dyDescent="0.3">
      <c r="B20" s="39" t="s">
        <v>61</v>
      </c>
      <c r="C20" s="39">
        <f>Sizing!D19</f>
        <v>5</v>
      </c>
      <c r="D20" s="39"/>
      <c r="G20" s="64" t="s">
        <v>4</v>
      </c>
      <c r="H20" s="39">
        <f>Sizing!W46</f>
        <v>50</v>
      </c>
      <c r="I20" s="39"/>
      <c r="J20" s="39">
        <f>J19</f>
        <v>7.6</v>
      </c>
      <c r="K20" s="84">
        <f t="shared" ref="K20:K22" si="1">(H20*PI()*(J20/2)^2)/1000</f>
        <v>2.2682298958918303</v>
      </c>
      <c r="M20" s="18" t="s">
        <v>224</v>
      </c>
      <c r="P20">
        <v>6</v>
      </c>
    </row>
    <row r="21" spans="2:22" x14ac:dyDescent="0.3">
      <c r="B21" s="39" t="s">
        <v>87</v>
      </c>
      <c r="C21" s="39">
        <f>C20*2</f>
        <v>10</v>
      </c>
      <c r="D21" s="39" t="s">
        <v>31</v>
      </c>
      <c r="G21" s="39" t="s">
        <v>3</v>
      </c>
      <c r="H21" s="39">
        <f>Sizing!W48</f>
        <v>150</v>
      </c>
      <c r="I21" s="39"/>
      <c r="J21" s="39">
        <f>J20</f>
        <v>7.6</v>
      </c>
      <c r="K21" s="84">
        <f t="shared" si="1"/>
        <v>6.8046896876754914</v>
      </c>
      <c r="P21">
        <f>P20*P19</f>
        <v>0.18372662156723829</v>
      </c>
    </row>
    <row r="22" spans="2:22" x14ac:dyDescent="0.3">
      <c r="B22" s="39" t="s">
        <v>86</v>
      </c>
      <c r="C22" s="41">
        <f>C21*C19</f>
        <v>384.84510006474966</v>
      </c>
      <c r="D22" s="39" t="s">
        <v>31</v>
      </c>
      <c r="G22" s="39" t="s">
        <v>2</v>
      </c>
      <c r="H22" s="39">
        <f>Sizing!W50</f>
        <v>0</v>
      </c>
      <c r="I22" s="39"/>
      <c r="J22" s="39">
        <f>J21</f>
        <v>7.6</v>
      </c>
      <c r="K22" s="84">
        <f t="shared" si="1"/>
        <v>0</v>
      </c>
      <c r="M22" s="39" t="s">
        <v>221</v>
      </c>
      <c r="N22" s="39"/>
      <c r="O22" s="39"/>
      <c r="P22" s="39">
        <v>0.17399999999999999</v>
      </c>
    </row>
    <row r="23" spans="2:22" x14ac:dyDescent="0.3">
      <c r="B23" s="39" t="s">
        <v>88</v>
      </c>
      <c r="C23" s="39">
        <f>C22*2</f>
        <v>769.69020012949932</v>
      </c>
      <c r="D23" s="39" t="s">
        <v>31</v>
      </c>
    </row>
    <row r="24" spans="2:22" x14ac:dyDescent="0.3">
      <c r="B24" s="39" t="s">
        <v>195</v>
      </c>
      <c r="C24" s="84">
        <f>PI()*Sizing!B8*2</f>
        <v>47.752208334564855</v>
      </c>
      <c r="D24" s="39" t="s">
        <v>31</v>
      </c>
      <c r="G24" s="38" t="s">
        <v>208</v>
      </c>
      <c r="H24" s="89" t="s">
        <v>207</v>
      </c>
      <c r="I24" s="89"/>
      <c r="J24" s="89"/>
      <c r="K24" s="89"/>
      <c r="L24" s="39"/>
      <c r="M24" s="89" t="s">
        <v>211</v>
      </c>
      <c r="N24" s="89"/>
      <c r="O24" s="89"/>
      <c r="P24" s="89"/>
      <c r="Q24" s="39" t="s">
        <v>213</v>
      </c>
      <c r="R24" s="89" t="s">
        <v>212</v>
      </c>
      <c r="S24" s="89"/>
      <c r="T24" s="89"/>
      <c r="U24" s="89"/>
      <c r="V24" s="89"/>
    </row>
    <row r="25" spans="2:22" x14ac:dyDescent="0.3">
      <c r="B25" s="39" t="s">
        <v>44</v>
      </c>
      <c r="C25" s="84">
        <f>C24+C23</f>
        <v>817.44240846406421</v>
      </c>
      <c r="D25" s="39" t="s">
        <v>31</v>
      </c>
      <c r="G25" s="39"/>
      <c r="H25" s="39" t="s">
        <v>13</v>
      </c>
      <c r="I25" s="39" t="s">
        <v>9</v>
      </c>
      <c r="J25" s="39" t="s">
        <v>203</v>
      </c>
      <c r="K25" s="39" t="s">
        <v>2</v>
      </c>
      <c r="L25" s="39" t="s">
        <v>184</v>
      </c>
      <c r="M25" s="85" t="s">
        <v>210</v>
      </c>
      <c r="N25" s="39" t="s">
        <v>94</v>
      </c>
      <c r="O25" s="39" t="s">
        <v>209</v>
      </c>
      <c r="P25" s="39" t="s">
        <v>92</v>
      </c>
      <c r="Q25" s="39"/>
      <c r="R25" s="39" t="s">
        <v>210</v>
      </c>
      <c r="S25" s="39" t="s">
        <v>94</v>
      </c>
      <c r="T25" s="39" t="s">
        <v>209</v>
      </c>
      <c r="U25" s="39" t="s">
        <v>219</v>
      </c>
      <c r="V25" s="39" t="s">
        <v>46</v>
      </c>
    </row>
    <row r="26" spans="2:22" x14ac:dyDescent="0.3">
      <c r="B26" s="39" t="s">
        <v>89</v>
      </c>
      <c r="C26" s="39">
        <f>(C23/1000000)*PI()*(Sizing!D18/2)^2</f>
        <v>2.1762477704402036E-2</v>
      </c>
      <c r="D26" s="39" t="s">
        <v>31</v>
      </c>
      <c r="F26" s="5"/>
      <c r="G26" s="39" t="s">
        <v>205</v>
      </c>
      <c r="H26" s="39">
        <f>I26/2</f>
        <v>0.5</v>
      </c>
      <c r="I26" s="39">
        <v>1</v>
      </c>
      <c r="J26" s="39">
        <v>2</v>
      </c>
      <c r="K26" s="39">
        <v>4</v>
      </c>
      <c r="L26" s="42">
        <f>'Materials Bill'!K19</f>
        <v>4.5364597917836607</v>
      </c>
      <c r="M26" s="84">
        <f>1000*H26/$E$4</f>
        <v>0.34482758620689657</v>
      </c>
      <c r="N26" s="84">
        <f>1000*I26/$E$4</f>
        <v>0.68965517241379315</v>
      </c>
      <c r="O26" s="84">
        <f>1000*J26/$E$7</f>
        <v>1.3869625520110958</v>
      </c>
      <c r="P26" s="84">
        <f>1000*K26/$E$8</f>
        <v>3.0769230769230771</v>
      </c>
      <c r="Q26" s="84">
        <f>SUM(M26:P26)</f>
        <v>5.4983683875548621</v>
      </c>
      <c r="R26" s="42">
        <f>S26/2</f>
        <v>0.28450194124243589</v>
      </c>
      <c r="S26" s="42">
        <f t="shared" ref="S26:U27" si="2">N26*$L26/$Q26</f>
        <v>0.56900388248487177</v>
      </c>
      <c r="T26" s="42">
        <f t="shared" si="2"/>
        <v>1.1443212615853871</v>
      </c>
      <c r="U26" s="42">
        <f t="shared" si="2"/>
        <v>2.5386327064709664</v>
      </c>
      <c r="V26" s="42">
        <f>SUM(R26:U26)</f>
        <v>4.5364597917836615</v>
      </c>
    </row>
    <row r="27" spans="2:22" x14ac:dyDescent="0.3">
      <c r="B27" s="39" t="s">
        <v>90</v>
      </c>
      <c r="C27" s="39">
        <f>C26*7800</f>
        <v>169.74732609433588</v>
      </c>
      <c r="D27" s="39" t="s">
        <v>23</v>
      </c>
      <c r="G27" s="39" t="s">
        <v>206</v>
      </c>
      <c r="H27" s="39">
        <f>I27/2</f>
        <v>0.5</v>
      </c>
      <c r="I27" s="39">
        <v>1</v>
      </c>
      <c r="J27" s="39">
        <v>4</v>
      </c>
      <c r="K27" s="39">
        <v>8</v>
      </c>
      <c r="L27" s="42">
        <f>'Materials Bill'!K20</f>
        <v>2.2682298958918303</v>
      </c>
      <c r="M27" s="84">
        <f>1000*H27/$E$4</f>
        <v>0.34482758620689657</v>
      </c>
      <c r="N27" s="84">
        <f>1000*I27/$E$4</f>
        <v>0.68965517241379315</v>
      </c>
      <c r="O27" s="84">
        <f t="shared" ref="O27:P27" si="3">1000*J27/$E$4</f>
        <v>2.7586206896551726</v>
      </c>
      <c r="P27" s="84">
        <f t="shared" si="3"/>
        <v>5.5172413793103452</v>
      </c>
      <c r="Q27" s="84">
        <f>SUM(M27:P27)</f>
        <v>9.3103448275862064</v>
      </c>
      <c r="R27" s="42">
        <f>S27/2</f>
        <v>8.4008514662660405E-2</v>
      </c>
      <c r="S27" s="42">
        <f t="shared" si="2"/>
        <v>0.16801702932532081</v>
      </c>
      <c r="T27" s="42">
        <f t="shared" si="2"/>
        <v>0.67206811730128324</v>
      </c>
      <c r="U27" s="42">
        <f t="shared" si="2"/>
        <v>1.3441362346025665</v>
      </c>
      <c r="V27" s="42">
        <f>SUM(R27:U27)</f>
        <v>2.2682298958918308</v>
      </c>
    </row>
    <row r="28" spans="2:22" x14ac:dyDescent="0.3">
      <c r="B28" s="39" t="s">
        <v>194</v>
      </c>
      <c r="C28" s="41">
        <f>C25/12</f>
        <v>68.120200705338689</v>
      </c>
      <c r="D28" s="39"/>
      <c r="F28" s="5"/>
      <c r="G28" s="9"/>
      <c r="H28" s="9"/>
      <c r="I28" s="9"/>
      <c r="J28" s="9"/>
      <c r="K28" s="9"/>
      <c r="L28" s="9"/>
      <c r="Q28" s="39" t="s">
        <v>114</v>
      </c>
      <c r="R28" s="42">
        <f>SUM(R26:R27)</f>
        <v>0.36851045590509629</v>
      </c>
      <c r="S28" s="39"/>
      <c r="T28" s="39"/>
      <c r="U28" s="39"/>
      <c r="V28" s="39"/>
    </row>
    <row r="29" spans="2:22" x14ac:dyDescent="0.3">
      <c r="F29" s="5"/>
      <c r="G29" s="5"/>
      <c r="H29" s="5"/>
    </row>
    <row r="30" spans="2:22" x14ac:dyDescent="0.3">
      <c r="F30" s="5"/>
      <c r="G30" s="5"/>
      <c r="H30" s="5"/>
    </row>
    <row r="31" spans="2:22" x14ac:dyDescent="0.3">
      <c r="F31" s="5"/>
      <c r="G31" s="5"/>
      <c r="H31" s="5"/>
    </row>
    <row r="32" spans="2:22" x14ac:dyDescent="0.3">
      <c r="B32" s="38" t="s">
        <v>17</v>
      </c>
      <c r="C32" s="39" t="s">
        <v>16</v>
      </c>
      <c r="D32" s="39"/>
      <c r="E32" s="39" t="s">
        <v>18</v>
      </c>
      <c r="F32" s="87" t="s">
        <v>218</v>
      </c>
      <c r="G32" s="87" t="s">
        <v>225</v>
      </c>
    </row>
    <row r="33" spans="2:12" x14ac:dyDescent="0.3">
      <c r="B33" s="39" t="s">
        <v>13</v>
      </c>
      <c r="C33" s="42">
        <f>SUM(M26:M27)</f>
        <v>0.68965517241379315</v>
      </c>
      <c r="D33" s="39"/>
      <c r="E33" s="86">
        <f>C33*1</f>
        <v>0.68965517241379315</v>
      </c>
    </row>
    <row r="34" spans="2:12" x14ac:dyDescent="0.3">
      <c r="B34" s="39" t="s">
        <v>9</v>
      </c>
      <c r="C34" s="42">
        <f>SUM(N26:N27)</f>
        <v>1.3793103448275863</v>
      </c>
      <c r="D34" s="42"/>
      <c r="E34" s="41">
        <f>C34*E4</f>
        <v>2000.0000000000002</v>
      </c>
      <c r="J34" s="1"/>
      <c r="K34" s="1"/>
    </row>
    <row r="35" spans="2:12" x14ac:dyDescent="0.3">
      <c r="B35" s="39" t="s">
        <v>3</v>
      </c>
      <c r="C35" s="42">
        <f>K21</f>
        <v>6.8046896876754914</v>
      </c>
      <c r="D35" s="42"/>
      <c r="E35" s="41">
        <f>C35*E6</f>
        <v>10887.503500280785</v>
      </c>
      <c r="F35" s="7"/>
      <c r="G35" s="14"/>
      <c r="H35" s="7"/>
    </row>
    <row r="36" spans="2:12" x14ac:dyDescent="0.3">
      <c r="B36" s="39" t="s">
        <v>203</v>
      </c>
      <c r="C36" s="42">
        <f>SUM(O26:O27)</f>
        <v>4.1455832416662686</v>
      </c>
      <c r="D36" s="42"/>
      <c r="E36" s="41">
        <f>C36*E7</f>
        <v>5977.9310344827591</v>
      </c>
      <c r="F36" s="7"/>
      <c r="G36" s="14"/>
      <c r="H36" s="7"/>
    </row>
    <row r="37" spans="2:12" x14ac:dyDescent="0.3">
      <c r="B37" s="39" t="s">
        <v>197</v>
      </c>
      <c r="C37" s="84">
        <f>K22</f>
        <v>0</v>
      </c>
      <c r="D37" s="84"/>
      <c r="E37" s="42">
        <f>C37*E8</f>
        <v>0</v>
      </c>
      <c r="F37" s="7"/>
      <c r="G37" s="14"/>
      <c r="H37" s="7"/>
    </row>
    <row r="38" spans="2:12" s="9" customFormat="1" x14ac:dyDescent="0.3">
      <c r="B38" s="39" t="s">
        <v>214</v>
      </c>
      <c r="C38" s="42">
        <f>SUM(U26:U27)</f>
        <v>3.8827689410735329</v>
      </c>
      <c r="D38" s="39"/>
      <c r="E38" s="41">
        <f>C38*E8</f>
        <v>5047.599623395593</v>
      </c>
      <c r="F38" s="13">
        <f>C38/P22-3</f>
        <v>19.314764029158237</v>
      </c>
      <c r="G38" s="5">
        <f>F38*6</f>
        <v>115.88858417494941</v>
      </c>
      <c r="H38" s="7">
        <v>2700</v>
      </c>
      <c r="J38" s="13">
        <f>H38*F38</f>
        <v>52149.862878727239</v>
      </c>
    </row>
    <row r="39" spans="2:12" s="8" customFormat="1" x14ac:dyDescent="0.3"/>
    <row r="40" spans="2:12" s="9" customFormat="1" x14ac:dyDescent="0.3">
      <c r="C40" s="12"/>
      <c r="E40" s="13"/>
    </row>
    <row r="41" spans="2:12" ht="23.4" x14ac:dyDescent="0.45">
      <c r="B41" s="17" t="s">
        <v>98</v>
      </c>
    </row>
    <row r="42" spans="2:12" ht="12" customHeight="1" x14ac:dyDescent="0.3">
      <c r="B42" t="s">
        <v>30</v>
      </c>
      <c r="C42">
        <f>Sizing!G10</f>
        <v>7</v>
      </c>
      <c r="F42" t="s">
        <v>51</v>
      </c>
      <c r="G42" s="7">
        <f>C42*PI()</f>
        <v>21.991148575128552</v>
      </c>
      <c r="H42" t="s">
        <v>31</v>
      </c>
    </row>
    <row r="43" spans="2:12" ht="13.8" customHeight="1" x14ac:dyDescent="0.3">
      <c r="B43" s="2" t="s">
        <v>29</v>
      </c>
      <c r="C43">
        <f>Sizing!T8</f>
        <v>2.2999999999999998</v>
      </c>
    </row>
    <row r="44" spans="2:12" ht="12" customHeight="1" x14ac:dyDescent="0.45">
      <c r="B44" s="17"/>
    </row>
    <row r="45" spans="2:12" ht="12" customHeight="1" x14ac:dyDescent="0.45">
      <c r="B45" s="17"/>
    </row>
    <row r="46" spans="2:12" x14ac:dyDescent="0.3">
      <c r="B46" s="19" t="s">
        <v>25</v>
      </c>
      <c r="C46" t="s">
        <v>38</v>
      </c>
      <c r="F46" s="1" t="s">
        <v>48</v>
      </c>
      <c r="J46" s="1" t="s">
        <v>53</v>
      </c>
    </row>
    <row r="47" spans="2:12" x14ac:dyDescent="0.3">
      <c r="B47" s="18" t="s">
        <v>27</v>
      </c>
      <c r="C47">
        <f>Sizing!I23</f>
        <v>200</v>
      </c>
      <c r="D47" t="s">
        <v>34</v>
      </c>
      <c r="F47" t="s">
        <v>26</v>
      </c>
      <c r="G47">
        <f>Sizing!L13</f>
        <v>200</v>
      </c>
      <c r="H47" t="s">
        <v>34</v>
      </c>
      <c r="J47" t="s">
        <v>26</v>
      </c>
      <c r="K47">
        <f>Sizing!L7</f>
        <v>300</v>
      </c>
      <c r="L47" t="s">
        <v>34</v>
      </c>
    </row>
    <row r="48" spans="2:12" x14ac:dyDescent="0.3">
      <c r="B48" t="s">
        <v>39</v>
      </c>
      <c r="C48" s="7">
        <f>G42/C47*1000</f>
        <v>109.95574287564276</v>
      </c>
      <c r="F48" t="s">
        <v>49</v>
      </c>
      <c r="G48">
        <v>5</v>
      </c>
      <c r="J48" t="s">
        <v>49</v>
      </c>
      <c r="K48" s="7">
        <f>ROUND((Sizing!T8*1000-G48*G47)/K47,0)</f>
        <v>4</v>
      </c>
    </row>
    <row r="49" spans="2:12" x14ac:dyDescent="0.3">
      <c r="B49" t="s">
        <v>43</v>
      </c>
      <c r="C49">
        <v>2.2999999999999998</v>
      </c>
      <c r="D49" t="s">
        <v>31</v>
      </c>
      <c r="F49" t="s">
        <v>50</v>
      </c>
      <c r="G49" s="7">
        <f>G42</f>
        <v>21.991148575128552</v>
      </c>
      <c r="H49" t="s">
        <v>31</v>
      </c>
      <c r="J49" t="s">
        <v>50</v>
      </c>
      <c r="K49" s="7">
        <f>G42</f>
        <v>21.991148575128552</v>
      </c>
      <c r="L49" t="s">
        <v>31</v>
      </c>
    </row>
    <row r="50" spans="2:12" x14ac:dyDescent="0.3">
      <c r="B50" t="s">
        <v>45</v>
      </c>
      <c r="C50">
        <f>C49*C48</f>
        <v>252.89820861397831</v>
      </c>
      <c r="D50" t="s">
        <v>31</v>
      </c>
      <c r="F50" t="s">
        <v>45</v>
      </c>
      <c r="G50">
        <f>G49*G48</f>
        <v>109.95574287564276</v>
      </c>
      <c r="H50" t="s">
        <v>31</v>
      </c>
      <c r="J50" t="s">
        <v>45</v>
      </c>
      <c r="K50">
        <f>K48*K49</f>
        <v>87.964594300514207</v>
      </c>
      <c r="L50" t="s">
        <v>31</v>
      </c>
    </row>
    <row r="51" spans="2:12" x14ac:dyDescent="0.3">
      <c r="B51" t="s">
        <v>46</v>
      </c>
      <c r="C51" s="3">
        <f>C50*PI()*(1/1000000)*(Sizing!D31/2)^2</f>
        <v>1.986257885719233E-2</v>
      </c>
      <c r="D51" t="s">
        <v>24</v>
      </c>
      <c r="F51" t="s">
        <v>46</v>
      </c>
      <c r="G51" s="3">
        <f>G50*(PI()*(Sizing!J31/2)^2)/1000000</f>
        <v>8.6359038509531867E-3</v>
      </c>
      <c r="H51" t="s">
        <v>24</v>
      </c>
      <c r="J51" t="s">
        <v>46</v>
      </c>
      <c r="K51" s="3">
        <f>(K50*PI()*(Sizing!J31/2)^2)/1000000</f>
        <v>6.9087230807625497E-3</v>
      </c>
      <c r="L51" t="s">
        <v>24</v>
      </c>
    </row>
    <row r="52" spans="2:12" x14ac:dyDescent="0.3">
      <c r="B52" t="s">
        <v>47</v>
      </c>
      <c r="C52" s="6">
        <f>C51*E5</f>
        <v>154.92811508610018</v>
      </c>
      <c r="D52" t="s">
        <v>23</v>
      </c>
      <c r="F52" t="s">
        <v>47</v>
      </c>
      <c r="G52" s="7">
        <f>G51*7800</f>
        <v>67.36005003743486</v>
      </c>
      <c r="H52" t="s">
        <v>23</v>
      </c>
      <c r="J52" t="s">
        <v>47</v>
      </c>
      <c r="K52" s="7">
        <f>K51*7800</f>
        <v>53.888040029947888</v>
      </c>
      <c r="L52" t="s">
        <v>23</v>
      </c>
    </row>
    <row r="53" spans="2:12" s="8" customFormat="1" x14ac:dyDescent="0.3"/>
    <row r="55" spans="2:12" ht="23.4" x14ac:dyDescent="0.45">
      <c r="B55" s="17" t="s">
        <v>99</v>
      </c>
    </row>
    <row r="56" spans="2:12" x14ac:dyDescent="0.3">
      <c r="B56" s="1" t="s">
        <v>57</v>
      </c>
      <c r="F56" s="1" t="s">
        <v>58</v>
      </c>
      <c r="J56" s="1"/>
    </row>
    <row r="57" spans="2:12" x14ac:dyDescent="0.3">
      <c r="B57" t="s">
        <v>54</v>
      </c>
      <c r="C57">
        <v>7</v>
      </c>
      <c r="D57" t="s">
        <v>31</v>
      </c>
      <c r="F57" t="s">
        <v>59</v>
      </c>
    </row>
    <row r="58" spans="2:12" x14ac:dyDescent="0.3">
      <c r="B58" t="s">
        <v>55</v>
      </c>
      <c r="C58">
        <v>12</v>
      </c>
    </row>
    <row r="59" spans="2:12" x14ac:dyDescent="0.3">
      <c r="B59" t="s">
        <v>44</v>
      </c>
      <c r="C59">
        <f>C58*C57</f>
        <v>84</v>
      </c>
      <c r="D59" t="s">
        <v>31</v>
      </c>
    </row>
    <row r="60" spans="2:12" x14ac:dyDescent="0.3">
      <c r="B60" t="s">
        <v>46</v>
      </c>
      <c r="C60" s="3">
        <f>(C59/1000000)*PI()*(Sizing!G42/2)^2</f>
        <v>9.5001761844555332E-3</v>
      </c>
      <c r="D60" t="s">
        <v>24</v>
      </c>
    </row>
    <row r="61" spans="2:12" x14ac:dyDescent="0.3">
      <c r="B61" t="s">
        <v>47</v>
      </c>
      <c r="C61" s="4">
        <f>C60*7800</f>
        <v>74.101374238753152</v>
      </c>
      <c r="D61" t="s">
        <v>23</v>
      </c>
    </row>
    <row r="62" spans="2:12" s="8" customFormat="1" x14ac:dyDescent="0.3"/>
    <row r="64" spans="2:12" ht="21" x14ac:dyDescent="0.4">
      <c r="B64" s="16" t="s">
        <v>97</v>
      </c>
      <c r="E64" s="15" t="s">
        <v>72</v>
      </c>
    </row>
    <row r="65" spans="2:13" x14ac:dyDescent="0.3">
      <c r="B65" t="s">
        <v>61</v>
      </c>
      <c r="C65">
        <f>Sizing!R25</f>
        <v>0</v>
      </c>
      <c r="E65" t="s">
        <v>140</v>
      </c>
      <c r="F65" s="7">
        <f>C13*2</f>
        <v>178.12830345854127</v>
      </c>
    </row>
    <row r="66" spans="2:13" x14ac:dyDescent="0.3">
      <c r="B66" t="s">
        <v>62</v>
      </c>
      <c r="C66">
        <f>C65*2*1</f>
        <v>0</v>
      </c>
      <c r="E66" t="s">
        <v>74</v>
      </c>
      <c r="F66" s="7">
        <f>F65/Sizing!M34</f>
        <v>148.44025288211773</v>
      </c>
    </row>
    <row r="67" spans="2:13" x14ac:dyDescent="0.3">
      <c r="B67" t="s">
        <v>64</v>
      </c>
      <c r="C67" s="3">
        <f>(C66/1000000)*PI()*(Sizing!R26/2)^2</f>
        <v>0</v>
      </c>
    </row>
    <row r="68" spans="2:13" x14ac:dyDescent="0.3">
      <c r="B68" t="s">
        <v>65</v>
      </c>
      <c r="C68" s="3">
        <f>C67*7800</f>
        <v>0</v>
      </c>
    </row>
    <row r="69" spans="2:13" x14ac:dyDescent="0.3">
      <c r="B69" t="s">
        <v>71</v>
      </c>
      <c r="C69" s="7">
        <f>C13</f>
        <v>89.064151729270634</v>
      </c>
    </row>
    <row r="70" spans="2:13" x14ac:dyDescent="0.3">
      <c r="B70" t="s">
        <v>47</v>
      </c>
      <c r="C70" s="5">
        <f>C69*C68</f>
        <v>0</v>
      </c>
    </row>
    <row r="71" spans="2:13" s="8" customFormat="1" x14ac:dyDescent="0.3"/>
    <row r="72" spans="2:13" x14ac:dyDescent="0.3">
      <c r="I72" t="s">
        <v>101</v>
      </c>
    </row>
    <row r="73" spans="2:13" ht="21" x14ac:dyDescent="0.4">
      <c r="B73" s="16" t="s">
        <v>100</v>
      </c>
      <c r="I73" s="1" t="s">
        <v>14</v>
      </c>
      <c r="J73" s="1" t="s">
        <v>13</v>
      </c>
      <c r="K73" s="1" t="s">
        <v>9</v>
      </c>
      <c r="L73" s="1" t="s">
        <v>3</v>
      </c>
      <c r="M73" s="1" t="s">
        <v>17</v>
      </c>
    </row>
    <row r="74" spans="2:13" x14ac:dyDescent="0.3">
      <c r="B74" t="s">
        <v>71</v>
      </c>
      <c r="C74" s="7">
        <f>C13</f>
        <v>89.064151729270634</v>
      </c>
      <c r="D74" t="s">
        <v>91</v>
      </c>
      <c r="I74" t="s">
        <v>5</v>
      </c>
      <c r="J74">
        <f>K74/2</f>
        <v>1</v>
      </c>
      <c r="K74">
        <v>2</v>
      </c>
      <c r="L74">
        <v>4</v>
      </c>
      <c r="M74">
        <f>SUM(J74:L74)</f>
        <v>7</v>
      </c>
    </row>
    <row r="75" spans="2:13" x14ac:dyDescent="0.3">
      <c r="B75" t="s">
        <v>102</v>
      </c>
      <c r="C75">
        <f>Sizing!K26</f>
        <v>60</v>
      </c>
      <c r="D75" t="s">
        <v>34</v>
      </c>
    </row>
    <row r="76" spans="2:13" x14ac:dyDescent="0.3">
      <c r="B76" t="s">
        <v>46</v>
      </c>
      <c r="C76" s="5">
        <f>C74*C75/1000</f>
        <v>5.3438491037562379</v>
      </c>
      <c r="I76" s="1" t="s">
        <v>15</v>
      </c>
    </row>
    <row r="77" spans="2:13" x14ac:dyDescent="0.3">
      <c r="I77" t="s">
        <v>5</v>
      </c>
      <c r="J77">
        <v>1</v>
      </c>
      <c r="K77">
        <f>K74/(E4/1000)</f>
        <v>1.3793103448275863</v>
      </c>
      <c r="L77">
        <f>L74*1000/E7</f>
        <v>2.7739251040221915</v>
      </c>
      <c r="M77">
        <f>SUM(J77:L77)</f>
        <v>5.1532354488497774</v>
      </c>
    </row>
    <row r="78" spans="2:13" x14ac:dyDescent="0.3">
      <c r="B78" t="s">
        <v>17</v>
      </c>
      <c r="C78" t="s">
        <v>16</v>
      </c>
      <c r="E78" t="s">
        <v>18</v>
      </c>
    </row>
    <row r="79" spans="2:13" x14ac:dyDescent="0.3">
      <c r="B79" t="s">
        <v>13</v>
      </c>
      <c r="C79" s="5">
        <f>J77*C76/M77</f>
        <v>1.0369891220376912</v>
      </c>
      <c r="E79" s="4">
        <f>C79*1</f>
        <v>1.0369891220376912</v>
      </c>
    </row>
    <row r="80" spans="2:13" x14ac:dyDescent="0.3">
      <c r="B80" t="s">
        <v>9</v>
      </c>
      <c r="C80" s="5">
        <f>C76*K77/M77</f>
        <v>1.4303298235002637</v>
      </c>
      <c r="D80" s="5"/>
      <c r="E80" s="5">
        <f>C80*E4</f>
        <v>2073.9782440753825</v>
      </c>
    </row>
    <row r="81" spans="2:5" x14ac:dyDescent="0.3">
      <c r="B81" t="s">
        <v>203</v>
      </c>
      <c r="C81" s="5">
        <f>C76*L77/M77</f>
        <v>2.8765301582182836</v>
      </c>
      <c r="D81" s="5"/>
      <c r="E81" s="5">
        <f>C81*E6</f>
        <v>4602.448253149254</v>
      </c>
    </row>
  </sheetData>
  <mergeCells count="3">
    <mergeCell ref="R24:V24"/>
    <mergeCell ref="H24:K24"/>
    <mergeCell ref="M24:P24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topLeftCell="A15" workbookViewId="0">
      <selection activeCell="G38" sqref="G38"/>
    </sheetView>
  </sheetViews>
  <sheetFormatPr defaultRowHeight="14.4" x14ac:dyDescent="0.3"/>
  <cols>
    <col min="1" max="1" width="10.109375" bestFit="1" customWidth="1"/>
    <col min="2" max="2" width="15" bestFit="1" customWidth="1"/>
    <col min="4" max="5" width="9.5546875" bestFit="1" customWidth="1"/>
  </cols>
  <sheetData>
    <row r="2" spans="1:14" x14ac:dyDescent="0.3">
      <c r="B2" t="s">
        <v>211</v>
      </c>
    </row>
    <row r="3" spans="1:14" x14ac:dyDescent="0.3">
      <c r="B3" t="s">
        <v>210</v>
      </c>
      <c r="C3" t="s">
        <v>94</v>
      </c>
      <c r="D3" t="s">
        <v>209</v>
      </c>
      <c r="E3" t="s">
        <v>92</v>
      </c>
    </row>
    <row r="4" spans="1:14" x14ac:dyDescent="0.3">
      <c r="A4" s="39" t="s">
        <v>205</v>
      </c>
      <c r="B4">
        <v>0.34482758620689657</v>
      </c>
      <c r="C4">
        <v>0.68965517241379315</v>
      </c>
      <c r="D4">
        <v>1.3869625520110958</v>
      </c>
      <c r="E4">
        <v>3.0769230769230771</v>
      </c>
    </row>
    <row r="5" spans="1:14" x14ac:dyDescent="0.3">
      <c r="A5" s="39" t="s">
        <v>206</v>
      </c>
      <c r="B5">
        <v>0.34482758620689657</v>
      </c>
      <c r="C5">
        <v>0.68965517241379315</v>
      </c>
      <c r="D5">
        <v>2.7586206896551726</v>
      </c>
      <c r="E5">
        <v>5.5172413793103452</v>
      </c>
    </row>
    <row r="7" spans="1:14" x14ac:dyDescent="0.3">
      <c r="B7" t="s">
        <v>211</v>
      </c>
    </row>
    <row r="8" spans="1:14" x14ac:dyDescent="0.3">
      <c r="B8" t="s">
        <v>210</v>
      </c>
      <c r="C8" t="s">
        <v>94</v>
      </c>
      <c r="D8" t="s">
        <v>209</v>
      </c>
      <c r="E8" t="s">
        <v>92</v>
      </c>
      <c r="J8" t="s">
        <v>52</v>
      </c>
      <c r="K8" t="s">
        <v>210</v>
      </c>
      <c r="L8" t="s">
        <v>94</v>
      </c>
      <c r="M8" t="s">
        <v>209</v>
      </c>
      <c r="N8" t="s">
        <v>92</v>
      </c>
    </row>
    <row r="9" spans="1:14" x14ac:dyDescent="0.3">
      <c r="L9">
        <v>1450</v>
      </c>
      <c r="M9">
        <v>1442</v>
      </c>
      <c r="N9">
        <v>1400</v>
      </c>
    </row>
    <row r="10" spans="1:14" x14ac:dyDescent="0.3">
      <c r="A10" s="39" t="s">
        <v>205</v>
      </c>
      <c r="C10">
        <f>C4/$C4</f>
        <v>1</v>
      </c>
      <c r="D10" s="7">
        <f t="shared" ref="D10:E10" si="0">D4/$C4</f>
        <v>2.0110957004160888</v>
      </c>
      <c r="E10" s="6">
        <f t="shared" si="0"/>
        <v>4.4615384615384617</v>
      </c>
    </row>
    <row r="11" spans="1:14" x14ac:dyDescent="0.3">
      <c r="A11" s="39" t="s">
        <v>206</v>
      </c>
      <c r="C11">
        <f>C5/$C5</f>
        <v>1</v>
      </c>
      <c r="D11">
        <f t="shared" ref="D11:E11" si="1">D5/$C5</f>
        <v>4</v>
      </c>
      <c r="E11">
        <f t="shared" si="1"/>
        <v>8</v>
      </c>
      <c r="L11">
        <v>1</v>
      </c>
      <c r="M11">
        <v>3</v>
      </c>
      <c r="N11">
        <v>5</v>
      </c>
    </row>
    <row r="12" spans="1:14" x14ac:dyDescent="0.3">
      <c r="L12">
        <f>L11/L9</f>
        <v>6.8965517241379305E-4</v>
      </c>
      <c r="M12">
        <f t="shared" ref="M12:N12" si="2">M11/M9</f>
        <v>2.0804438280166435E-3</v>
      </c>
      <c r="N12">
        <f t="shared" si="2"/>
        <v>3.5714285714285713E-3</v>
      </c>
    </row>
    <row r="13" spans="1:14" x14ac:dyDescent="0.3">
      <c r="L13" s="7">
        <f>L12/$L12</f>
        <v>1</v>
      </c>
      <c r="M13" s="6">
        <f t="shared" ref="M13:N13" si="3">M12/$L12</f>
        <v>3.0166435506241331</v>
      </c>
      <c r="N13" s="6">
        <f t="shared" si="3"/>
        <v>5.1785714285714288</v>
      </c>
    </row>
    <row r="17" spans="1:6" x14ac:dyDescent="0.3">
      <c r="C17" t="s">
        <v>94</v>
      </c>
      <c r="D17" t="s">
        <v>209</v>
      </c>
      <c r="E17" t="s">
        <v>92</v>
      </c>
    </row>
    <row r="18" spans="1:6" x14ac:dyDescent="0.3">
      <c r="C18">
        <v>1450</v>
      </c>
      <c r="D18">
        <v>1442</v>
      </c>
      <c r="E18">
        <v>1500</v>
      </c>
    </row>
    <row r="19" spans="1:6" x14ac:dyDescent="0.3">
      <c r="A19" s="1" t="s">
        <v>206</v>
      </c>
      <c r="B19" t="s">
        <v>253</v>
      </c>
      <c r="C19">
        <v>1</v>
      </c>
      <c r="D19">
        <v>4</v>
      </c>
      <c r="E19">
        <v>8</v>
      </c>
    </row>
    <row r="20" spans="1:6" x14ac:dyDescent="0.3">
      <c r="B20" t="s">
        <v>244</v>
      </c>
      <c r="C20">
        <f>50*C19</f>
        <v>50</v>
      </c>
      <c r="D20">
        <f>50*D19</f>
        <v>200</v>
      </c>
      <c r="E20">
        <f t="shared" ref="E20" si="4">50*E19</f>
        <v>400</v>
      </c>
    </row>
    <row r="21" spans="1:6" x14ac:dyDescent="0.3">
      <c r="B21" t="s">
        <v>245</v>
      </c>
      <c r="D21" s="6">
        <f>D20*1000/D18</f>
        <v>138.69625520110958</v>
      </c>
      <c r="E21" s="6">
        <f>E20*1000/E18</f>
        <v>266.66666666666669</v>
      </c>
    </row>
    <row r="22" spans="1:6" x14ac:dyDescent="0.3">
      <c r="B22" t="s">
        <v>243</v>
      </c>
      <c r="C22">
        <v>1</v>
      </c>
      <c r="D22" s="6">
        <f>D21/50</f>
        <v>2.7739251040221915</v>
      </c>
      <c r="E22" s="6">
        <f>E21/50</f>
        <v>5.3333333333333339</v>
      </c>
    </row>
    <row r="23" spans="1:6" x14ac:dyDescent="0.3">
      <c r="C23" s="6">
        <v>1</v>
      </c>
      <c r="D23" s="6">
        <v>3</v>
      </c>
      <c r="E23" s="6">
        <v>5</v>
      </c>
    </row>
    <row r="25" spans="1:6" x14ac:dyDescent="0.3">
      <c r="C25" t="s">
        <v>9</v>
      </c>
      <c r="D25" t="s">
        <v>186</v>
      </c>
      <c r="E25" t="s">
        <v>254</v>
      </c>
    </row>
    <row r="26" spans="1:6" x14ac:dyDescent="0.3">
      <c r="A26" s="1" t="s">
        <v>205</v>
      </c>
      <c r="B26" t="s">
        <v>253</v>
      </c>
      <c r="C26">
        <v>1</v>
      </c>
      <c r="D26" s="7">
        <v>2.0110957004160888</v>
      </c>
      <c r="E26" s="6">
        <v>4</v>
      </c>
    </row>
    <row r="27" spans="1:6" x14ac:dyDescent="0.3">
      <c r="B27" t="s">
        <v>244</v>
      </c>
      <c r="C27">
        <f>50*C26</f>
        <v>50</v>
      </c>
      <c r="D27" s="7">
        <f>50*D26</f>
        <v>100.55478502080445</v>
      </c>
      <c r="E27" s="7">
        <f>50*E26</f>
        <v>200</v>
      </c>
    </row>
    <row r="28" spans="1:6" x14ac:dyDescent="0.3">
      <c r="B28" t="s">
        <v>245</v>
      </c>
      <c r="D28" s="7">
        <f>D27*1000/D$18</f>
        <v>69.732860624691014</v>
      </c>
      <c r="E28" s="7">
        <f>E27*1000/E$18</f>
        <v>133.33333333333334</v>
      </c>
    </row>
    <row r="29" spans="1:6" x14ac:dyDescent="0.3">
      <c r="B29" t="s">
        <v>243</v>
      </c>
      <c r="C29">
        <v>1</v>
      </c>
      <c r="D29" s="6">
        <f>D28/50</f>
        <v>1.3946572124938204</v>
      </c>
      <c r="E29" s="6">
        <f>E28/50</f>
        <v>2.666666666666667</v>
      </c>
    </row>
    <row r="30" spans="1:6" x14ac:dyDescent="0.3">
      <c r="B30" t="s">
        <v>252</v>
      </c>
      <c r="C30">
        <v>2</v>
      </c>
      <c r="D30">
        <v>3</v>
      </c>
      <c r="E30">
        <v>6</v>
      </c>
    </row>
    <row r="32" spans="1:6" x14ac:dyDescent="0.3">
      <c r="C32" t="s">
        <v>9</v>
      </c>
      <c r="D32" t="s">
        <v>186</v>
      </c>
      <c r="E32" t="s">
        <v>254</v>
      </c>
      <c r="F32" t="s">
        <v>13</v>
      </c>
    </row>
    <row r="33" spans="1:6" x14ac:dyDescent="0.3">
      <c r="A33" s="1" t="s">
        <v>255</v>
      </c>
      <c r="B33" t="s">
        <v>253</v>
      </c>
      <c r="C33">
        <v>1</v>
      </c>
      <c r="D33" s="7">
        <v>2</v>
      </c>
      <c r="E33" s="6">
        <v>0</v>
      </c>
    </row>
    <row r="34" spans="1:6" x14ac:dyDescent="0.3">
      <c r="B34" t="s">
        <v>244</v>
      </c>
      <c r="C34">
        <f>50*C33</f>
        <v>50</v>
      </c>
      <c r="D34" s="7">
        <f>50*D33</f>
        <v>100</v>
      </c>
      <c r="E34" s="7">
        <f>50*E33</f>
        <v>0</v>
      </c>
    </row>
    <row r="35" spans="1:6" x14ac:dyDescent="0.3">
      <c r="B35" t="s">
        <v>245</v>
      </c>
      <c r="D35" s="7">
        <f>D34*1000/D$18</f>
        <v>69.34812760055479</v>
      </c>
      <c r="E35" s="7">
        <f>E34*1000/E$18</f>
        <v>0</v>
      </c>
    </row>
    <row r="36" spans="1:6" x14ac:dyDescent="0.3">
      <c r="B36" t="s">
        <v>243</v>
      </c>
      <c r="C36">
        <v>1</v>
      </c>
      <c r="D36" s="6">
        <f>D35/50</f>
        <v>1.3869625520110958</v>
      </c>
      <c r="E36" s="6">
        <f>E35/50</f>
        <v>0</v>
      </c>
    </row>
    <row r="37" spans="1:6" x14ac:dyDescent="0.3">
      <c r="B37" t="s">
        <v>252</v>
      </c>
      <c r="C37">
        <v>2</v>
      </c>
      <c r="D37">
        <v>3</v>
      </c>
      <c r="E37">
        <v>0</v>
      </c>
      <c r="F37" t="s">
        <v>256</v>
      </c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26"/>
  <sheetViews>
    <sheetView workbookViewId="0">
      <selection activeCell="E4" sqref="E4"/>
    </sheetView>
  </sheetViews>
  <sheetFormatPr defaultRowHeight="14.4" x14ac:dyDescent="0.3"/>
  <cols>
    <col min="1" max="1" width="8.88671875" style="5"/>
    <col min="2" max="2" width="3.109375" style="5" customWidth="1"/>
    <col min="3" max="3" width="19.6640625" style="5" customWidth="1"/>
    <col min="4" max="4" width="16" style="5" customWidth="1"/>
    <col min="5" max="5" width="18.6640625" style="5" bestFit="1" customWidth="1"/>
    <col min="6" max="6" width="15.77734375" style="5" customWidth="1"/>
    <col min="7" max="7" width="16.5546875" style="5" bestFit="1" customWidth="1"/>
    <col min="8" max="8" width="14.5546875" style="5" customWidth="1"/>
    <col min="9" max="9" width="15.77734375" style="5" customWidth="1"/>
    <col min="10" max="16384" width="8.88671875" style="5"/>
  </cols>
  <sheetData>
    <row r="1" spans="3:15" ht="12.6" customHeight="1" x14ac:dyDescent="0.3"/>
    <row r="2" spans="3:15" x14ac:dyDescent="0.3">
      <c r="C2" s="30" t="s">
        <v>1</v>
      </c>
      <c r="D2" s="31" t="s">
        <v>95</v>
      </c>
      <c r="E2" s="31" t="s">
        <v>217</v>
      </c>
      <c r="F2" s="31" t="s">
        <v>93</v>
      </c>
      <c r="G2" s="31" t="s">
        <v>209</v>
      </c>
      <c r="H2" s="31" t="s">
        <v>185</v>
      </c>
      <c r="I2" s="51" t="s">
        <v>114</v>
      </c>
      <c r="N2" s="5" t="s">
        <v>182</v>
      </c>
    </row>
    <row r="3" spans="3:15" x14ac:dyDescent="0.3">
      <c r="C3" s="33" t="s">
        <v>10</v>
      </c>
      <c r="D3" s="12">
        <f>'Materials Bill'!C33*1000</f>
        <v>689.65517241379314</v>
      </c>
      <c r="E3" s="12">
        <f>'Materials Bill'!E34</f>
        <v>2000.0000000000002</v>
      </c>
      <c r="F3" s="12">
        <f>'Materials Bill'!K21</f>
        <v>6.8046896876754914</v>
      </c>
      <c r="G3" s="12">
        <f>'Materials Bill'!C36</f>
        <v>4.1455832416662686</v>
      </c>
      <c r="H3" s="12">
        <f>'Materials Bill'!C38</f>
        <v>3.8827689410735329</v>
      </c>
      <c r="I3" s="52"/>
    </row>
    <row r="4" spans="3:15" x14ac:dyDescent="0.3">
      <c r="C4" s="33" t="s">
        <v>19</v>
      </c>
      <c r="D4" s="44">
        <v>0</v>
      </c>
      <c r="E4" s="44">
        <f>E3*'Standard Costs'!G3</f>
        <v>154000.00000000003</v>
      </c>
      <c r="F4" s="59">
        <v>27000</v>
      </c>
      <c r="G4" s="13">
        <f>G3*'Materials Bill'!F7</f>
        <v>19106.92372132538</v>
      </c>
      <c r="H4" s="13">
        <f>H3*'Materials Bill'!F8</f>
        <v>82508.839997812567</v>
      </c>
      <c r="I4" s="53">
        <f>SUM(D4:H4)</f>
        <v>282615.76371913799</v>
      </c>
    </row>
    <row r="5" spans="3:15" x14ac:dyDescent="0.3">
      <c r="C5" s="34" t="s">
        <v>20</v>
      </c>
      <c r="D5" s="47">
        <f>0</f>
        <v>0</v>
      </c>
      <c r="E5" s="47">
        <f>E4/750</f>
        <v>205.33333333333337</v>
      </c>
      <c r="F5" s="47">
        <f t="shared" ref="F5:H5" si="0">F4/750</f>
        <v>36</v>
      </c>
      <c r="G5" s="47">
        <f t="shared" si="0"/>
        <v>25.475898295100507</v>
      </c>
      <c r="H5" s="47">
        <f t="shared" si="0"/>
        <v>110.01178666375009</v>
      </c>
      <c r="I5" s="54">
        <f>SUM(D5:H5)</f>
        <v>376.82101829218391</v>
      </c>
    </row>
    <row r="7" spans="3:15" s="29" customFormat="1" x14ac:dyDescent="0.3">
      <c r="C7" s="30" t="s">
        <v>11</v>
      </c>
      <c r="D7" s="31" t="s">
        <v>119</v>
      </c>
      <c r="E7" s="31" t="s">
        <v>121</v>
      </c>
      <c r="F7" s="31" t="s">
        <v>52</v>
      </c>
      <c r="G7" s="31" t="s">
        <v>19</v>
      </c>
      <c r="H7" s="32" t="s">
        <v>20</v>
      </c>
    </row>
    <row r="8" spans="3:15" x14ac:dyDescent="0.3">
      <c r="C8" s="35" t="s">
        <v>103</v>
      </c>
      <c r="D8" s="12">
        <f>Sizing!D31</f>
        <v>10</v>
      </c>
      <c r="E8" s="12">
        <f>'Materials Bill'!C50</f>
        <v>252.89820861397831</v>
      </c>
      <c r="F8" s="12">
        <f>'Materials Bill'!C52</f>
        <v>154.92811508610018</v>
      </c>
      <c r="G8" s="59">
        <f>F8*'Materials Bill'!$G$5</f>
        <v>72816.214090467081</v>
      </c>
      <c r="H8" s="48">
        <f>G8/750</f>
        <v>97.088285453956104</v>
      </c>
      <c r="O8" s="5" t="s">
        <v>189</v>
      </c>
    </row>
    <row r="9" spans="3:15" x14ac:dyDescent="0.3">
      <c r="C9" s="35" t="s">
        <v>105</v>
      </c>
      <c r="D9" s="12">
        <f>Sizing!J31</f>
        <v>10</v>
      </c>
      <c r="E9" s="12">
        <f>'Materials Bill'!G50+'Materials Bill'!K50</f>
        <v>197.92033717615698</v>
      </c>
      <c r="F9" s="12">
        <f>'Materials Bill'!G52+'Materials Bill'!K52</f>
        <v>121.24809006738275</v>
      </c>
      <c r="G9" s="59">
        <f>F9*'Materials Bill'!$G$5</f>
        <v>56986.602331669892</v>
      </c>
      <c r="H9" s="48">
        <f t="shared" ref="H9:H11" si="1">G9/750</f>
        <v>75.982136442226519</v>
      </c>
    </row>
    <row r="10" spans="3:15" x14ac:dyDescent="0.3">
      <c r="C10" s="35" t="s">
        <v>106</v>
      </c>
      <c r="D10" s="12">
        <f>Sizing!G42</f>
        <v>12</v>
      </c>
      <c r="E10" s="12">
        <f>'Materials Bill'!C59</f>
        <v>84</v>
      </c>
      <c r="F10" s="12">
        <f>'Materials Bill'!C61</f>
        <v>74.101374238753152</v>
      </c>
      <c r="G10" s="59">
        <f>F10*'Materials Bill'!$G$5</f>
        <v>34827.645892213979</v>
      </c>
      <c r="H10" s="48">
        <f t="shared" si="1"/>
        <v>46.436861189618639</v>
      </c>
    </row>
    <row r="11" spans="3:15" x14ac:dyDescent="0.3">
      <c r="C11" s="35" t="s">
        <v>112</v>
      </c>
      <c r="D11" s="12">
        <f>Sizing!D18</f>
        <v>6</v>
      </c>
      <c r="E11" s="12">
        <f>'Materials Bill'!C23</f>
        <v>769.69020012949932</v>
      </c>
      <c r="F11" s="12">
        <f>'Materials Bill'!C27</f>
        <v>169.74732609433588</v>
      </c>
      <c r="G11" s="59">
        <f>F11*'Materials Bill'!$G$5</f>
        <v>79781.243264337856</v>
      </c>
      <c r="H11" s="48">
        <f t="shared" si="1"/>
        <v>106.37499101911715</v>
      </c>
      <c r="J11" s="5">
        <f>E11/12</f>
        <v>64.14085001079161</v>
      </c>
      <c r="K11" s="5">
        <v>16</v>
      </c>
    </row>
    <row r="12" spans="3:15" x14ac:dyDescent="0.3">
      <c r="C12" s="35" t="s">
        <v>181</v>
      </c>
      <c r="D12" s="12"/>
      <c r="E12" s="12"/>
      <c r="F12" s="12"/>
      <c r="G12" s="59"/>
      <c r="H12" s="48"/>
    </row>
    <row r="13" spans="3:15" x14ac:dyDescent="0.3">
      <c r="C13" s="65" t="s">
        <v>114</v>
      </c>
      <c r="D13" s="66"/>
      <c r="E13" s="66">
        <f>SUM(E8:E11)</f>
        <v>1304.5087459196347</v>
      </c>
      <c r="F13" s="66">
        <f>SUM(F8:F11)</f>
        <v>520.02490548657192</v>
      </c>
      <c r="G13" s="67">
        <f>SUM(G8:G11)</f>
        <v>244411.70557868879</v>
      </c>
      <c r="H13" s="68">
        <f>SUM(H8:H11)</f>
        <v>325.88227410491839</v>
      </c>
    </row>
    <row r="14" spans="3:15" x14ac:dyDescent="0.3">
      <c r="G14" s="61"/>
    </row>
    <row r="15" spans="3:15" s="29" customFormat="1" x14ac:dyDescent="0.3">
      <c r="C15" s="30" t="s">
        <v>60</v>
      </c>
      <c r="D15" s="31" t="s">
        <v>69</v>
      </c>
      <c r="E15" s="31" t="s">
        <v>104</v>
      </c>
      <c r="F15" s="31" t="s">
        <v>113</v>
      </c>
      <c r="G15" s="62" t="s">
        <v>19</v>
      </c>
      <c r="H15" s="32" t="s">
        <v>20</v>
      </c>
    </row>
    <row r="16" spans="3:15" x14ac:dyDescent="0.3">
      <c r="C16" s="33" t="s">
        <v>72</v>
      </c>
      <c r="D16" s="12">
        <f>'Materials Bill'!F65</f>
        <v>178.12830345854127</v>
      </c>
      <c r="E16" s="12">
        <f>D16/1.2</f>
        <v>148.44025288211773</v>
      </c>
      <c r="F16" s="12"/>
      <c r="G16" s="59">
        <f>E16*'Standard Costs'!I8</f>
        <v>237504.40461138837</v>
      </c>
      <c r="H16" s="46">
        <f>G16/750</f>
        <v>316.67253948185117</v>
      </c>
    </row>
    <row r="17" spans="3:13" x14ac:dyDescent="0.3">
      <c r="C17" s="34" t="s">
        <v>97</v>
      </c>
      <c r="D17" s="10">
        <f>D16</f>
        <v>178.12830345854127</v>
      </c>
      <c r="E17" s="10">
        <f>D17/1.2</f>
        <v>148.44025288211773</v>
      </c>
      <c r="F17" s="10">
        <f>'Materials Bill'!C70</f>
        <v>0</v>
      </c>
      <c r="G17" s="63">
        <f>F17*'Standard Costs'!G4</f>
        <v>0</v>
      </c>
      <c r="H17" s="45">
        <f>G17/750</f>
        <v>0</v>
      </c>
    </row>
    <row r="18" spans="3:13" x14ac:dyDescent="0.3">
      <c r="C18" s="36" t="s">
        <v>114</v>
      </c>
      <c r="D18" s="10"/>
      <c r="E18" s="10"/>
      <c r="F18" s="10"/>
      <c r="G18" s="60">
        <f>SUM(G16:G17)</f>
        <v>237504.40461138837</v>
      </c>
      <c r="H18" s="45">
        <f>SUM(H16:H17)</f>
        <v>316.67253948185117</v>
      </c>
    </row>
    <row r="19" spans="3:13" x14ac:dyDescent="0.3">
      <c r="C19" s="12"/>
      <c r="D19" s="12"/>
      <c r="E19" s="12"/>
      <c r="F19" s="12"/>
      <c r="G19" s="44"/>
      <c r="H19" s="50" t="s">
        <v>122</v>
      </c>
    </row>
    <row r="20" spans="3:13" x14ac:dyDescent="0.3">
      <c r="C20" s="30" t="s">
        <v>100</v>
      </c>
      <c r="D20" s="31" t="s">
        <v>95</v>
      </c>
      <c r="E20" s="31" t="s">
        <v>217</v>
      </c>
      <c r="F20" s="31" t="s">
        <v>209</v>
      </c>
      <c r="G20" s="51" t="s">
        <v>114</v>
      </c>
      <c r="H20" s="29"/>
      <c r="L20" s="5" t="s">
        <v>24</v>
      </c>
      <c r="M20" s="5" t="s">
        <v>24</v>
      </c>
    </row>
    <row r="21" spans="3:13" x14ac:dyDescent="0.3">
      <c r="C21" s="33" t="s">
        <v>10</v>
      </c>
      <c r="D21" s="12">
        <f>'Materials Bill'!C79*1000</f>
        <v>1036.9891220376912</v>
      </c>
      <c r="E21" s="12">
        <f>'Materials Bill'!E80</f>
        <v>2073.9782440753825</v>
      </c>
      <c r="F21" s="12">
        <f>'Materials Bill'!C81</f>
        <v>2.8765301582182836</v>
      </c>
      <c r="G21" s="52"/>
      <c r="K21" s="5" t="s">
        <v>186</v>
      </c>
      <c r="L21" s="5">
        <f>F3+F21</f>
        <v>9.681219845893775</v>
      </c>
      <c r="M21" s="5">
        <v>4</v>
      </c>
    </row>
    <row r="22" spans="3:13" x14ac:dyDescent="0.3">
      <c r="C22" s="33" t="s">
        <v>19</v>
      </c>
      <c r="D22" s="44">
        <v>0</v>
      </c>
      <c r="E22" s="44">
        <f>E21*'Standard Costs'!G3</f>
        <v>159696.32479380444</v>
      </c>
      <c r="F22" s="44">
        <f>F21*'Standard Costs'!H5</f>
        <v>11948.663734137486</v>
      </c>
      <c r="G22" s="55">
        <f>SUM(D22:F22)</f>
        <v>171644.98852794192</v>
      </c>
      <c r="K22" s="5" t="s">
        <v>187</v>
      </c>
      <c r="L22" s="5" t="e">
        <f>#REF!</f>
        <v>#REF!</v>
      </c>
      <c r="M22" s="5">
        <v>5</v>
      </c>
    </row>
    <row r="23" spans="3:13" x14ac:dyDescent="0.3">
      <c r="C23" s="34" t="s">
        <v>20</v>
      </c>
      <c r="D23" s="57">
        <f>D22/750</f>
        <v>0</v>
      </c>
      <c r="E23" s="57">
        <f t="shared" ref="E23:F23" si="2">E22/750</f>
        <v>212.92843305840591</v>
      </c>
      <c r="F23" s="57">
        <f t="shared" si="2"/>
        <v>15.931551645516649</v>
      </c>
      <c r="G23" s="58">
        <f>SUM(D23:F23)</f>
        <v>228.85998470392258</v>
      </c>
      <c r="K23" s="5" t="s">
        <v>188</v>
      </c>
      <c r="L23" s="5">
        <f>H3</f>
        <v>3.8827689410735329</v>
      </c>
      <c r="M23" s="5">
        <v>3.5</v>
      </c>
    </row>
    <row r="25" spans="3:13" x14ac:dyDescent="0.3">
      <c r="C25" s="37" t="s">
        <v>155</v>
      </c>
      <c r="D25" s="56">
        <f>I4+G13+G17+G22</f>
        <v>698672.45782576874</v>
      </c>
      <c r="E25" s="5" t="s">
        <v>115</v>
      </c>
    </row>
    <row r="26" spans="3:13" x14ac:dyDescent="0.3">
      <c r="C26" s="34" t="s">
        <v>156</v>
      </c>
      <c r="D26" s="49">
        <f>D25/750</f>
        <v>931.56327710102494</v>
      </c>
      <c r="E26" s="5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B4" sqref="B4"/>
    </sheetView>
  </sheetViews>
  <sheetFormatPr defaultRowHeight="14.4" x14ac:dyDescent="0.3"/>
  <sheetData>
    <row r="2" spans="2:11" x14ac:dyDescent="0.3">
      <c r="B2" s="19" t="s">
        <v>126</v>
      </c>
      <c r="I2" t="s">
        <v>133</v>
      </c>
      <c r="K2" t="s">
        <v>134</v>
      </c>
    </row>
    <row r="3" spans="2:11" x14ac:dyDescent="0.3">
      <c r="B3">
        <v>5000</v>
      </c>
      <c r="C3" t="s">
        <v>127</v>
      </c>
      <c r="D3" t="s">
        <v>131</v>
      </c>
      <c r="E3" t="s">
        <v>128</v>
      </c>
      <c r="K3" t="s">
        <v>135</v>
      </c>
    </row>
    <row r="4" spans="2:11" x14ac:dyDescent="0.3">
      <c r="B4">
        <v>10000</v>
      </c>
      <c r="C4" t="s">
        <v>130</v>
      </c>
      <c r="D4" t="s">
        <v>131</v>
      </c>
      <c r="K4" t="s">
        <v>137</v>
      </c>
    </row>
    <row r="5" spans="2:11" x14ac:dyDescent="0.3">
      <c r="K5" t="s">
        <v>138</v>
      </c>
    </row>
    <row r="6" spans="2:11" x14ac:dyDescent="0.3">
      <c r="B6">
        <v>20000</v>
      </c>
      <c r="C6" t="s">
        <v>129</v>
      </c>
      <c r="K6" t="s">
        <v>139</v>
      </c>
    </row>
    <row r="7" spans="2:11" x14ac:dyDescent="0.3">
      <c r="K7" t="s">
        <v>141</v>
      </c>
    </row>
    <row r="8" spans="2:11" x14ac:dyDescent="0.3">
      <c r="B8" s="43" t="s">
        <v>143</v>
      </c>
      <c r="C8" s="21"/>
      <c r="D8" s="21"/>
      <c r="E8" s="21"/>
      <c r="F8" s="22"/>
    </row>
    <row r="9" spans="2:11" x14ac:dyDescent="0.3">
      <c r="B9" s="70">
        <v>6</v>
      </c>
      <c r="C9" s="71" t="s">
        <v>142</v>
      </c>
      <c r="D9" s="71">
        <v>4</v>
      </c>
      <c r="E9" s="71" t="s">
        <v>132</v>
      </c>
      <c r="F9" s="72">
        <f>B9*D9*B3</f>
        <v>120000</v>
      </c>
    </row>
    <row r="10" spans="2:11" x14ac:dyDescent="0.3">
      <c r="B10" s="70"/>
      <c r="C10" s="71"/>
      <c r="D10" s="71">
        <v>1</v>
      </c>
      <c r="E10" s="71" t="s">
        <v>125</v>
      </c>
      <c r="F10" s="72">
        <f>B4*B9</f>
        <v>60000</v>
      </c>
    </row>
    <row r="11" spans="2:11" x14ac:dyDescent="0.3">
      <c r="B11" s="70"/>
      <c r="C11" s="71"/>
      <c r="D11" s="71"/>
      <c r="E11" s="71"/>
      <c r="F11" s="72">
        <f>SUM(F10+F9)</f>
        <v>180000</v>
      </c>
    </row>
    <row r="12" spans="2:11" x14ac:dyDescent="0.3">
      <c r="B12" s="73"/>
      <c r="C12" s="74"/>
      <c r="D12" s="74"/>
      <c r="E12" s="74"/>
      <c r="F12" s="75">
        <f>F11/750</f>
        <v>240</v>
      </c>
    </row>
    <row r="14" spans="2:11" x14ac:dyDescent="0.3">
      <c r="B14" t="s">
        <v>144</v>
      </c>
    </row>
    <row r="15" spans="2:11" x14ac:dyDescent="0.3">
      <c r="C15" t="s">
        <v>125</v>
      </c>
      <c r="D15" t="s">
        <v>146</v>
      </c>
      <c r="E15" t="s">
        <v>147</v>
      </c>
      <c r="F15" t="s">
        <v>148</v>
      </c>
      <c r="G15" t="s">
        <v>149</v>
      </c>
      <c r="I15" s="1" t="s">
        <v>152</v>
      </c>
      <c r="J15" t="s">
        <v>153</v>
      </c>
    </row>
    <row r="16" spans="2:11" x14ac:dyDescent="0.3">
      <c r="B16" t="s">
        <v>145</v>
      </c>
      <c r="C16">
        <f>6*10000</f>
        <v>60000</v>
      </c>
      <c r="D16">
        <f>6*B3</f>
        <v>30000</v>
      </c>
      <c r="E16">
        <f>6*B3</f>
        <v>30000</v>
      </c>
      <c r="F16">
        <f>6*B3</f>
        <v>30000</v>
      </c>
      <c r="G16">
        <f>6*B3</f>
        <v>30000</v>
      </c>
      <c r="I16">
        <f>SUM(C16:G16)</f>
        <v>180000</v>
      </c>
      <c r="J16" s="69">
        <f>I16/750</f>
        <v>240</v>
      </c>
    </row>
    <row r="17" spans="2:10" x14ac:dyDescent="0.3">
      <c r="B17" t="s">
        <v>150</v>
      </c>
      <c r="C17">
        <v>60000</v>
      </c>
      <c r="D17">
        <v>24000</v>
      </c>
      <c r="E17">
        <v>24000</v>
      </c>
      <c r="F17">
        <v>24000</v>
      </c>
      <c r="G17">
        <v>24000</v>
      </c>
      <c r="I17">
        <f t="shared" ref="I17:I18" si="0">SUM(C17:G17)</f>
        <v>156000</v>
      </c>
      <c r="J17" s="69">
        <f t="shared" ref="J17:J18" si="1">I17/750</f>
        <v>208</v>
      </c>
    </row>
    <row r="18" spans="2:10" x14ac:dyDescent="0.3">
      <c r="B18" t="s">
        <v>151</v>
      </c>
      <c r="C18">
        <v>60000</v>
      </c>
      <c r="D18">
        <v>24000</v>
      </c>
      <c r="E18">
        <v>24000</v>
      </c>
      <c r="F18">
        <v>24000</v>
      </c>
      <c r="G18">
        <v>24000</v>
      </c>
      <c r="I18">
        <f t="shared" si="0"/>
        <v>156000</v>
      </c>
      <c r="J18" s="69">
        <f t="shared" si="1"/>
        <v>208</v>
      </c>
    </row>
    <row r="19" spans="2:10" x14ac:dyDescent="0.3">
      <c r="I19">
        <f>SUM(I16:I18)</f>
        <v>492000</v>
      </c>
      <c r="J19" s="69">
        <f>SUM(J16:J18)</f>
        <v>656</v>
      </c>
    </row>
    <row r="21" spans="2:10" x14ac:dyDescent="0.3">
      <c r="B21" t="s">
        <v>154</v>
      </c>
      <c r="I21">
        <v>20000</v>
      </c>
      <c r="J21" s="69">
        <f>I21/750</f>
        <v>26.666666666666668</v>
      </c>
    </row>
    <row r="23" spans="2:10" x14ac:dyDescent="0.3">
      <c r="H23" t="s">
        <v>114</v>
      </c>
      <c r="I23">
        <f>SUM(I19,I21)</f>
        <v>512000</v>
      </c>
      <c r="J23" s="69">
        <f>SUM(J19,J21)</f>
        <v>682.66666666666663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workbookViewId="0">
      <selection activeCell="D12" sqref="D12"/>
    </sheetView>
  </sheetViews>
  <sheetFormatPr defaultRowHeight="14.4" x14ac:dyDescent="0.3"/>
  <cols>
    <col min="2" max="2" width="16.44140625" bestFit="1" customWidth="1"/>
    <col min="4" max="4" width="10.33203125" bestFit="1" customWidth="1"/>
  </cols>
  <sheetData>
    <row r="2" spans="2:6" x14ac:dyDescent="0.3">
      <c r="B2" s="20" t="s">
        <v>157</v>
      </c>
      <c r="C2" s="79" t="s">
        <v>19</v>
      </c>
      <c r="D2" s="80" t="s">
        <v>20</v>
      </c>
    </row>
    <row r="3" spans="2:6" x14ac:dyDescent="0.3">
      <c r="B3" s="23" t="s">
        <v>9</v>
      </c>
      <c r="C3" s="9">
        <f>'Material Bill Summary'!E4+'Material Bill Summary'!E22</f>
        <v>313696.32479380444</v>
      </c>
      <c r="D3" s="81">
        <f>C3/750</f>
        <v>418.26176639173923</v>
      </c>
    </row>
    <row r="4" spans="2:6" x14ac:dyDescent="0.3">
      <c r="B4" s="23" t="s">
        <v>3</v>
      </c>
      <c r="C4" s="9">
        <f>'Material Bill Summary'!F4+'Material Bill Summary'!F22</f>
        <v>38948.663734137488</v>
      </c>
      <c r="D4" s="81">
        <f t="shared" ref="D4:D8" si="0">C4/750</f>
        <v>51.931551645516649</v>
      </c>
    </row>
    <row r="5" spans="2:6" x14ac:dyDescent="0.3">
      <c r="B5" s="23" t="s">
        <v>2</v>
      </c>
      <c r="C5" s="9" t="e">
        <f>'Material Bill Summary'!#REF!</f>
        <v>#REF!</v>
      </c>
      <c r="D5" s="81" t="e">
        <f t="shared" si="0"/>
        <v>#REF!</v>
      </c>
    </row>
    <row r="6" spans="2:6" x14ac:dyDescent="0.3">
      <c r="B6" s="23" t="s">
        <v>158</v>
      </c>
      <c r="C6" s="9">
        <f>'Material Bill Summary'!G13</f>
        <v>244411.70557868879</v>
      </c>
      <c r="D6" s="81">
        <f t="shared" si="0"/>
        <v>325.88227410491839</v>
      </c>
    </row>
    <row r="7" spans="2:6" x14ac:dyDescent="0.3">
      <c r="B7" s="23" t="s">
        <v>72</v>
      </c>
      <c r="C7" s="9">
        <f>'Material Bill Summary'!G18</f>
        <v>237504.40461138837</v>
      </c>
      <c r="D7" s="81">
        <f t="shared" si="0"/>
        <v>316.67253948185117</v>
      </c>
    </row>
    <row r="8" spans="2:6" x14ac:dyDescent="0.3">
      <c r="B8" s="76" t="s">
        <v>114</v>
      </c>
      <c r="C8" s="77" t="e">
        <f>SUM(C3:C7)</f>
        <v>#REF!</v>
      </c>
      <c r="D8" s="78" t="e">
        <f t="shared" si="0"/>
        <v>#REF!</v>
      </c>
    </row>
    <row r="10" spans="2:6" x14ac:dyDescent="0.3">
      <c r="B10" s="20" t="s">
        <v>159</v>
      </c>
      <c r="C10" s="79" t="s">
        <v>19</v>
      </c>
      <c r="D10" s="80" t="s">
        <v>20</v>
      </c>
    </row>
    <row r="11" spans="2:6" x14ac:dyDescent="0.3">
      <c r="B11" s="23" t="s">
        <v>125</v>
      </c>
      <c r="C11" s="9">
        <v>270000</v>
      </c>
      <c r="D11" s="81">
        <f>C11/750</f>
        <v>360</v>
      </c>
    </row>
    <row r="12" spans="2:6" x14ac:dyDescent="0.3">
      <c r="B12" s="23" t="s">
        <v>160</v>
      </c>
      <c r="C12" s="9">
        <f>27*4000*4</f>
        <v>432000</v>
      </c>
      <c r="D12" s="81">
        <f t="shared" ref="D12:D14" si="1">C12/750</f>
        <v>576</v>
      </c>
    </row>
    <row r="13" spans="2:6" x14ac:dyDescent="0.3">
      <c r="B13" s="23" t="s">
        <v>161</v>
      </c>
      <c r="C13" s="9">
        <v>20000</v>
      </c>
      <c r="D13" s="81">
        <f t="shared" si="1"/>
        <v>26.666666666666668</v>
      </c>
      <c r="E13" s="14"/>
      <c r="F13" s="14"/>
    </row>
    <row r="14" spans="2:6" x14ac:dyDescent="0.3">
      <c r="B14" s="76" t="s">
        <v>114</v>
      </c>
      <c r="C14" s="77">
        <f>SUM(C11:C13)</f>
        <v>722000</v>
      </c>
      <c r="D14" s="78">
        <f t="shared" si="1"/>
        <v>962.66666666666663</v>
      </c>
    </row>
    <row r="16" spans="2:6" x14ac:dyDescent="0.3">
      <c r="B16" s="20" t="s">
        <v>114</v>
      </c>
      <c r="C16" s="79" t="s">
        <v>19</v>
      </c>
      <c r="D16" s="80" t="s">
        <v>20</v>
      </c>
    </row>
    <row r="17" spans="2:4" x14ac:dyDescent="0.3">
      <c r="B17" s="23" t="s">
        <v>157</v>
      </c>
      <c r="C17" s="9" t="e">
        <f>C8</f>
        <v>#REF!</v>
      </c>
      <c r="D17" s="81" t="e">
        <f>D8</f>
        <v>#REF!</v>
      </c>
    </row>
    <row r="18" spans="2:4" x14ac:dyDescent="0.3">
      <c r="B18" s="23" t="s">
        <v>159</v>
      </c>
      <c r="C18" s="9">
        <f>C14</f>
        <v>722000</v>
      </c>
      <c r="D18" s="81">
        <f>D14</f>
        <v>962.66666666666663</v>
      </c>
    </row>
    <row r="19" spans="2:4" x14ac:dyDescent="0.3">
      <c r="B19" s="76"/>
      <c r="C19" s="77" t="e">
        <f>SUM(C17:C18)</f>
        <v>#REF!</v>
      </c>
      <c r="D19" s="78" t="e">
        <f>SUM(D17:D18)</f>
        <v>#REF!</v>
      </c>
    </row>
    <row r="22" spans="2:4" x14ac:dyDescent="0.3">
      <c r="D22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7"/>
  <sheetViews>
    <sheetView tabSelected="1" workbookViewId="0">
      <selection activeCell="U6" sqref="U6"/>
    </sheetView>
  </sheetViews>
  <sheetFormatPr defaultRowHeight="14.4" x14ac:dyDescent="0.3"/>
  <cols>
    <col min="2" max="2" width="17.5546875" bestFit="1" customWidth="1"/>
    <col min="8" max="8" width="9.5546875" style="7" bestFit="1" customWidth="1"/>
    <col min="15" max="15" width="13.5546875" bestFit="1" customWidth="1"/>
  </cols>
  <sheetData>
    <row r="1" spans="2:22" x14ac:dyDescent="0.3">
      <c r="B1" t="s">
        <v>71</v>
      </c>
      <c r="C1" s="7">
        <f>'Materials Bill'!C13</f>
        <v>89.064151729270634</v>
      </c>
    </row>
    <row r="3" spans="2:22" x14ac:dyDescent="0.3">
      <c r="B3" t="s">
        <v>162</v>
      </c>
    </row>
    <row r="4" spans="2:22" x14ac:dyDescent="0.3">
      <c r="B4" t="s">
        <v>163</v>
      </c>
      <c r="C4" t="s">
        <v>104</v>
      </c>
      <c r="D4" t="s">
        <v>164</v>
      </c>
      <c r="E4" t="s">
        <v>165</v>
      </c>
      <c r="F4" t="s">
        <v>170</v>
      </c>
      <c r="H4" s="7" t="s">
        <v>171</v>
      </c>
      <c r="O4" t="s">
        <v>176</v>
      </c>
      <c r="P4" t="s">
        <v>177</v>
      </c>
      <c r="Q4" t="s">
        <v>178</v>
      </c>
      <c r="R4" t="s">
        <v>44</v>
      </c>
      <c r="T4" t="s">
        <v>179</v>
      </c>
      <c r="U4" t="s">
        <v>171</v>
      </c>
    </row>
    <row r="5" spans="2:22" x14ac:dyDescent="0.3">
      <c r="B5" t="s">
        <v>180</v>
      </c>
      <c r="C5">
        <v>50</v>
      </c>
      <c r="D5">
        <v>1.5</v>
      </c>
      <c r="E5">
        <v>1200</v>
      </c>
      <c r="F5">
        <f>E5/D5</f>
        <v>800</v>
      </c>
      <c r="H5" s="7">
        <f>$C$1*F5</f>
        <v>71251.321383416507</v>
      </c>
      <c r="O5" t="s">
        <v>258</v>
      </c>
      <c r="P5">
        <v>2</v>
      </c>
      <c r="Q5">
        <v>50</v>
      </c>
      <c r="R5">
        <f>Q5*P5</f>
        <v>100</v>
      </c>
      <c r="T5">
        <f>E5*C5</f>
        <v>60000</v>
      </c>
      <c r="U5">
        <v>110000</v>
      </c>
      <c r="V5">
        <f>U5/750</f>
        <v>146.66666666666666</v>
      </c>
    </row>
    <row r="6" spans="2:22" x14ac:dyDescent="0.3">
      <c r="B6" t="s">
        <v>166</v>
      </c>
      <c r="C6">
        <v>25</v>
      </c>
      <c r="D6">
        <v>1.2</v>
      </c>
      <c r="E6">
        <v>2500</v>
      </c>
      <c r="F6" s="7">
        <f t="shared" ref="F6:F7" si="0">E6/D6</f>
        <v>2083.3333333333335</v>
      </c>
      <c r="H6" s="7">
        <f t="shared" ref="H6:H7" si="1">$C$1*F6</f>
        <v>185550.31610264716</v>
      </c>
      <c r="O6" t="s">
        <v>257</v>
      </c>
      <c r="P6">
        <v>1</v>
      </c>
      <c r="Q6">
        <v>25</v>
      </c>
      <c r="R6">
        <f>Q6*P6</f>
        <v>25</v>
      </c>
      <c r="T6">
        <v>32500</v>
      </c>
      <c r="U6">
        <f>T6*P6</f>
        <v>32500</v>
      </c>
      <c r="V6" s="7">
        <f>U6/750</f>
        <v>43.333333333333336</v>
      </c>
    </row>
    <row r="7" spans="2:22" x14ac:dyDescent="0.3">
      <c r="B7" t="s">
        <v>167</v>
      </c>
      <c r="C7">
        <v>50</v>
      </c>
      <c r="D7">
        <v>1</v>
      </c>
      <c r="E7">
        <v>800</v>
      </c>
      <c r="F7">
        <f t="shared" si="0"/>
        <v>800</v>
      </c>
      <c r="H7" s="7">
        <f t="shared" si="1"/>
        <v>71251.321383416507</v>
      </c>
      <c r="U7">
        <f>SUM(U6+U5)</f>
        <v>142500</v>
      </c>
    </row>
    <row r="8" spans="2:22" x14ac:dyDescent="0.3">
      <c r="U8" s="69">
        <f>U7/750</f>
        <v>190</v>
      </c>
    </row>
    <row r="9" spans="2:22" x14ac:dyDescent="0.3">
      <c r="B9" t="s">
        <v>168</v>
      </c>
    </row>
    <row r="10" spans="2:22" x14ac:dyDescent="0.3">
      <c r="B10" t="s">
        <v>167</v>
      </c>
      <c r="C10">
        <v>25</v>
      </c>
      <c r="D10">
        <v>2</v>
      </c>
      <c r="E10">
        <f>30000/25</f>
        <v>1200</v>
      </c>
      <c r="F10">
        <f>E10/D10</f>
        <v>600</v>
      </c>
      <c r="H10" s="7">
        <f>F10*C$1</f>
        <v>53438.49103756238</v>
      </c>
      <c r="U10">
        <v>160000</v>
      </c>
    </row>
    <row r="11" spans="2:22" x14ac:dyDescent="0.3">
      <c r="B11" t="s">
        <v>169</v>
      </c>
      <c r="C11">
        <v>25</v>
      </c>
      <c r="D11">
        <v>1.2</v>
      </c>
      <c r="E11">
        <f>40000/25</f>
        <v>1600</v>
      </c>
      <c r="F11" s="7">
        <f t="shared" ref="F11:F12" si="2">E11/D11</f>
        <v>1333.3333333333335</v>
      </c>
      <c r="H11" s="7">
        <f t="shared" ref="H11:H12" si="3">F11*C$1</f>
        <v>118752.2023056942</v>
      </c>
      <c r="U11" s="69">
        <f>U10/750</f>
        <v>213.33333333333334</v>
      </c>
    </row>
    <row r="12" spans="2:22" x14ac:dyDescent="0.3">
      <c r="B12" t="s">
        <v>175</v>
      </c>
      <c r="C12">
        <v>25</v>
      </c>
      <c r="D12">
        <v>1</v>
      </c>
      <c r="E12">
        <f>35000/C12</f>
        <v>1400</v>
      </c>
      <c r="F12">
        <f t="shared" si="2"/>
        <v>1400</v>
      </c>
      <c r="H12" s="7">
        <f t="shared" si="3"/>
        <v>124689.81242097888</v>
      </c>
    </row>
    <row r="13" spans="2:22" x14ac:dyDescent="0.3">
      <c r="L13">
        <v>7</v>
      </c>
      <c r="U13">
        <f>U10+U7</f>
        <v>302500</v>
      </c>
    </row>
    <row r="14" spans="2:22" x14ac:dyDescent="0.3">
      <c r="B14" t="s">
        <v>172</v>
      </c>
    </row>
    <row r="15" spans="2:22" x14ac:dyDescent="0.3">
      <c r="B15" t="s">
        <v>173</v>
      </c>
      <c r="C15">
        <v>1</v>
      </c>
      <c r="D15">
        <v>1.2</v>
      </c>
      <c r="E15">
        <v>2500</v>
      </c>
      <c r="F15" s="7">
        <f>E15/D15</f>
        <v>2083.3333333333335</v>
      </c>
      <c r="H15" s="7">
        <f>F15*C$1</f>
        <v>185550.31610264716</v>
      </c>
    </row>
    <row r="16" spans="2:22" x14ac:dyDescent="0.3">
      <c r="B16" t="s">
        <v>174</v>
      </c>
      <c r="C16">
        <v>1</v>
      </c>
      <c r="D16">
        <v>1.2</v>
      </c>
      <c r="E16">
        <v>4500</v>
      </c>
      <c r="F16">
        <f>E16/D16</f>
        <v>3750</v>
      </c>
      <c r="H16" s="7">
        <f t="shared" ref="H16:H17" si="4">F16*C$1</f>
        <v>333990.56898476486</v>
      </c>
    </row>
    <row r="17" spans="2:8" x14ac:dyDescent="0.3">
      <c r="B17" t="s">
        <v>72</v>
      </c>
      <c r="C17">
        <v>1</v>
      </c>
      <c r="D17">
        <v>1.2</v>
      </c>
      <c r="E17">
        <v>1200</v>
      </c>
      <c r="F17">
        <f>E17/D17</f>
        <v>1000</v>
      </c>
      <c r="H17" s="7">
        <f t="shared" si="4"/>
        <v>89064.151729270641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Standard Costs</vt:lpstr>
      <vt:lpstr>Sizing</vt:lpstr>
      <vt:lpstr>Materials Bill</vt:lpstr>
      <vt:lpstr>Concrete Ratios</vt:lpstr>
      <vt:lpstr>Material Bill Summary</vt:lpstr>
      <vt:lpstr>Labour Bill</vt:lpstr>
      <vt:lpstr>TOTAL BILL SUMMARY</vt:lpstr>
      <vt:lpstr>Grillage Costs</vt:lpstr>
      <vt:lpstr>Sizing!Print_Area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 Beck</dc:creator>
  <cp:lastModifiedBy>Seb Beck</cp:lastModifiedBy>
  <cp:lastPrinted>2016-07-17T16:35:09Z</cp:lastPrinted>
  <dcterms:created xsi:type="dcterms:W3CDTF">2016-07-07T08:58:56Z</dcterms:created>
  <dcterms:modified xsi:type="dcterms:W3CDTF">2016-07-31T14:55:58Z</dcterms:modified>
</cp:coreProperties>
</file>