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4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5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drawings/drawing6.xml" ContentType="application/vnd.openxmlformats-officedocument.drawing+xml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drawings/drawing7.xml" ContentType="application/vnd.openxmlformats-officedocument.drawing+xml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8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5" yWindow="45" windowWidth="14430" windowHeight="13365" activeTab="3"/>
  </bookViews>
  <sheets>
    <sheet name="FICHA" sheetId="3" r:id="rId1"/>
    <sheet name="MENDOZA" sheetId="9" r:id="rId2"/>
    <sheet name="TUNINF" sheetId="11" r:id="rId3"/>
    <sheet name="TUNSUP" sheetId="18" r:id="rId4"/>
    <sheet name="DIAMANTE" sheetId="8" r:id="rId5"/>
    <sheet name="ATUEL" sheetId="4" r:id="rId6"/>
    <sheet name="ATUEL (2)" sheetId="22" r:id="rId7"/>
    <sheet name="MALARGÜE" sheetId="15" r:id="rId8"/>
    <sheet name="CALIF HTA" sheetId="5" r:id="rId9"/>
    <sheet name="ANALISIS" sheetId="6" r:id="rId10"/>
    <sheet name="CALC" sheetId="7" r:id="rId11"/>
    <sheet name="VBP_RM" sheetId="10" r:id="rId12"/>
    <sheet name="VBP_TI" sheetId="12" r:id="rId13"/>
    <sheet name="VBP_TS" sheetId="19" r:id="rId14"/>
    <sheet name="VBP_RD" sheetId="17" r:id="rId15"/>
    <sheet name="VBP_RA" sheetId="13" r:id="rId16"/>
    <sheet name="VBP_MA" sheetId="16" r:id="rId17"/>
    <sheet name="calc can" sheetId="21" r:id="rId18"/>
  </sheets>
  <externalReferences>
    <externalReference r:id="rId19"/>
    <externalReference r:id="rId20"/>
    <externalReference r:id="rId21"/>
  </externalReferences>
  <definedNames>
    <definedName name="_xlnm._FilterDatabase" localSheetId="10" hidden="1">CALC!$A$2:$A$104</definedName>
  </definedNames>
  <calcPr calcId="144525" iterate="1"/>
</workbook>
</file>

<file path=xl/calcChain.xml><?xml version="1.0" encoding="utf-8"?>
<calcChain xmlns="http://schemas.openxmlformats.org/spreadsheetml/2006/main">
  <c r="J78" i="22" l="1"/>
  <c r="I78" i="22"/>
  <c r="I79" i="22"/>
  <c r="J79" i="22"/>
  <c r="I80" i="22"/>
  <c r="J80" i="22"/>
  <c r="J70" i="22"/>
  <c r="I70" i="22"/>
  <c r="Q1" i="22"/>
  <c r="P1" i="22"/>
  <c r="O1" i="22"/>
  <c r="N1" i="22"/>
  <c r="M1" i="22"/>
  <c r="L1" i="22"/>
  <c r="K1" i="22"/>
  <c r="J1" i="22"/>
  <c r="I1" i="22"/>
  <c r="H1" i="22"/>
  <c r="H3" i="22" s="1"/>
  <c r="G1" i="22"/>
  <c r="G26" i="22"/>
  <c r="Q26" i="22"/>
  <c r="G110" i="22"/>
  <c r="F110" i="22"/>
  <c r="E110" i="22"/>
  <c r="G109" i="22"/>
  <c r="F109" i="22"/>
  <c r="E109" i="22"/>
  <c r="G108" i="22"/>
  <c r="F108" i="22"/>
  <c r="E108" i="22"/>
  <c r="G107" i="22"/>
  <c r="F107" i="22"/>
  <c r="E107" i="22"/>
  <c r="G106" i="22"/>
  <c r="F106" i="22"/>
  <c r="E106" i="22"/>
  <c r="N105" i="22"/>
  <c r="G105" i="22"/>
  <c r="F105" i="22"/>
  <c r="E105" i="22"/>
  <c r="G104" i="22"/>
  <c r="F104" i="22"/>
  <c r="E104" i="22"/>
  <c r="G103" i="22"/>
  <c r="F103" i="22"/>
  <c r="E103" i="22"/>
  <c r="G102" i="22"/>
  <c r="F102" i="22"/>
  <c r="E102" i="22"/>
  <c r="G101" i="22"/>
  <c r="F101" i="22"/>
  <c r="E101" i="22"/>
  <c r="G100" i="22"/>
  <c r="F100" i="22"/>
  <c r="E100" i="22"/>
  <c r="Q80" i="22"/>
  <c r="M80" i="22"/>
  <c r="L80" i="22"/>
  <c r="G80" i="22"/>
  <c r="Q74" i="22"/>
  <c r="Q88" i="22" s="1"/>
  <c r="P74" i="22"/>
  <c r="P88" i="22" s="1"/>
  <c r="O74" i="22"/>
  <c r="O88" i="22" s="1"/>
  <c r="N74" i="22"/>
  <c r="N88" i="22" s="1"/>
  <c r="M74" i="22"/>
  <c r="M88" i="22" s="1"/>
  <c r="L74" i="22"/>
  <c r="L88" i="22" s="1"/>
  <c r="K74" i="22"/>
  <c r="K88" i="22" s="1"/>
  <c r="J74" i="22"/>
  <c r="J88" i="22" s="1"/>
  <c r="I74" i="22"/>
  <c r="I88" i="22" s="1"/>
  <c r="H74" i="22"/>
  <c r="H88" i="22" s="1"/>
  <c r="G74" i="22"/>
  <c r="G88" i="22" s="1"/>
  <c r="Q73" i="22"/>
  <c r="Q87" i="22" s="1"/>
  <c r="P73" i="22"/>
  <c r="P87" i="22" s="1"/>
  <c r="O73" i="22"/>
  <c r="O87" i="22" s="1"/>
  <c r="N73" i="22"/>
  <c r="N87" i="22" s="1"/>
  <c r="M73" i="22"/>
  <c r="M87" i="22" s="1"/>
  <c r="L73" i="22"/>
  <c r="L87" i="22" s="1"/>
  <c r="K73" i="22"/>
  <c r="K87" i="22" s="1"/>
  <c r="J73" i="22"/>
  <c r="J87" i="22" s="1"/>
  <c r="I73" i="22"/>
  <c r="I87" i="22" s="1"/>
  <c r="H73" i="22"/>
  <c r="H87" i="22" s="1"/>
  <c r="G73" i="22"/>
  <c r="G87" i="22" s="1"/>
  <c r="Q72" i="22"/>
  <c r="Q86" i="22" s="1"/>
  <c r="P72" i="22"/>
  <c r="P86" i="22" s="1"/>
  <c r="O72" i="22"/>
  <c r="O86" i="22" s="1"/>
  <c r="N72" i="22"/>
  <c r="N86" i="22" s="1"/>
  <c r="M72" i="22"/>
  <c r="M86" i="22" s="1"/>
  <c r="L72" i="22"/>
  <c r="L86" i="22" s="1"/>
  <c r="K72" i="22"/>
  <c r="K86" i="22" s="1"/>
  <c r="J72" i="22"/>
  <c r="J86" i="22" s="1"/>
  <c r="I72" i="22"/>
  <c r="I86" i="22" s="1"/>
  <c r="H72" i="22"/>
  <c r="H86" i="22" s="1"/>
  <c r="G72" i="22"/>
  <c r="G86" i="22" s="1"/>
  <c r="Q71" i="22"/>
  <c r="Q85" i="22" s="1"/>
  <c r="P71" i="22"/>
  <c r="P85" i="22" s="1"/>
  <c r="O71" i="22"/>
  <c r="O85" i="22" s="1"/>
  <c r="N71" i="22"/>
  <c r="N85" i="22" s="1"/>
  <c r="M71" i="22"/>
  <c r="M85" i="22" s="1"/>
  <c r="L71" i="22"/>
  <c r="L85" i="22" s="1"/>
  <c r="K71" i="22"/>
  <c r="K85" i="22" s="1"/>
  <c r="J71" i="22"/>
  <c r="J85" i="22" s="1"/>
  <c r="I71" i="22"/>
  <c r="I85" i="22" s="1"/>
  <c r="H71" i="22"/>
  <c r="H85" i="22" s="1"/>
  <c r="G71" i="22"/>
  <c r="G85" i="22" s="1"/>
  <c r="Q67" i="22"/>
  <c r="P67" i="22"/>
  <c r="O67" i="22"/>
  <c r="N67" i="22"/>
  <c r="M67" i="22"/>
  <c r="L67" i="22"/>
  <c r="K67" i="22"/>
  <c r="J67" i="22"/>
  <c r="I67" i="22"/>
  <c r="H67" i="22"/>
  <c r="G67" i="22"/>
  <c r="I65" i="22"/>
  <c r="I64" i="22"/>
  <c r="Q63" i="22"/>
  <c r="P63" i="22"/>
  <c r="O63" i="22"/>
  <c r="N63" i="22"/>
  <c r="M63" i="22"/>
  <c r="L63" i="22"/>
  <c r="K63" i="22"/>
  <c r="J63" i="22"/>
  <c r="I63" i="22"/>
  <c r="H63" i="22"/>
  <c r="Q62" i="22"/>
  <c r="Q69" i="22" s="1"/>
  <c r="P62" i="22"/>
  <c r="P69" i="22" s="1"/>
  <c r="O62" i="22"/>
  <c r="O69" i="22" s="1"/>
  <c r="N62" i="22"/>
  <c r="N69" i="22" s="1"/>
  <c r="M62" i="22"/>
  <c r="M69" i="22" s="1"/>
  <c r="L62" i="22"/>
  <c r="L69" i="22" s="1"/>
  <c r="K62" i="22"/>
  <c r="K69" i="22" s="1"/>
  <c r="J62" i="22"/>
  <c r="J69" i="22" s="1"/>
  <c r="I62" i="22"/>
  <c r="I69" i="22" s="1"/>
  <c r="H62" i="22"/>
  <c r="H69" i="22" s="1"/>
  <c r="G62" i="22"/>
  <c r="G69" i="22" s="1"/>
  <c r="Q61" i="22"/>
  <c r="P61" i="22"/>
  <c r="O61" i="22"/>
  <c r="N61" i="22"/>
  <c r="M61" i="22"/>
  <c r="L61" i="22"/>
  <c r="K61" i="22"/>
  <c r="J61" i="22"/>
  <c r="I61" i="22"/>
  <c r="H61" i="22"/>
  <c r="G61" i="22"/>
  <c r="G58" i="22"/>
  <c r="G63" i="22" s="1"/>
  <c r="Q53" i="22"/>
  <c r="Q68" i="22" s="1"/>
  <c r="O53" i="22"/>
  <c r="O68" i="22" s="1"/>
  <c r="M53" i="22"/>
  <c r="M68" i="22" s="1"/>
  <c r="L53" i="22"/>
  <c r="L68" i="22" s="1"/>
  <c r="K53" i="22"/>
  <c r="K68" i="22" s="1"/>
  <c r="J53" i="22"/>
  <c r="J68" i="22" s="1"/>
  <c r="I53" i="22"/>
  <c r="I68" i="22" s="1"/>
  <c r="H53" i="22"/>
  <c r="H68" i="22" s="1"/>
  <c r="G53" i="22"/>
  <c r="G68" i="22" s="1"/>
  <c r="Q37" i="22"/>
  <c r="Q70" i="22" s="1"/>
  <c r="P37" i="22"/>
  <c r="P70" i="22" s="1"/>
  <c r="O37" i="22"/>
  <c r="O70" i="22" s="1"/>
  <c r="N37" i="22"/>
  <c r="N70" i="22" s="1"/>
  <c r="M37" i="22"/>
  <c r="M70" i="22" s="1"/>
  <c r="L37" i="22"/>
  <c r="L70" i="22" s="1"/>
  <c r="K37" i="22"/>
  <c r="K70" i="22" s="1"/>
  <c r="J37" i="22"/>
  <c r="H37" i="22"/>
  <c r="H70" i="22" s="1"/>
  <c r="G37" i="22"/>
  <c r="G70" i="22" s="1"/>
  <c r="P19" i="22"/>
  <c r="N19" i="22"/>
  <c r="H19" i="22"/>
  <c r="P17" i="22"/>
  <c r="N17" i="22"/>
  <c r="P16" i="22"/>
  <c r="P53" i="22" s="1"/>
  <c r="P68" i="22" s="1"/>
  <c r="N16" i="22"/>
  <c r="N53" i="22" s="1"/>
  <c r="N68" i="22" s="1"/>
  <c r="J3" i="22" l="1"/>
  <c r="J4" i="22" s="1"/>
  <c r="I26" i="22" s="1"/>
  <c r="K3" i="22"/>
  <c r="K4" i="22" s="1"/>
  <c r="L26" i="22"/>
  <c r="N3" i="22"/>
  <c r="N4" i="22" s="1"/>
  <c r="M26" i="22" s="1"/>
  <c r="O3" i="22"/>
  <c r="O4" i="22" s="1"/>
  <c r="P3" i="22"/>
  <c r="P4" i="22" s="1"/>
  <c r="V70" i="22"/>
  <c r="U70" i="22"/>
  <c r="V68" i="22"/>
  <c r="U68" i="22"/>
  <c r="V69" i="22"/>
  <c r="U69" i="22"/>
  <c r="V63" i="22"/>
  <c r="H4" i="22"/>
  <c r="P26" i="22"/>
  <c r="R37" i="22"/>
  <c r="U63" i="22"/>
  <c r="G64" i="22"/>
  <c r="H64" i="22"/>
  <c r="J64" i="22"/>
  <c r="K64" i="22"/>
  <c r="L64" i="22"/>
  <c r="M64" i="22"/>
  <c r="N64" i="22"/>
  <c r="O64" i="22"/>
  <c r="P64" i="22"/>
  <c r="Q64" i="22"/>
  <c r="G65" i="22"/>
  <c r="H65" i="22"/>
  <c r="J65" i="22"/>
  <c r="K65" i="22"/>
  <c r="L65" i="22"/>
  <c r="M65" i="22"/>
  <c r="N65" i="22"/>
  <c r="O65" i="22"/>
  <c r="P65" i="22"/>
  <c r="Q65" i="22"/>
  <c r="U67" i="22"/>
  <c r="V67" i="22"/>
  <c r="U71" i="22"/>
  <c r="V71" i="22"/>
  <c r="U72" i="22"/>
  <c r="V72" i="22"/>
  <c r="U73" i="22"/>
  <c r="V73" i="22"/>
  <c r="U74" i="22"/>
  <c r="V74" i="22"/>
  <c r="M102" i="15"/>
  <c r="M103" i="15"/>
  <c r="J84" i="22" l="1"/>
  <c r="O26" i="22"/>
  <c r="O66" i="22" s="1"/>
  <c r="N26" i="22"/>
  <c r="N66" i="22" s="1"/>
  <c r="K26" i="22"/>
  <c r="J26" i="22"/>
  <c r="J66" i="22" s="1"/>
  <c r="H26" i="22"/>
  <c r="H66" i="22" s="1"/>
  <c r="Q81" i="22"/>
  <c r="P81" i="22"/>
  <c r="O81" i="22"/>
  <c r="N81" i="22"/>
  <c r="M81" i="22"/>
  <c r="L81" i="22"/>
  <c r="K81" i="22"/>
  <c r="J81" i="22"/>
  <c r="I81" i="22"/>
  <c r="H81" i="22"/>
  <c r="G81" i="22"/>
  <c r="V65" i="22"/>
  <c r="U65" i="22"/>
  <c r="V64" i="22"/>
  <c r="U64" i="22"/>
  <c r="Q77" i="22"/>
  <c r="P77" i="22"/>
  <c r="O77" i="22"/>
  <c r="N77" i="22"/>
  <c r="M77" i="22"/>
  <c r="L77" i="22"/>
  <c r="K77" i="22"/>
  <c r="J77" i="22"/>
  <c r="I77" i="22"/>
  <c r="H77" i="22"/>
  <c r="G77" i="22"/>
  <c r="Q83" i="22"/>
  <c r="P83" i="22"/>
  <c r="O83" i="22"/>
  <c r="N83" i="22"/>
  <c r="M83" i="22"/>
  <c r="L83" i="22"/>
  <c r="K83" i="22"/>
  <c r="J83" i="22"/>
  <c r="I83" i="22"/>
  <c r="H83" i="22"/>
  <c r="G83" i="22"/>
  <c r="Q82" i="22"/>
  <c r="P82" i="22"/>
  <c r="O82" i="22"/>
  <c r="N82" i="22"/>
  <c r="M82" i="22"/>
  <c r="L82" i="22"/>
  <c r="K82" i="22"/>
  <c r="J82" i="22"/>
  <c r="I82" i="22"/>
  <c r="H82" i="22"/>
  <c r="G82" i="22"/>
  <c r="Q84" i="22"/>
  <c r="P84" i="22"/>
  <c r="O84" i="22"/>
  <c r="N84" i="22"/>
  <c r="M84" i="22"/>
  <c r="L84" i="22"/>
  <c r="K84" i="22"/>
  <c r="I84" i="22"/>
  <c r="H84" i="22"/>
  <c r="G84" i="22"/>
  <c r="U10" i="3"/>
  <c r="M112" i="9"/>
  <c r="M113" i="9"/>
  <c r="V66" i="22" l="1"/>
  <c r="U66" i="22"/>
  <c r="Q78" i="22"/>
  <c r="P78" i="22"/>
  <c r="O78" i="22"/>
  <c r="N78" i="22"/>
  <c r="M78" i="22"/>
  <c r="L78" i="22"/>
  <c r="K78" i="22"/>
  <c r="H78" i="22"/>
  <c r="G78" i="22"/>
  <c r="Q79" i="22"/>
  <c r="P79" i="22"/>
  <c r="O79" i="22"/>
  <c r="N79" i="22"/>
  <c r="M79" i="22"/>
  <c r="L79" i="22"/>
  <c r="K79" i="22"/>
  <c r="H79" i="22"/>
  <c r="G79" i="22"/>
  <c r="K80" i="22"/>
  <c r="N80" i="22"/>
  <c r="O80" i="22"/>
  <c r="P80" i="22"/>
  <c r="U12" i="3"/>
  <c r="U14" i="3"/>
  <c r="U15" i="3"/>
  <c r="H80" i="22" l="1"/>
  <c r="G90" i="22"/>
  <c r="H90" i="22"/>
  <c r="I90" i="22"/>
  <c r="J90" i="22"/>
  <c r="K90" i="22"/>
  <c r="L90" i="22"/>
  <c r="M90" i="22"/>
  <c r="N90" i="22"/>
  <c r="D107" i="22" s="1"/>
  <c r="O90" i="22"/>
  <c r="P90" i="22"/>
  <c r="Q90" i="22"/>
  <c r="N103" i="15"/>
  <c r="J26" i="15"/>
  <c r="N107" i="18"/>
  <c r="S70" i="9"/>
  <c r="S53" i="9"/>
  <c r="T8" i="3"/>
  <c r="D106" i="22" l="1"/>
  <c r="D105" i="22"/>
  <c r="D104" i="22"/>
  <c r="D103" i="22"/>
  <c r="D102" i="22"/>
  <c r="D101" i="22"/>
  <c r="D100" i="22"/>
  <c r="D110" i="22"/>
  <c r="D109" i="22"/>
  <c r="D108" i="22"/>
  <c r="M53" i="11"/>
  <c r="M16" i="11"/>
  <c r="L107" i="22" l="1"/>
  <c r="K107" i="22"/>
  <c r="J107" i="22"/>
  <c r="L110" i="22"/>
  <c r="K110" i="22"/>
  <c r="J110" i="22"/>
  <c r="L109" i="22"/>
  <c r="K109" i="22"/>
  <c r="J109" i="22"/>
  <c r="L108" i="22"/>
  <c r="K108" i="22"/>
  <c r="J108" i="22"/>
  <c r="L106" i="22"/>
  <c r="K106" i="22"/>
  <c r="J106" i="22"/>
  <c r="L105" i="22"/>
  <c r="K105" i="22"/>
  <c r="J105" i="22"/>
  <c r="L104" i="22"/>
  <c r="K104" i="22"/>
  <c r="J104" i="22"/>
  <c r="L103" i="22"/>
  <c r="K103" i="22"/>
  <c r="J103" i="22"/>
  <c r="L102" i="22"/>
  <c r="K102" i="22"/>
  <c r="J102" i="22"/>
  <c r="L101" i="22"/>
  <c r="K101" i="22"/>
  <c r="J101" i="22"/>
  <c r="L100" i="22"/>
  <c r="M100" i="22" s="1"/>
  <c r="M101" i="22" s="1"/>
  <c r="M102" i="22" s="1"/>
  <c r="M103" i="22" s="1"/>
  <c r="M104" i="22" s="1"/>
  <c r="M105" i="22" s="1"/>
  <c r="M106" i="22" s="1"/>
  <c r="M107" i="22" s="1"/>
  <c r="M108" i="22" s="1"/>
  <c r="M109" i="22" s="1"/>
  <c r="M110" i="22" s="1"/>
  <c r="K100" i="22"/>
  <c r="J100" i="22"/>
  <c r="M101" i="4"/>
  <c r="J113" i="4" l="1"/>
  <c r="J53" i="4"/>
  <c r="S1" i="9" l="1"/>
  <c r="S61" i="9"/>
  <c r="S62" i="9"/>
  <c r="S63" i="9"/>
  <c r="S64" i="9"/>
  <c r="S65" i="9"/>
  <c r="S67" i="9"/>
  <c r="S68" i="9"/>
  <c r="S69" i="9"/>
  <c r="S71" i="9"/>
  <c r="S72" i="9"/>
  <c r="S73" i="9"/>
  <c r="S74" i="9"/>
  <c r="S85" i="9"/>
  <c r="S86" i="9"/>
  <c r="S87" i="9"/>
  <c r="S88" i="9"/>
  <c r="R53" i="9"/>
  <c r="R74" i="9"/>
  <c r="R88" i="9" s="1"/>
  <c r="R73" i="9"/>
  <c r="R87" i="9" s="1"/>
  <c r="R72" i="9"/>
  <c r="R86" i="9" s="1"/>
  <c r="R71" i="9"/>
  <c r="R85" i="9" s="1"/>
  <c r="R70" i="9"/>
  <c r="R68" i="9"/>
  <c r="R67" i="9"/>
  <c r="R65" i="9"/>
  <c r="R64" i="9"/>
  <c r="R63" i="9"/>
  <c r="R62" i="9"/>
  <c r="R69" i="9" s="1"/>
  <c r="R61" i="9"/>
  <c r="D6" i="21"/>
  <c r="D5" i="21"/>
  <c r="R1" i="9"/>
  <c r="S3" i="9" l="1"/>
  <c r="S4" i="9" s="1"/>
  <c r="S26" i="9" s="1"/>
  <c r="S66" i="9" s="1"/>
  <c r="R3" i="9"/>
  <c r="R4" i="9" s="1"/>
  <c r="R26" i="9" s="1"/>
  <c r="R66" i="9" s="1"/>
  <c r="H20" i="21"/>
  <c r="D33" i="21"/>
  <c r="V28" i="21"/>
  <c r="U28" i="21"/>
  <c r="U29" i="21" s="1"/>
  <c r="U30" i="21" s="1"/>
  <c r="U31" i="21" s="1"/>
  <c r="N27" i="21"/>
  <c r="D25" i="21"/>
  <c r="H21" i="21"/>
  <c r="H22" i="21" s="1"/>
  <c r="D21" i="21"/>
  <c r="D20" i="21"/>
  <c r="D27" i="21" s="1"/>
  <c r="D12" i="21"/>
  <c r="P8" i="21"/>
  <c r="O8" i="21"/>
  <c r="O37" i="9"/>
  <c r="N37" i="9"/>
  <c r="P37" i="9"/>
  <c r="Q8" i="21" l="1"/>
  <c r="R8" i="21" s="1"/>
  <c r="D28" i="21"/>
  <c r="D26" i="21"/>
  <c r="D29" i="21" s="1"/>
  <c r="D22" i="21" s="1"/>
  <c r="D23" i="21" s="1"/>
  <c r="O27" i="21"/>
  <c r="N37" i="18"/>
  <c r="G101" i="18"/>
  <c r="G102" i="18"/>
  <c r="G103" i="18"/>
  <c r="G104" i="18"/>
  <c r="G105" i="18"/>
  <c r="G106" i="18"/>
  <c r="G107" i="18"/>
  <c r="G108" i="18"/>
  <c r="E101" i="18"/>
  <c r="F101" i="18"/>
  <c r="E102" i="18"/>
  <c r="F102" i="18"/>
  <c r="E103" i="18"/>
  <c r="F103" i="18"/>
  <c r="E104" i="18"/>
  <c r="F104" i="18"/>
  <c r="E105" i="18"/>
  <c r="F105" i="18"/>
  <c r="E106" i="18"/>
  <c r="F106" i="18"/>
  <c r="E107" i="18"/>
  <c r="F107" i="18"/>
  <c r="E108" i="18"/>
  <c r="F108" i="18"/>
  <c r="N77" i="18"/>
  <c r="N80" i="18"/>
  <c r="N81" i="18"/>
  <c r="N82" i="18"/>
  <c r="N83" i="18"/>
  <c r="N85" i="18"/>
  <c r="N86" i="18"/>
  <c r="N87" i="18"/>
  <c r="N88" i="18"/>
  <c r="N41" i="18"/>
  <c r="O63" i="18"/>
  <c r="N61" i="18"/>
  <c r="O61" i="18"/>
  <c r="N74" i="18"/>
  <c r="N73" i="18"/>
  <c r="N72" i="18"/>
  <c r="N71" i="18"/>
  <c r="N70" i="18"/>
  <c r="N68" i="18"/>
  <c r="N67" i="18"/>
  <c r="N65" i="18"/>
  <c r="N64" i="18"/>
  <c r="N62" i="18"/>
  <c r="N69" i="18" s="1"/>
  <c r="N53" i="18"/>
  <c r="N26" i="18"/>
  <c r="H67" i="18" l="1"/>
  <c r="I67" i="18"/>
  <c r="J67" i="18"/>
  <c r="K67" i="18"/>
  <c r="L67" i="18"/>
  <c r="M67" i="18"/>
  <c r="O67" i="18"/>
  <c r="H70" i="18"/>
  <c r="I70" i="18"/>
  <c r="J70" i="18"/>
  <c r="K70" i="18"/>
  <c r="L70" i="18"/>
  <c r="M70" i="18"/>
  <c r="O70" i="18"/>
  <c r="O53" i="18"/>
  <c r="M53" i="18"/>
  <c r="L53" i="18"/>
  <c r="K53" i="18"/>
  <c r="J53" i="18"/>
  <c r="I53" i="18"/>
  <c r="H53" i="18"/>
  <c r="G53" i="18"/>
  <c r="L65" i="18"/>
  <c r="M65" i="18"/>
  <c r="O65" i="18"/>
  <c r="J65" i="18"/>
  <c r="K65" i="18"/>
  <c r="H65" i="18"/>
  <c r="H64" i="18"/>
  <c r="O1" i="18"/>
  <c r="M1" i="18"/>
  <c r="L1" i="18"/>
  <c r="K1" i="18"/>
  <c r="J1" i="18"/>
  <c r="I1" i="18"/>
  <c r="H1" i="18"/>
  <c r="G1" i="18"/>
  <c r="G3" i="18"/>
  <c r="G4" i="18"/>
  <c r="G26" i="18" s="1"/>
  <c r="G66" i="18" s="1"/>
  <c r="H3" i="18" l="1"/>
  <c r="H4" i="18" s="1"/>
  <c r="H26" i="18" s="1"/>
  <c r="H66" i="18" s="1"/>
  <c r="I3" i="18"/>
  <c r="I4" i="18" s="1"/>
  <c r="I26" i="18" s="1"/>
  <c r="I66" i="18" s="1"/>
  <c r="J3" i="18"/>
  <c r="J4" i="18" s="1"/>
  <c r="J26" i="18" s="1"/>
  <c r="J66" i="18" s="1"/>
  <c r="K3" i="18"/>
  <c r="K4" i="18" s="1"/>
  <c r="K26" i="18" s="1"/>
  <c r="K66" i="18" s="1"/>
  <c r="L3" i="18"/>
  <c r="L4" i="18" s="1"/>
  <c r="L26" i="18" s="1"/>
  <c r="L66" i="18" s="1"/>
  <c r="M3" i="18"/>
  <c r="M4" i="18" s="1"/>
  <c r="M26" i="18" s="1"/>
  <c r="M66" i="18" s="1"/>
  <c r="O3" i="18"/>
  <c r="O4" i="18" s="1"/>
  <c r="O26" i="18" s="1"/>
  <c r="O66" i="18" s="1"/>
  <c r="O37" i="11" l="1"/>
  <c r="AB37" i="11"/>
  <c r="F102" i="11"/>
  <c r="F103" i="11"/>
  <c r="F104" i="11"/>
  <c r="F106" i="11"/>
  <c r="F107" i="11"/>
  <c r="F109" i="11"/>
  <c r="F118" i="11"/>
  <c r="F119" i="11"/>
  <c r="F120" i="11"/>
  <c r="F121" i="11"/>
  <c r="F101" i="11"/>
  <c r="F100" i="11"/>
  <c r="R37" i="11"/>
  <c r="F111" i="11" l="1"/>
  <c r="U37" i="11"/>
  <c r="F114" i="11" s="1"/>
  <c r="T37" i="11"/>
  <c r="F113" i="11" s="1"/>
  <c r="L37" i="11"/>
  <c r="Q155" i="11"/>
  <c r="Q156" i="11" s="1"/>
  <c r="Q157" i="11" s="1"/>
  <c r="Q158" i="11" s="1"/>
  <c r="Q159" i="11" s="1"/>
  <c r="Q160" i="11" s="1"/>
  <c r="Q161" i="11" s="1"/>
  <c r="Q162" i="11" s="1"/>
  <c r="Q163" i="11" s="1"/>
  <c r="Q164" i="11" s="1"/>
  <c r="Q130" i="11"/>
  <c r="Q131" i="11" s="1"/>
  <c r="Q132" i="11" s="1"/>
  <c r="Q133" i="11" s="1"/>
  <c r="Q134" i="11" s="1"/>
  <c r="Q135" i="11" s="1"/>
  <c r="Q136" i="11" s="1"/>
  <c r="Q137" i="11" s="1"/>
  <c r="Q138" i="11" s="1"/>
  <c r="Q139" i="11" s="1"/>
  <c r="Q140" i="11" s="1"/>
  <c r="Q141" i="11" s="1"/>
  <c r="Q142" i="11" s="1"/>
  <c r="Q143" i="11" s="1"/>
  <c r="Q144" i="11" s="1"/>
  <c r="Q145" i="11" s="1"/>
  <c r="Q146" i="11" s="1"/>
  <c r="Q147" i="11" s="1"/>
  <c r="Q148" i="11" s="1"/>
  <c r="Q149" i="11" s="1"/>
  <c r="Q150" i="11" s="1"/>
  <c r="Q151" i="11" s="1"/>
  <c r="Q152" i="11" s="1"/>
  <c r="Q153" i="11" s="1"/>
  <c r="S164" i="11" s="1"/>
  <c r="F105" i="11" l="1"/>
  <c r="F116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F108" i="11" l="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L53" i="11"/>
  <c r="K53" i="11"/>
  <c r="J53" i="11"/>
  <c r="H53" i="11"/>
  <c r="I53" i="11"/>
  <c r="G53" i="11"/>
  <c r="F62" i="12" l="1"/>
  <c r="E62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33" i="12"/>
  <c r="G42" i="12"/>
  <c r="T9" i="3" l="1"/>
  <c r="T11" i="3" s="1"/>
  <c r="N109" i="11" s="1"/>
  <c r="T10" i="3" l="1"/>
  <c r="N112" i="9" s="1"/>
  <c r="T15" i="3"/>
  <c r="T14" i="3"/>
  <c r="N105" i="4" s="1"/>
  <c r="T13" i="3"/>
  <c r="N105" i="8" s="1"/>
  <c r="T12" i="3"/>
  <c r="H37" i="8"/>
  <c r="I37" i="8"/>
  <c r="J37" i="8"/>
  <c r="K37" i="8"/>
  <c r="L37" i="8"/>
  <c r="M37" i="8"/>
  <c r="N37" i="8"/>
  <c r="G37" i="8"/>
  <c r="F101" i="8" l="1"/>
  <c r="F102" i="8"/>
  <c r="F103" i="8"/>
  <c r="F104" i="8"/>
  <c r="F105" i="8"/>
  <c r="F106" i="8"/>
  <c r="F107" i="8"/>
  <c r="F100" i="8"/>
  <c r="D27" i="6"/>
  <c r="F27" i="6"/>
  <c r="G27" i="6"/>
  <c r="H27" i="6"/>
  <c r="I27" i="6"/>
  <c r="G12" i="6"/>
  <c r="G13" i="6"/>
  <c r="G14" i="6"/>
  <c r="G15" i="6"/>
  <c r="I15" i="6"/>
  <c r="G16" i="6"/>
  <c r="I16" i="6"/>
  <c r="G17" i="6"/>
  <c r="I17" i="6"/>
  <c r="G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D24" i="6"/>
  <c r="G24" i="6"/>
  <c r="H24" i="6"/>
  <c r="I24" i="6"/>
  <c r="D25" i="6"/>
  <c r="F25" i="6"/>
  <c r="G25" i="6"/>
  <c r="H25" i="6"/>
  <c r="I25" i="6"/>
  <c r="D26" i="6"/>
  <c r="F26" i="6"/>
  <c r="G26" i="6"/>
  <c r="H26" i="6"/>
  <c r="I26" i="6"/>
  <c r="N148" i="5"/>
  <c r="N147" i="5"/>
  <c r="N142" i="5"/>
  <c r="N143" i="5"/>
  <c r="N144" i="5"/>
  <c r="N145" i="5"/>
  <c r="N141" i="5"/>
  <c r="M142" i="5"/>
  <c r="M143" i="5"/>
  <c r="M144" i="5"/>
  <c r="M145" i="5"/>
  <c r="M141" i="5"/>
  <c r="L39" i="19"/>
  <c r="L38" i="19"/>
  <c r="K147" i="5"/>
  <c r="O62" i="18"/>
  <c r="O64" i="18"/>
  <c r="O68" i="18"/>
  <c r="O69" i="18"/>
  <c r="O71" i="18"/>
  <c r="O72" i="18"/>
  <c r="O73" i="18"/>
  <c r="O74" i="18"/>
  <c r="O85" i="18"/>
  <c r="O86" i="18"/>
  <c r="O87" i="18"/>
  <c r="O88" i="18"/>
  <c r="L40" i="19"/>
  <c r="C25" i="19"/>
  <c r="J74" i="15" l="1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67" i="15"/>
  <c r="I67" i="15"/>
  <c r="H67" i="15"/>
  <c r="G67" i="15"/>
  <c r="J63" i="15"/>
  <c r="I63" i="15"/>
  <c r="H63" i="15"/>
  <c r="G63" i="15"/>
  <c r="J62" i="15"/>
  <c r="I62" i="15"/>
  <c r="H62" i="15"/>
  <c r="G62" i="15"/>
  <c r="G69" i="15" s="1"/>
  <c r="J61" i="15"/>
  <c r="I61" i="15"/>
  <c r="H61" i="15"/>
  <c r="G61" i="15"/>
  <c r="G53" i="15"/>
  <c r="G68" i="15" s="1"/>
  <c r="I37" i="15"/>
  <c r="F102" i="15" s="1"/>
  <c r="J36" i="15"/>
  <c r="J37" i="15" s="1"/>
  <c r="H36" i="15"/>
  <c r="H37" i="15" s="1"/>
  <c r="G36" i="15"/>
  <c r="G37" i="15" s="1"/>
  <c r="F100" i="15" s="1"/>
  <c r="G19" i="15"/>
  <c r="J18" i="15"/>
  <c r="H18" i="15"/>
  <c r="J16" i="15"/>
  <c r="J53" i="15" s="1"/>
  <c r="J68" i="15" s="1"/>
  <c r="I16" i="15"/>
  <c r="I53" i="15" s="1"/>
  <c r="I68" i="15" s="1"/>
  <c r="H16" i="15"/>
  <c r="H53" i="15" s="1"/>
  <c r="H68" i="15" s="1"/>
  <c r="F103" i="15" l="1"/>
  <c r="F101" i="15"/>
  <c r="I70" i="15"/>
  <c r="G70" i="15"/>
  <c r="G65" i="15"/>
  <c r="G64" i="15"/>
  <c r="H70" i="15"/>
  <c r="H65" i="15"/>
  <c r="H64" i="15"/>
  <c r="J70" i="15"/>
  <c r="J65" i="15"/>
  <c r="J64" i="15"/>
  <c r="I64" i="15"/>
  <c r="I65" i="15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M80" i="11"/>
  <c r="M74" i="11"/>
  <c r="M73" i="11"/>
  <c r="M87" i="11" s="1"/>
  <c r="M72" i="11"/>
  <c r="M86" i="11" s="1"/>
  <c r="M71" i="11"/>
  <c r="M85" i="11" s="1"/>
  <c r="M70" i="11"/>
  <c r="M67" i="11"/>
  <c r="M65" i="11"/>
  <c r="M64" i="11"/>
  <c r="M63" i="11"/>
  <c r="M62" i="11"/>
  <c r="M69" i="11" s="1"/>
  <c r="M61" i="11"/>
  <c r="L74" i="11"/>
  <c r="L73" i="11"/>
  <c r="L87" i="11" s="1"/>
  <c r="L72" i="11"/>
  <c r="L86" i="11" s="1"/>
  <c r="L71" i="11"/>
  <c r="L85" i="11" s="1"/>
  <c r="L70" i="11"/>
  <c r="L67" i="11"/>
  <c r="L80" i="11"/>
  <c r="L65" i="11"/>
  <c r="L64" i="11"/>
  <c r="L63" i="11"/>
  <c r="L62" i="11"/>
  <c r="L69" i="11" s="1"/>
  <c r="L61" i="11"/>
  <c r="L1" i="11" l="1"/>
  <c r="M1" i="11"/>
  <c r="L3" i="11"/>
  <c r="M3" i="11"/>
  <c r="L4" i="11"/>
  <c r="M4" i="11"/>
  <c r="C6" i="16" l="1"/>
  <c r="C5" i="16"/>
  <c r="F104" i="9" l="1"/>
  <c r="F105" i="9"/>
  <c r="F107" i="9"/>
  <c r="F108" i="9"/>
  <c r="F109" i="9"/>
  <c r="F111" i="9"/>
  <c r="L29" i="19" l="1"/>
  <c r="C23" i="19"/>
  <c r="D23" i="19" s="1"/>
  <c r="M23" i="19" s="1"/>
  <c r="C22" i="19"/>
  <c r="D22" i="19" s="1"/>
  <c r="M22" i="19" s="1"/>
  <c r="C21" i="19"/>
  <c r="C20" i="19"/>
  <c r="D20" i="19" s="1"/>
  <c r="M20" i="19" s="1"/>
  <c r="C19" i="19"/>
  <c r="D19" i="19" s="1"/>
  <c r="M19" i="19" s="1"/>
  <c r="C18" i="19"/>
  <c r="D18" i="19" s="1"/>
  <c r="M18" i="19" s="1"/>
  <c r="C17" i="19"/>
  <c r="D17" i="19" s="1"/>
  <c r="M17" i="19" s="1"/>
  <c r="C16" i="19"/>
  <c r="D16" i="19" s="1"/>
  <c r="M16" i="19" s="1"/>
  <c r="C15" i="19"/>
  <c r="D15" i="19" s="1"/>
  <c r="M15" i="19" s="1"/>
  <c r="C14" i="19"/>
  <c r="D14" i="19" s="1"/>
  <c r="M14" i="19" s="1"/>
  <c r="C13" i="19"/>
  <c r="D13" i="19" s="1"/>
  <c r="M13" i="19" s="1"/>
  <c r="C12" i="19"/>
  <c r="D12" i="19" s="1"/>
  <c r="M12" i="19" s="1"/>
  <c r="C11" i="19"/>
  <c r="D11" i="19" s="1"/>
  <c r="M11" i="19" s="1"/>
  <c r="C10" i="19"/>
  <c r="D10" i="19" s="1"/>
  <c r="M10" i="19" s="1"/>
  <c r="C9" i="19"/>
  <c r="D9" i="19" s="1"/>
  <c r="M9" i="19" s="1"/>
  <c r="C8" i="19"/>
  <c r="D8" i="19" s="1"/>
  <c r="M8" i="19" s="1"/>
  <c r="C7" i="19"/>
  <c r="D7" i="19" s="1"/>
  <c r="M7" i="19" s="1"/>
  <c r="C6" i="19"/>
  <c r="D6" i="19" s="1"/>
  <c r="M6" i="19" s="1"/>
  <c r="C5" i="19"/>
  <c r="D5" i="19" s="1"/>
  <c r="M5" i="19" l="1"/>
  <c r="C28" i="19"/>
  <c r="D21" i="19"/>
  <c r="M21" i="19" s="1"/>
  <c r="M29" i="19"/>
  <c r="D25" i="19" l="1"/>
  <c r="L25" i="19" s="1"/>
  <c r="L27" i="19" s="1"/>
  <c r="M25" i="19"/>
  <c r="E25" i="19" l="1"/>
  <c r="G100" i="18"/>
  <c r="F100" i="18"/>
  <c r="F110" i="18" s="1"/>
  <c r="E100" i="18"/>
  <c r="M74" i="18"/>
  <c r="M88" i="18" s="1"/>
  <c r="L74" i="18"/>
  <c r="L88" i="18" s="1"/>
  <c r="K74" i="18"/>
  <c r="K88" i="18" s="1"/>
  <c r="J74" i="18"/>
  <c r="J88" i="18" s="1"/>
  <c r="I74" i="18"/>
  <c r="I88" i="18" s="1"/>
  <c r="H74" i="18"/>
  <c r="H88" i="18" s="1"/>
  <c r="G74" i="18"/>
  <c r="G88" i="18" s="1"/>
  <c r="M73" i="18"/>
  <c r="M87" i="18" s="1"/>
  <c r="L73" i="18"/>
  <c r="L87" i="18" s="1"/>
  <c r="K73" i="18"/>
  <c r="K87" i="18" s="1"/>
  <c r="J73" i="18"/>
  <c r="J87" i="18" s="1"/>
  <c r="I73" i="18"/>
  <c r="I87" i="18" s="1"/>
  <c r="H73" i="18"/>
  <c r="H87" i="18" s="1"/>
  <c r="G73" i="18"/>
  <c r="G87" i="18" s="1"/>
  <c r="M72" i="18"/>
  <c r="M86" i="18" s="1"/>
  <c r="L72" i="18"/>
  <c r="L86" i="18" s="1"/>
  <c r="K72" i="18"/>
  <c r="K86" i="18" s="1"/>
  <c r="J72" i="18"/>
  <c r="J86" i="18" s="1"/>
  <c r="I72" i="18"/>
  <c r="I86" i="18" s="1"/>
  <c r="H72" i="18"/>
  <c r="H86" i="18" s="1"/>
  <c r="G72" i="18"/>
  <c r="G86" i="18" s="1"/>
  <c r="M71" i="18"/>
  <c r="M85" i="18" s="1"/>
  <c r="L71" i="18"/>
  <c r="L85" i="18" s="1"/>
  <c r="K71" i="18"/>
  <c r="K85" i="18" s="1"/>
  <c r="J71" i="18"/>
  <c r="J85" i="18" s="1"/>
  <c r="I71" i="18"/>
  <c r="I85" i="18" s="1"/>
  <c r="H71" i="18"/>
  <c r="H85" i="18" s="1"/>
  <c r="G71" i="18"/>
  <c r="G85" i="18" s="1"/>
  <c r="G70" i="18"/>
  <c r="G67" i="18"/>
  <c r="I65" i="18"/>
  <c r="M64" i="18"/>
  <c r="L64" i="18"/>
  <c r="K64" i="18"/>
  <c r="J64" i="18"/>
  <c r="I64" i="18"/>
  <c r="G64" i="18"/>
  <c r="M63" i="18"/>
  <c r="L63" i="18"/>
  <c r="K63" i="18"/>
  <c r="J63" i="18"/>
  <c r="I63" i="18"/>
  <c r="H63" i="18"/>
  <c r="G63" i="18"/>
  <c r="T63" i="18" s="1"/>
  <c r="M62" i="18"/>
  <c r="M69" i="18" s="1"/>
  <c r="L62" i="18"/>
  <c r="L69" i="18" s="1"/>
  <c r="K62" i="18"/>
  <c r="K69" i="18" s="1"/>
  <c r="J62" i="18"/>
  <c r="J69" i="18" s="1"/>
  <c r="I62" i="18"/>
  <c r="I69" i="18" s="1"/>
  <c r="H62" i="18"/>
  <c r="H69" i="18" s="1"/>
  <c r="G62" i="18"/>
  <c r="G69" i="18" s="1"/>
  <c r="M61" i="18"/>
  <c r="L61" i="18"/>
  <c r="K61" i="18"/>
  <c r="J61" i="18"/>
  <c r="I61" i="18"/>
  <c r="H61" i="18"/>
  <c r="G61" i="18"/>
  <c r="M68" i="18"/>
  <c r="L68" i="18"/>
  <c r="I68" i="18"/>
  <c r="G68" i="18"/>
  <c r="T69" i="18" l="1"/>
  <c r="S69" i="18"/>
  <c r="T70" i="18"/>
  <c r="P37" i="18"/>
  <c r="J68" i="18"/>
  <c r="S63" i="18"/>
  <c r="S64" i="18"/>
  <c r="S65" i="18"/>
  <c r="S67" i="18"/>
  <c r="T67" i="18"/>
  <c r="S70" i="18"/>
  <c r="S71" i="18"/>
  <c r="T71" i="18"/>
  <c r="S72" i="18"/>
  <c r="T72" i="18"/>
  <c r="S73" i="18"/>
  <c r="T73" i="18"/>
  <c r="S74" i="18"/>
  <c r="T74" i="18"/>
  <c r="G60" i="17"/>
  <c r="B26" i="17"/>
  <c r="B9" i="17"/>
  <c r="B8" i="17"/>
  <c r="B7" i="17"/>
  <c r="B6" i="17"/>
  <c r="B41" i="17" s="1"/>
  <c r="B5" i="17"/>
  <c r="E72" i="17"/>
  <c r="D72" i="17"/>
  <c r="C72" i="17"/>
  <c r="L39" i="17"/>
  <c r="C39" i="17"/>
  <c r="L38" i="17"/>
  <c r="C38" i="17"/>
  <c r="L37" i="17"/>
  <c r="C37" i="17"/>
  <c r="L36" i="17"/>
  <c r="C36" i="17"/>
  <c r="L35" i="17"/>
  <c r="C35" i="17"/>
  <c r="L34" i="17"/>
  <c r="C34" i="17"/>
  <c r="L33" i="17"/>
  <c r="K53" i="8" s="1"/>
  <c r="C33" i="17"/>
  <c r="L32" i="17"/>
  <c r="I53" i="8" s="1"/>
  <c r="C32" i="17"/>
  <c r="L31" i="17"/>
  <c r="C31" i="17"/>
  <c r="L30" i="17"/>
  <c r="C30" i="17"/>
  <c r="L29" i="17"/>
  <c r="C29" i="17"/>
  <c r="L28" i="17"/>
  <c r="C28" i="17"/>
  <c r="L27" i="17"/>
  <c r="C27" i="17"/>
  <c r="L26" i="17"/>
  <c r="C26" i="17"/>
  <c r="L25" i="17"/>
  <c r="C25" i="17"/>
  <c r="L24" i="17"/>
  <c r="C24" i="17"/>
  <c r="L23" i="17"/>
  <c r="C23" i="17"/>
  <c r="L22" i="17"/>
  <c r="C22" i="17"/>
  <c r="L21" i="17"/>
  <c r="C21" i="17"/>
  <c r="L20" i="17"/>
  <c r="L60" i="17" s="1"/>
  <c r="H53" i="8" s="1"/>
  <c r="C20" i="17"/>
  <c r="L19" i="17"/>
  <c r="G53" i="8" s="1"/>
  <c r="C19" i="17"/>
  <c r="L18" i="17"/>
  <c r="C18" i="17"/>
  <c r="L17" i="17"/>
  <c r="C17" i="17"/>
  <c r="L16" i="17"/>
  <c r="C16" i="17"/>
  <c r="L15" i="17"/>
  <c r="C15" i="17"/>
  <c r="L14" i="17"/>
  <c r="C14" i="17"/>
  <c r="L13" i="17"/>
  <c r="C13" i="17"/>
  <c r="L12" i="17"/>
  <c r="C12" i="17"/>
  <c r="L11" i="17"/>
  <c r="C11" i="17"/>
  <c r="L10" i="17"/>
  <c r="C10" i="17"/>
  <c r="L9" i="17"/>
  <c r="C9" i="17"/>
  <c r="L8" i="17"/>
  <c r="C8" i="17"/>
  <c r="L7" i="17"/>
  <c r="C7" i="17"/>
  <c r="L6" i="17"/>
  <c r="C6" i="17"/>
  <c r="L5" i="17"/>
  <c r="C5" i="17"/>
  <c r="N84" i="18" l="1"/>
  <c r="I83" i="18"/>
  <c r="J83" i="18"/>
  <c r="K83" i="18"/>
  <c r="L83" i="18"/>
  <c r="M83" i="18"/>
  <c r="O83" i="18"/>
  <c r="H83" i="18"/>
  <c r="G81" i="18"/>
  <c r="H81" i="18"/>
  <c r="I81" i="18"/>
  <c r="J81" i="18"/>
  <c r="K81" i="18"/>
  <c r="L81" i="18"/>
  <c r="M81" i="18"/>
  <c r="O81" i="18"/>
  <c r="H84" i="18"/>
  <c r="G84" i="18"/>
  <c r="O77" i="18"/>
  <c r="O84" i="18"/>
  <c r="M14" i="17"/>
  <c r="M15" i="17"/>
  <c r="M37" i="17"/>
  <c r="M39" i="17"/>
  <c r="C41" i="17"/>
  <c r="L41" i="17"/>
  <c r="E43" i="17"/>
  <c r="G43" i="17" s="1"/>
  <c r="J53" i="8" s="1"/>
  <c r="T65" i="18"/>
  <c r="N79" i="18" s="1"/>
  <c r="T64" i="18"/>
  <c r="N78" i="18" s="1"/>
  <c r="N90" i="18" s="1"/>
  <c r="D107" i="18" s="1"/>
  <c r="M79" i="18"/>
  <c r="L79" i="18"/>
  <c r="K79" i="18"/>
  <c r="J79" i="18"/>
  <c r="I79" i="18"/>
  <c r="H79" i="18"/>
  <c r="G79" i="18"/>
  <c r="M78" i="18"/>
  <c r="L78" i="18"/>
  <c r="K78" i="18"/>
  <c r="J78" i="18"/>
  <c r="I78" i="18"/>
  <c r="H78" i="18"/>
  <c r="G78" i="18"/>
  <c r="M77" i="18"/>
  <c r="L77" i="18"/>
  <c r="K77" i="18"/>
  <c r="J77" i="18"/>
  <c r="I77" i="18"/>
  <c r="H77" i="18"/>
  <c r="G77" i="18"/>
  <c r="H68" i="18"/>
  <c r="M84" i="18"/>
  <c r="L84" i="18"/>
  <c r="K84" i="18"/>
  <c r="J84" i="18"/>
  <c r="I84" i="18"/>
  <c r="G83" i="18"/>
  <c r="M38" i="17"/>
  <c r="M36" i="17"/>
  <c r="M35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34" i="17"/>
  <c r="M18" i="17"/>
  <c r="M17" i="17"/>
  <c r="M16" i="17"/>
  <c r="M13" i="17"/>
  <c r="M12" i="17"/>
  <c r="M11" i="17"/>
  <c r="M10" i="17"/>
  <c r="M9" i="17"/>
  <c r="M8" i="17"/>
  <c r="M7" i="17"/>
  <c r="M6" i="17"/>
  <c r="M5" i="17"/>
  <c r="M41" i="17" s="1"/>
  <c r="O78" i="18" l="1"/>
  <c r="O79" i="18"/>
  <c r="N53" i="8"/>
  <c r="M53" i="8"/>
  <c r="L43" i="17"/>
  <c r="T66" i="18"/>
  <c r="S66" i="18"/>
  <c r="T68" i="18"/>
  <c r="S68" i="18"/>
  <c r="G80" i="18"/>
  <c r="H80" i="18"/>
  <c r="I80" i="18"/>
  <c r="J80" i="18"/>
  <c r="K80" i="18"/>
  <c r="L80" i="18"/>
  <c r="M80" i="18"/>
  <c r="O82" i="18" l="1"/>
  <c r="O80" i="18"/>
  <c r="O90" i="18" s="1"/>
  <c r="D108" i="18" s="1"/>
  <c r="M82" i="18"/>
  <c r="M90" i="18" s="1"/>
  <c r="D106" i="18" s="1"/>
  <c r="L82" i="18"/>
  <c r="L90" i="18" s="1"/>
  <c r="D105" i="18" s="1"/>
  <c r="K82" i="18"/>
  <c r="K90" i="18" s="1"/>
  <c r="D104" i="18" s="1"/>
  <c r="J82" i="18"/>
  <c r="J90" i="18" s="1"/>
  <c r="D103" i="18" s="1"/>
  <c r="I82" i="18"/>
  <c r="I90" i="18" s="1"/>
  <c r="D102" i="18" s="1"/>
  <c r="H82" i="18"/>
  <c r="H90" i="18" s="1"/>
  <c r="D101" i="18" s="1"/>
  <c r="G82" i="18"/>
  <c r="G90" i="18" s="1"/>
  <c r="D100" i="18" s="1"/>
  <c r="G101" i="15"/>
  <c r="G102" i="15"/>
  <c r="G103" i="15"/>
  <c r="E100" i="15"/>
  <c r="E101" i="15"/>
  <c r="E102" i="15"/>
  <c r="E103" i="15"/>
  <c r="J80" i="15"/>
  <c r="J88" i="15"/>
  <c r="J87" i="15"/>
  <c r="J86" i="15"/>
  <c r="J85" i="15"/>
  <c r="B128" i="5"/>
  <c r="L101" i="18" l="1"/>
  <c r="L102" i="18"/>
  <c r="L103" i="18"/>
  <c r="L104" i="18"/>
  <c r="L105" i="18"/>
  <c r="L106" i="18"/>
  <c r="L107" i="18"/>
  <c r="L108" i="18"/>
  <c r="F24" i="6" s="1"/>
  <c r="L100" i="18"/>
  <c r="M100" i="18" s="1"/>
  <c r="M101" i="18" s="1"/>
  <c r="M102" i="18" s="1"/>
  <c r="M103" i="18" s="1"/>
  <c r="M104" i="18" s="1"/>
  <c r="M105" i="18" s="1"/>
  <c r="M106" i="18" s="1"/>
  <c r="M107" i="18" s="1"/>
  <c r="M108" i="18" s="1"/>
  <c r="K101" i="18"/>
  <c r="K102" i="18"/>
  <c r="K103" i="18"/>
  <c r="K104" i="18"/>
  <c r="K105" i="18"/>
  <c r="K106" i="18"/>
  <c r="K107" i="18"/>
  <c r="K108" i="18"/>
  <c r="K100" i="18"/>
  <c r="J100" i="18"/>
  <c r="J101" i="18"/>
  <c r="J102" i="18"/>
  <c r="J103" i="18"/>
  <c r="J104" i="18"/>
  <c r="J105" i="18"/>
  <c r="J106" i="18"/>
  <c r="J107" i="18"/>
  <c r="J108" i="18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H69" i="15"/>
  <c r="I69" i="15"/>
  <c r="J69" i="15"/>
  <c r="F5" i="6"/>
  <c r="E20" i="16"/>
  <c r="B7" i="16"/>
  <c r="K6" i="16"/>
  <c r="K5" i="16"/>
  <c r="C7" i="16" l="1"/>
  <c r="K7" i="16" s="1"/>
  <c r="B10" i="16"/>
  <c r="J9" i="16" s="1"/>
  <c r="F4" i="6"/>
  <c r="F29" i="6" s="1"/>
  <c r="I1" i="15"/>
  <c r="H1" i="15"/>
  <c r="J1" i="15"/>
  <c r="G100" i="15"/>
  <c r="H80" i="15"/>
  <c r="I88" i="15"/>
  <c r="H88" i="15"/>
  <c r="G88" i="15"/>
  <c r="I87" i="15"/>
  <c r="H87" i="15"/>
  <c r="G87" i="15"/>
  <c r="I86" i="15"/>
  <c r="H86" i="15"/>
  <c r="G86" i="15"/>
  <c r="I85" i="15"/>
  <c r="H85" i="15"/>
  <c r="G85" i="15"/>
  <c r="O63" i="15"/>
  <c r="G1" i="15"/>
  <c r="F34" i="6" l="1"/>
  <c r="F35" i="6" s="1"/>
  <c r="J11" i="16"/>
  <c r="O68" i="15"/>
  <c r="H3" i="15"/>
  <c r="H4" i="15" s="1"/>
  <c r="H26" i="15" s="1"/>
  <c r="I3" i="15"/>
  <c r="I4" i="15" s="1"/>
  <c r="I26" i="15" s="1"/>
  <c r="O70" i="15"/>
  <c r="O64" i="15"/>
  <c r="O69" i="15"/>
  <c r="N69" i="15"/>
  <c r="O65" i="15"/>
  <c r="G3" i="15"/>
  <c r="G4" i="15" s="1"/>
  <c r="N63" i="15"/>
  <c r="N64" i="15"/>
  <c r="N65" i="15"/>
  <c r="N67" i="15"/>
  <c r="O67" i="15"/>
  <c r="N70" i="15"/>
  <c r="N71" i="15"/>
  <c r="O71" i="15"/>
  <c r="N72" i="15"/>
  <c r="O72" i="15"/>
  <c r="N73" i="15"/>
  <c r="O73" i="15"/>
  <c r="N74" i="15"/>
  <c r="O74" i="15"/>
  <c r="G26" i="15" l="1"/>
  <c r="G66" i="15" s="1"/>
  <c r="F36" i="6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9" i="6" s="1"/>
  <c r="N68" i="15"/>
  <c r="G77" i="15"/>
  <c r="J82" i="15"/>
  <c r="J77" i="15"/>
  <c r="J79" i="15"/>
  <c r="J83" i="15"/>
  <c r="J78" i="15"/>
  <c r="J84" i="15"/>
  <c r="I82" i="15"/>
  <c r="H82" i="15"/>
  <c r="G82" i="15"/>
  <c r="I77" i="15"/>
  <c r="H77" i="15"/>
  <c r="G84" i="15"/>
  <c r="H84" i="15"/>
  <c r="I84" i="15"/>
  <c r="I79" i="15"/>
  <c r="H79" i="15"/>
  <c r="G79" i="15"/>
  <c r="G78" i="15"/>
  <c r="H78" i="15"/>
  <c r="I78" i="15"/>
  <c r="I83" i="15"/>
  <c r="H83" i="15"/>
  <c r="G83" i="15"/>
  <c r="O66" i="15" l="1"/>
  <c r="N66" i="15"/>
  <c r="I80" i="15"/>
  <c r="H81" i="15" l="1"/>
  <c r="H90" i="15" s="1"/>
  <c r="I81" i="15"/>
  <c r="I90" i="15" s="1"/>
  <c r="D102" i="15" s="1"/>
  <c r="J81" i="15"/>
  <c r="J90" i="15" s="1"/>
  <c r="G81" i="15"/>
  <c r="G80" i="15"/>
  <c r="G90" i="15"/>
  <c r="D100" i="15" s="1"/>
  <c r="I8" i="6"/>
  <c r="I9" i="6"/>
  <c r="I10" i="6"/>
  <c r="I11" i="6"/>
  <c r="I12" i="6"/>
  <c r="I13" i="6"/>
  <c r="I14" i="6"/>
  <c r="D103" i="15" l="1"/>
  <c r="D101" i="15"/>
  <c r="Q53" i="9"/>
  <c r="O53" i="9"/>
  <c r="M53" i="9"/>
  <c r="K53" i="9"/>
  <c r="J53" i="9"/>
  <c r="U53" i="4"/>
  <c r="T53" i="4"/>
  <c r="R53" i="4"/>
  <c r="P53" i="4"/>
  <c r="D13" i="13"/>
  <c r="M53" i="4"/>
  <c r="L53" i="4"/>
  <c r="K53" i="4"/>
  <c r="I53" i="4"/>
  <c r="H53" i="4"/>
  <c r="G53" i="4"/>
  <c r="D16" i="13"/>
  <c r="D15" i="13"/>
  <c r="D14" i="13"/>
  <c r="D12" i="13"/>
  <c r="D11" i="13"/>
  <c r="D10" i="13"/>
  <c r="D9" i="13"/>
  <c r="D8" i="13"/>
  <c r="D7" i="13"/>
  <c r="D6" i="13"/>
  <c r="D5" i="13"/>
  <c r="L101" i="15" l="1"/>
  <c r="I5" i="6" s="1"/>
  <c r="L102" i="15"/>
  <c r="I6" i="6" s="1"/>
  <c r="L103" i="15"/>
  <c r="I7" i="6" s="1"/>
  <c r="L100" i="15"/>
  <c r="K101" i="15"/>
  <c r="K102" i="15"/>
  <c r="K103" i="15"/>
  <c r="K100" i="15"/>
  <c r="J101" i="15"/>
  <c r="J102" i="15"/>
  <c r="J103" i="15"/>
  <c r="J100" i="15"/>
  <c r="F18" i="13"/>
  <c r="E16" i="13"/>
  <c r="P16" i="13" s="1"/>
  <c r="E15" i="13"/>
  <c r="P15" i="13" s="1"/>
  <c r="E14" i="13"/>
  <c r="P14" i="13" s="1"/>
  <c r="E13" i="13"/>
  <c r="E12" i="13"/>
  <c r="P12" i="13" s="1"/>
  <c r="E11" i="13"/>
  <c r="P11" i="13" s="1"/>
  <c r="E10" i="13"/>
  <c r="P10" i="13" s="1"/>
  <c r="E9" i="13"/>
  <c r="P9" i="13" s="1"/>
  <c r="E8" i="13"/>
  <c r="P8" i="13" s="1"/>
  <c r="E7" i="13"/>
  <c r="P7" i="13" s="1"/>
  <c r="E6" i="13"/>
  <c r="P6" i="13" s="1"/>
  <c r="E5" i="13"/>
  <c r="P5" i="13" s="1"/>
  <c r="I4" i="6" l="1"/>
  <c r="M100" i="15"/>
  <c r="M101" i="15" s="1"/>
  <c r="P13" i="13"/>
  <c r="P18" i="13" s="1"/>
  <c r="E18" i="13"/>
  <c r="I29" i="6" l="1"/>
  <c r="I34" i="6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O18" i="13"/>
  <c r="O20" i="13" l="1"/>
  <c r="O53" i="4"/>
  <c r="C29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29" i="12" s="1"/>
  <c r="N5" i="12" l="1"/>
  <c r="G100" i="11" l="1"/>
  <c r="E100" i="11"/>
  <c r="V37" i="11" l="1"/>
  <c r="F115" i="11" s="1"/>
  <c r="Q37" i="11"/>
  <c r="F110" i="11" s="1"/>
  <c r="F112" i="11" l="1"/>
  <c r="F117" i="11"/>
  <c r="O23" i="11"/>
  <c r="O21" i="11"/>
  <c r="C189" i="12" l="1"/>
  <c r="C188" i="12"/>
  <c r="M29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M68" i="11" l="1"/>
  <c r="L68" i="11"/>
  <c r="M31" i="12"/>
  <c r="N29" i="12"/>
  <c r="G74" i="11" l="1"/>
  <c r="G73" i="11"/>
  <c r="G72" i="11"/>
  <c r="G71" i="11"/>
  <c r="G70" i="11"/>
  <c r="G68" i="11"/>
  <c r="G67" i="11"/>
  <c r="G65" i="11"/>
  <c r="G64" i="11"/>
  <c r="G63" i="11"/>
  <c r="G62" i="11"/>
  <c r="G69" i="11" s="1"/>
  <c r="G1" i="11"/>
  <c r="AB1" i="11"/>
  <c r="AA1" i="11"/>
  <c r="Z1" i="11"/>
  <c r="Y1" i="11"/>
  <c r="X1" i="11"/>
  <c r="W1" i="11"/>
  <c r="AB74" i="11"/>
  <c r="AA74" i="11"/>
  <c r="Z74" i="11"/>
  <c r="Y74" i="11"/>
  <c r="X74" i="11"/>
  <c r="AB73" i="11"/>
  <c r="AB87" i="11" s="1"/>
  <c r="AA73" i="11"/>
  <c r="AA87" i="11" s="1"/>
  <c r="Z73" i="11"/>
  <c r="Z87" i="11" s="1"/>
  <c r="Y73" i="11"/>
  <c r="Y87" i="11" s="1"/>
  <c r="X73" i="11"/>
  <c r="X87" i="11" s="1"/>
  <c r="AB72" i="11"/>
  <c r="AB86" i="11" s="1"/>
  <c r="AA72" i="11"/>
  <c r="AA86" i="11" s="1"/>
  <c r="Z72" i="11"/>
  <c r="Z86" i="11" s="1"/>
  <c r="Y72" i="11"/>
  <c r="Y86" i="11" s="1"/>
  <c r="X72" i="11"/>
  <c r="X86" i="11" s="1"/>
  <c r="AB71" i="11"/>
  <c r="AB85" i="11" s="1"/>
  <c r="AA71" i="11"/>
  <c r="AA85" i="11" s="1"/>
  <c r="Z71" i="11"/>
  <c r="Z85" i="11" s="1"/>
  <c r="Y71" i="11"/>
  <c r="Y85" i="11" s="1"/>
  <c r="X71" i="11"/>
  <c r="X85" i="11" s="1"/>
  <c r="AB70" i="11"/>
  <c r="AA70" i="11"/>
  <c r="Z70" i="11"/>
  <c r="Y70" i="11"/>
  <c r="X70" i="11"/>
  <c r="AB68" i="11"/>
  <c r="AA68" i="11"/>
  <c r="Z68" i="11"/>
  <c r="Y68" i="11"/>
  <c r="X68" i="11"/>
  <c r="AB67" i="11"/>
  <c r="AA67" i="11"/>
  <c r="Z67" i="11"/>
  <c r="Y67" i="11"/>
  <c r="X67" i="11"/>
  <c r="AB65" i="11"/>
  <c r="AA65" i="11"/>
  <c r="Z65" i="11"/>
  <c r="Y65" i="11"/>
  <c r="X65" i="11"/>
  <c r="AB64" i="11"/>
  <c r="AA64" i="11"/>
  <c r="Z64" i="11"/>
  <c r="Y64" i="11"/>
  <c r="X64" i="11"/>
  <c r="AB63" i="11"/>
  <c r="AA63" i="11"/>
  <c r="Z63" i="11"/>
  <c r="Y63" i="11"/>
  <c r="X63" i="11"/>
  <c r="AB62" i="11"/>
  <c r="AB69" i="11" s="1"/>
  <c r="AA62" i="11"/>
  <c r="AA69" i="11" s="1"/>
  <c r="Z62" i="11"/>
  <c r="Z69" i="11" s="1"/>
  <c r="Y62" i="11"/>
  <c r="Y69" i="11" s="1"/>
  <c r="X62" i="11"/>
  <c r="X69" i="11" s="1"/>
  <c r="AB61" i="11"/>
  <c r="AA61" i="11"/>
  <c r="Z61" i="11"/>
  <c r="Y61" i="11"/>
  <c r="X61" i="11"/>
  <c r="W74" i="11"/>
  <c r="V74" i="11"/>
  <c r="U74" i="11"/>
  <c r="T74" i="11"/>
  <c r="S74" i="11"/>
  <c r="R74" i="11"/>
  <c r="Q74" i="11"/>
  <c r="P74" i="11"/>
  <c r="O74" i="11"/>
  <c r="N74" i="11"/>
  <c r="K74" i="11"/>
  <c r="J74" i="11"/>
  <c r="I74" i="11"/>
  <c r="H74" i="11"/>
  <c r="W73" i="11"/>
  <c r="W87" i="11" s="1"/>
  <c r="V73" i="11"/>
  <c r="V87" i="11" s="1"/>
  <c r="U73" i="11"/>
  <c r="U87" i="11" s="1"/>
  <c r="T73" i="11"/>
  <c r="T87" i="11" s="1"/>
  <c r="S73" i="11"/>
  <c r="S87" i="11" s="1"/>
  <c r="R73" i="11"/>
  <c r="R87" i="11" s="1"/>
  <c r="Q73" i="11"/>
  <c r="Q87" i="11" s="1"/>
  <c r="P73" i="11"/>
  <c r="P87" i="11" s="1"/>
  <c r="O73" i="11"/>
  <c r="O87" i="11" s="1"/>
  <c r="N73" i="11"/>
  <c r="N87" i="11" s="1"/>
  <c r="K73" i="11"/>
  <c r="K87" i="11" s="1"/>
  <c r="J73" i="11"/>
  <c r="J87" i="11" s="1"/>
  <c r="I73" i="11"/>
  <c r="I87" i="11" s="1"/>
  <c r="H73" i="11"/>
  <c r="H87" i="11" s="1"/>
  <c r="G87" i="11"/>
  <c r="AC87" i="11" s="1"/>
  <c r="W72" i="11"/>
  <c r="W86" i="11" s="1"/>
  <c r="V72" i="11"/>
  <c r="V86" i="11" s="1"/>
  <c r="U72" i="11"/>
  <c r="U86" i="11" s="1"/>
  <c r="T72" i="11"/>
  <c r="T86" i="11" s="1"/>
  <c r="S72" i="11"/>
  <c r="S86" i="11" s="1"/>
  <c r="R72" i="11"/>
  <c r="R86" i="11" s="1"/>
  <c r="Q72" i="11"/>
  <c r="Q86" i="11" s="1"/>
  <c r="P72" i="11"/>
  <c r="P86" i="11" s="1"/>
  <c r="O72" i="11"/>
  <c r="O86" i="11" s="1"/>
  <c r="N72" i="11"/>
  <c r="N86" i="11" s="1"/>
  <c r="K72" i="11"/>
  <c r="K86" i="11" s="1"/>
  <c r="J72" i="11"/>
  <c r="J86" i="11" s="1"/>
  <c r="I72" i="11"/>
  <c r="I86" i="11" s="1"/>
  <c r="H72" i="11"/>
  <c r="H86" i="11" s="1"/>
  <c r="G86" i="11"/>
  <c r="AC86" i="11" s="1"/>
  <c r="W71" i="11"/>
  <c r="W85" i="11" s="1"/>
  <c r="V71" i="11"/>
  <c r="V85" i="11" s="1"/>
  <c r="U71" i="11"/>
  <c r="U85" i="11" s="1"/>
  <c r="T71" i="11"/>
  <c r="T85" i="11" s="1"/>
  <c r="S71" i="11"/>
  <c r="S85" i="11" s="1"/>
  <c r="R71" i="11"/>
  <c r="R85" i="11" s="1"/>
  <c r="Q71" i="11"/>
  <c r="Q85" i="11" s="1"/>
  <c r="P71" i="11"/>
  <c r="P85" i="11" s="1"/>
  <c r="O71" i="11"/>
  <c r="O85" i="11" s="1"/>
  <c r="N71" i="11"/>
  <c r="N85" i="11" s="1"/>
  <c r="K71" i="11"/>
  <c r="K85" i="11" s="1"/>
  <c r="J71" i="11"/>
  <c r="J85" i="11" s="1"/>
  <c r="I71" i="11"/>
  <c r="I85" i="11" s="1"/>
  <c r="H71" i="11"/>
  <c r="H85" i="11" s="1"/>
  <c r="G85" i="11"/>
  <c r="W70" i="11"/>
  <c r="U70" i="11"/>
  <c r="T70" i="11"/>
  <c r="S70" i="11"/>
  <c r="Q70" i="11"/>
  <c r="O70" i="11"/>
  <c r="N70" i="11"/>
  <c r="K70" i="11"/>
  <c r="J70" i="11"/>
  <c r="W68" i="11"/>
  <c r="U68" i="11"/>
  <c r="T68" i="11"/>
  <c r="S68" i="11"/>
  <c r="Q68" i="11"/>
  <c r="O68" i="11"/>
  <c r="N68" i="11"/>
  <c r="K68" i="11"/>
  <c r="J68" i="11"/>
  <c r="W67" i="11"/>
  <c r="V67" i="11"/>
  <c r="U67" i="11"/>
  <c r="T67" i="11"/>
  <c r="S67" i="11"/>
  <c r="R67" i="11"/>
  <c r="Q67" i="11"/>
  <c r="P67" i="11"/>
  <c r="O67" i="11"/>
  <c r="N67" i="11"/>
  <c r="K67" i="11"/>
  <c r="J67" i="11"/>
  <c r="I67" i="11"/>
  <c r="H67" i="11"/>
  <c r="W65" i="11"/>
  <c r="U65" i="11"/>
  <c r="T65" i="11"/>
  <c r="S65" i="11"/>
  <c r="Q65" i="11"/>
  <c r="N65" i="11"/>
  <c r="K65" i="11"/>
  <c r="J65" i="11"/>
  <c r="W64" i="11"/>
  <c r="U64" i="11"/>
  <c r="T64" i="11"/>
  <c r="S64" i="11"/>
  <c r="Q64" i="11"/>
  <c r="N64" i="11"/>
  <c r="K64" i="11"/>
  <c r="J64" i="11"/>
  <c r="W63" i="11"/>
  <c r="V63" i="11"/>
  <c r="U63" i="11"/>
  <c r="T63" i="11"/>
  <c r="S63" i="11"/>
  <c r="R63" i="11"/>
  <c r="Q63" i="11"/>
  <c r="P63" i="11"/>
  <c r="O63" i="11"/>
  <c r="N63" i="11"/>
  <c r="K63" i="11"/>
  <c r="J63" i="11"/>
  <c r="I63" i="11"/>
  <c r="H63" i="11"/>
  <c r="AG63" i="11"/>
  <c r="W62" i="11"/>
  <c r="W69" i="11" s="1"/>
  <c r="V62" i="11"/>
  <c r="V69" i="11" s="1"/>
  <c r="U62" i="11"/>
  <c r="U69" i="11" s="1"/>
  <c r="T62" i="11"/>
  <c r="T69" i="11" s="1"/>
  <c r="S62" i="11"/>
  <c r="S69" i="11" s="1"/>
  <c r="R62" i="11"/>
  <c r="R69" i="11" s="1"/>
  <c r="Q62" i="11"/>
  <c r="Q69" i="11" s="1"/>
  <c r="P62" i="11"/>
  <c r="P69" i="11" s="1"/>
  <c r="O62" i="11"/>
  <c r="O69" i="11" s="1"/>
  <c r="N62" i="11"/>
  <c r="N69" i="11" s="1"/>
  <c r="K62" i="11"/>
  <c r="K69" i="11" s="1"/>
  <c r="J62" i="11"/>
  <c r="J69" i="11" s="1"/>
  <c r="I62" i="11"/>
  <c r="I69" i="11" s="1"/>
  <c r="H62" i="11"/>
  <c r="H69" i="11" s="1"/>
  <c r="W61" i="11"/>
  <c r="V61" i="11"/>
  <c r="U61" i="11"/>
  <c r="T61" i="11"/>
  <c r="S61" i="11"/>
  <c r="R61" i="11"/>
  <c r="Q61" i="11"/>
  <c r="P61" i="11"/>
  <c r="O61" i="11"/>
  <c r="N61" i="11"/>
  <c r="K61" i="11"/>
  <c r="J61" i="11"/>
  <c r="I61" i="11"/>
  <c r="H61" i="11"/>
  <c r="G61" i="11"/>
  <c r="V68" i="11"/>
  <c r="R68" i="11"/>
  <c r="P68" i="11"/>
  <c r="I68" i="11"/>
  <c r="H68" i="11"/>
  <c r="V70" i="11"/>
  <c r="R70" i="11"/>
  <c r="O65" i="11"/>
  <c r="O64" i="11"/>
  <c r="V1" i="11"/>
  <c r="U1" i="11"/>
  <c r="T1" i="11"/>
  <c r="S1" i="11"/>
  <c r="R1" i="11"/>
  <c r="Q1" i="11"/>
  <c r="P1" i="11"/>
  <c r="O1" i="11"/>
  <c r="N1" i="11"/>
  <c r="K1" i="11"/>
  <c r="J1" i="11"/>
  <c r="I1" i="11"/>
  <c r="H1" i="11"/>
  <c r="AC85" i="11" l="1"/>
  <c r="G3" i="11"/>
  <c r="G4" i="11" s="1"/>
  <c r="W3" i="11"/>
  <c r="W4" i="11" s="1"/>
  <c r="W26" i="11" s="1"/>
  <c r="X3" i="11"/>
  <c r="X4" i="11" s="1"/>
  <c r="X26" i="11" s="1"/>
  <c r="Y3" i="11"/>
  <c r="Y4" i="11" s="1"/>
  <c r="Y26" i="11" s="1"/>
  <c r="Z3" i="11"/>
  <c r="Z4" i="11" s="1"/>
  <c r="AA3" i="11"/>
  <c r="AA4" i="11" s="1"/>
  <c r="AA26" i="11" s="1"/>
  <c r="AB3" i="11"/>
  <c r="AB4" i="11" s="1"/>
  <c r="AC37" i="11"/>
  <c r="H70" i="11"/>
  <c r="H65" i="11"/>
  <c r="H64" i="11"/>
  <c r="I70" i="11"/>
  <c r="I65" i="11"/>
  <c r="I64" i="11"/>
  <c r="P70" i="11"/>
  <c r="P65" i="11"/>
  <c r="P64" i="11"/>
  <c r="AG68" i="11"/>
  <c r="AF68" i="11"/>
  <c r="G82" i="11" s="1"/>
  <c r="AG69" i="11"/>
  <c r="AF69" i="11"/>
  <c r="H3" i="11"/>
  <c r="H4" i="11" s="1"/>
  <c r="I3" i="11"/>
  <c r="I4" i="11" s="1"/>
  <c r="J3" i="11"/>
  <c r="J4" i="11" s="1"/>
  <c r="K3" i="11"/>
  <c r="K4" i="11" s="1"/>
  <c r="K26" i="11" s="1"/>
  <c r="N3" i="11"/>
  <c r="N4" i="11" s="1"/>
  <c r="N26" i="11" s="1"/>
  <c r="O3" i="11"/>
  <c r="O4" i="11" s="1"/>
  <c r="O26" i="11" s="1"/>
  <c r="P3" i="11"/>
  <c r="P4" i="11" s="1"/>
  <c r="P26" i="11" s="1"/>
  <c r="Q3" i="11"/>
  <c r="Q4" i="11" s="1"/>
  <c r="Q26" i="11" s="1"/>
  <c r="R3" i="11"/>
  <c r="R4" i="11" s="1"/>
  <c r="R26" i="11" s="1"/>
  <c r="S3" i="11"/>
  <c r="S4" i="11" s="1"/>
  <c r="S26" i="11" s="1"/>
  <c r="T3" i="11"/>
  <c r="T4" i="11" s="1"/>
  <c r="T26" i="11" s="1"/>
  <c r="U3" i="11"/>
  <c r="U4" i="11" s="1"/>
  <c r="U26" i="11" s="1"/>
  <c r="V3" i="11"/>
  <c r="V4" i="11" s="1"/>
  <c r="V26" i="11" s="1"/>
  <c r="AF63" i="11"/>
  <c r="R64" i="11"/>
  <c r="V64" i="11"/>
  <c r="R65" i="11"/>
  <c r="V65" i="11"/>
  <c r="AF67" i="11"/>
  <c r="AG67" i="11"/>
  <c r="M81" i="11" s="1"/>
  <c r="AF71" i="11"/>
  <c r="AG71" i="11"/>
  <c r="AF72" i="11"/>
  <c r="AG72" i="11"/>
  <c r="AF73" i="11"/>
  <c r="AG73" i="11"/>
  <c r="AF74" i="11"/>
  <c r="AG74" i="11"/>
  <c r="G101" i="9"/>
  <c r="G102" i="9"/>
  <c r="G103" i="9"/>
  <c r="G104" i="9"/>
  <c r="G105" i="9"/>
  <c r="G106" i="9"/>
  <c r="G107" i="9"/>
  <c r="G108" i="9"/>
  <c r="G109" i="9"/>
  <c r="G110" i="9"/>
  <c r="G111" i="9"/>
  <c r="G112" i="9"/>
  <c r="G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00" i="9"/>
  <c r="D33" i="10"/>
  <c r="E33" i="10" s="1"/>
  <c r="O33" i="10" s="1"/>
  <c r="D32" i="10"/>
  <c r="E32" i="10" s="1"/>
  <c r="O32" i="10" s="1"/>
  <c r="D31" i="10"/>
  <c r="E31" i="10" s="1"/>
  <c r="O31" i="10" s="1"/>
  <c r="D30" i="10"/>
  <c r="E30" i="10" s="1"/>
  <c r="O30" i="10" s="1"/>
  <c r="D29" i="10"/>
  <c r="E29" i="10" s="1"/>
  <c r="O29" i="10" s="1"/>
  <c r="D27" i="10"/>
  <c r="D26" i="10"/>
  <c r="E26" i="10" s="1"/>
  <c r="O26" i="10" s="1"/>
  <c r="D25" i="10"/>
  <c r="E25" i="10" s="1"/>
  <c r="O25" i="10" s="1"/>
  <c r="D24" i="10"/>
  <c r="E24" i="10" s="1"/>
  <c r="O24" i="10" s="1"/>
  <c r="D23" i="10"/>
  <c r="E23" i="10" s="1"/>
  <c r="O23" i="10" s="1"/>
  <c r="D22" i="10"/>
  <c r="E22" i="10" s="1"/>
  <c r="O22" i="10" s="1"/>
  <c r="D21" i="10"/>
  <c r="E21" i="10" s="1"/>
  <c r="O21" i="10" s="1"/>
  <c r="D20" i="10"/>
  <c r="E20" i="10" s="1"/>
  <c r="O20" i="10" s="1"/>
  <c r="D19" i="10"/>
  <c r="E19" i="10" s="1"/>
  <c r="O19" i="10" s="1"/>
  <c r="D18" i="10"/>
  <c r="E18" i="10" s="1"/>
  <c r="O18" i="10" s="1"/>
  <c r="D17" i="10"/>
  <c r="E17" i="10" s="1"/>
  <c r="O17" i="10" s="1"/>
  <c r="D16" i="10"/>
  <c r="E16" i="10" s="1"/>
  <c r="O16" i="10" s="1"/>
  <c r="D15" i="10"/>
  <c r="E15" i="10" s="1"/>
  <c r="O15" i="10" s="1"/>
  <c r="D14" i="10"/>
  <c r="E14" i="10" s="1"/>
  <c r="D13" i="10"/>
  <c r="E13" i="10" s="1"/>
  <c r="O13" i="10" s="1"/>
  <c r="D12" i="10"/>
  <c r="E12" i="10" s="1"/>
  <c r="O12" i="10" s="1"/>
  <c r="D11" i="10"/>
  <c r="E11" i="10" s="1"/>
  <c r="O11" i="10" s="1"/>
  <c r="D10" i="10"/>
  <c r="E10" i="10" s="1"/>
  <c r="O10" i="10" s="1"/>
  <c r="D9" i="10"/>
  <c r="E9" i="10" s="1"/>
  <c r="O9" i="10" s="1"/>
  <c r="D8" i="10"/>
  <c r="E8" i="10" s="1"/>
  <c r="O8" i="10" s="1"/>
  <c r="D7" i="10"/>
  <c r="E7" i="10" s="1"/>
  <c r="D6" i="10"/>
  <c r="E6" i="10" s="1"/>
  <c r="D5" i="10"/>
  <c r="AA66" i="11" l="1"/>
  <c r="J26" i="11"/>
  <c r="I26" i="11"/>
  <c r="H26" i="11"/>
  <c r="AB26" i="11"/>
  <c r="Z26" i="11"/>
  <c r="G26" i="11"/>
  <c r="E5" i="10"/>
  <c r="O5" i="10" s="1"/>
  <c r="E39" i="10"/>
  <c r="N39" i="10" s="1"/>
  <c r="O6" i="10"/>
  <c r="E37" i="10"/>
  <c r="O7" i="10"/>
  <c r="E40" i="10"/>
  <c r="N40" i="10" s="1"/>
  <c r="O14" i="10"/>
  <c r="D28" i="10"/>
  <c r="D35" i="10" s="1"/>
  <c r="E28" i="10"/>
  <c r="O28" i="10" s="1"/>
  <c r="E27" i="10"/>
  <c r="O27" i="10" s="1"/>
  <c r="X66" i="11"/>
  <c r="M77" i="11"/>
  <c r="M83" i="11"/>
  <c r="M82" i="11"/>
  <c r="L77" i="11"/>
  <c r="L83" i="11"/>
  <c r="L82" i="11"/>
  <c r="L81" i="11"/>
  <c r="V66" i="11"/>
  <c r="U66" i="11"/>
  <c r="S66" i="11"/>
  <c r="N66" i="11"/>
  <c r="K66" i="11"/>
  <c r="Y66" i="11"/>
  <c r="W66" i="11"/>
  <c r="T66" i="11"/>
  <c r="Q66" i="11"/>
  <c r="O66" i="11"/>
  <c r="R66" i="11"/>
  <c r="P66" i="11"/>
  <c r="G81" i="11"/>
  <c r="AB77" i="11"/>
  <c r="AA77" i="11"/>
  <c r="Z77" i="11"/>
  <c r="Y77" i="11"/>
  <c r="X77" i="11"/>
  <c r="AB83" i="11"/>
  <c r="AA83" i="11"/>
  <c r="Z83" i="11"/>
  <c r="Y83" i="11"/>
  <c r="X83" i="11"/>
  <c r="AB82" i="11"/>
  <c r="AA82" i="11"/>
  <c r="Z82" i="11"/>
  <c r="Y82" i="11"/>
  <c r="X82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K81" i="11"/>
  <c r="J81" i="11"/>
  <c r="I81" i="11"/>
  <c r="H81" i="11"/>
  <c r="W77" i="11"/>
  <c r="V77" i="11"/>
  <c r="U77" i="11"/>
  <c r="T77" i="11"/>
  <c r="S77" i="11"/>
  <c r="R77" i="11"/>
  <c r="Q77" i="11"/>
  <c r="P77" i="11"/>
  <c r="O77" i="11"/>
  <c r="N77" i="11"/>
  <c r="K77" i="11"/>
  <c r="J77" i="11"/>
  <c r="I77" i="11"/>
  <c r="H77" i="11"/>
  <c r="G77" i="11"/>
  <c r="AC77" i="11" s="1"/>
  <c r="W83" i="11"/>
  <c r="V83" i="11"/>
  <c r="U83" i="11"/>
  <c r="T83" i="11"/>
  <c r="S83" i="11"/>
  <c r="R83" i="11"/>
  <c r="Q83" i="11"/>
  <c r="P83" i="11"/>
  <c r="O83" i="11"/>
  <c r="N83" i="11"/>
  <c r="K83" i="11"/>
  <c r="J83" i="11"/>
  <c r="I83" i="11"/>
  <c r="H83" i="11"/>
  <c r="G83" i="11"/>
  <c r="AC83" i="11" s="1"/>
  <c r="W82" i="11"/>
  <c r="V82" i="11"/>
  <c r="U82" i="11"/>
  <c r="T82" i="11"/>
  <c r="S82" i="11"/>
  <c r="R82" i="11"/>
  <c r="Q82" i="11"/>
  <c r="P82" i="11"/>
  <c r="O82" i="11"/>
  <c r="N82" i="11"/>
  <c r="K82" i="11"/>
  <c r="J82" i="11"/>
  <c r="I82" i="11"/>
  <c r="H82" i="11"/>
  <c r="AC82" i="11" s="1"/>
  <c r="AG64" i="11"/>
  <c r="AF64" i="11"/>
  <c r="AG65" i="11"/>
  <c r="AF65" i="11"/>
  <c r="AG70" i="11"/>
  <c r="AF70" i="11"/>
  <c r="H84" i="11" s="1"/>
  <c r="G66" i="11" l="1"/>
  <c r="Z66" i="11"/>
  <c r="AB66" i="11"/>
  <c r="H66" i="11"/>
  <c r="I66" i="11"/>
  <c r="J66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G84" i="11"/>
  <c r="AC81" i="11"/>
  <c r="P53" i="9"/>
  <c r="N53" i="9"/>
  <c r="M79" i="11"/>
  <c r="M78" i="11"/>
  <c r="M90" i="11"/>
  <c r="L79" i="11"/>
  <c r="L78" i="11"/>
  <c r="L90" i="11" s="1"/>
  <c r="AB79" i="11"/>
  <c r="AA79" i="11"/>
  <c r="Z79" i="11"/>
  <c r="Y79" i="11"/>
  <c r="X79" i="11"/>
  <c r="AB78" i="11"/>
  <c r="AA78" i="11"/>
  <c r="Z78" i="11"/>
  <c r="Y78" i="11"/>
  <c r="X78" i="11"/>
  <c r="AC84" i="11"/>
  <c r="W79" i="11"/>
  <c r="V79" i="11"/>
  <c r="U79" i="11"/>
  <c r="T79" i="11"/>
  <c r="S79" i="11"/>
  <c r="R79" i="11"/>
  <c r="Q79" i="11"/>
  <c r="P79" i="11"/>
  <c r="O79" i="11"/>
  <c r="N79" i="11"/>
  <c r="K79" i="11"/>
  <c r="J79" i="11"/>
  <c r="I79" i="11"/>
  <c r="H79" i="11"/>
  <c r="G79" i="11"/>
  <c r="AC79" i="11" s="1"/>
  <c r="W78" i="11"/>
  <c r="V78" i="11"/>
  <c r="U78" i="11"/>
  <c r="T78" i="11"/>
  <c r="S78" i="11"/>
  <c r="R78" i="11"/>
  <c r="Q78" i="11"/>
  <c r="P78" i="11"/>
  <c r="O78" i="11"/>
  <c r="N78" i="11"/>
  <c r="K78" i="11"/>
  <c r="J78" i="11"/>
  <c r="I78" i="11"/>
  <c r="H78" i="11"/>
  <c r="G78" i="11"/>
  <c r="AC78" i="11" s="1"/>
  <c r="O35" i="10"/>
  <c r="E35" i="10"/>
  <c r="AG66" i="11" l="1"/>
  <c r="AF66" i="11"/>
  <c r="N35" i="10"/>
  <c r="E38" i="10"/>
  <c r="AB80" i="11"/>
  <c r="AB90" i="11" s="1"/>
  <c r="Y80" i="11"/>
  <c r="Y90" i="11" s="1"/>
  <c r="X80" i="11"/>
  <c r="X90" i="11" s="1"/>
  <c r="W80" i="11"/>
  <c r="W90" i="11" s="1"/>
  <c r="R80" i="11"/>
  <c r="R90" i="11" s="1"/>
  <c r="N63" i="9"/>
  <c r="Z80" i="11" l="1"/>
  <c r="Z90" i="11" s="1"/>
  <c r="AA80" i="11"/>
  <c r="AA90" i="11"/>
  <c r="I50" i="6"/>
  <c r="I53" i="9"/>
  <c r="H53" i="9"/>
  <c r="G53" i="9"/>
  <c r="N37" i="10"/>
  <c r="I80" i="11"/>
  <c r="I90" i="11" s="1"/>
  <c r="D102" i="11" s="1"/>
  <c r="H80" i="11"/>
  <c r="H90" i="11" s="1"/>
  <c r="D101" i="11" s="1"/>
  <c r="V80" i="11"/>
  <c r="V90" i="11" s="1"/>
  <c r="D121" i="11" s="1"/>
  <c r="G80" i="11"/>
  <c r="J80" i="11"/>
  <c r="J90" i="11" s="1"/>
  <c r="D105" i="11"/>
  <c r="K80" i="11"/>
  <c r="K90" i="11" s="1"/>
  <c r="D106" i="11" s="1"/>
  <c r="N80" i="11"/>
  <c r="N90" i="11" s="1"/>
  <c r="D107" i="11" s="1"/>
  <c r="O80" i="11"/>
  <c r="O90" i="11" s="1"/>
  <c r="D108" i="11" s="1"/>
  <c r="P80" i="11"/>
  <c r="P90" i="11" s="1"/>
  <c r="Q80" i="11"/>
  <c r="Q90" i="11" s="1"/>
  <c r="S80" i="11"/>
  <c r="S90" i="11" s="1"/>
  <c r="D118" i="11" s="1"/>
  <c r="T80" i="11"/>
  <c r="T90" i="11" s="1"/>
  <c r="D119" i="11" s="1"/>
  <c r="U80" i="11"/>
  <c r="U90" i="11" s="1"/>
  <c r="D120" i="11" s="1"/>
  <c r="Q70" i="9"/>
  <c r="D113" i="11" l="1"/>
  <c r="D116" i="11"/>
  <c r="D115" i="11"/>
  <c r="D111" i="11"/>
  <c r="D114" i="11"/>
  <c r="D110" i="11"/>
  <c r="D112" i="11"/>
  <c r="D104" i="11"/>
  <c r="D103" i="11"/>
  <c r="D109" i="11"/>
  <c r="D117" i="11"/>
  <c r="G90" i="11"/>
  <c r="D100" i="11" s="1"/>
  <c r="J109" i="11" s="1"/>
  <c r="AC80" i="11"/>
  <c r="AC90" i="11" s="1"/>
  <c r="L103" i="11"/>
  <c r="E7" i="6" s="1"/>
  <c r="L100" i="11"/>
  <c r="E27" i="6"/>
  <c r="J27" i="6" s="1"/>
  <c r="E26" i="6"/>
  <c r="J26" i="6" s="1"/>
  <c r="L121" i="11"/>
  <c r="E25" i="6" s="1"/>
  <c r="J25" i="6" s="1"/>
  <c r="L120" i="11"/>
  <c r="E24" i="6" s="1"/>
  <c r="J24" i="6" s="1"/>
  <c r="L119" i="11"/>
  <c r="E23" i="6" s="1"/>
  <c r="L118" i="11"/>
  <c r="E22" i="6" s="1"/>
  <c r="L117" i="11"/>
  <c r="E21" i="6" s="1"/>
  <c r="L116" i="11"/>
  <c r="E20" i="6" s="1"/>
  <c r="L115" i="11"/>
  <c r="E19" i="6" s="1"/>
  <c r="L114" i="11"/>
  <c r="E18" i="6" s="1"/>
  <c r="L113" i="11"/>
  <c r="E17" i="6" s="1"/>
  <c r="L112" i="11"/>
  <c r="L111" i="11"/>
  <c r="L109" i="11"/>
  <c r="L108" i="11"/>
  <c r="L110" i="11"/>
  <c r="L107" i="11"/>
  <c r="E11" i="6" s="1"/>
  <c r="L106" i="11"/>
  <c r="E10" i="6" s="1"/>
  <c r="L105" i="11"/>
  <c r="E9" i="6" s="1"/>
  <c r="L104" i="11"/>
  <c r="E8" i="6" s="1"/>
  <c r="K110" i="11"/>
  <c r="E12" i="6"/>
  <c r="K108" i="11"/>
  <c r="E13" i="6"/>
  <c r="K109" i="11"/>
  <c r="K111" i="11"/>
  <c r="E15" i="6"/>
  <c r="K112" i="11"/>
  <c r="E16" i="6"/>
  <c r="I51" i="6"/>
  <c r="K115" i="11"/>
  <c r="E4" i="6"/>
  <c r="E14" i="6" l="1"/>
  <c r="M100" i="11"/>
  <c r="J121" i="11"/>
  <c r="J120" i="11"/>
  <c r="J119" i="11"/>
  <c r="J118" i="11"/>
  <c r="J117" i="11"/>
  <c r="J116" i="11"/>
  <c r="J115" i="11"/>
  <c r="J114" i="11"/>
  <c r="J113" i="11"/>
  <c r="J112" i="11"/>
  <c r="J111" i="11"/>
  <c r="J108" i="11"/>
  <c r="J110" i="11"/>
  <c r="J107" i="11"/>
  <c r="J106" i="11"/>
  <c r="J105" i="11"/>
  <c r="J104" i="11"/>
  <c r="J103" i="11"/>
  <c r="J102" i="11"/>
  <c r="J101" i="11"/>
  <c r="J100" i="11"/>
  <c r="K120" i="11"/>
  <c r="K104" i="11"/>
  <c r="K114" i="11"/>
  <c r="K119" i="11"/>
  <c r="K103" i="11"/>
  <c r="K113" i="11"/>
  <c r="K118" i="11"/>
  <c r="K102" i="11"/>
  <c r="K107" i="11"/>
  <c r="K117" i="11"/>
  <c r="K106" i="11"/>
  <c r="K116" i="11"/>
  <c r="K121" i="11"/>
  <c r="K105" i="11"/>
  <c r="L101" i="11"/>
  <c r="L102" i="11"/>
  <c r="E6" i="6" s="1"/>
  <c r="K101" i="11"/>
  <c r="K100" i="11"/>
  <c r="E34" i="6"/>
  <c r="I52" i="6"/>
  <c r="P1" i="9"/>
  <c r="Q1" i="9"/>
  <c r="P3" i="9"/>
  <c r="P4" i="9"/>
  <c r="P26" i="9" s="1"/>
  <c r="P64" i="9"/>
  <c r="Q64" i="9"/>
  <c r="P61" i="9"/>
  <c r="Q61" i="9"/>
  <c r="P62" i="9"/>
  <c r="Q62" i="9"/>
  <c r="Q69" i="9" s="1"/>
  <c r="P63" i="9"/>
  <c r="Q63" i="9"/>
  <c r="P65" i="9"/>
  <c r="Q65" i="9"/>
  <c r="P66" i="9"/>
  <c r="P67" i="9"/>
  <c r="Q67" i="9"/>
  <c r="P68" i="9"/>
  <c r="Q68" i="9"/>
  <c r="P69" i="9"/>
  <c r="P70" i="9"/>
  <c r="P71" i="9"/>
  <c r="Q71" i="9"/>
  <c r="P72" i="9"/>
  <c r="Q72" i="9"/>
  <c r="P73" i="9"/>
  <c r="Q73" i="9"/>
  <c r="P74" i="9"/>
  <c r="Q74" i="9"/>
  <c r="Q80" i="9"/>
  <c r="P85" i="9"/>
  <c r="Q85" i="9"/>
  <c r="P86" i="9"/>
  <c r="Q86" i="9"/>
  <c r="P87" i="9"/>
  <c r="Q87" i="9"/>
  <c r="P88" i="9"/>
  <c r="Q88" i="9"/>
  <c r="O113" i="11" l="1"/>
  <c r="N123" i="11"/>
  <c r="E5" i="6"/>
  <c r="E29" i="6" s="1"/>
  <c r="M101" i="11"/>
  <c r="M102" i="11" s="1"/>
  <c r="M103" i="11" s="1"/>
  <c r="M104" i="11" s="1"/>
  <c r="M105" i="11" s="1"/>
  <c r="M106" i="11" s="1"/>
  <c r="M107" i="11" s="1"/>
  <c r="M108" i="11" s="1"/>
  <c r="M109" i="11" s="1"/>
  <c r="I53" i="6"/>
  <c r="F112" i="9"/>
  <c r="U11" i="3" l="1"/>
  <c r="M110" i="11"/>
  <c r="M111" i="11" s="1"/>
  <c r="M112" i="11" s="1"/>
  <c r="M113" i="11"/>
  <c r="M114" i="11" s="1"/>
  <c r="M115" i="11" s="1"/>
  <c r="M116" i="11" s="1"/>
  <c r="M117" i="11" s="1"/>
  <c r="M118" i="11" s="1"/>
  <c r="M119" i="11" s="1"/>
  <c r="M120" i="11" s="1"/>
  <c r="M121" i="11" s="1"/>
  <c r="E35" i="6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I54" i="6"/>
  <c r="M72" i="9"/>
  <c r="M36" i="9"/>
  <c r="M37" i="9" s="1"/>
  <c r="F110" i="9" l="1"/>
  <c r="F106" i="9"/>
  <c r="E48" i="6"/>
  <c r="E49" i="6" s="1"/>
  <c r="E50" i="6" s="1"/>
  <c r="E51" i="6" s="1"/>
  <c r="E52" i="6" s="1"/>
  <c r="E53" i="6" s="1"/>
  <c r="E54" i="6" s="1"/>
  <c r="E55" i="6" s="1"/>
  <c r="E56" i="6" s="1"/>
  <c r="E57" i="6" s="1"/>
  <c r="E59" i="6" s="1"/>
  <c r="I55" i="6"/>
  <c r="I56" i="6" l="1"/>
  <c r="L17" i="9"/>
  <c r="L16" i="9"/>
  <c r="L53" i="9" s="1"/>
  <c r="I57" i="6" l="1"/>
  <c r="I59" i="6" s="1"/>
  <c r="H63" i="9"/>
  <c r="K1" i="9"/>
  <c r="G1" i="9"/>
  <c r="H1" i="9"/>
  <c r="I1" i="9"/>
  <c r="I37" i="9"/>
  <c r="F103" i="9" s="1"/>
  <c r="K3" i="9" l="1"/>
  <c r="K4" i="9" s="1"/>
  <c r="K26" i="9" s="1"/>
  <c r="H37" i="9" l="1"/>
  <c r="F102" i="9" s="1"/>
  <c r="J1" i="9" l="1"/>
  <c r="L1" i="9"/>
  <c r="M1" i="9"/>
  <c r="N1" i="9"/>
  <c r="O1" i="9"/>
  <c r="J3" i="9"/>
  <c r="L3" i="9"/>
  <c r="M3" i="9"/>
  <c r="N3" i="9"/>
  <c r="O3" i="9"/>
  <c r="J4" i="9"/>
  <c r="J26" i="9" s="1"/>
  <c r="J66" i="9" s="1"/>
  <c r="L4" i="9"/>
  <c r="L26" i="9" s="1"/>
  <c r="M4" i="9"/>
  <c r="M26" i="9" s="1"/>
  <c r="N4" i="9"/>
  <c r="N26" i="9" s="1"/>
  <c r="O4" i="9"/>
  <c r="O26" i="9" s="1"/>
  <c r="G37" i="9"/>
  <c r="F101" i="9" l="1"/>
  <c r="F100" i="9"/>
  <c r="K66" i="9"/>
  <c r="L66" i="9"/>
  <c r="M66" i="9"/>
  <c r="O66" i="9"/>
  <c r="O74" i="9"/>
  <c r="O88" i="9" s="1"/>
  <c r="O73" i="9"/>
  <c r="O87" i="9" s="1"/>
  <c r="O72" i="9"/>
  <c r="O86" i="9" s="1"/>
  <c r="O71" i="9"/>
  <c r="O85" i="9" s="1"/>
  <c r="O70" i="9"/>
  <c r="O68" i="9"/>
  <c r="O67" i="9"/>
  <c r="O65" i="9"/>
  <c r="O64" i="9"/>
  <c r="O63" i="9"/>
  <c r="O62" i="9"/>
  <c r="O69" i="9" s="1"/>
  <c r="O61" i="9"/>
  <c r="I80" i="9"/>
  <c r="G80" i="9"/>
  <c r="N74" i="9"/>
  <c r="N88" i="9" s="1"/>
  <c r="M74" i="9"/>
  <c r="M88" i="9" s="1"/>
  <c r="L74" i="9"/>
  <c r="L88" i="9" s="1"/>
  <c r="K74" i="9"/>
  <c r="K88" i="9" s="1"/>
  <c r="J74" i="9"/>
  <c r="J88" i="9" s="1"/>
  <c r="I74" i="9"/>
  <c r="I88" i="9" s="1"/>
  <c r="H74" i="9"/>
  <c r="H88" i="9" s="1"/>
  <c r="G74" i="9"/>
  <c r="G88" i="9" s="1"/>
  <c r="N73" i="9"/>
  <c r="N87" i="9" s="1"/>
  <c r="M73" i="9"/>
  <c r="M87" i="9" s="1"/>
  <c r="L73" i="9"/>
  <c r="L87" i="9" s="1"/>
  <c r="K73" i="9"/>
  <c r="K87" i="9" s="1"/>
  <c r="J73" i="9"/>
  <c r="J87" i="9" s="1"/>
  <c r="I73" i="9"/>
  <c r="I87" i="9" s="1"/>
  <c r="H73" i="9"/>
  <c r="H87" i="9" s="1"/>
  <c r="G73" i="9"/>
  <c r="G87" i="9" s="1"/>
  <c r="N72" i="9"/>
  <c r="N86" i="9" s="1"/>
  <c r="M86" i="9"/>
  <c r="L72" i="9"/>
  <c r="L86" i="9" s="1"/>
  <c r="K72" i="9"/>
  <c r="K86" i="9" s="1"/>
  <c r="J72" i="9"/>
  <c r="J86" i="9" s="1"/>
  <c r="I72" i="9"/>
  <c r="I86" i="9" s="1"/>
  <c r="H72" i="9"/>
  <c r="H86" i="9" s="1"/>
  <c r="G72" i="9"/>
  <c r="G86" i="9" s="1"/>
  <c r="N71" i="9"/>
  <c r="N85" i="9" s="1"/>
  <c r="M71" i="9"/>
  <c r="M85" i="9" s="1"/>
  <c r="L71" i="9"/>
  <c r="L85" i="9" s="1"/>
  <c r="K71" i="9"/>
  <c r="K85" i="9" s="1"/>
  <c r="J71" i="9"/>
  <c r="J85" i="9" s="1"/>
  <c r="I71" i="9"/>
  <c r="I85" i="9" s="1"/>
  <c r="H71" i="9"/>
  <c r="H85" i="9" s="1"/>
  <c r="G71" i="9"/>
  <c r="G85" i="9" s="1"/>
  <c r="L70" i="9"/>
  <c r="G68" i="9"/>
  <c r="N67" i="9"/>
  <c r="M67" i="9"/>
  <c r="L67" i="9"/>
  <c r="K67" i="9"/>
  <c r="J67" i="9"/>
  <c r="I67" i="9"/>
  <c r="H67" i="9"/>
  <c r="G67" i="9"/>
  <c r="L65" i="9"/>
  <c r="L64" i="9"/>
  <c r="M63" i="9"/>
  <c r="L63" i="9"/>
  <c r="K63" i="9"/>
  <c r="J63" i="9"/>
  <c r="I63" i="9"/>
  <c r="N62" i="9"/>
  <c r="N69" i="9" s="1"/>
  <c r="M62" i="9"/>
  <c r="M69" i="9" s="1"/>
  <c r="L62" i="9"/>
  <c r="L69" i="9" s="1"/>
  <c r="K62" i="9"/>
  <c r="K69" i="9" s="1"/>
  <c r="J62" i="9"/>
  <c r="J69" i="9" s="1"/>
  <c r="I62" i="9"/>
  <c r="I69" i="9" s="1"/>
  <c r="H62" i="9"/>
  <c r="H69" i="9" s="1"/>
  <c r="G62" i="9"/>
  <c r="G69" i="9" s="1"/>
  <c r="N61" i="9"/>
  <c r="M61" i="9"/>
  <c r="L61" i="9"/>
  <c r="K61" i="9"/>
  <c r="J61" i="9"/>
  <c r="I61" i="9"/>
  <c r="H61" i="9"/>
  <c r="G61" i="9"/>
  <c r="G63" i="9"/>
  <c r="N68" i="9"/>
  <c r="M68" i="9"/>
  <c r="K68" i="9"/>
  <c r="J68" i="9"/>
  <c r="I68" i="9"/>
  <c r="H68" i="9"/>
  <c r="N70" i="9"/>
  <c r="M70" i="9"/>
  <c r="K70" i="9"/>
  <c r="J70" i="9"/>
  <c r="I70" i="9"/>
  <c r="H70" i="9"/>
  <c r="G70" i="9"/>
  <c r="F114" i="9" l="1"/>
  <c r="X70" i="9"/>
  <c r="W70" i="9"/>
  <c r="X68" i="9"/>
  <c r="W68" i="9"/>
  <c r="X69" i="9"/>
  <c r="W69" i="9"/>
  <c r="X63" i="9"/>
  <c r="T37" i="9"/>
  <c r="W63" i="9"/>
  <c r="G64" i="9"/>
  <c r="H64" i="9"/>
  <c r="I64" i="9"/>
  <c r="J64" i="9"/>
  <c r="K64" i="9"/>
  <c r="M64" i="9"/>
  <c r="N64" i="9"/>
  <c r="G65" i="9"/>
  <c r="H65" i="9"/>
  <c r="I65" i="9"/>
  <c r="J65" i="9"/>
  <c r="K65" i="9"/>
  <c r="M65" i="9"/>
  <c r="N65" i="9"/>
  <c r="W67" i="9"/>
  <c r="X67" i="9"/>
  <c r="X71" i="9"/>
  <c r="W71" i="9"/>
  <c r="W72" i="9"/>
  <c r="X72" i="9"/>
  <c r="W73" i="9"/>
  <c r="X73" i="9"/>
  <c r="W74" i="9"/>
  <c r="X74" i="9"/>
  <c r="S81" i="9" l="1"/>
  <c r="S77" i="9"/>
  <c r="S83" i="9"/>
  <c r="S82" i="9"/>
  <c r="S84" i="9"/>
  <c r="R77" i="9"/>
  <c r="R82" i="9"/>
  <c r="R81" i="9"/>
  <c r="R83" i="9"/>
  <c r="R84" i="9"/>
  <c r="N77" i="9"/>
  <c r="P81" i="9"/>
  <c r="Q81" i="9"/>
  <c r="P77" i="9"/>
  <c r="Q77" i="9"/>
  <c r="P83" i="9"/>
  <c r="Q83" i="9"/>
  <c r="P82" i="9"/>
  <c r="Q82" i="9"/>
  <c r="P84" i="9"/>
  <c r="Q84" i="9"/>
  <c r="H77" i="9"/>
  <c r="G77" i="9"/>
  <c r="I77" i="9"/>
  <c r="J77" i="9"/>
  <c r="K77" i="9"/>
  <c r="O77" i="9"/>
  <c r="O83" i="9"/>
  <c r="O82" i="9"/>
  <c r="O84" i="9"/>
  <c r="O81" i="9"/>
  <c r="X66" i="9"/>
  <c r="W66" i="9"/>
  <c r="N81" i="9"/>
  <c r="M81" i="9"/>
  <c r="L81" i="9"/>
  <c r="K81" i="9"/>
  <c r="J81" i="9"/>
  <c r="I81" i="9"/>
  <c r="H81" i="9"/>
  <c r="G81" i="9"/>
  <c r="X65" i="9"/>
  <c r="W65" i="9"/>
  <c r="X64" i="9"/>
  <c r="W64" i="9"/>
  <c r="M77" i="9"/>
  <c r="L77" i="9"/>
  <c r="N83" i="9"/>
  <c r="M83" i="9"/>
  <c r="L83" i="9"/>
  <c r="K83" i="9"/>
  <c r="J83" i="9"/>
  <c r="I83" i="9"/>
  <c r="H83" i="9"/>
  <c r="G83" i="9"/>
  <c r="N82" i="9"/>
  <c r="M82" i="9"/>
  <c r="L82" i="9"/>
  <c r="K82" i="9"/>
  <c r="J82" i="9"/>
  <c r="I82" i="9"/>
  <c r="H82" i="9"/>
  <c r="G82" i="9"/>
  <c r="N84" i="9"/>
  <c r="M84" i="9"/>
  <c r="L84" i="9"/>
  <c r="K84" i="9"/>
  <c r="J84" i="9"/>
  <c r="I84" i="9"/>
  <c r="H84" i="9"/>
  <c r="G84" i="9"/>
  <c r="S80" i="9" l="1"/>
  <c r="S78" i="9"/>
  <c r="S79" i="9"/>
  <c r="S90" i="9"/>
  <c r="R78" i="9"/>
  <c r="R79" i="9"/>
  <c r="R80" i="9"/>
  <c r="P80" i="9"/>
  <c r="O80" i="9"/>
  <c r="P78" i="9"/>
  <c r="Q78" i="9"/>
  <c r="P79" i="9"/>
  <c r="Q79" i="9"/>
  <c r="Q90" i="9"/>
  <c r="P90" i="9"/>
  <c r="L80" i="9"/>
  <c r="K80" i="9"/>
  <c r="O78" i="9"/>
  <c r="O79" i="9"/>
  <c r="N78" i="9"/>
  <c r="M78" i="9"/>
  <c r="L78" i="9"/>
  <c r="K78" i="9"/>
  <c r="J78" i="9"/>
  <c r="I78" i="9"/>
  <c r="H78" i="9"/>
  <c r="G78" i="9"/>
  <c r="N79" i="9"/>
  <c r="M79" i="9"/>
  <c r="L79" i="9"/>
  <c r="K79" i="9"/>
  <c r="J79" i="9"/>
  <c r="I79" i="9"/>
  <c r="H79" i="9"/>
  <c r="G79" i="9"/>
  <c r="H80" i="9"/>
  <c r="J80" i="9"/>
  <c r="M80" i="9"/>
  <c r="N80" i="9"/>
  <c r="G101" i="8"/>
  <c r="G102" i="8"/>
  <c r="G103" i="8"/>
  <c r="G104" i="8"/>
  <c r="G105" i="8"/>
  <c r="G106" i="8"/>
  <c r="G107" i="8"/>
  <c r="G100" i="8"/>
  <c r="E101" i="8"/>
  <c r="E102" i="8"/>
  <c r="E103" i="8"/>
  <c r="E104" i="8"/>
  <c r="E105" i="8"/>
  <c r="E106" i="8"/>
  <c r="E107" i="8"/>
  <c r="E100" i="8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J80" i="8"/>
  <c r="M80" i="8"/>
  <c r="G68" i="8"/>
  <c r="G67" i="8"/>
  <c r="H74" i="8"/>
  <c r="I74" i="8"/>
  <c r="J74" i="8"/>
  <c r="K74" i="8"/>
  <c r="L74" i="8"/>
  <c r="M74" i="8"/>
  <c r="N74" i="8"/>
  <c r="G74" i="8"/>
  <c r="G73" i="8"/>
  <c r="G72" i="8"/>
  <c r="R90" i="9" l="1"/>
  <c r="N90" i="9"/>
  <c r="D112" i="9" s="1"/>
  <c r="G90" i="9"/>
  <c r="H90" i="9"/>
  <c r="I90" i="9"/>
  <c r="J90" i="9"/>
  <c r="K90" i="9"/>
  <c r="D107" i="9" s="1"/>
  <c r="L90" i="9"/>
  <c r="D109" i="9"/>
  <c r="M90" i="9"/>
  <c r="D110" i="9" s="1"/>
  <c r="D111" i="9"/>
  <c r="O90" i="9"/>
  <c r="H26" i="8"/>
  <c r="H66" i="8" s="1"/>
  <c r="L26" i="8"/>
  <c r="L66" i="8" s="1"/>
  <c r="N26" i="8"/>
  <c r="N66" i="8" s="1"/>
  <c r="R74" i="8"/>
  <c r="S74" i="8"/>
  <c r="N1" i="8"/>
  <c r="N88" i="8"/>
  <c r="N73" i="8"/>
  <c r="N87" i="8" s="1"/>
  <c r="N72" i="8"/>
  <c r="N86" i="8" s="1"/>
  <c r="N71" i="8"/>
  <c r="N85" i="8" s="1"/>
  <c r="N70" i="8"/>
  <c r="N68" i="8"/>
  <c r="N67" i="8"/>
  <c r="N65" i="8"/>
  <c r="N64" i="8"/>
  <c r="N63" i="8"/>
  <c r="N62" i="8"/>
  <c r="N61" i="8"/>
  <c r="M88" i="8"/>
  <c r="M73" i="8"/>
  <c r="M87" i="8" s="1"/>
  <c r="M72" i="8"/>
  <c r="M86" i="8" s="1"/>
  <c r="M71" i="8"/>
  <c r="M85" i="8" s="1"/>
  <c r="M70" i="8"/>
  <c r="M68" i="8"/>
  <c r="M67" i="8"/>
  <c r="M65" i="8"/>
  <c r="M64" i="8"/>
  <c r="M63" i="8"/>
  <c r="M62" i="8"/>
  <c r="M61" i="8"/>
  <c r="M1" i="8"/>
  <c r="L17" i="8"/>
  <c r="L88" i="8"/>
  <c r="L73" i="8"/>
  <c r="L87" i="8" s="1"/>
  <c r="L72" i="8"/>
  <c r="L86" i="8" s="1"/>
  <c r="L71" i="8"/>
  <c r="L85" i="8" s="1"/>
  <c r="L70" i="8"/>
  <c r="L68" i="8"/>
  <c r="L67" i="8"/>
  <c r="L65" i="8"/>
  <c r="L64" i="8"/>
  <c r="L63" i="8"/>
  <c r="L62" i="8"/>
  <c r="L61" i="8"/>
  <c r="L1" i="8"/>
  <c r="K88" i="8"/>
  <c r="K73" i="8"/>
  <c r="K87" i="8" s="1"/>
  <c r="K72" i="8"/>
  <c r="K86" i="8" s="1"/>
  <c r="K71" i="8"/>
  <c r="K85" i="8" s="1"/>
  <c r="K70" i="8"/>
  <c r="K68" i="8"/>
  <c r="K67" i="8"/>
  <c r="K65" i="8"/>
  <c r="K64" i="8"/>
  <c r="K63" i="8"/>
  <c r="K62" i="8"/>
  <c r="K69" i="8" s="1"/>
  <c r="K61" i="8"/>
  <c r="K1" i="8"/>
  <c r="J1" i="8"/>
  <c r="I1" i="8"/>
  <c r="H1" i="8"/>
  <c r="G1" i="8"/>
  <c r="J88" i="8"/>
  <c r="J73" i="8"/>
  <c r="J87" i="8" s="1"/>
  <c r="J72" i="8"/>
  <c r="J86" i="8" s="1"/>
  <c r="J71" i="8"/>
  <c r="J85" i="8" s="1"/>
  <c r="J70" i="8"/>
  <c r="J68" i="8"/>
  <c r="J67" i="8"/>
  <c r="J65" i="8"/>
  <c r="J64" i="8"/>
  <c r="J63" i="8"/>
  <c r="J62" i="8"/>
  <c r="J61" i="8"/>
  <c r="I88" i="8"/>
  <c r="I73" i="8"/>
  <c r="I87" i="8" s="1"/>
  <c r="I72" i="8"/>
  <c r="I86" i="8" s="1"/>
  <c r="I71" i="8"/>
  <c r="I85" i="8" s="1"/>
  <c r="I70" i="8"/>
  <c r="I68" i="8"/>
  <c r="I67" i="8"/>
  <c r="I65" i="8"/>
  <c r="I64" i="8"/>
  <c r="I63" i="8"/>
  <c r="I62" i="8"/>
  <c r="I69" i="8" s="1"/>
  <c r="I61" i="8"/>
  <c r="D108" i="9" l="1"/>
  <c r="D106" i="9"/>
  <c r="D105" i="9"/>
  <c r="D104" i="9"/>
  <c r="D103" i="9"/>
  <c r="D102" i="9"/>
  <c r="D101" i="9"/>
  <c r="D100" i="9"/>
  <c r="L102" i="9"/>
  <c r="L103" i="9"/>
  <c r="L104" i="9"/>
  <c r="L105" i="9"/>
  <c r="L106" i="9"/>
  <c r="L107" i="9"/>
  <c r="L108" i="9"/>
  <c r="L109" i="9"/>
  <c r="L113" i="9"/>
  <c r="L110" i="9"/>
  <c r="L111" i="9"/>
  <c r="D23" i="6"/>
  <c r="J23" i="6" s="1"/>
  <c r="L101" i="9"/>
  <c r="L100" i="9"/>
  <c r="K102" i="9"/>
  <c r="K103" i="9"/>
  <c r="K104" i="9"/>
  <c r="K105" i="9"/>
  <c r="K106" i="9"/>
  <c r="K107" i="9"/>
  <c r="K108" i="9"/>
  <c r="K109" i="9"/>
  <c r="K113" i="9"/>
  <c r="K110" i="9"/>
  <c r="K111" i="9"/>
  <c r="K101" i="9"/>
  <c r="K100" i="9"/>
  <c r="J101" i="9"/>
  <c r="J102" i="9"/>
  <c r="J103" i="9"/>
  <c r="J104" i="9"/>
  <c r="J105" i="9"/>
  <c r="J106" i="9"/>
  <c r="J107" i="9"/>
  <c r="J108" i="9"/>
  <c r="J109" i="9"/>
  <c r="J113" i="9"/>
  <c r="J110" i="9"/>
  <c r="J111" i="9"/>
  <c r="D5" i="6"/>
  <c r="D6" i="6"/>
  <c r="D7" i="6"/>
  <c r="D8" i="6"/>
  <c r="D9" i="6"/>
  <c r="D10" i="6"/>
  <c r="D11" i="6"/>
  <c r="D12" i="6"/>
  <c r="J12" i="6" s="1"/>
  <c r="D13" i="6"/>
  <c r="J13" i="6" s="1"/>
  <c r="D14" i="6"/>
  <c r="J14" i="6" s="1"/>
  <c r="D15" i="6"/>
  <c r="J15" i="6" s="1"/>
  <c r="D16" i="6"/>
  <c r="J16" i="6" s="1"/>
  <c r="D17" i="6"/>
  <c r="J17" i="6" s="1"/>
  <c r="D18" i="6"/>
  <c r="J18" i="6" s="1"/>
  <c r="D19" i="6"/>
  <c r="J19" i="6" s="1"/>
  <c r="D20" i="6"/>
  <c r="J20" i="6" s="1"/>
  <c r="D21" i="6"/>
  <c r="J21" i="6" s="1"/>
  <c r="D22" i="6"/>
  <c r="J22" i="6" s="1"/>
  <c r="J100" i="9"/>
  <c r="L69" i="8"/>
  <c r="N69" i="8"/>
  <c r="M69" i="8"/>
  <c r="J69" i="8"/>
  <c r="K3" i="8"/>
  <c r="K4" i="8" s="1"/>
  <c r="K26" i="8" s="1"/>
  <c r="K66" i="8" s="1"/>
  <c r="G3" i="8"/>
  <c r="G4" i="8" s="1"/>
  <c r="G26" i="8" s="1"/>
  <c r="G66" i="8" s="1"/>
  <c r="I3" i="8"/>
  <c r="I4" i="8" s="1"/>
  <c r="I26" i="8" s="1"/>
  <c r="I66" i="8" s="1"/>
  <c r="M100" i="9" l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D4" i="6"/>
  <c r="D29" i="6" s="1"/>
  <c r="R66" i="8"/>
  <c r="S66" i="8"/>
  <c r="K80" i="8"/>
  <c r="H88" i="8"/>
  <c r="H73" i="8"/>
  <c r="H72" i="8"/>
  <c r="H71" i="8"/>
  <c r="H85" i="8" s="1"/>
  <c r="H67" i="8"/>
  <c r="H63" i="8"/>
  <c r="H62" i="8"/>
  <c r="H69" i="8" s="1"/>
  <c r="H61" i="8"/>
  <c r="H68" i="8"/>
  <c r="H70" i="8"/>
  <c r="G88" i="8"/>
  <c r="G87" i="8"/>
  <c r="G86" i="8"/>
  <c r="G71" i="8"/>
  <c r="G63" i="8"/>
  <c r="G62" i="8"/>
  <c r="G69" i="8" s="1"/>
  <c r="R69" i="8" s="1"/>
  <c r="G61" i="8"/>
  <c r="G70" i="8"/>
  <c r="D34" i="6" l="1"/>
  <c r="R70" i="8"/>
  <c r="S70" i="8"/>
  <c r="S63" i="8"/>
  <c r="R63" i="8"/>
  <c r="G85" i="8"/>
  <c r="R71" i="8"/>
  <c r="S71" i="8"/>
  <c r="R68" i="8"/>
  <c r="S68" i="8"/>
  <c r="R67" i="8"/>
  <c r="S67" i="8"/>
  <c r="H86" i="8"/>
  <c r="R72" i="8"/>
  <c r="S72" i="8"/>
  <c r="H87" i="8"/>
  <c r="R73" i="8"/>
  <c r="S73" i="8"/>
  <c r="S69" i="8"/>
  <c r="H83" i="8" s="1"/>
  <c r="N80" i="8"/>
  <c r="L80" i="8"/>
  <c r="H80" i="8"/>
  <c r="G80" i="8"/>
  <c r="I80" i="8"/>
  <c r="H64" i="8"/>
  <c r="H65" i="8"/>
  <c r="G64" i="8"/>
  <c r="G65" i="8"/>
  <c r="D35" i="6" l="1"/>
  <c r="R65" i="8"/>
  <c r="S65" i="8"/>
  <c r="R64" i="8"/>
  <c r="S64" i="8"/>
  <c r="G81" i="8"/>
  <c r="I81" i="8"/>
  <c r="J81" i="8"/>
  <c r="K81" i="8"/>
  <c r="L81" i="8"/>
  <c r="M81" i="8"/>
  <c r="N81" i="8"/>
  <c r="H81" i="8"/>
  <c r="H82" i="8"/>
  <c r="I82" i="8"/>
  <c r="J82" i="8"/>
  <c r="K82" i="8"/>
  <c r="L82" i="8"/>
  <c r="M82" i="8"/>
  <c r="N82" i="8"/>
  <c r="G82" i="8"/>
  <c r="H77" i="8"/>
  <c r="I77" i="8"/>
  <c r="J77" i="8"/>
  <c r="K77" i="8"/>
  <c r="L77" i="8"/>
  <c r="M77" i="8"/>
  <c r="N77" i="8"/>
  <c r="G77" i="8"/>
  <c r="H84" i="8"/>
  <c r="I84" i="8"/>
  <c r="J84" i="8"/>
  <c r="K84" i="8"/>
  <c r="L84" i="8"/>
  <c r="M84" i="8"/>
  <c r="N84" i="8"/>
  <c r="G84" i="8"/>
  <c r="G83" i="8"/>
  <c r="N83" i="8"/>
  <c r="M83" i="8"/>
  <c r="L83" i="8"/>
  <c r="K83" i="8"/>
  <c r="J83" i="8"/>
  <c r="I83" i="8"/>
  <c r="H80" i="4"/>
  <c r="J80" i="4"/>
  <c r="M80" i="4"/>
  <c r="N80" i="4"/>
  <c r="O80" i="4"/>
  <c r="P80" i="4"/>
  <c r="U80" i="4"/>
  <c r="G80" i="4"/>
  <c r="D36" i="6" l="1"/>
  <c r="H78" i="8"/>
  <c r="I78" i="8"/>
  <c r="J78" i="8"/>
  <c r="K78" i="8"/>
  <c r="L78" i="8"/>
  <c r="M78" i="8"/>
  <c r="N78" i="8"/>
  <c r="G78" i="8"/>
  <c r="H79" i="8"/>
  <c r="I79" i="8"/>
  <c r="J79" i="8"/>
  <c r="K79" i="8"/>
  <c r="L79" i="8"/>
  <c r="M79" i="8"/>
  <c r="N79" i="8"/>
  <c r="G79" i="8"/>
  <c r="G63" i="4"/>
  <c r="I63" i="4"/>
  <c r="J63" i="4"/>
  <c r="K63" i="4"/>
  <c r="L63" i="4"/>
  <c r="M63" i="4"/>
  <c r="N63" i="4"/>
  <c r="O63" i="4"/>
  <c r="P63" i="4"/>
  <c r="Q63" i="4"/>
  <c r="R63" i="4"/>
  <c r="S63" i="4"/>
  <c r="T63" i="4"/>
  <c r="O64" i="4"/>
  <c r="O65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H68" i="4"/>
  <c r="O70" i="4"/>
  <c r="G71" i="4"/>
  <c r="G85" i="4" s="1"/>
  <c r="H71" i="4"/>
  <c r="H85" i="4" s="1"/>
  <c r="I71" i="4"/>
  <c r="I85" i="4" s="1"/>
  <c r="J71" i="4"/>
  <c r="J85" i="4" s="1"/>
  <c r="K71" i="4"/>
  <c r="K85" i="4" s="1"/>
  <c r="L71" i="4"/>
  <c r="L85" i="4" s="1"/>
  <c r="M71" i="4"/>
  <c r="M85" i="4" s="1"/>
  <c r="N71" i="4"/>
  <c r="N85" i="4" s="1"/>
  <c r="O71" i="4"/>
  <c r="O85" i="4" s="1"/>
  <c r="P71" i="4"/>
  <c r="P85" i="4" s="1"/>
  <c r="Q71" i="4"/>
  <c r="Q85" i="4" s="1"/>
  <c r="R71" i="4"/>
  <c r="R85" i="4" s="1"/>
  <c r="S71" i="4"/>
  <c r="S85" i="4" s="1"/>
  <c r="T71" i="4"/>
  <c r="T85" i="4" s="1"/>
  <c r="G72" i="4"/>
  <c r="G86" i="4" s="1"/>
  <c r="H72" i="4"/>
  <c r="H86" i="4" s="1"/>
  <c r="I72" i="4"/>
  <c r="I86" i="4" s="1"/>
  <c r="J72" i="4"/>
  <c r="J86" i="4" s="1"/>
  <c r="K72" i="4"/>
  <c r="K86" i="4" s="1"/>
  <c r="L72" i="4"/>
  <c r="L86" i="4" s="1"/>
  <c r="M72" i="4"/>
  <c r="M86" i="4" s="1"/>
  <c r="N72" i="4"/>
  <c r="N86" i="4" s="1"/>
  <c r="O72" i="4"/>
  <c r="O86" i="4" s="1"/>
  <c r="P72" i="4"/>
  <c r="P86" i="4" s="1"/>
  <c r="Q72" i="4"/>
  <c r="Q86" i="4" s="1"/>
  <c r="R72" i="4"/>
  <c r="R86" i="4" s="1"/>
  <c r="S72" i="4"/>
  <c r="S86" i="4" s="1"/>
  <c r="T72" i="4"/>
  <c r="T86" i="4" s="1"/>
  <c r="G73" i="4"/>
  <c r="G87" i="4" s="1"/>
  <c r="H73" i="4"/>
  <c r="H87" i="4" s="1"/>
  <c r="I73" i="4"/>
  <c r="I87" i="4" s="1"/>
  <c r="J73" i="4"/>
  <c r="J87" i="4" s="1"/>
  <c r="K73" i="4"/>
  <c r="K87" i="4" s="1"/>
  <c r="L73" i="4"/>
  <c r="L87" i="4" s="1"/>
  <c r="M73" i="4"/>
  <c r="M87" i="4" s="1"/>
  <c r="N73" i="4"/>
  <c r="N87" i="4" s="1"/>
  <c r="O73" i="4"/>
  <c r="O87" i="4" s="1"/>
  <c r="P73" i="4"/>
  <c r="P87" i="4" s="1"/>
  <c r="Q73" i="4"/>
  <c r="Q87" i="4" s="1"/>
  <c r="R73" i="4"/>
  <c r="R87" i="4" s="1"/>
  <c r="S73" i="4"/>
  <c r="S87" i="4" s="1"/>
  <c r="T73" i="4"/>
  <c r="T87" i="4" s="1"/>
  <c r="G74" i="4"/>
  <c r="G88" i="4" s="1"/>
  <c r="H74" i="4"/>
  <c r="H88" i="4" s="1"/>
  <c r="I74" i="4"/>
  <c r="I88" i="4" s="1"/>
  <c r="J74" i="4"/>
  <c r="J88" i="4" s="1"/>
  <c r="K74" i="4"/>
  <c r="K88" i="4" s="1"/>
  <c r="L74" i="4"/>
  <c r="L88" i="4" s="1"/>
  <c r="M74" i="4"/>
  <c r="M88" i="4" s="1"/>
  <c r="N74" i="4"/>
  <c r="N88" i="4" s="1"/>
  <c r="O74" i="4"/>
  <c r="O88" i="4" s="1"/>
  <c r="P74" i="4"/>
  <c r="P88" i="4" s="1"/>
  <c r="Q74" i="4"/>
  <c r="Q88" i="4" s="1"/>
  <c r="R74" i="4"/>
  <c r="R88" i="4" s="1"/>
  <c r="S74" i="4"/>
  <c r="S88" i="4" s="1"/>
  <c r="T74" i="4"/>
  <c r="T88" i="4" s="1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H62" i="4"/>
  <c r="H69" i="4" s="1"/>
  <c r="I62" i="4"/>
  <c r="I69" i="4" s="1"/>
  <c r="J62" i="4"/>
  <c r="J69" i="4" s="1"/>
  <c r="K62" i="4"/>
  <c r="K69" i="4" s="1"/>
  <c r="L62" i="4"/>
  <c r="L69" i="4" s="1"/>
  <c r="M62" i="4"/>
  <c r="M69" i="4" s="1"/>
  <c r="N62" i="4"/>
  <c r="N69" i="4" s="1"/>
  <c r="O62" i="4"/>
  <c r="P62" i="4"/>
  <c r="P69" i="4" s="1"/>
  <c r="Q62" i="4"/>
  <c r="Q69" i="4" s="1"/>
  <c r="R62" i="4"/>
  <c r="R69" i="4" s="1"/>
  <c r="S62" i="4"/>
  <c r="S69" i="4" s="1"/>
  <c r="T62" i="4"/>
  <c r="T69" i="4" s="1"/>
  <c r="U62" i="4"/>
  <c r="U63" i="4"/>
  <c r="U67" i="4"/>
  <c r="U69" i="4"/>
  <c r="U71" i="4"/>
  <c r="U85" i="4" s="1"/>
  <c r="U72" i="4"/>
  <c r="U86" i="4" s="1"/>
  <c r="U73" i="4"/>
  <c r="U87" i="4" s="1"/>
  <c r="U74" i="4"/>
  <c r="U88" i="4" s="1"/>
  <c r="G62" i="4"/>
  <c r="G69" i="4" s="1"/>
  <c r="B24" i="5"/>
  <c r="D37" i="6" l="1"/>
  <c r="O69" i="4"/>
  <c r="G90" i="8"/>
  <c r="D100" i="8" s="1"/>
  <c r="N90" i="8"/>
  <c r="D107" i="8" s="1"/>
  <c r="M90" i="8"/>
  <c r="D106" i="8" s="1"/>
  <c r="L90" i="8"/>
  <c r="D105" i="8" s="1"/>
  <c r="K90" i="8"/>
  <c r="D104" i="8" s="1"/>
  <c r="J90" i="8"/>
  <c r="D103" i="8" s="1"/>
  <c r="I90" i="8"/>
  <c r="D102" i="8" s="1"/>
  <c r="H90" i="8"/>
  <c r="D101" i="8" s="1"/>
  <c r="Y69" i="4"/>
  <c r="Z69" i="4"/>
  <c r="Z74" i="4"/>
  <c r="Y74" i="4"/>
  <c r="Z73" i="4"/>
  <c r="Y73" i="4"/>
  <c r="Z72" i="4"/>
  <c r="Y72" i="4"/>
  <c r="Z71" i="4"/>
  <c r="Y71" i="4"/>
  <c r="Z67" i="4"/>
  <c r="Y67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D38" i="6" l="1"/>
  <c r="L101" i="8"/>
  <c r="G5" i="6" s="1"/>
  <c r="L102" i="8"/>
  <c r="G6" i="6" s="1"/>
  <c r="L103" i="8"/>
  <c r="G7" i="6" s="1"/>
  <c r="L104" i="8"/>
  <c r="G8" i="6" s="1"/>
  <c r="L105" i="8"/>
  <c r="G9" i="6" s="1"/>
  <c r="L106" i="8"/>
  <c r="G10" i="6" s="1"/>
  <c r="L107" i="8"/>
  <c r="G11" i="6" s="1"/>
  <c r="L100" i="8"/>
  <c r="K101" i="8"/>
  <c r="K102" i="8"/>
  <c r="K103" i="8"/>
  <c r="K104" i="8"/>
  <c r="K105" i="8"/>
  <c r="K106" i="8"/>
  <c r="K107" i="8"/>
  <c r="K100" i="8"/>
  <c r="J101" i="8"/>
  <c r="J102" i="8"/>
  <c r="J103" i="8"/>
  <c r="J104" i="8"/>
  <c r="J105" i="8"/>
  <c r="J106" i="8"/>
  <c r="J107" i="8"/>
  <c r="J100" i="8"/>
  <c r="U81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G83" i="4"/>
  <c r="G61" i="4"/>
  <c r="T1" i="4"/>
  <c r="S1" i="4"/>
  <c r="R1" i="4"/>
  <c r="Q1" i="4"/>
  <c r="L1" i="4"/>
  <c r="K1" i="4"/>
  <c r="H1" i="4"/>
  <c r="I1" i="4"/>
  <c r="G1" i="4"/>
  <c r="D39" i="6" l="1"/>
  <c r="M100" i="8"/>
  <c r="M101" i="8" s="1"/>
  <c r="M102" i="8" s="1"/>
  <c r="M103" i="8" s="1"/>
  <c r="M104" i="8" s="1"/>
  <c r="M105" i="8" s="1"/>
  <c r="G4" i="6"/>
  <c r="G29" i="6" s="1"/>
  <c r="I3" i="4"/>
  <c r="I4" i="4" s="1"/>
  <c r="I26" i="4" s="1"/>
  <c r="T3" i="4"/>
  <c r="T4" i="4" s="1"/>
  <c r="T26" i="4" s="1"/>
  <c r="S3" i="4"/>
  <c r="S4" i="4" s="1"/>
  <c r="S26" i="4" s="1"/>
  <c r="R3" i="4"/>
  <c r="R4" i="4" s="1"/>
  <c r="R26" i="4" s="1"/>
  <c r="Q3" i="4"/>
  <c r="Q4" i="4" s="1"/>
  <c r="Q26" i="4" s="1"/>
  <c r="L3" i="4"/>
  <c r="L4" i="4" s="1"/>
  <c r="L26" i="4" s="1"/>
  <c r="K3" i="4"/>
  <c r="K4" i="4" s="1"/>
  <c r="K26" i="4" s="1"/>
  <c r="M106" i="8" l="1"/>
  <c r="M107" i="8" s="1"/>
  <c r="M118" i="9" s="1"/>
  <c r="U13" i="3"/>
  <c r="U17" i="3" s="1"/>
  <c r="U8" i="3" s="1"/>
  <c r="M120" i="9"/>
  <c r="D40" i="6"/>
  <c r="G34" i="6"/>
  <c r="U68" i="4"/>
  <c r="U37" i="4"/>
  <c r="G35" i="6" l="1"/>
  <c r="D41" i="6"/>
  <c r="U64" i="4"/>
  <c r="U65" i="4"/>
  <c r="U70" i="4"/>
  <c r="T68" i="4"/>
  <c r="T37" i="4"/>
  <c r="G36" i="6" l="1"/>
  <c r="D42" i="6"/>
  <c r="T66" i="4"/>
  <c r="T64" i="4"/>
  <c r="T65" i="4"/>
  <c r="T70" i="4"/>
  <c r="S37" i="4"/>
  <c r="S19" i="4"/>
  <c r="S17" i="4"/>
  <c r="S16" i="4"/>
  <c r="S53" i="4" s="1"/>
  <c r="S68" i="4" s="1"/>
  <c r="G37" i="6" l="1"/>
  <c r="D43" i="6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9" i="6" s="1"/>
  <c r="S66" i="4"/>
  <c r="S64" i="4"/>
  <c r="S65" i="4"/>
  <c r="S70" i="4"/>
  <c r="R68" i="4"/>
  <c r="R37" i="4"/>
  <c r="G38" i="6" l="1"/>
  <c r="R66" i="4"/>
  <c r="R64" i="4"/>
  <c r="R65" i="4"/>
  <c r="R70" i="4"/>
  <c r="Q37" i="4"/>
  <c r="Q19" i="4"/>
  <c r="Q17" i="4"/>
  <c r="Q16" i="4"/>
  <c r="Q53" i="4" s="1"/>
  <c r="Q68" i="4" s="1"/>
  <c r="G39" i="6" l="1"/>
  <c r="Q66" i="4"/>
  <c r="Q64" i="4"/>
  <c r="Q65" i="4"/>
  <c r="Q70" i="4"/>
  <c r="P68" i="4"/>
  <c r="P37" i="4"/>
  <c r="G40" i="6" l="1"/>
  <c r="P64" i="4"/>
  <c r="P65" i="4"/>
  <c r="P70" i="4"/>
  <c r="N53" i="4"/>
  <c r="N68" i="4" s="1"/>
  <c r="N37" i="4"/>
  <c r="N17" i="4"/>
  <c r="N16" i="4"/>
  <c r="G41" i="6" l="1"/>
  <c r="N64" i="4"/>
  <c r="N65" i="4"/>
  <c r="N70" i="4"/>
  <c r="M68" i="4"/>
  <c r="M37" i="4"/>
  <c r="G42" i="6" l="1"/>
  <c r="M64" i="4"/>
  <c r="M65" i="4"/>
  <c r="M70" i="4"/>
  <c r="J68" i="4"/>
  <c r="G43" i="6" l="1"/>
  <c r="J64" i="4"/>
  <c r="J65" i="4"/>
  <c r="J70" i="4"/>
  <c r="K68" i="4"/>
  <c r="K37" i="4"/>
  <c r="G44" i="6" l="1"/>
  <c r="K66" i="4"/>
  <c r="K64" i="4"/>
  <c r="K65" i="4"/>
  <c r="K70" i="4"/>
  <c r="L68" i="4"/>
  <c r="L37" i="4"/>
  <c r="G45" i="6" l="1"/>
  <c r="L66" i="4"/>
  <c r="L64" i="4"/>
  <c r="L65" i="4"/>
  <c r="L70" i="4"/>
  <c r="I68" i="4"/>
  <c r="I37" i="4"/>
  <c r="I19" i="4"/>
  <c r="G46" i="6" l="1"/>
  <c r="I66" i="4"/>
  <c r="I64" i="4"/>
  <c r="I65" i="4"/>
  <c r="I70" i="4"/>
  <c r="H58" i="4"/>
  <c r="H63" i="4" s="1"/>
  <c r="H37" i="4"/>
  <c r="G47" i="6" l="1"/>
  <c r="H64" i="4"/>
  <c r="H65" i="4"/>
  <c r="H70" i="4"/>
  <c r="Z63" i="4"/>
  <c r="Y63" i="4"/>
  <c r="Y66" i="4"/>
  <c r="Z66" i="4"/>
  <c r="G68" i="4"/>
  <c r="G37" i="4"/>
  <c r="G48" i="6" l="1"/>
  <c r="G64" i="4"/>
  <c r="G65" i="4"/>
  <c r="G70" i="4"/>
  <c r="V37" i="4"/>
  <c r="Y68" i="4"/>
  <c r="Z68" i="4"/>
  <c r="T80" i="4"/>
  <c r="S80" i="4"/>
  <c r="R80" i="4"/>
  <c r="Q80" i="4"/>
  <c r="K80" i="4"/>
  <c r="L80" i="4"/>
  <c r="I80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G77" i="4"/>
  <c r="H84" i="3"/>
  <c r="G49" i="6" l="1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G82" i="4"/>
  <c r="Y70" i="4"/>
  <c r="Z70" i="4"/>
  <c r="Y65" i="4"/>
  <c r="Z65" i="4"/>
  <c r="Y64" i="4"/>
  <c r="Z64" i="4"/>
  <c r="E62" i="3"/>
  <c r="G50" i="6" l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G78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G79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G84" i="4"/>
  <c r="G51" i="6" l="1"/>
  <c r="G90" i="4"/>
  <c r="D100" i="4" s="1"/>
  <c r="U90" i="4"/>
  <c r="D114" i="4" s="1"/>
  <c r="T90" i="4"/>
  <c r="D113" i="4" s="1"/>
  <c r="S90" i="4"/>
  <c r="D112" i="4" s="1"/>
  <c r="R90" i="4"/>
  <c r="D111" i="4" s="1"/>
  <c r="Q90" i="4"/>
  <c r="D110" i="4" s="1"/>
  <c r="P90" i="4"/>
  <c r="D109" i="4" s="1"/>
  <c r="O90" i="4"/>
  <c r="D108" i="4" s="1"/>
  <c r="N90" i="4"/>
  <c r="D107" i="4" s="1"/>
  <c r="M90" i="4"/>
  <c r="D106" i="4" s="1"/>
  <c r="L90" i="4"/>
  <c r="D105" i="4" s="1"/>
  <c r="K90" i="4"/>
  <c r="D104" i="4" s="1"/>
  <c r="J90" i="4"/>
  <c r="D103" i="4" s="1"/>
  <c r="I90" i="4"/>
  <c r="D102" i="4" s="1"/>
  <c r="H90" i="4"/>
  <c r="D101" i="4" s="1"/>
  <c r="G52" i="6" l="1"/>
  <c r="J102" i="4"/>
  <c r="J100" i="4"/>
  <c r="K100" i="4"/>
  <c r="L100" i="4"/>
  <c r="J101" i="4"/>
  <c r="K101" i="4"/>
  <c r="L101" i="4"/>
  <c r="H5" i="6" s="1"/>
  <c r="J5" i="6" s="1"/>
  <c r="K102" i="4"/>
  <c r="L102" i="4"/>
  <c r="H6" i="6" s="1"/>
  <c r="J6" i="6" s="1"/>
  <c r="J103" i="4"/>
  <c r="K103" i="4"/>
  <c r="L103" i="4"/>
  <c r="H7" i="6" s="1"/>
  <c r="J7" i="6" s="1"/>
  <c r="J104" i="4"/>
  <c r="K104" i="4"/>
  <c r="L104" i="4"/>
  <c r="H8" i="6" s="1"/>
  <c r="J8" i="6" s="1"/>
  <c r="J105" i="4"/>
  <c r="K105" i="4"/>
  <c r="L105" i="4"/>
  <c r="H9" i="6" s="1"/>
  <c r="J9" i="6" s="1"/>
  <c r="J106" i="4"/>
  <c r="K106" i="4"/>
  <c r="L106" i="4"/>
  <c r="H10" i="6" s="1"/>
  <c r="J10" i="6" s="1"/>
  <c r="J107" i="4"/>
  <c r="K107" i="4"/>
  <c r="L107" i="4"/>
  <c r="H11" i="6" s="1"/>
  <c r="J11" i="6" s="1"/>
  <c r="J108" i="4"/>
  <c r="K108" i="4"/>
  <c r="L108" i="4"/>
  <c r="H12" i="6" s="1"/>
  <c r="J109" i="4"/>
  <c r="K109" i="4"/>
  <c r="L109" i="4"/>
  <c r="H13" i="6" s="1"/>
  <c r="J110" i="4"/>
  <c r="K110" i="4"/>
  <c r="L110" i="4"/>
  <c r="H14" i="6" s="1"/>
  <c r="J111" i="4"/>
  <c r="K111" i="4"/>
  <c r="L111" i="4"/>
  <c r="H15" i="6" s="1"/>
  <c r="J112" i="4"/>
  <c r="K112" i="4"/>
  <c r="L112" i="4"/>
  <c r="H16" i="6" s="1"/>
  <c r="K113" i="4"/>
  <c r="L113" i="4"/>
  <c r="H17" i="6" s="1"/>
  <c r="J114" i="4"/>
  <c r="K114" i="4"/>
  <c r="L114" i="4"/>
  <c r="H18" i="6" s="1"/>
  <c r="G53" i="6" l="1"/>
  <c r="M100" i="4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H4" i="6"/>
  <c r="H34" i="6" l="1"/>
  <c r="H29" i="6"/>
  <c r="H35" i="6"/>
  <c r="J34" i="6"/>
  <c r="G54" i="6"/>
  <c r="J4" i="6"/>
  <c r="K4" i="6" s="1"/>
  <c r="K5" i="6" s="1"/>
  <c r="H36" i="6" l="1"/>
  <c r="J35" i="6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G55" i="6"/>
  <c r="H37" i="6" l="1"/>
  <c r="J36" i="6"/>
  <c r="G56" i="6"/>
  <c r="H38" i="6" l="1"/>
  <c r="J37" i="6"/>
  <c r="G57" i="6"/>
  <c r="G59" i="6" s="1"/>
  <c r="H39" i="6" l="1"/>
  <c r="J38" i="6"/>
  <c r="H40" i="6" l="1"/>
  <c r="J39" i="6"/>
  <c r="H41" i="6" l="1"/>
  <c r="J40" i="6"/>
  <c r="H42" i="6" l="1"/>
  <c r="J41" i="6"/>
  <c r="H43" i="6" l="1"/>
  <c r="J42" i="6"/>
  <c r="H44" i="6" l="1"/>
  <c r="J43" i="6"/>
  <c r="H45" i="6" l="1"/>
  <c r="J44" i="6"/>
  <c r="H46" i="6" l="1"/>
  <c r="J45" i="6"/>
  <c r="H47" i="6" l="1"/>
  <c r="J46" i="6"/>
  <c r="H48" i="6" l="1"/>
  <c r="J47" i="6"/>
  <c r="H49" i="6" l="1"/>
  <c r="J48" i="6"/>
  <c r="H50" i="6" l="1"/>
  <c r="J49" i="6"/>
  <c r="H51" i="6" l="1"/>
  <c r="J50" i="6"/>
  <c r="H52" i="6" l="1"/>
  <c r="J51" i="6"/>
  <c r="H53" i="6" l="1"/>
  <c r="J52" i="6"/>
  <c r="H54" i="6" l="1"/>
  <c r="J53" i="6"/>
  <c r="H55" i="6" l="1"/>
  <c r="J54" i="6"/>
  <c r="H56" i="6" l="1"/>
  <c r="J55" i="6"/>
  <c r="H57" i="6" l="1"/>
  <c r="H59" i="6" s="1"/>
  <c r="J56" i="6"/>
  <c r="J57" i="6" l="1"/>
  <c r="D60" i="6" l="1"/>
  <c r="H5" i="21"/>
  <c r="K5" i="21"/>
  <c r="H6" i="21"/>
  <c r="K6" i="21"/>
  <c r="H7" i="21"/>
  <c r="K7" i="21"/>
  <c r="H8" i="21"/>
  <c r="K8" i="21"/>
  <c r="O9" i="21"/>
  <c r="P9" i="21"/>
  <c r="Q9" i="21"/>
  <c r="R9" i="21"/>
  <c r="O10" i="21"/>
  <c r="P10" i="21"/>
  <c r="Q10" i="21"/>
  <c r="R10" i="21"/>
  <c r="H11" i="21"/>
  <c r="O11" i="21"/>
  <c r="P11" i="21"/>
  <c r="Q11" i="21"/>
  <c r="R11" i="21"/>
  <c r="H12" i="21"/>
  <c r="O12" i="21"/>
  <c r="P12" i="21"/>
  <c r="Q12" i="21"/>
  <c r="R12" i="21"/>
  <c r="D13" i="21"/>
  <c r="H13" i="21"/>
  <c r="O13" i="21"/>
  <c r="P13" i="21"/>
  <c r="Q13" i="21"/>
  <c r="R13" i="21"/>
  <c r="D14" i="21"/>
  <c r="H14" i="21"/>
  <c r="O14" i="21"/>
  <c r="P14" i="21"/>
  <c r="Q14" i="21"/>
  <c r="R14" i="21"/>
  <c r="D15" i="21"/>
  <c r="H15" i="21"/>
  <c r="O15" i="21"/>
  <c r="P15" i="21"/>
  <c r="Q15" i="21"/>
  <c r="R15" i="21"/>
  <c r="D16" i="21"/>
  <c r="O16" i="21"/>
  <c r="P16" i="21"/>
  <c r="Q16" i="21"/>
  <c r="R16" i="21"/>
  <c r="D17" i="21"/>
  <c r="O17" i="21"/>
  <c r="P17" i="21"/>
  <c r="Q17" i="21"/>
  <c r="R17" i="21"/>
  <c r="O18" i="21"/>
  <c r="P18" i="21"/>
  <c r="Q18" i="21"/>
  <c r="R18" i="21"/>
  <c r="H23" i="21"/>
  <c r="H24" i="21"/>
  <c r="P27" i="21"/>
  <c r="N28" i="21"/>
  <c r="O28" i="21"/>
  <c r="P28" i="21"/>
  <c r="W28" i="21"/>
  <c r="N29" i="21"/>
  <c r="O29" i="21"/>
  <c r="P29" i="21"/>
  <c r="V29" i="21"/>
  <c r="W29" i="21"/>
  <c r="N30" i="21"/>
  <c r="O30" i="21"/>
  <c r="P30" i="21"/>
  <c r="W30" i="21"/>
  <c r="H31" i="21"/>
  <c r="N31" i="21"/>
  <c r="O31" i="21"/>
  <c r="P31" i="21"/>
  <c r="W31" i="21"/>
  <c r="S32" i="21"/>
  <c r="H33" i="21"/>
  <c r="H35" i="21"/>
</calcChain>
</file>

<file path=xl/comments1.xml><?xml version="1.0" encoding="utf-8"?>
<comments xmlns="http://schemas.openxmlformats.org/spreadsheetml/2006/main">
  <authors>
    <author>FAO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Ha Cultivada Beneficiada= Has empadronadas benef x % cultivado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Dato obtenido del Balance Hídrio 2016 Río Mendoza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Utilizando precios del primer semestre del 2017 provenientes del IDR Y OBSERVATORIO VITIVNÍCOLA</t>
        </r>
      </text>
    </comment>
  </commentList>
</comments>
</file>

<file path=xl/comments2.xml><?xml version="1.0" encoding="utf-8"?>
<comments xmlns="http://schemas.openxmlformats.org/spreadsheetml/2006/main">
  <authors>
    <author>FAO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Celula de cultivo obtenida del Balance Hídrico del Río Tunuyán Inferior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Ha Cultivada Beneficiada= Has empadronadas benef x % cultivado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Dato obtenido del Balance Hídrio 2015 Río Tunuyán Inferior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Ingreso calculado con precios y rendimientos obtenidos del Observatorio Vitivinícola y del IDR. Primer Semestre 2017</t>
        </r>
      </text>
    </comment>
  </commentList>
</comments>
</file>

<file path=xl/comments3.xml><?xml version="1.0" encoding="utf-8"?>
<comments xmlns="http://schemas.openxmlformats.org/spreadsheetml/2006/main">
  <authors>
    <author>FAO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Celula de cultivo obtenida del Balance Hídrico del Río Tunuyán Inferior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Ha Cultivada Beneficiada= Has empadronadas benef x % cultivado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Dato obtenido del Balance Hídrio 2015 Río Tunuyán Inferior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Ingreso calculado con precios y rendimientos obtenidos del Observatorio Vitivinícola y del IDR. Primer Semestre 2017</t>
        </r>
      </text>
    </comment>
  </commentList>
</comments>
</file>

<file path=xl/comments4.xml><?xml version="1.0" encoding="utf-8"?>
<comments xmlns="http://schemas.openxmlformats.org/spreadsheetml/2006/main">
  <authors>
    <author>FAO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Celula de cultivo obtenida del Balance Hídrico del Río Diamante 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Ha Cultivada Beneficiada= Has empadronadas benef x % cultivado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Dato obtenido del Balance Hídrio 2015 Río Tunuyán Inferior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Ingreso calculado con precios y rendimientos obtenidos del Observatorio Vitivinícola y del IDR. Primer Semestre 2018
</t>
        </r>
      </text>
    </comment>
  </commentList>
</comments>
</file>

<file path=xl/comments5.xml><?xml version="1.0" encoding="utf-8"?>
<comments xmlns="http://schemas.openxmlformats.org/spreadsheetml/2006/main">
  <authors>
    <author>FAO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Celula de cultivo obtenida del Balance Hídrico del Río Atuel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Ha Cultivada Beneficiada= Has empadronadas benef x % cultivado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Dato obtenido del Balance Hídrio 2015 Río Tunuyán Inferior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Ingreso calculado con precios y rendimientos obtenidos del Observatorio Vitivinícola y del IDR. Primer Semestre 2017</t>
        </r>
      </text>
    </comment>
  </commentList>
</comments>
</file>

<file path=xl/comments6.xml><?xml version="1.0" encoding="utf-8"?>
<comments xmlns="http://schemas.openxmlformats.org/spreadsheetml/2006/main">
  <authors>
    <author>FAO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Celula de cultivo obtenida del Balance Hídrico del Río Malargüe 2017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Ha Cultivada Beneficiada= Has empadronadas benef x % cultivado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Dato obtenido del Balance Hídrio 2015 Río Tunuyán Inferior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FAO:</t>
        </r>
        <r>
          <rPr>
            <sz val="9"/>
            <color indexed="81"/>
            <rFont val="Tahoma"/>
            <family val="2"/>
          </rPr>
          <t xml:space="preserve">
Ingreso calculado con precios y rendimientos obtenidos del Observatorio Vitivinícola y del IDR. Primer Semestre 2017</t>
        </r>
      </text>
    </comment>
  </commentList>
</comments>
</file>

<file path=xl/sharedStrings.xml><?xml version="1.0" encoding="utf-8"?>
<sst xmlns="http://schemas.openxmlformats.org/spreadsheetml/2006/main" count="3455" uniqueCount="1259">
  <si>
    <t>COMPONENTES CAUCE</t>
  </si>
  <si>
    <t>VERIF. DGI</t>
  </si>
  <si>
    <t>Estimacion agua a recuperar total %:</t>
  </si>
  <si>
    <t>COMPONENTES OBRA</t>
  </si>
  <si>
    <t>Estado actual del cauce:</t>
  </si>
  <si>
    <t>COMPONENTES INSPECCION</t>
  </si>
  <si>
    <t>UBICACIÓN</t>
  </si>
  <si>
    <t>Sobre Ruta</t>
  </si>
  <si>
    <t xml:space="preserve">Sobre Calles secundarias o Internas </t>
  </si>
  <si>
    <t>Intrafinca</t>
  </si>
  <si>
    <t>Requiere construccion accesos</t>
  </si>
  <si>
    <t>NIVEL</t>
  </si>
  <si>
    <t>Red Primaria</t>
  </si>
  <si>
    <t>Red Secundaria</t>
  </si>
  <si>
    <t>Red Terciaria</t>
  </si>
  <si>
    <t>COMPONENTES ECONOMICAS</t>
  </si>
  <si>
    <t>Ramos Cuaternaria</t>
  </si>
  <si>
    <t>Valor Bruto Producción</t>
  </si>
  <si>
    <t>PREFERENCIA FORMA DE EJECUCION</t>
  </si>
  <si>
    <t xml:space="preserve">Nº de Beneficiarios </t>
  </si>
  <si>
    <t>% Revestimiento en la Inspección</t>
  </si>
  <si>
    <t>% Recaudación 2016 inspección</t>
  </si>
  <si>
    <t>Presupuesto Corriente de la Inspección</t>
  </si>
  <si>
    <t>Superficie Beneficiadas por la Obra (ha)</t>
  </si>
  <si>
    <t>Caudal de diseño propuesto (l/s)</t>
  </si>
  <si>
    <t>Longitud de Obra (m)</t>
  </si>
  <si>
    <t>Administración o Licitación</t>
  </si>
  <si>
    <t xml:space="preserve">RIESGO SI NO SE HACE LA OBRA </t>
  </si>
  <si>
    <t>TIPO DE OBRA / OBJETIVO:</t>
  </si>
  <si>
    <t>Monto a financiar por el DGI</t>
  </si>
  <si>
    <t>Monto total de la obra</t>
  </si>
  <si>
    <t>Nombre del futuro expediente de obra</t>
  </si>
  <si>
    <t>EN PORCENTAJE (Formato %)</t>
  </si>
  <si>
    <t>EN PESOS (Formato Moneda $)</t>
  </si>
  <si>
    <t xml:space="preserve"> Denom. Ríos: Mendoza RM, Tun. Sup. TS, Tun. Inf. TI, Diamante RD, Atuel RA y Malargue, Grande y Barrancas MA </t>
  </si>
  <si>
    <t>Adjuntar archivo kmz del tramo o punto de ubic. Obra</t>
  </si>
  <si>
    <t>Nombre de la Inspeccion o subdelegacion</t>
  </si>
  <si>
    <t>Nombre Insp. o subdelegado</t>
  </si>
  <si>
    <t>RÍO:</t>
  </si>
  <si>
    <t>SB</t>
  </si>
  <si>
    <t>MT</t>
  </si>
  <si>
    <t>NB</t>
  </si>
  <si>
    <t>Q</t>
  </si>
  <si>
    <t>MTI</t>
  </si>
  <si>
    <t>w</t>
  </si>
  <si>
    <t>r1</t>
  </si>
  <si>
    <t>PI</t>
  </si>
  <si>
    <t>VBP</t>
  </si>
  <si>
    <t>r2</t>
  </si>
  <si>
    <t xml:space="preserve">p </t>
  </si>
  <si>
    <r>
      <t>f</t>
    </r>
    <r>
      <rPr>
        <b/>
        <i/>
        <vertAlign val="subscript"/>
        <sz val="12"/>
        <color theme="1"/>
        <rFont val="Arial"/>
        <family val="2"/>
      </rPr>
      <t>Red</t>
    </r>
  </si>
  <si>
    <r>
      <t>f</t>
    </r>
    <r>
      <rPr>
        <b/>
        <i/>
        <vertAlign val="subscript"/>
        <sz val="12"/>
        <color theme="1"/>
        <rFont val="Arial"/>
        <family val="2"/>
      </rPr>
      <t>MejOp</t>
    </r>
  </si>
  <si>
    <r>
      <t>f</t>
    </r>
    <r>
      <rPr>
        <b/>
        <i/>
        <vertAlign val="subscript"/>
        <sz val="12"/>
        <color theme="1"/>
        <rFont val="Arial"/>
        <family val="2"/>
      </rPr>
      <t>Riesgo</t>
    </r>
  </si>
  <si>
    <t xml:space="preserve"> -</t>
  </si>
  <si>
    <r>
      <t>f</t>
    </r>
    <r>
      <rPr>
        <b/>
        <i/>
        <vertAlign val="subscript"/>
        <sz val="12"/>
        <color theme="1"/>
        <rFont val="Arial"/>
        <family val="2"/>
      </rPr>
      <t>Ubic</t>
    </r>
  </si>
  <si>
    <t>RESPONSABLE / INSPECTOR</t>
  </si>
  <si>
    <t>ENTE EJECUTOR</t>
  </si>
  <si>
    <t>Revestimiento, Reparacion, Entubado, Modernizacion, etc</t>
  </si>
  <si>
    <t>Nº</t>
  </si>
  <si>
    <t>DATOS PARA CARGA DE PRIORIZACION</t>
  </si>
  <si>
    <t xml:space="preserve">DATOS   </t>
  </si>
  <si>
    <t>En orden de importancia creciente</t>
  </si>
  <si>
    <t>Pendiente general del cauce</t>
  </si>
  <si>
    <t xml:space="preserve">Dimensiones actuales </t>
  </si>
  <si>
    <t>5.1</t>
  </si>
  <si>
    <t>5.2</t>
  </si>
  <si>
    <t>5.3</t>
  </si>
  <si>
    <t>io</t>
  </si>
  <si>
    <t>Ancho de fondo medio</t>
  </si>
  <si>
    <t>Talud medio</t>
  </si>
  <si>
    <t>profundidad del agua media</t>
  </si>
  <si>
    <t>b</t>
  </si>
  <si>
    <t>zm</t>
  </si>
  <si>
    <t>Tipo de suelo del canal sin revestir</t>
  </si>
  <si>
    <t>ts</t>
  </si>
  <si>
    <t>arenoso, tierra, ripio, mezcla de…</t>
  </si>
  <si>
    <t>NATURAL,  REVESTIDO EN Hº BUENO, REGULAR O MAL ESTADO O ENTUBADO</t>
  </si>
  <si>
    <t xml:space="preserve">Dimensiones Obra </t>
  </si>
  <si>
    <t>10.1</t>
  </si>
  <si>
    <t xml:space="preserve">Tipo   </t>
  </si>
  <si>
    <t>10.2</t>
  </si>
  <si>
    <t xml:space="preserve">Ancho de fondo de proyecto  </t>
  </si>
  <si>
    <t>10.3</t>
  </si>
  <si>
    <t>10.4</t>
  </si>
  <si>
    <t>10.5</t>
  </si>
  <si>
    <t>Altura de proyecto</t>
  </si>
  <si>
    <t>Talud de proyecto</t>
  </si>
  <si>
    <t>Espesor</t>
  </si>
  <si>
    <t>% Recaudación 2017 inspección</t>
  </si>
  <si>
    <t>DENOMINACION   OBRA :</t>
  </si>
  <si>
    <t xml:space="preserve"> </t>
  </si>
  <si>
    <t>Descripción de los Sumandos</t>
  </si>
  <si>
    <t>Cálculo</t>
  </si>
  <si>
    <t>Rango</t>
  </si>
  <si>
    <t>Nota Máxima</t>
  </si>
  <si>
    <t>Nota Mínima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</si>
  <si>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Rev</t>
    </r>
    <r>
      <rPr>
        <b/>
        <i/>
        <sz val="11"/>
        <color theme="1"/>
        <rFont val="Calibri"/>
        <family val="2"/>
        <scheme val="minor"/>
      </rPr>
      <t xml:space="preserve"> = </t>
    </r>
  </si>
  <si>
    <t>% Canales Revestidos dentro de la Inspección</t>
  </si>
  <si>
    <t>0/100</t>
  </si>
  <si>
    <t>&lt; %</t>
  </si>
  <si>
    <t>&gt; %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</si>
  <si>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Mha</t>
    </r>
    <r>
      <rPr>
        <b/>
        <i/>
        <sz val="11"/>
        <color theme="1"/>
        <rFont val="Calibri"/>
        <family val="2"/>
        <scheme val="minor"/>
      </rPr>
      <t xml:space="preserve"> = </t>
    </r>
  </si>
  <si>
    <t>Inv/ha - Monto de Inversión sobre superficie beneficiados</t>
  </si>
  <si>
    <t>&lt; inversión</t>
  </si>
  <si>
    <t>&gt; inversión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</si>
  <si>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Mus</t>
    </r>
    <r>
      <rPr>
        <b/>
        <i/>
        <sz val="11"/>
        <color theme="1"/>
        <rFont val="Calibri"/>
        <family val="2"/>
        <scheme val="minor"/>
      </rPr>
      <t xml:space="preserve"> = </t>
    </r>
  </si>
  <si>
    <t>Inv/UB - Monto de Inversión sobre Usuarios beneficiados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</si>
  <si>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Vol rec</t>
    </r>
    <r>
      <rPr>
        <b/>
        <i/>
        <sz val="11"/>
        <color theme="1"/>
        <rFont val="Calibri"/>
        <family val="2"/>
        <scheme val="minor"/>
      </rPr>
      <t xml:space="preserve"> = </t>
    </r>
  </si>
  <si>
    <t>Inv/Vol - Monto de Inversión sobre Volumen de agua Recuperada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</si>
  <si>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Recaud</t>
    </r>
    <r>
      <rPr>
        <b/>
        <i/>
        <sz val="11"/>
        <color theme="1"/>
        <rFont val="Calibri"/>
        <family val="2"/>
        <scheme val="minor"/>
      </rPr>
      <t xml:space="preserve"> = </t>
    </r>
  </si>
  <si>
    <t xml:space="preserve">&gt; % promedio </t>
  </si>
  <si>
    <t>&lt; % promedio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</si>
  <si>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VBP</t>
    </r>
    <r>
      <rPr>
        <b/>
        <i/>
        <sz val="11"/>
        <color theme="1"/>
        <rFont val="Calibri"/>
        <family val="2"/>
        <scheme val="minor"/>
      </rPr>
      <t xml:space="preserve"> = </t>
    </r>
  </si>
  <si>
    <t>Influencia del Valor Bruto de la Producción</t>
  </si>
  <si>
    <t>&gt; VBP</t>
  </si>
  <si>
    <t>&lt; VBP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</si>
  <si>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Calif Insp</t>
    </r>
    <r>
      <rPr>
        <b/>
        <i/>
        <sz val="11"/>
        <color theme="1"/>
        <rFont val="Calibri"/>
        <family val="2"/>
        <scheme val="minor"/>
      </rPr>
      <t xml:space="preserve"> = </t>
    </r>
  </si>
  <si>
    <t>Calificación de la Inspección de Cauce (técnica y administrativa)</t>
  </si>
  <si>
    <t>S/ Calif HTA</t>
  </si>
  <si>
    <t>&gt; calificación</t>
  </si>
  <si>
    <t>&lt; calificación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</si>
  <si>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presup insp</t>
    </r>
    <r>
      <rPr>
        <b/>
        <i/>
        <sz val="11"/>
        <color theme="1"/>
        <rFont val="Calibri"/>
        <family val="2"/>
        <scheme val="minor"/>
      </rPr>
      <t xml:space="preserve"> = </t>
    </r>
  </si>
  <si>
    <t>Monto de la Obra / Presupuesto de la Inspección</t>
  </si>
  <si>
    <t>0/40</t>
  </si>
  <si>
    <t>&gt;%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</si>
  <si>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Mej Op</t>
    </r>
    <r>
      <rPr>
        <b/>
        <i/>
        <sz val="11"/>
        <color theme="1"/>
        <rFont val="Calibri"/>
        <family val="2"/>
        <scheme val="minor"/>
      </rPr>
      <t xml:space="preserve"> = </t>
    </r>
  </si>
  <si>
    <t>Mejoras Operativas que implica la obra</t>
  </si>
  <si>
    <t>No implica Mejoras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</si>
  <si>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Visible</t>
    </r>
    <r>
      <rPr>
        <b/>
        <i/>
        <sz val="11"/>
        <color theme="1"/>
        <rFont val="Calibri"/>
        <family val="2"/>
        <scheme val="minor"/>
      </rPr>
      <t xml:space="preserve"> = </t>
    </r>
  </si>
  <si>
    <t>Visibilidad de las Obra (rutas, calles, callejones, intrafinca)</t>
  </si>
  <si>
    <t>Ruta muy Visible</t>
  </si>
  <si>
    <t>Dentro de una finca poco acceso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</si>
  <si>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Red</t>
    </r>
    <r>
      <rPr>
        <b/>
        <i/>
        <sz val="11"/>
        <color theme="1"/>
        <rFont val="Calibri"/>
        <family val="2"/>
        <scheme val="minor"/>
      </rPr>
      <t xml:space="preserve"> = </t>
    </r>
  </si>
  <si>
    <t>Si la Obra es de red primaria, secundaria, terciaria o cuaternaria</t>
  </si>
  <si>
    <t>Primaria</t>
  </si>
  <si>
    <t xml:space="preserve">Cuaternatria </t>
  </si>
  <si>
    <r>
      <t>f</t>
    </r>
    <r>
      <rPr>
        <b/>
        <i/>
        <vertAlign val="subscript"/>
        <sz val="11"/>
        <color theme="1"/>
        <rFont val="Calibri"/>
        <family val="2"/>
        <scheme val="minor"/>
      </rPr>
      <t>Riesgo</t>
    </r>
    <r>
      <rPr>
        <b/>
        <i/>
        <sz val="11"/>
        <color theme="1"/>
        <rFont val="Calibri"/>
        <family val="2"/>
        <scheme val="minor"/>
      </rPr>
      <t xml:space="preserve">= </t>
    </r>
  </si>
  <si>
    <t>El Riesgo que implica no hacer la obra</t>
  </si>
  <si>
    <t>Alto Riesgo</t>
  </si>
  <si>
    <t>Riesgo Nulo</t>
  </si>
  <si>
    <t>Suma Total</t>
  </si>
  <si>
    <t xml:space="preserve">   Fila 21</t>
  </si>
  <si>
    <t>11.1</t>
  </si>
  <si>
    <t>11.2</t>
  </si>
  <si>
    <t xml:space="preserve"> Fila 11.1 / Fila 1</t>
  </si>
  <si>
    <t xml:space="preserve"> Fila 11.1 / Fila 2</t>
  </si>
  <si>
    <t>(Fila 12 + Fila 13) /2</t>
  </si>
  <si>
    <t>Fila 17</t>
  </si>
  <si>
    <t xml:space="preserve"> Fila 11.1 / Fila 14</t>
  </si>
  <si>
    <t>Fila 22</t>
  </si>
  <si>
    <t>Filas 15</t>
  </si>
  <si>
    <t>Filas 16</t>
  </si>
  <si>
    <t>Fila 19</t>
  </si>
  <si>
    <t>VALORES / DATOS</t>
  </si>
  <si>
    <t>Obras en Corta 2018                                               SOLICITUD DE OBRA MENOR</t>
  </si>
  <si>
    <t>Hormigon, acero, elecrificacion, entubados</t>
  </si>
  <si>
    <t>% Recaudación de la Inspección en los años 2016-2017</t>
  </si>
  <si>
    <t>REEMPLAZAR POR                              ARCHIVO KMZ</t>
  </si>
  <si>
    <r>
      <t>f</t>
    </r>
    <r>
      <rPr>
        <b/>
        <i/>
        <vertAlign val="subscript"/>
        <sz val="14"/>
        <color theme="1"/>
        <rFont val="Calibri"/>
        <family val="2"/>
        <scheme val="minor"/>
      </rPr>
      <t xml:space="preserve">Rev + </t>
    </r>
    <r>
      <rPr>
        <b/>
        <i/>
        <sz val="14"/>
        <color theme="1"/>
        <rFont val="Calibri"/>
        <family val="2"/>
        <scheme val="minor"/>
      </rPr>
      <t xml:space="preserve"> f</t>
    </r>
    <r>
      <rPr>
        <b/>
        <i/>
        <vertAlign val="subscript"/>
        <sz val="14"/>
        <color theme="1"/>
        <rFont val="Calibri"/>
        <family val="2"/>
        <scheme val="minor"/>
      </rPr>
      <t>Mha</t>
    </r>
    <r>
      <rPr>
        <b/>
        <i/>
        <sz val="14"/>
        <color theme="1"/>
        <rFont val="Calibri"/>
        <family val="2"/>
        <scheme val="minor"/>
      </rPr>
      <t xml:space="preserve"> + f</t>
    </r>
    <r>
      <rPr>
        <b/>
        <i/>
        <vertAlign val="subscript"/>
        <sz val="14"/>
        <color theme="1"/>
        <rFont val="Calibri"/>
        <family val="2"/>
        <scheme val="minor"/>
      </rPr>
      <t>Mus</t>
    </r>
    <r>
      <rPr>
        <b/>
        <i/>
        <sz val="14"/>
        <color theme="1"/>
        <rFont val="Calibri"/>
        <family val="2"/>
        <scheme val="minor"/>
      </rPr>
      <t xml:space="preserve"> + f</t>
    </r>
    <r>
      <rPr>
        <b/>
        <i/>
        <vertAlign val="subscript"/>
        <sz val="14"/>
        <color theme="1"/>
        <rFont val="Calibri"/>
        <family val="2"/>
        <scheme val="minor"/>
      </rPr>
      <t>Vol rec +</t>
    </r>
    <r>
      <rPr>
        <b/>
        <i/>
        <sz val="14"/>
        <color theme="1"/>
        <rFont val="Calibri"/>
        <family val="2"/>
        <scheme val="minor"/>
      </rPr>
      <t xml:space="preserve"> f</t>
    </r>
    <r>
      <rPr>
        <b/>
        <i/>
        <vertAlign val="subscript"/>
        <sz val="14"/>
        <color theme="1"/>
        <rFont val="Calibri"/>
        <family val="2"/>
        <scheme val="minor"/>
      </rPr>
      <t xml:space="preserve"> Recaud + </t>
    </r>
    <r>
      <rPr>
        <b/>
        <i/>
        <sz val="14"/>
        <color theme="1"/>
        <rFont val="Calibri"/>
        <family val="2"/>
        <scheme val="minor"/>
      </rPr>
      <t xml:space="preserve"> f </t>
    </r>
    <r>
      <rPr>
        <b/>
        <i/>
        <vertAlign val="subscript"/>
        <sz val="14"/>
        <color theme="1"/>
        <rFont val="Calibri"/>
        <family val="2"/>
        <scheme val="minor"/>
      </rPr>
      <t xml:space="preserve">VBP + </t>
    </r>
    <r>
      <rPr>
        <b/>
        <i/>
        <sz val="14"/>
        <color theme="1"/>
        <rFont val="Calibri"/>
        <family val="2"/>
        <scheme val="minor"/>
      </rPr>
      <t xml:space="preserve"> f</t>
    </r>
    <r>
      <rPr>
        <b/>
        <i/>
        <vertAlign val="subscript"/>
        <sz val="14"/>
        <color theme="1"/>
        <rFont val="Calibri"/>
        <family val="2"/>
        <scheme val="minor"/>
      </rPr>
      <t xml:space="preserve"> Cal Insp +  </t>
    </r>
    <r>
      <rPr>
        <b/>
        <i/>
        <sz val="14"/>
        <color theme="1"/>
        <rFont val="Calibri"/>
        <family val="2"/>
        <scheme val="minor"/>
      </rPr>
      <t>f</t>
    </r>
    <r>
      <rPr>
        <b/>
        <i/>
        <vertAlign val="subscript"/>
        <sz val="14"/>
        <color theme="1"/>
        <rFont val="Calibri"/>
        <family val="2"/>
        <scheme val="minor"/>
      </rPr>
      <t xml:space="preserve"> Mej Op +  </t>
    </r>
    <r>
      <rPr>
        <b/>
        <i/>
        <sz val="14"/>
        <color theme="1"/>
        <rFont val="Calibri"/>
        <family val="2"/>
        <scheme val="minor"/>
      </rPr>
      <t>f</t>
    </r>
    <r>
      <rPr>
        <b/>
        <i/>
        <vertAlign val="subscript"/>
        <sz val="14"/>
        <color theme="1"/>
        <rFont val="Calibri"/>
        <family val="2"/>
        <scheme val="minor"/>
      </rPr>
      <t xml:space="preserve"> Visible + </t>
    </r>
    <r>
      <rPr>
        <b/>
        <i/>
        <sz val="14"/>
        <color theme="1"/>
        <rFont val="Calibri"/>
        <family val="2"/>
        <scheme val="minor"/>
      </rPr>
      <t xml:space="preserve"> f</t>
    </r>
    <r>
      <rPr>
        <b/>
        <i/>
        <vertAlign val="subscript"/>
        <sz val="14"/>
        <color theme="1"/>
        <rFont val="Calibri"/>
        <family val="2"/>
        <scheme val="minor"/>
      </rPr>
      <t xml:space="preserve"> Red +  </t>
    </r>
    <r>
      <rPr>
        <b/>
        <i/>
        <sz val="14"/>
        <color theme="1"/>
        <rFont val="Calibri"/>
        <family val="2"/>
        <scheme val="minor"/>
      </rPr>
      <t>f</t>
    </r>
    <r>
      <rPr>
        <b/>
        <i/>
        <vertAlign val="subscript"/>
        <sz val="14"/>
        <color theme="1"/>
        <rFont val="Calibri"/>
        <family val="2"/>
        <scheme val="minor"/>
      </rPr>
      <t xml:space="preserve"> Riesgo =</t>
    </r>
  </si>
  <si>
    <t>Escribir en la  columna VALORES / DATOS</t>
  </si>
  <si>
    <t>REDONDEAR SUPERFICIES A HAS  (Formato General)</t>
  </si>
  <si>
    <t>en LITROS POR SEGUNDO ( l/s)  (Formato General)</t>
  </si>
  <si>
    <t>en m/m  (Formato General)</t>
  </si>
  <si>
    <t>m  (Formato General)</t>
  </si>
  <si>
    <t>EN METROS (m)  (Formato General)</t>
  </si>
  <si>
    <t>COLOCAR UN UNO (1) DONDE CORRESPONDA RESTO CEROS O NADA      (Formato General)</t>
  </si>
  <si>
    <t>COLOCAR UN UNO (1) DONDE CORRESPONDA RESTO CEROS O NADA     (Formato General)</t>
  </si>
  <si>
    <t>tnm</t>
  </si>
  <si>
    <t>Fila 11.1 / (Fila 3 * Fila 7 * 10000)</t>
  </si>
  <si>
    <t>0/80</t>
  </si>
  <si>
    <t xml:space="preserve">Principal Cultivo </t>
  </si>
  <si>
    <t xml:space="preserve"> % que ocupa</t>
  </si>
  <si>
    <t>vid, frutales, horticola, pasturas, etc</t>
  </si>
  <si>
    <t>1000 /0</t>
  </si>
  <si>
    <t>Implica Mejoras p/ Riego Acordado</t>
  </si>
  <si>
    <t xml:space="preserve">  40 /  26 / 13 / 0  Alto. Medio, Bajo y Nulo</t>
  </si>
  <si>
    <t xml:space="preserve"> Nulo, Bajo, Medio, Alto y Muy Alto  0 / 13 / 26 / 40 / 100 </t>
  </si>
  <si>
    <t>Mejoras Operativas (N, B, M, A y MA)</t>
  </si>
  <si>
    <t>H</t>
  </si>
  <si>
    <t>z</t>
  </si>
  <si>
    <t>e</t>
  </si>
  <si>
    <t>CONSTRUCCIÓN DE 3 SECCIONES DE AFORO Y SUS CASILLAS PARA TELEMETRÍA</t>
  </si>
  <si>
    <t>Modernización</t>
  </si>
  <si>
    <t>Néstor Rigoldi</t>
  </si>
  <si>
    <t>Limo Arenoso</t>
  </si>
  <si>
    <t>Natural</t>
  </si>
  <si>
    <t>Aforadores y casillas telemetría</t>
  </si>
  <si>
    <t>Vid</t>
  </si>
  <si>
    <t>Administración</t>
  </si>
  <si>
    <t>CONSTRUCCIÓN DE 5 COMPUERTAS PARA SECCIONADO INTERNO</t>
  </si>
  <si>
    <t>Modernización - Compuertas Nuevas</t>
  </si>
  <si>
    <t>Pablo Cichocki</t>
  </si>
  <si>
    <t>Natural y revestido</t>
  </si>
  <si>
    <t>Compuertas</t>
  </si>
  <si>
    <t>Frutales</t>
  </si>
  <si>
    <t>REVESTIMIENTO</t>
  </si>
  <si>
    <t>FABIÁN GAUVRÓN</t>
  </si>
  <si>
    <t>Arenoso</t>
  </si>
  <si>
    <t>Natural en terraplén</t>
  </si>
  <si>
    <t>Hormigón Rectangular</t>
  </si>
  <si>
    <t>Licitación</t>
  </si>
  <si>
    <t>Antonio Yantén</t>
  </si>
  <si>
    <t>REVESTIMIENTO DE UN TRAMO HIJUELA</t>
  </si>
  <si>
    <t>Rubén Ojcius</t>
  </si>
  <si>
    <t>Hormigón Trapecial y Malla</t>
  </si>
  <si>
    <t>CAMBIO TRAZA, REVESTIMIENTO TRAMO Y REUBICACIÓN TOMAS</t>
  </si>
  <si>
    <t>CAMBIO TRAZA DE TRAMO, TOMAS Y REVESTIMIENTO</t>
  </si>
  <si>
    <t>Pedro García</t>
  </si>
  <si>
    <t>Limo arenoso</t>
  </si>
  <si>
    <t>Mauricio Marín</t>
  </si>
  <si>
    <t>Partidor y Casillas de aforo</t>
  </si>
  <si>
    <t>Olivo</t>
  </si>
  <si>
    <t>SISTEMA DE MEDICIÓN</t>
  </si>
  <si>
    <t>SECCIONES DE AFORO RAMA SOITUE Y RAMA CLAVELES</t>
  </si>
  <si>
    <t>SECCIONES DE AFORO</t>
  </si>
  <si>
    <t>Carlos Yague</t>
  </si>
  <si>
    <t xml:space="preserve">Secciones de aforos </t>
  </si>
  <si>
    <t>Forrajes</t>
  </si>
  <si>
    <t>REPARACIÓN Y MANTENIMIENTO</t>
  </si>
  <si>
    <t>Revestido</t>
  </si>
  <si>
    <t>Variable</t>
  </si>
  <si>
    <t>CANAL MARGINAL DEL ATUEL - TRABAJOS DE REPARACIÓN Y MANTENIMIENTO OCTAVA ETAPA</t>
  </si>
  <si>
    <t>Subdelegacion</t>
  </si>
  <si>
    <t>Reposición compuertas (12 unidades)</t>
  </si>
  <si>
    <t>Marcos Granados</t>
  </si>
  <si>
    <t>Rubén Borda</t>
  </si>
  <si>
    <t>Arenosos</t>
  </si>
  <si>
    <t>REVESTIMIENTO DE UN TRAMO Y ADECUACIÓN COMPARTO</t>
  </si>
  <si>
    <t>Armando Fernández</t>
  </si>
  <si>
    <t>REVESTIMIENTO DE UN TRAMO Y MEJORA PARTICIÓN EN RAMA 3</t>
  </si>
  <si>
    <t>JUAN CARLOS CAÑADAS</t>
  </si>
  <si>
    <t>REVESTIMIENTO DE UN TRAMO Y CAMBIO TOMA</t>
  </si>
  <si>
    <t>Miguel Vega</t>
  </si>
  <si>
    <t>Modernización (compuertas y hojas móviles)</t>
  </si>
  <si>
    <t>Jorge Ponce</t>
  </si>
  <si>
    <t>Natural y revestido regualar</t>
  </si>
  <si>
    <t>Compuertas y hojas móviles</t>
  </si>
  <si>
    <t>Forraje</t>
  </si>
  <si>
    <t>% Recaudación de la Inspección en los años 2015-2016</t>
  </si>
  <si>
    <t>Fila 15</t>
  </si>
  <si>
    <t>Inspeccion</t>
  </si>
  <si>
    <t xml:space="preserve"> Fila 11.2 / Fila 1</t>
  </si>
  <si>
    <t xml:space="preserve"> Fila 11.2 / Fila 2</t>
  </si>
  <si>
    <t>Fila 11.2 / (Fila 3 * Fila 4 * 10000)</t>
  </si>
  <si>
    <t>Inspeccion / Inspector</t>
  </si>
  <si>
    <t>Calif. HTA</t>
  </si>
  <si>
    <t>Rama Centro Auxiliar</t>
  </si>
  <si>
    <t>Rama Centro Viejo</t>
  </si>
  <si>
    <t>Rama Christophersen</t>
  </si>
  <si>
    <t>Hij. Los Campamentos</t>
  </si>
  <si>
    <t>Camal Matriz Izuel</t>
  </si>
  <si>
    <t>Canal Mz. Jáuregui Unif.</t>
  </si>
  <si>
    <t>Rama N° 3 Nuevo Alvear</t>
  </si>
  <si>
    <t>Rama Moss - Los Angeles Unif.</t>
  </si>
  <si>
    <t>Rama La Marzolina</t>
  </si>
  <si>
    <t>Rama Ole Aaset</t>
  </si>
  <si>
    <t>Canal Mz. Perrone</t>
  </si>
  <si>
    <t>Rama Norte Unificada</t>
  </si>
  <si>
    <t>Canal Tijeras</t>
  </si>
  <si>
    <t>Canal Real del Padre Unif.</t>
  </si>
  <si>
    <t>Canal Concesión Regueira</t>
  </si>
  <si>
    <t>Canal San Pedro</t>
  </si>
  <si>
    <t>Canal Mz. Babacci Unif.</t>
  </si>
  <si>
    <t>Canal Arroyo</t>
  </si>
  <si>
    <t>Canal Matriz Correa</t>
  </si>
  <si>
    <t>Rama Dr. Bosch</t>
  </si>
  <si>
    <t>Canal Atuel Sur</t>
  </si>
  <si>
    <t>Cauces Cañón del Atuel</t>
  </si>
  <si>
    <t>Subdelegacion Rio Atuel</t>
  </si>
  <si>
    <t>Inspeccion / ENTE EJECUTOR</t>
  </si>
  <si>
    <t xml:space="preserve"> Fila 11.2 / Fila 14</t>
  </si>
  <si>
    <t>p</t>
  </si>
  <si>
    <t>Sp</t>
  </si>
  <si>
    <t>Bp</t>
  </si>
  <si>
    <t>Vp</t>
  </si>
  <si>
    <r>
      <t>f</t>
    </r>
    <r>
      <rPr>
        <b/>
        <i/>
        <vertAlign val="subscript"/>
        <sz val="20"/>
        <color theme="1"/>
        <rFont val="Arial"/>
        <family val="2"/>
      </rPr>
      <t>Mha</t>
    </r>
  </si>
  <si>
    <r>
      <t>f</t>
    </r>
    <r>
      <rPr>
        <b/>
        <i/>
        <vertAlign val="subscript"/>
        <sz val="20"/>
        <color theme="1"/>
        <rFont val="Arial"/>
        <family val="2"/>
      </rPr>
      <t>Mus</t>
    </r>
  </si>
  <si>
    <r>
      <t>f</t>
    </r>
    <r>
      <rPr>
        <b/>
        <i/>
        <vertAlign val="subscript"/>
        <sz val="20"/>
        <color theme="1"/>
        <rFont val="Arial"/>
        <family val="2"/>
      </rPr>
      <t>Recaud</t>
    </r>
  </si>
  <si>
    <r>
      <t>f</t>
    </r>
    <r>
      <rPr>
        <b/>
        <i/>
        <vertAlign val="subscript"/>
        <sz val="20"/>
        <color theme="1"/>
        <rFont val="Arial"/>
        <family val="2"/>
      </rPr>
      <t xml:space="preserve">Vol rec </t>
    </r>
  </si>
  <si>
    <t>Pr</t>
  </si>
  <si>
    <r>
      <t>f</t>
    </r>
    <r>
      <rPr>
        <b/>
        <i/>
        <vertAlign val="subscript"/>
        <sz val="20"/>
        <color theme="1"/>
        <rFont val="Calibri"/>
        <family val="2"/>
        <scheme val="minor"/>
      </rPr>
      <t>rev</t>
    </r>
  </si>
  <si>
    <r>
      <t>f</t>
    </r>
    <r>
      <rPr>
        <b/>
        <i/>
        <vertAlign val="subscript"/>
        <sz val="20"/>
        <color theme="1"/>
        <rFont val="Calibri"/>
        <family val="2"/>
        <scheme val="minor"/>
      </rPr>
      <t>VBP</t>
    </r>
  </si>
  <si>
    <r>
      <t>f</t>
    </r>
    <r>
      <rPr>
        <b/>
        <i/>
        <vertAlign val="subscript"/>
        <sz val="20"/>
        <color theme="1"/>
        <rFont val="Calibri"/>
        <family val="2"/>
        <scheme val="minor"/>
      </rPr>
      <t>Calif Insp</t>
    </r>
    <r>
      <rPr>
        <b/>
        <i/>
        <sz val="20"/>
        <color theme="1"/>
        <rFont val="Calibri"/>
        <family val="2"/>
        <scheme val="minor"/>
      </rPr>
      <t xml:space="preserve"> </t>
    </r>
  </si>
  <si>
    <t>CIC</t>
  </si>
  <si>
    <r>
      <t>f</t>
    </r>
    <r>
      <rPr>
        <b/>
        <i/>
        <sz val="12"/>
        <color theme="1"/>
        <rFont val="Arial"/>
        <family val="2"/>
      </rPr>
      <t>PresupInsp</t>
    </r>
  </si>
  <si>
    <t>RPC</t>
  </si>
  <si>
    <r>
      <t>f</t>
    </r>
    <r>
      <rPr>
        <b/>
        <i/>
        <sz val="12"/>
        <color theme="1"/>
        <rFont val="Arial"/>
        <family val="2"/>
      </rPr>
      <t xml:space="preserve">Mej Op </t>
    </r>
  </si>
  <si>
    <r>
      <t>f</t>
    </r>
    <r>
      <rPr>
        <b/>
        <i/>
        <sz val="12"/>
        <color theme="1"/>
        <rFont val="Arial"/>
        <family val="2"/>
      </rPr>
      <t>Ubic</t>
    </r>
  </si>
  <si>
    <t>fMejOp</t>
  </si>
  <si>
    <t>fUbic</t>
  </si>
  <si>
    <r>
      <t>f</t>
    </r>
    <r>
      <rPr>
        <b/>
        <i/>
        <sz val="12"/>
        <color theme="1"/>
        <rFont val="Arial"/>
        <family val="2"/>
      </rPr>
      <t>Red</t>
    </r>
  </si>
  <si>
    <t>fRed</t>
  </si>
  <si>
    <t>Fila 16</t>
  </si>
  <si>
    <t>fRiesgo</t>
  </si>
  <si>
    <r>
      <t>f</t>
    </r>
    <r>
      <rPr>
        <b/>
        <i/>
        <vertAlign val="subscript"/>
        <sz val="20"/>
        <color theme="1"/>
        <rFont val="Calibri"/>
        <family val="2"/>
        <scheme val="minor"/>
      </rPr>
      <t>Riesgo</t>
    </r>
  </si>
  <si>
    <t>PUNTAJE</t>
  </si>
  <si>
    <t>OBRA</t>
  </si>
  <si>
    <t>MONTO</t>
  </si>
  <si>
    <t>ACUM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</si>
  <si>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</si>
  <si>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</si>
  <si>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</si>
  <si>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</si>
  <si>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</si>
  <si>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</si>
  <si>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</si>
  <si>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</si>
  <si>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</si>
  <si>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</si>
  <si>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</si>
  <si>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</si>
  <si>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</si>
  <si>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</si>
  <si>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</si>
  <si>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INSPECCION</t>
  </si>
  <si>
    <t>RD</t>
  </si>
  <si>
    <t>RA</t>
  </si>
  <si>
    <t>Canal Matriz Goudge - Revestimiento de un Tramo</t>
  </si>
  <si>
    <t>Revestimiento</t>
  </si>
  <si>
    <t>Insp. Fabian Alcaino</t>
  </si>
  <si>
    <t>tierra</t>
  </si>
  <si>
    <t>natural</t>
  </si>
  <si>
    <t>hormigon</t>
  </si>
  <si>
    <t>vid</t>
  </si>
  <si>
    <t>licitacion</t>
  </si>
  <si>
    <t>Canal Sauce de la Leona - Modernizacion Sistema de Riego</t>
  </si>
  <si>
    <t>Modernizacion</t>
  </si>
  <si>
    <t>Insp. Alejandro Muzyka</t>
  </si>
  <si>
    <t>natural - Revestido H°</t>
  </si>
  <si>
    <t>frutal</t>
  </si>
  <si>
    <t>Canal Retamito - Revestimiento de un Tramo</t>
  </si>
  <si>
    <t>Insp. Ricardo Ripa</t>
  </si>
  <si>
    <t>arenoso</t>
  </si>
  <si>
    <t>Hormigon</t>
  </si>
  <si>
    <t>Canal Marginal Izquierdo - Defensas en Descargador Jensen</t>
  </si>
  <si>
    <t>Construccion Defensas</t>
  </si>
  <si>
    <t>ripio</t>
  </si>
  <si>
    <t>Canal Resolana - Revestimiento de un Tramo</t>
  </si>
  <si>
    <t>Interventor Gustavo Garcia</t>
  </si>
  <si>
    <t>Canal Cerrito - Modernizacion Sistema de Riego</t>
  </si>
  <si>
    <t>Insp. Jose Miguel Gozzo</t>
  </si>
  <si>
    <t>Canal Matriz Rio Diamante - Reparacion Revestimientos y Compuertas</t>
  </si>
  <si>
    <t>Reparacion</t>
  </si>
  <si>
    <t>Canal Vila - Conc. P.N Arroyo</t>
  </si>
  <si>
    <t>Canal Santa María del Vencedor</t>
  </si>
  <si>
    <t>Unificada de Rama Caída</t>
  </si>
  <si>
    <t>Canal Villa e Hij. del Molino</t>
  </si>
  <si>
    <t>Socavón - Frugoni- Marcó</t>
  </si>
  <si>
    <t>Canal Las Paredes</t>
  </si>
  <si>
    <t>Canal El Cerrito</t>
  </si>
  <si>
    <t>Primera Inspección Diamante</t>
  </si>
  <si>
    <t>Canal Toledano</t>
  </si>
  <si>
    <t>Rama La Llave Unif.</t>
  </si>
  <si>
    <t>C. Cejas del Monte e H. Vicuña Unif.</t>
  </si>
  <si>
    <t>Canal Mz. Goudge</t>
  </si>
  <si>
    <t>Canal Mz. Vidalino</t>
  </si>
  <si>
    <t>Canal Elena</t>
  </si>
  <si>
    <t>A° del Medio y Ciénagas del Torán</t>
  </si>
  <si>
    <t>Canal Resolana</t>
  </si>
  <si>
    <t>Colonia Española Unif.</t>
  </si>
  <si>
    <t>Claveles - Espinola</t>
  </si>
  <si>
    <t>Hij. Colonia El Algarrobal</t>
  </si>
  <si>
    <t>Cañada Seca Unif.</t>
  </si>
  <si>
    <t>Subdelegacion Río Diamante</t>
  </si>
  <si>
    <t>Canal Matriz Rio Diamante - Reparacion Compuertas Toma Canal Secundarios</t>
  </si>
  <si>
    <t xml:space="preserve">Reparación  compuertas </t>
  </si>
  <si>
    <t>Ing. Carlos Sansoni</t>
  </si>
  <si>
    <t>-</t>
  </si>
  <si>
    <t>compuertas</t>
  </si>
  <si>
    <t>revestido en hormigón</t>
  </si>
  <si>
    <t>Reparación compuertas</t>
  </si>
  <si>
    <t>Vid y frutales</t>
  </si>
  <si>
    <t>Rama Jarillal</t>
  </si>
  <si>
    <t>Rama Luján Sur Unificada</t>
  </si>
  <si>
    <t>Hijuela Civit</t>
  </si>
  <si>
    <t>Rama Luján Oeste Unificada</t>
  </si>
  <si>
    <t>Rama Tajamar Unificada</t>
  </si>
  <si>
    <t>Canal Compuertas</t>
  </si>
  <si>
    <t>Canal del Oeste - Rama Jarillal</t>
  </si>
  <si>
    <t>Rama Mathus Hoyos Unif.</t>
  </si>
  <si>
    <t>Rama Algarrobal y C.D. Unif.</t>
  </si>
  <si>
    <t>Rama Luján Centro</t>
  </si>
  <si>
    <t>Rama Sobremonte Unif.</t>
  </si>
  <si>
    <t>Hij. Morales Villanueva Unif.</t>
  </si>
  <si>
    <t>Rama Matriz Gil</t>
  </si>
  <si>
    <t>Hijuela 2ª Guiñazú</t>
  </si>
  <si>
    <t xml:space="preserve">Canal Céspedes Unif. </t>
  </si>
  <si>
    <t>Rama San Roque</t>
  </si>
  <si>
    <t>Canal Vertiente Corralitos</t>
  </si>
  <si>
    <t>Canal Rufino Ortega</t>
  </si>
  <si>
    <t>Hij. Nueva Sanchez</t>
  </si>
  <si>
    <t>R. La Primavera Pedregal</t>
  </si>
  <si>
    <t>Canal. Naciente Chachingo Unif.</t>
  </si>
  <si>
    <t>Canal Mz. Lunlunta</t>
  </si>
  <si>
    <t>Canal Jocolí</t>
  </si>
  <si>
    <t>Hij.El Progreso</t>
  </si>
  <si>
    <t>Canal Colonias Unif.</t>
  </si>
  <si>
    <t>Rama Tulumaya Unif.</t>
  </si>
  <si>
    <t>Hij. Funes</t>
  </si>
  <si>
    <t>Hij. Segura, Ramo Day, Hij. Cent.</t>
  </si>
  <si>
    <t>Hij. El Chilcal Unif.</t>
  </si>
  <si>
    <t>Hij. Aurora</t>
  </si>
  <si>
    <t>Hij. Molina Navarrete</t>
  </si>
  <si>
    <t>Hij. Villanueva Unif.</t>
  </si>
  <si>
    <t>Hij. Esteban Unif.</t>
  </si>
  <si>
    <t>Hij. Santa Rita Unif.</t>
  </si>
  <si>
    <t>Canal Gustavo André</t>
  </si>
  <si>
    <t>Canal Concesión California</t>
  </si>
  <si>
    <t>Canal San Pedro y San Pablo</t>
  </si>
  <si>
    <t>Canal Bajada Araujo</t>
  </si>
  <si>
    <t>Canal Natalio Estrella Unif.</t>
  </si>
  <si>
    <t>Rama Marienhoff y Villa Central</t>
  </si>
  <si>
    <t>Rama Galigniana Segura</t>
  </si>
  <si>
    <t>Rama Reyna</t>
  </si>
  <si>
    <t>Arroyo El Salto</t>
  </si>
  <si>
    <t>Arroyo Las Mulas</t>
  </si>
  <si>
    <t>Arroyo Aguas Claras</t>
  </si>
  <si>
    <t>San Alberto y Uspallata</t>
  </si>
  <si>
    <t>A.C.R.E. Ramo Cremaschi (Campo Espejo)</t>
  </si>
  <si>
    <t>A.C.R.E. Lavalle</t>
  </si>
  <si>
    <t>Desg. Industriales Col. Pescara</t>
  </si>
  <si>
    <t>Vte. Puesto del Alamo</t>
  </si>
  <si>
    <t>Canal Barrancas y Espino</t>
  </si>
  <si>
    <t>Arroyo El Carrizal</t>
  </si>
  <si>
    <t>Subdelegacion Río Mendoza</t>
  </si>
  <si>
    <t>RM</t>
  </si>
  <si>
    <t>Revestimiento  y Unificación Rama Algarrobal y Ramo Capilla y Manantiales</t>
  </si>
  <si>
    <t>Luis García</t>
  </si>
  <si>
    <t>mezcla de arena y ripio</t>
  </si>
  <si>
    <t>Hormigon armado</t>
  </si>
  <si>
    <t>Hormigón armado</t>
  </si>
  <si>
    <t>recreativo</t>
  </si>
  <si>
    <t>DEBLASIS VIRGINIO AMERICO</t>
  </si>
  <si>
    <t>areno limoso</t>
  </si>
  <si>
    <t>natural, mal estado</t>
  </si>
  <si>
    <t>ENTUBADO HIJUELA LA CAÑADA - CANAL 1º VISTALBA</t>
  </si>
  <si>
    <t xml:space="preserve">ENTUBADO </t>
  </si>
  <si>
    <t>ALEJANDRO DIEZ</t>
  </si>
  <si>
    <t>Tierra</t>
  </si>
  <si>
    <t>MAL ESTADO</t>
  </si>
  <si>
    <t>ENTUBADO</t>
  </si>
  <si>
    <t>Impermeabilización 4º tramo Cl. San Alberto</t>
  </si>
  <si>
    <t>Revestimiento en piedra y hormigón</t>
  </si>
  <si>
    <t>LEANDRO JAVIER LEUZZI</t>
  </si>
  <si>
    <t>(*)</t>
  </si>
  <si>
    <t>PIEDRA Y TIERRA</t>
  </si>
  <si>
    <t>NATURAL</t>
  </si>
  <si>
    <t>PIEDRA BOLA Y HORMIGÓN</t>
  </si>
  <si>
    <t>TAMAÑO DE PIEDRA 6"</t>
  </si>
  <si>
    <t>PAPA</t>
  </si>
  <si>
    <t>LICITACIÓN</t>
  </si>
  <si>
    <t>Bacheo 1º y 2º tramo</t>
  </si>
  <si>
    <t>Reparación de baches del canal</t>
  </si>
  <si>
    <t>Ing. Carlos Paoletti</t>
  </si>
  <si>
    <t>(sección tolva)</t>
  </si>
  <si>
    <t>Grava y fino (aluvional)</t>
  </si>
  <si>
    <t>Reparación de baches</t>
  </si>
  <si>
    <t>MARIO SICRE</t>
  </si>
  <si>
    <t>FRANCO ARENOSO</t>
  </si>
  <si>
    <t>hormigón armado</t>
  </si>
  <si>
    <t>REVESTIMIENTO CANAL MERCERY</t>
  </si>
  <si>
    <t>1,00 x 1,80</t>
  </si>
  <si>
    <t>ANUALES</t>
  </si>
  <si>
    <t>Mantenimiento 5º y 6º tramo</t>
  </si>
  <si>
    <t>Reparación de Grietas y Juntas</t>
  </si>
  <si>
    <t>arena y limo</t>
  </si>
  <si>
    <t>reparación de grietas y juntas</t>
  </si>
  <si>
    <t>CONSTRUCCION PERFORACION</t>
  </si>
  <si>
    <t>JUAN DORNAUF</t>
  </si>
  <si>
    <t>pozo</t>
  </si>
  <si>
    <t xml:space="preserve">ANUALES </t>
  </si>
  <si>
    <t>DGI</t>
  </si>
  <si>
    <t>CUENCA RÍO MENDOZA</t>
  </si>
  <si>
    <t>CELULA DE CULTIVO OBTENIDA DEL BALANCE HÍDRICO 2016 RÍO MENDOZA</t>
  </si>
  <si>
    <t>VBP = ING X HA CULTIVADAS  BENEF</t>
  </si>
  <si>
    <t>UNIDADES ADMINISTRATIVAS DE MANEJO</t>
  </si>
  <si>
    <t>INSPECCIONES X UAM</t>
  </si>
  <si>
    <t>HAS EMPADRONADAS BENEFICIADAS</t>
  </si>
  <si>
    <t>HAS CULTIVADAS BENEFICIADAS</t>
  </si>
  <si>
    <t>% CULTIVADO</t>
  </si>
  <si>
    <t xml:space="preserve">% Forestal </t>
  </si>
  <si>
    <t>% Frutal</t>
  </si>
  <si>
    <t>% Olivos</t>
  </si>
  <si>
    <t>% Hortícola</t>
  </si>
  <si>
    <t>% Pastura</t>
  </si>
  <si>
    <t>% Siembra</t>
  </si>
  <si>
    <t>% Vid</t>
  </si>
  <si>
    <t>INGRESO X HA</t>
  </si>
  <si>
    <t>VALOR BRUTO DE LA PRODUCCIÓN HAS BENEFICIADAS</t>
  </si>
  <si>
    <t>1ª ZONA</t>
  </si>
  <si>
    <t>Compuertas Vistalba</t>
  </si>
  <si>
    <t>Inspección Canal Compuertas; Inspección Lujan Oeste-Unificada</t>
  </si>
  <si>
    <t>Chacras de Coria</t>
  </si>
  <si>
    <t>Inspección Lujan Oeste-Unificada</t>
  </si>
  <si>
    <t>Margen derecha</t>
  </si>
  <si>
    <t>Inspección Lujan Sur-Unificada</t>
  </si>
  <si>
    <t>Área Metropolitana</t>
  </si>
  <si>
    <t>Inspección Rama Jarillal; Rama Tajamar- Unificada; Insp Canal del Oeste- Rama Jarillal; Inspección Hijuela Civit</t>
  </si>
  <si>
    <t>2ª ZONA</t>
  </si>
  <si>
    <t>Luján</t>
  </si>
  <si>
    <t>Inspección Hijuela Morales-Villanueva-Unif; Inspección Lujan Centro; Inspección Canal Mz.Lunlunta</t>
  </si>
  <si>
    <t>Gil</t>
  </si>
  <si>
    <t>Inspección Hijuela Segunda Guiñazú; Inspección Rama Matriz Gil</t>
  </si>
  <si>
    <t>Sobremonte</t>
  </si>
  <si>
    <t>Inspección Rama Sobremonte-Unificada</t>
  </si>
  <si>
    <t>Mathus Hoyos</t>
  </si>
  <si>
    <t>Inspección Mathus Hoyos-Unificada</t>
  </si>
  <si>
    <t xml:space="preserve">Algarrobal </t>
  </si>
  <si>
    <t>Inspección Rama Algarrobal Y Derivados</t>
  </si>
  <si>
    <t>3ª ZONA</t>
  </si>
  <si>
    <t>Cruz de Piedra</t>
  </si>
  <si>
    <t>Inspección Canal Naciente-Chachingo Unific; Inspección Canal Rufino Ortega</t>
  </si>
  <si>
    <t xml:space="preserve">Céspedes </t>
  </si>
  <si>
    <t>Inspección Canal Cespedes-Unificado; Inspección Rama San Roque-Unificada</t>
  </si>
  <si>
    <t>Rodeo Beltrán</t>
  </si>
  <si>
    <t>Inspección Canal Vertientes Corralitos-Unif; Inspección Canal Naciente-Chachingo Unific; Inspección La Primavera-Pedregal</t>
  </si>
  <si>
    <t>Sanchez</t>
  </si>
  <si>
    <t>Inspección Hijuela Nueva Sánchez-Unificada; Inspección Desaguantes Industriales Col.Pes</t>
  </si>
  <si>
    <t>4ª ZONA</t>
  </si>
  <si>
    <t>Tulumaya</t>
  </si>
  <si>
    <t>Inspección Canal Colonia-Unificado; Inspección Canal Tulumaya-Unificado</t>
  </si>
  <si>
    <t>Jocolí</t>
  </si>
  <si>
    <t>Inspección Hijuela Esteban; Inspección Canal Jocolí; Inspección Hijuela Aurora; Inspección Hijuela El Chilcal; Inspección Hijuela Molina- Navarrete Unificada; Inspección Hijuela Santa Rita Unificada; Inspección Hijuela Villanueva Unificada; Inspección Hijuelas Segura- Centenario YR; Inspección Hijuela El Progreso; Inspección Hijuela Funes</t>
  </si>
  <si>
    <t>5ª ZONA</t>
  </si>
  <si>
    <t>California</t>
  </si>
  <si>
    <t>Inspección Canal Concesión California</t>
  </si>
  <si>
    <t>Costa de Araujo</t>
  </si>
  <si>
    <t>Inspección Canal Bajada de Araujo; Inspección San Pedro y San Pablo Unificada</t>
  </si>
  <si>
    <t>Gustavo André</t>
  </si>
  <si>
    <t>Inspección Canal Gustavo Andre Unificada; Inspección Canal Natalio Estrella Unificada</t>
  </si>
  <si>
    <t>6ª ZONA</t>
  </si>
  <si>
    <t>Galigniana</t>
  </si>
  <si>
    <t>Inspección Rama Galigniana Segura- Unificada</t>
  </si>
  <si>
    <t>Reyna Marienhoff</t>
  </si>
  <si>
    <t>Inspección Rama Marienhoff y V Central unificada; Inspección Rama Reyna</t>
  </si>
  <si>
    <t>Alta Montaña</t>
  </si>
  <si>
    <t xml:space="preserve">Arroyo El Salto </t>
  </si>
  <si>
    <t>Inspección Arroyo Aguas Claras;  Inspección Arroyo El Salto;   Inspección Vertientes Puesto del Alamo</t>
  </si>
  <si>
    <t xml:space="preserve">Arroyo Las Mulas </t>
  </si>
  <si>
    <t>Inspección Arroyo Las Mulas</t>
  </si>
  <si>
    <t>Blanco Encalada</t>
  </si>
  <si>
    <t>Inspección Arroyo Aguas Claras</t>
  </si>
  <si>
    <t>Challao</t>
  </si>
  <si>
    <t>Uspallata</t>
  </si>
  <si>
    <t>Inspección Arroyo San Alberto Y Uspallata</t>
  </si>
  <si>
    <t>No Asociada</t>
  </si>
  <si>
    <t>A.C.R.E Campo Espejo</t>
  </si>
  <si>
    <t>Inspección Del A.C.R.E.-R.Cremaschi-Desag.M</t>
  </si>
  <si>
    <t xml:space="preserve">A.C.R.E. Paramillos </t>
  </si>
  <si>
    <t>Inspección A.C.R.E. Lavalle</t>
  </si>
  <si>
    <t xml:space="preserve">Arroyo Carrizal </t>
  </si>
  <si>
    <t>Inspección Arroyo Carrizal; Inspección Arroyo Carrizal- Canal Arizu</t>
  </si>
  <si>
    <t>Barrancas</t>
  </si>
  <si>
    <t>Inspección Canal Barrancas-Espino-Deriv.</t>
  </si>
  <si>
    <t>3-ASOCIACION 1RA.ZONA RIO MENDOZA</t>
  </si>
  <si>
    <t>4_INSPECCION LUJAN OESTE-UNIFICADA</t>
  </si>
  <si>
    <t>4_INSPECCION RAMA JARILLAL</t>
  </si>
  <si>
    <t>4_INSPECCION CANAL DEL OESTE-RAMA JARILLAL</t>
  </si>
  <si>
    <t>4_INSPECCION HIJUELA CIVIT</t>
  </si>
  <si>
    <t>4_INSPECCION RAMA TAJAMAR-UNIFICADA</t>
  </si>
  <si>
    <t>4_INSPECCION CANAL COMPUERTAS</t>
  </si>
  <si>
    <t>4_INSPECCION LUJAN SUR-UNIFICADA</t>
  </si>
  <si>
    <t>3-ASOCIACION 2DA.ZONA RIO MENDOZA</t>
  </si>
  <si>
    <t>4_INSPECCION LUJAN CENTRO</t>
  </si>
  <si>
    <t>4_INSPECCION HIJUELA MORALES-VILLANUEVA-UNIF</t>
  </si>
  <si>
    <t>4_INSPECCION HIJUELA SEGUNDA GUINAZU</t>
  </si>
  <si>
    <t>4_INSPECCION RAMA MATRIZ GIL</t>
  </si>
  <si>
    <t>4_INSPECCIONRAMA SOBREMONTE-UNIFICADA</t>
  </si>
  <si>
    <t>4_INSPECCIONMATHUS HOYOS-UNIFICADA</t>
  </si>
  <si>
    <t>4_INSPECCION RAMA ALGARROBAL Y DERIVADOS</t>
  </si>
  <si>
    <t>3-ASOCIACION 3RA.ZONA RIO MENDOZA</t>
  </si>
  <si>
    <t>4_INSPECCION CANAL NACIENTE-CHACHINGO UNIFIC</t>
  </si>
  <si>
    <t>4_INSPECCION RAMA SAN ROQUE-UNIFICADA</t>
  </si>
  <si>
    <t>4_INSPECCION CANAL CESPEDES-UNIFICADO</t>
  </si>
  <si>
    <t>4_INSPECCION CANAL RUFINO ORTEGA</t>
  </si>
  <si>
    <t>4_INSPECCION CANAL MZ.LUNLUNTA</t>
  </si>
  <si>
    <t>4_INSPECCION HIJUELA NUEVA SANCHES-UNIFICADA</t>
  </si>
  <si>
    <t>4_INSPECCION LA PRIMERA-PEDREGAL</t>
  </si>
  <si>
    <t>4_INSPECCION CANAL VERTIENTES CORRALITOS</t>
  </si>
  <si>
    <t>4_INSPECCION HIJUELA MONTENEGRO</t>
  </si>
  <si>
    <t>4_INSPECCION CANAL ARROYO NEGRO</t>
  </si>
  <si>
    <t>3-ASOCIACION 4TA.ZONA RIO MENDOZA</t>
  </si>
  <si>
    <t>4_INSPECCION CANAL JOCOLI</t>
  </si>
  <si>
    <t>5_INSPECCION HIJUELAS SEGURA-CENTENARIO Y R DAY</t>
  </si>
  <si>
    <t>5_INSPECCION HIJUELA VILLANUEVA-UNIFICADA</t>
  </si>
  <si>
    <t>5_INSPECCION HIJUELA SANTA RITA-UNIFICADA</t>
  </si>
  <si>
    <t>5_INSPECCION HIJUELA EL PROGRESO</t>
  </si>
  <si>
    <t>5_INSPECCION HIJUELA MOLINA-NAVARRETE-UNIFI</t>
  </si>
  <si>
    <t>5_INSPECCION HIJUELA EL CHILCAL</t>
  </si>
  <si>
    <t>5_INSPECCION HIJUELA AURORA</t>
  </si>
  <si>
    <t>5_INSPECCION HIJUELA FUNES</t>
  </si>
  <si>
    <t>4_INSPECCION HIJUELA ESTEBAN</t>
  </si>
  <si>
    <t>4_INSPECCION CANAL TULUMAYA-UNIFICADO</t>
  </si>
  <si>
    <t>5_INSPECCION HIJUELA PARAMILLO</t>
  </si>
  <si>
    <t>4_INSPECCION CANAL COLONIA-UNIFICADO</t>
  </si>
  <si>
    <t>3-ASOCIACION 5TA.ZONA RIO MENDOZA</t>
  </si>
  <si>
    <t>4_INSPECCION SAN PEDRO Y SAN PABLO-UNIFICADA</t>
  </si>
  <si>
    <t>4_INSPECCION CANAL NATALIO ESTRELLA-UNIFICADA</t>
  </si>
  <si>
    <t>4_INSPECCION CANAL CONCESION CALIFORNIA</t>
  </si>
  <si>
    <t xml:space="preserve">4_INSPECCION CANAL BAJADA DE ARAUJO </t>
  </si>
  <si>
    <t>4_INSPECCION CANAL GUSTO ANDRE-UNIFICADO</t>
  </si>
  <si>
    <t>3-ASOCIACION 6TA.ZONA RIO MENDOZA</t>
  </si>
  <si>
    <t>4_INSPECCION RAMA GALIGNIANA SEGURA-UNIFICADA</t>
  </si>
  <si>
    <t>4_INSPECCION RAMA REYNA</t>
  </si>
  <si>
    <t>4_INSPECCION RAMA MARIENHOFF Y V. CENTRAL-UNIF.</t>
  </si>
  <si>
    <t>3-ASOCIACION ZONA ALTA MONTAÑA</t>
  </si>
  <si>
    <t xml:space="preserve">4_INSPECCION ARROYO EL SALTO </t>
  </si>
  <si>
    <t>4_INSPECCION ARROYO LAS MULAS</t>
  </si>
  <si>
    <t>4_INSPECCION ARROYO SAN ALBERTO Y USPALLATA</t>
  </si>
  <si>
    <t>4_INSPECCION ARROYO AGUAS CLARAS</t>
  </si>
  <si>
    <t>3_INSPECCION ARROYO CARRIZAL</t>
  </si>
  <si>
    <t>4_INSPECCION ARROYO CARRIZAL-CANAL ARIZU</t>
  </si>
  <si>
    <t>3_INSPECCION VERTIENTES PUESTO DEL ALAMO</t>
  </si>
  <si>
    <t>3_INSPECCION DEL A.C.R.E.-R.CREMASCHI-DESAG.M</t>
  </si>
  <si>
    <t>3_INSPECCION DERSAGUANTES INDUSTRIALES COL.PES</t>
  </si>
  <si>
    <t>3_INSPECCION CANAL BARRANCAS-ESPINOI-DERIV.</t>
  </si>
  <si>
    <t>3_INSPECCION A.C.R.E LAVALLE</t>
  </si>
  <si>
    <t xml:space="preserve"> SUBTOTAL</t>
  </si>
  <si>
    <t>Insp. PRIMAVERA - PEDREGAL /  CONSTRUCCION PERFORACION</t>
  </si>
  <si>
    <t>16º</t>
  </si>
  <si>
    <t>17º</t>
  </si>
  <si>
    <t>18º</t>
  </si>
  <si>
    <t>19º</t>
  </si>
  <si>
    <t>Mantenimiento Compuertas - Gran Comparto</t>
  </si>
  <si>
    <t>Mantenimiento compuertas - Dique Naciente</t>
  </si>
  <si>
    <t>REVESTIMIENTO CANAL FLORES - TRAMO AGUAS ABAJO TOMA CAROGLIO - TOMA GIOL</t>
  </si>
  <si>
    <t>Impermeabilizacion Rama Norte TRAMO III</t>
  </si>
  <si>
    <t>Ing. Damian Barzola</t>
  </si>
  <si>
    <t>vid, frutales</t>
  </si>
  <si>
    <t>16,2% (VID), 6,10% (FRUT.)</t>
  </si>
  <si>
    <t>Canal Santa Rosa</t>
  </si>
  <si>
    <t>Rama Dormida</t>
  </si>
  <si>
    <t>Rama Nueva California</t>
  </si>
  <si>
    <t xml:space="preserve">Canal Mz. La Paz </t>
  </si>
  <si>
    <t>Canal Mz. San Martín</t>
  </si>
  <si>
    <t>Canal Norte e Hij. Guevara</t>
  </si>
  <si>
    <t>Hij. Directas Canal Mz. San Martín</t>
  </si>
  <si>
    <t>Rama Norte Alto Verde</t>
  </si>
  <si>
    <t>Rama Sur Alto Verde</t>
  </si>
  <si>
    <t>Canal Mz. Reducción</t>
  </si>
  <si>
    <t xml:space="preserve">Canales del Tramo Medio </t>
  </si>
  <si>
    <t>Canal Nuevo Gil</t>
  </si>
  <si>
    <t>Canal Los Otoyanes</t>
  </si>
  <si>
    <t>Canal Mz. Independencia</t>
  </si>
  <si>
    <t>Rama Sauce</t>
  </si>
  <si>
    <t>Rama Henriquez</t>
  </si>
  <si>
    <t>Rama Cruz Bodega</t>
  </si>
  <si>
    <t>Rama Godoy</t>
  </si>
  <si>
    <t>Rama Chimba</t>
  </si>
  <si>
    <t>Rama Montecaseros</t>
  </si>
  <si>
    <t>Canal Mz. Constitución</t>
  </si>
  <si>
    <t>Canales de Medrano y Der.</t>
  </si>
  <si>
    <t>Ramas de La Paz y C.D.</t>
  </si>
  <si>
    <t>Canal Chacabuco - Arboles</t>
  </si>
  <si>
    <t>Canal Ovalle Directo</t>
  </si>
  <si>
    <t>Canal Dársena</t>
  </si>
  <si>
    <t>Subdelegacion Río Tunuyan Inferior</t>
  </si>
  <si>
    <t>VALOR BRUTO DE LA PRODUCCIÓN - CUENCA RÍO TUNUYÁN INFERIOR</t>
  </si>
  <si>
    <t>CELULA DE CULTIVO</t>
  </si>
  <si>
    <t xml:space="preserve">INSPECCIONES </t>
  </si>
  <si>
    <t>HA EMPADRONADAS BENEFICIADAS</t>
  </si>
  <si>
    <t>HA CULTIVADAS BENEFICIADAS</t>
  </si>
  <si>
    <t>% forestal</t>
  </si>
  <si>
    <t>% frutal</t>
  </si>
  <si>
    <t>% hortaliza</t>
  </si>
  <si>
    <t xml:space="preserve">% olivo </t>
  </si>
  <si>
    <t>% pastura</t>
  </si>
  <si>
    <t>% siembra</t>
  </si>
  <si>
    <t>% vid</t>
  </si>
  <si>
    <t>VALOR BRUTO DE LA PRODUCCIÓN SUPERFICIA BENEFICIADA</t>
  </si>
  <si>
    <t>INSPECCION CANAL CHACABUCO-ARBOLES</t>
  </si>
  <si>
    <t>Inspección Canal Chacabuco-Arboles</t>
  </si>
  <si>
    <t>INSPECCION CANAL DARSENA</t>
  </si>
  <si>
    <t>Inspección Canales de Medrano-Derivados</t>
  </si>
  <si>
    <t>INSPECCION CANAL LA PAZ-DERIVADOS</t>
  </si>
  <si>
    <t>Inspección Canal La Paz Derivados</t>
  </si>
  <si>
    <t>INSPECCION CANAL LOS OTOYANES</t>
  </si>
  <si>
    <t>Inspección Canal Los Otoyanes</t>
  </si>
  <si>
    <t>INSPECCION CANAL MATRIZ REDUCCION</t>
  </si>
  <si>
    <t>Inspección Canal Matriz Reducción</t>
  </si>
  <si>
    <t>INSPECCION CANAL MZ.CONSTITUCION</t>
  </si>
  <si>
    <t>Inspección Canal Matriz Constitución</t>
  </si>
  <si>
    <t>INSPECCION CANAL NORTE E HIJUELA GUEVARA-UNIF.</t>
  </si>
  <si>
    <t>Inspección Canal Norte e Hijuela Guevara U</t>
  </si>
  <si>
    <t>INSPECCION CANAL NUEVO GIL</t>
  </si>
  <si>
    <t>Inspección Canal Nuevo Gil</t>
  </si>
  <si>
    <t>INSPECCION CANAL OVALLE-DIRECTO</t>
  </si>
  <si>
    <t>INSPECCION CANAL SANTA ROSA</t>
  </si>
  <si>
    <t>Inspección Canal Santa Rosa</t>
  </si>
  <si>
    <t>INSPECCION CANALES DEL TRAMO MEDIO Y DERIVADOS</t>
  </si>
  <si>
    <t>Inspección Canales del Tramo Medio y Derivados</t>
  </si>
  <si>
    <t>INSPECCION HIJUELA GALLO</t>
  </si>
  <si>
    <t>INSPECCION HIJUELAS DIRECTAS CANAL MZ.SAN MARTIN</t>
  </si>
  <si>
    <t>Inspección Hijuelas Directas Canal MZ San Martín; Inspección Canal Matriz San Martín y der</t>
  </si>
  <si>
    <t>INSPECCION RAMA CHIMBAS-DERIVADOS</t>
  </si>
  <si>
    <t>Inspección Rama Chimbas -Derivados</t>
  </si>
  <si>
    <t>INSPECCION RAMA CRUZ BODEGA-DERIVADOS</t>
  </si>
  <si>
    <t>Inspección Rama Cruz Bodega-Derivados</t>
  </si>
  <si>
    <t>INSPECCION RAMA DORMIDA</t>
  </si>
  <si>
    <t>Inspección Rama Dormida</t>
  </si>
  <si>
    <t>INSPECCION RAMA GODOY-DERIVADOS</t>
  </si>
  <si>
    <t>Inspección Rama Godoy- Derivados</t>
  </si>
  <si>
    <t>INSPECCION RAMA HENRIQUEZ</t>
  </si>
  <si>
    <t>Inspección Rama  Henriquez</t>
  </si>
  <si>
    <t>INSPECCION RAMA MONTECASEROS</t>
  </si>
  <si>
    <t>Inspección Rama Montecaseros</t>
  </si>
  <si>
    <t>INSPECCION RAMA NORTE ALTO VERDE</t>
  </si>
  <si>
    <t>Inspección Rama Norte Alto Verde</t>
  </si>
  <si>
    <t>INSPECCION RAMA NUEVA CALIFORNIA</t>
  </si>
  <si>
    <t>Inspección Rama Nueva California</t>
  </si>
  <si>
    <t>INSPECCION RAMA SAUCE</t>
  </si>
  <si>
    <t>Inspección Rama Sauce</t>
  </si>
  <si>
    <t>INSPECCION RAMA SUR ALTO VERDE</t>
  </si>
  <si>
    <t>Inspección Rama Sur Alto Verde</t>
  </si>
  <si>
    <t>3-ASOCIACION INSPEC.CAUCES DPTO.STA.ROSA</t>
  </si>
  <si>
    <t>4-INSPECION CANAL SANTA ROSA</t>
  </si>
  <si>
    <t>4-INSPECION RAMA DORMIDA</t>
  </si>
  <si>
    <t>4-INSPECION RAMA NUEVA CALIFORNIA</t>
  </si>
  <si>
    <t>4-INSPECION CANAL LA PAZ-DERIVADOS</t>
  </si>
  <si>
    <t>3-ASOCIACION INSPEC.CAUCES DE SAN MARTIN</t>
  </si>
  <si>
    <t>4-INSPECION CANAL MATRIZ SAN MARTIN Y DER.U</t>
  </si>
  <si>
    <t>4-INSPECION HIJUELAS LAS DIRECTAS CANAL MZ.SAN</t>
  </si>
  <si>
    <t>4-INSPECION RAMA SUR ALTO VERDE</t>
  </si>
  <si>
    <t>4-INSPECION RAMA NORTE ALTO VERDE</t>
  </si>
  <si>
    <t>4-INSPECION CANAL NORTE E HIJUELA GUEVARA-U</t>
  </si>
  <si>
    <t>3-ASOCIACION INSPEC. DE CAUCES DPTO.RIVADAVIA</t>
  </si>
  <si>
    <t>4-INSPECION CANAL MATRIZ REDUCCION</t>
  </si>
  <si>
    <t>4-INSPECION CANALES DEL TRAMO MEDIO Y DERIV.</t>
  </si>
  <si>
    <t>4-INSPECION CANAL NUEVO GIL</t>
  </si>
  <si>
    <t>4-INSPECION CANAL LOS OTOYANES</t>
  </si>
  <si>
    <t>3- ASOCIACION INSPECC. DEL CANAL INDEPENDENCIA</t>
  </si>
  <si>
    <t>4-INSPECION CANAL MZ. INDEPENDENCIA-DERIVADOS</t>
  </si>
  <si>
    <t>4-INSPECION RAMA SAUCE</t>
  </si>
  <si>
    <t>4-INSPECION RAMA HENRIQUEZ</t>
  </si>
  <si>
    <t>4-INSPECION RAMA CRUZ BODEGA-DERIVADOS</t>
  </si>
  <si>
    <t>4-INSPECION RAMA GODOY-DERIVADOS</t>
  </si>
  <si>
    <t>4-INSPECION RAMA CHIMBAS-DERIVADOS</t>
  </si>
  <si>
    <t>3-INSPECION CANAL MZ.CONSTITUCION</t>
  </si>
  <si>
    <t xml:space="preserve">3-INSPECION CANALES DE MEDRANO-DERIVADOS </t>
  </si>
  <si>
    <t>3-INSPECION CANAL DARSENA</t>
  </si>
  <si>
    <t>3-INSPECION RAMA MONTECASEROS</t>
  </si>
  <si>
    <t>3-INSPECION CANAL OVALLE-DIRECTO</t>
  </si>
  <si>
    <t>3-INSPECION CANAL CHACABUCO-ARBOLES</t>
  </si>
  <si>
    <t>3-INSPECION RAMA LA PAZ-DERIVADOS</t>
  </si>
  <si>
    <t>SUBTOTAL</t>
  </si>
  <si>
    <t>VBP/ha</t>
  </si>
  <si>
    <t>TI</t>
  </si>
  <si>
    <t>Arroyo Claro</t>
  </si>
  <si>
    <t>4-INSPECCION ARROYO CLARO</t>
  </si>
  <si>
    <t>TS</t>
  </si>
  <si>
    <t>Arroyo Grande</t>
  </si>
  <si>
    <t>4-INSPECCION ARROYO GRANDE</t>
  </si>
  <si>
    <t>Arroyo Canal la Quebrada</t>
  </si>
  <si>
    <t>4-INSPECCION ARROYO CANAL LA QUEBRADA</t>
  </si>
  <si>
    <t>Arroyo Guiñazu derivados</t>
  </si>
  <si>
    <t>Arroyo Guiñazú</t>
  </si>
  <si>
    <t>Arroyo Salas Carocas</t>
  </si>
  <si>
    <t>4-INSPECCION ARROYO SALAS CAROCAS</t>
  </si>
  <si>
    <t>Arroyo Villegas</t>
  </si>
  <si>
    <t>3-INSPECCION ARROYO VILLEGAS</t>
  </si>
  <si>
    <t>Canal Capacho</t>
  </si>
  <si>
    <t>3-INSPECCION CANAL CAPACHO</t>
  </si>
  <si>
    <t>Canal el Peral Unificado</t>
  </si>
  <si>
    <t>4-INSPECCION CANAL EL PERAL-UNIFICADO</t>
  </si>
  <si>
    <t>Canal Esquina Unificado</t>
  </si>
  <si>
    <t>4-INSPECCION CANAL ESQUINA-UNIFICADO</t>
  </si>
  <si>
    <t>Canal Manzano</t>
  </si>
  <si>
    <t>4-INSPECCION CANAL MANZANO</t>
  </si>
  <si>
    <t>Canal Rincon</t>
  </si>
  <si>
    <t>3-INSPECCION CANAL RINCON</t>
  </si>
  <si>
    <t>Canal VFlores</t>
  </si>
  <si>
    <t>4-INSPECCION CANAL VISTA FLORES</t>
  </si>
  <si>
    <t>Hijuela Gualtallary</t>
  </si>
  <si>
    <t>4-INSPECCION HIJUELA GUALTALLARY</t>
  </si>
  <si>
    <t>Hijuela La Pampa</t>
  </si>
  <si>
    <t>A° Río de la Pampa o Salto</t>
  </si>
  <si>
    <t>Manantiales de Tunuyan Zona Centro</t>
  </si>
  <si>
    <t>4-INSPECCION MANANTIALES DE TYAN.ZONA CENTRO</t>
  </si>
  <si>
    <t>Matriz Este unificado</t>
  </si>
  <si>
    <t>Canal Mtz. Este Unif.</t>
  </si>
  <si>
    <t>Canal Matriz Valle de Uco</t>
  </si>
  <si>
    <t>Canal Mz. Valle de Uco</t>
  </si>
  <si>
    <t>Rio de La Pampa o Salto</t>
  </si>
  <si>
    <t>3-INSPECCION ARROYO RIO LA PAMPA O SALTO</t>
  </si>
  <si>
    <t>Yaucha Aguanda Unificada</t>
  </si>
  <si>
    <t>A° Yaucha - Aguanda</t>
  </si>
  <si>
    <t>Subdelegación Rio Mendoza.</t>
  </si>
  <si>
    <t>Asociación Atuel Medio</t>
  </si>
  <si>
    <t>Canal ATUEL SUR</t>
  </si>
  <si>
    <t>Asociación Bowen</t>
  </si>
  <si>
    <t>Asociación Nuevo Alvear</t>
  </si>
  <si>
    <t>Inspección Canal Arroyo</t>
  </si>
  <si>
    <t>Canal ARROYO</t>
  </si>
  <si>
    <t>Inspección Canal Babacci</t>
  </si>
  <si>
    <t>Canal Mz. BABACCI Unif.</t>
  </si>
  <si>
    <t>Inspección Canal Correas</t>
  </si>
  <si>
    <t>Canal Matriz CORREA</t>
  </si>
  <si>
    <t>Inspección Canal Perrone</t>
  </si>
  <si>
    <t>Inspección Canal Reguerira</t>
  </si>
  <si>
    <t>Inspección Izuel</t>
  </si>
  <si>
    <t>Inspección Real del Padre</t>
  </si>
  <si>
    <t>Inspección San Pedro</t>
  </si>
  <si>
    <t>Concesión BoersyKraft</t>
  </si>
  <si>
    <t>MAL</t>
  </si>
  <si>
    <t>Alamito -Chacay</t>
  </si>
  <si>
    <t>Cañada Colorada</t>
  </si>
  <si>
    <t>Canal Cañada Colorada</t>
  </si>
  <si>
    <t>Las Chacras</t>
  </si>
  <si>
    <t>UM.01.Villa e Hij. El Molino</t>
  </si>
  <si>
    <t>DIA</t>
  </si>
  <si>
    <t>UM.02.Unif. Socavon Frugoni Marco</t>
  </si>
  <si>
    <t>UM.03.Las Paredes</t>
  </si>
  <si>
    <t>UM.04.Toledano</t>
  </si>
  <si>
    <t>UM.05.Isla + Cerrito</t>
  </si>
  <si>
    <t>UM.06.Pavez</t>
  </si>
  <si>
    <t>UM.07.Salas</t>
  </si>
  <si>
    <t>UM.08.C.Nacional</t>
  </si>
  <si>
    <t>UM.09.Bombal</t>
  </si>
  <si>
    <t>UM.10.Hij. Nº1 Canal Elena</t>
  </si>
  <si>
    <t>UM.11.Hij. Nº2 Canal Elena</t>
  </si>
  <si>
    <t>UM.12.Elena</t>
  </si>
  <si>
    <t>Subdelegación Rio Diamante</t>
  </si>
  <si>
    <t>UM.13.La Llave e Hij. Piquillin</t>
  </si>
  <si>
    <t>UM.14.Sauce de las Rosas</t>
  </si>
  <si>
    <t>UM.15.Goudge</t>
  </si>
  <si>
    <t>UM.16.SeruCivit</t>
  </si>
  <si>
    <t>UM.17.Grande</t>
  </si>
  <si>
    <t>UM.18.Sauce de la Leona</t>
  </si>
  <si>
    <t>UM.19.Cortaderal</t>
  </si>
  <si>
    <t>UM.20.R Caida Gonzalez</t>
  </si>
  <si>
    <t>UM.21.Cubillos</t>
  </si>
  <si>
    <t>UM.22.R Caida e Hij. Salinas</t>
  </si>
  <si>
    <t>UM.23.Gutierrez</t>
  </si>
  <si>
    <t>UM.24.Vila</t>
  </si>
  <si>
    <t>UM.25.Day Forte</t>
  </si>
  <si>
    <t>UM.26.Cejas del Monte e Hij. Vicuña</t>
  </si>
  <si>
    <t>UM.27.Barruti y del Medio</t>
  </si>
  <si>
    <t>UMD.28.Retamito e Hij. Española</t>
  </si>
  <si>
    <t>UMD.29.Resolana</t>
  </si>
  <si>
    <t>UMD.30.Hij. Algarrobal</t>
  </si>
  <si>
    <t>UMD.31.Los CLaveles</t>
  </si>
  <si>
    <t>UMD.32.Arroyo del Medio y Cienagas del Toran</t>
  </si>
  <si>
    <t>UMD.33.La Morenina</t>
  </si>
  <si>
    <t>UM.34.Vidalino</t>
  </si>
  <si>
    <t>Aguas Subterraneas</t>
  </si>
  <si>
    <t>Impermeabilizacion RAMA NORTE TRAMO II</t>
  </si>
  <si>
    <t>Impermeabilizacion RAMA NORTE TRAMO I</t>
  </si>
  <si>
    <t>GENTILE, MARIO DANTE</t>
  </si>
  <si>
    <t>ARENOSO</t>
  </si>
  <si>
    <t>HORMIGÓN</t>
  </si>
  <si>
    <t>ADMINISTRACIÓN</t>
  </si>
  <si>
    <t>IMPERMEABILIZACION HIJUELA Nº3</t>
  </si>
  <si>
    <t>SUBDELEGACION RIO TUNUYAN INFERIOR</t>
  </si>
  <si>
    <t>HORMIGON</t>
  </si>
  <si>
    <t>VID</t>
  </si>
  <si>
    <t>NATURAL - MAL ESTADO</t>
  </si>
  <si>
    <t>SUC. ALDO E. C. TITTARELLI P/P HUGO MARIO TITTARELLI</t>
  </si>
  <si>
    <t>TIERRA</t>
  </si>
  <si>
    <t>NATURAL EN MAL ESTADO</t>
  </si>
  <si>
    <t>IMPERMEABILIZACIÓN CANAL RAMA MUNDO NUEVO - CALLE BERGARA</t>
  </si>
  <si>
    <t>.3</t>
  </si>
  <si>
    <t>RAMA SUR ALTO VERDE: IMPERM. HIJUELA Nº19</t>
  </si>
  <si>
    <t>FELIX ENRIQUE PACHECO</t>
  </si>
  <si>
    <t>ADMINISTRACION</t>
  </si>
  <si>
    <t>Impermeabilización Rama Moyano</t>
  </si>
  <si>
    <t>Luis Benedetti</t>
  </si>
  <si>
    <t xml:space="preserve">NATURAL </t>
  </si>
  <si>
    <t>IMPERMEABILIZACION HIJUELA SUAREZ</t>
  </si>
  <si>
    <t>CARMONA MANUEL</t>
  </si>
  <si>
    <t>REVESTIMIENTO TRAMO RAMA HENRIQUEZ</t>
  </si>
  <si>
    <t>JORGE LUCENTINI</t>
  </si>
  <si>
    <t>REVESTIMIENTO RAMA GODOY</t>
  </si>
  <si>
    <t>MARIO MIGLIORELLI</t>
  </si>
  <si>
    <t xml:space="preserve"> HUGO EDGARDO ETEM</t>
  </si>
  <si>
    <t>Ancho: 1,40 m. Alto: 1,20 m.</t>
  </si>
  <si>
    <t>Ancho: 1,20 m. Alto: 0,90 m.</t>
  </si>
  <si>
    <t>REVESTIMIENTO / RECUPERO DE PERDIDAS POR INFILTRACION  - MODIFICACION DE CUADROS DE TURNOS - REDISTRIBUCION DE CAUDALES.</t>
  </si>
  <si>
    <t>IMPERMEABILIZACION HIJUELA SARRAMEA</t>
  </si>
  <si>
    <t>LEANDRO GONZALEZ</t>
  </si>
  <si>
    <t>IMPERMEABILIZACION TRAMOS CRITICOS RED SECUNDARIA - HIJUELA 7ma. ZAPATA</t>
  </si>
  <si>
    <t>REVESTIMIENTO CANAL RIO BAMBA</t>
  </si>
  <si>
    <t>Félix D. Montiveros</t>
  </si>
  <si>
    <t>IMPERMEABILIZACION TRAMO CANAL SANTA ROSA</t>
  </si>
  <si>
    <t>IMPERMEABILIZACIÓN CANAL OTOYANES</t>
  </si>
  <si>
    <t>CIFUENTES, JORGE ANTONIO</t>
  </si>
  <si>
    <t>MEZCLA DE ARENA Y TIERRA</t>
  </si>
  <si>
    <t>IMPERMEAB. CANAL NORTE: DE C. ROBERT A C. MOLINA</t>
  </si>
  <si>
    <t>RAUL ENRIQUE MAIZ</t>
  </si>
  <si>
    <t>VENANCIO ARMANDO MORELLO POR LA SIXTINA S.A.</t>
  </si>
  <si>
    <t>IMPERMEABILIZACIÓN HIJUELA LOS YOLES</t>
  </si>
  <si>
    <t>.2</t>
  </si>
  <si>
    <t>REPARACION DE LOSAS CANAL MATRIZ LA PAZ</t>
  </si>
  <si>
    <t>REPARACION</t>
  </si>
  <si>
    <t>OSCAR BENDINI</t>
  </si>
  <si>
    <t>REVESTIDO</t>
  </si>
  <si>
    <t>IMPERMEABILIZACION CANAL CHIMBAS</t>
  </si>
  <si>
    <t>NATURAL MAL ESTADO</t>
  </si>
  <si>
    <t>GABRIEL ALVAREZ</t>
  </si>
  <si>
    <t>20º</t>
  </si>
  <si>
    <t>21º</t>
  </si>
  <si>
    <t>22º</t>
  </si>
  <si>
    <t>23º</t>
  </si>
  <si>
    <t>24º</t>
  </si>
  <si>
    <t>REVESTIMIENTO HIJUELA N°6 - CANAL NUEVO GIL</t>
  </si>
  <si>
    <t>VALOR BRUTO DE LA PRODUCCIÓN - CUENCA RÍO ATUEL- 2018</t>
  </si>
  <si>
    <t>Forestal</t>
  </si>
  <si>
    <t>Frutal</t>
  </si>
  <si>
    <t>Horticola</t>
  </si>
  <si>
    <t>Pastura</t>
  </si>
  <si>
    <t>Siembra</t>
  </si>
  <si>
    <t>Vegt. Espontánea BajoRiego</t>
  </si>
  <si>
    <t>4-INSPECCION CANAL MATRIZ JAUREGUI- INSPECCIÓN CANAL ATUEL SUR</t>
  </si>
  <si>
    <t>5-INSPECCION HIJUELA LOS CAMPAMENTOS- INSPECCION RAMA MOSS LOS ANGELES-UNIFICADA- INSPECCION RAMA CHRISTOHPERSEN- INSPECCION RAMA OLE AASET- INSPECCION RAMA DR.BOSCH</t>
  </si>
  <si>
    <t>4-INSPECCION RAMA LA MARZOLINA- INSPECCION RAMA AUXILIAR CENTRO- INSPECCION RAMA NRO.3 NUEVO ALVEAR- INSPECCION RAMA NORTE-UNIFICADA- INSPECCION RAMA CENTRO VIEJO- INSPECCION TIJERAS-UNIFICADA</t>
  </si>
  <si>
    <t>4-INSPECCION CANAL ARROYO</t>
  </si>
  <si>
    <t>4-INSPECCION CANAL MZ.INGENIERO BABACCI</t>
  </si>
  <si>
    <t>4-INSPECCION CANAL MZ.CORREA</t>
  </si>
  <si>
    <t>4-INSPECCION CANAL PERRONE</t>
  </si>
  <si>
    <t>4-INSPECCION CANAL ATUEL-CONCESION REGUEIRA</t>
  </si>
  <si>
    <t>3-INSPECCION CANAL MATRIZ IZUEL</t>
  </si>
  <si>
    <t>3-INSPECCION CANAL REAL DEL PADRE</t>
  </si>
  <si>
    <t>3-INSPECCION CANAL SAN PEDRO</t>
  </si>
  <si>
    <t>SUBDELEGACION RIO ATUEL</t>
  </si>
  <si>
    <t>Nº ORGANISMOS</t>
  </si>
  <si>
    <t xml:space="preserve">               HECTARIAS</t>
  </si>
  <si>
    <t>AREAS</t>
  </si>
  <si>
    <t>TOTAL</t>
  </si>
  <si>
    <t>%HAS.SI</t>
  </si>
  <si>
    <t>SI</t>
  </si>
  <si>
    <t>NO</t>
  </si>
  <si>
    <t>3-RIO SALADO</t>
  </si>
  <si>
    <t>3-ASOCIACION ATUEL SUPERIOR</t>
  </si>
  <si>
    <t>4_INSPECCION CANAL ATUEL-CONCESION REGUEIRA</t>
  </si>
  <si>
    <t>4_INSPECCION CANAL ARROYO</t>
  </si>
  <si>
    <t>4_INSPECCION CANAL MZ.INGENIERO BABACCI</t>
  </si>
  <si>
    <t>4_INSPECCION CANAL VILA-CONCESION PEDRO N.AR</t>
  </si>
  <si>
    <t>3-ASOCIACION NUEVA ALVEAR DEL RIO ATUEL</t>
  </si>
  <si>
    <t>4_INSPECCION TIJERAS-UNIFICADA</t>
  </si>
  <si>
    <t>4_INSPECCION RAMA CENTRO VIEJO</t>
  </si>
  <si>
    <t>4_INSPECCION RAMA NORTE-UNIFICADA</t>
  </si>
  <si>
    <t>4_INSPECCION RAMA LA MARZOLINA</t>
  </si>
  <si>
    <t>4_INSPECCION RAMA NRO.3 NUEVO ALVEAR</t>
  </si>
  <si>
    <t>4_INSPECCION RAMA AUXILIAR CENTRO</t>
  </si>
  <si>
    <t>3-ASOCIACION BOWEN</t>
  </si>
  <si>
    <t>4_INSPECCION RAMA CHRISTOHPERSEN</t>
  </si>
  <si>
    <t>5_INSPECCION HIJUELA LOS CAMPAMENTOS</t>
  </si>
  <si>
    <t>4_INSPECCION RAMA MOSS LOS ANGELES-UNIFICADA</t>
  </si>
  <si>
    <t>4_INSPECCION RAMA OLE AASET</t>
  </si>
  <si>
    <t>4_INSPECCION RAMA DR.BOSCH</t>
  </si>
  <si>
    <t>3_INSPECCION DEL CAÑON DEL ATUEL</t>
  </si>
  <si>
    <t>3_INSPECCION CANAL MATRIZ IZUEL</t>
  </si>
  <si>
    <t>3_INSPECCION CANAL SAN PEDRO</t>
  </si>
  <si>
    <t>3_INSPECCION CANAL REAL DEL PADRE</t>
  </si>
  <si>
    <t>3-ASOCIACION ATUEL MEDIO</t>
  </si>
  <si>
    <t>4_INSPECCION CANAL MATRIZ JAUREGUI</t>
  </si>
  <si>
    <t>4_INSPECCION CANAL ATUEL SUR</t>
  </si>
  <si>
    <t>RECONSTRUCCIÓN PARTIDOR SUR VASCONIA / FINCA SUR,  RECONSTRUCCIÓN ALCANTARILLA Y CONSTRUCCIÓN DE 10 CASILLAS PARA TELEMETRÍA</t>
  </si>
  <si>
    <t>RAMA CENTRO AUXILIAR  - REVESTIMIENTO DE UN TRAMO</t>
  </si>
  <si>
    <t xml:space="preserve">HIJUELA LA URUGUAYA - REVESTIMIENTO DE UN TRAMO </t>
  </si>
  <si>
    <t>CANAL CONCESIÓN REGUEIRA - REVESTIMIENTO DE UN TRAMO</t>
  </si>
  <si>
    <t>RAMA NORTE UNIFICADA - REVESTIMIENTO  TRAMO ZANGRANDI</t>
  </si>
  <si>
    <t xml:space="preserve">REVESTIMIENTO TRAMO </t>
  </si>
  <si>
    <t xml:space="preserve">RAMA LOS ÁNGELES - REVESTIMIENTO TRAMO Y ADECUACIÓN COMPARTO </t>
  </si>
  <si>
    <t>RAMA LA MARZOLINA - REPOSICIÓN DE 12 COMPUERTAS</t>
  </si>
  <si>
    <t>CCG</t>
  </si>
  <si>
    <t>CSM</t>
  </si>
  <si>
    <t>AM</t>
  </si>
  <si>
    <t>MD</t>
  </si>
  <si>
    <t xml:space="preserve">REVESTIMIENTO </t>
  </si>
  <si>
    <t>RIO TUNUYAN INFERIOR</t>
  </si>
  <si>
    <t>RIO MENDOZA</t>
  </si>
  <si>
    <t>RIO ATUEL</t>
  </si>
  <si>
    <t>RIO DIAMANTE</t>
  </si>
  <si>
    <t>REVESTIMIENTO CANAL MATRIZ CAÑADA COLORADA 2ª ETAPA – RÍO MALARGÜE</t>
  </si>
  <si>
    <t>Jorge A. Fernández Cepeda</t>
  </si>
  <si>
    <t>Ripio</t>
  </si>
  <si>
    <t>Hormigón</t>
  </si>
  <si>
    <t>Ajo-Papa-Paturas</t>
  </si>
  <si>
    <t>35%-35%-30%</t>
  </si>
  <si>
    <t>VALOR BRUTO DE LA PRODUCCIÓN - CUENCA RÍO MALARGÜE</t>
  </si>
  <si>
    <t>Unidades Administrativas de Manejo</t>
  </si>
  <si>
    <t>FORESTAL</t>
  </si>
  <si>
    <t>PASTURA</t>
  </si>
  <si>
    <t>SIEMBRA</t>
  </si>
  <si>
    <t>HORTALIZAS</t>
  </si>
  <si>
    <t>PAPA/ ROTACION</t>
  </si>
  <si>
    <t>Llancanelo</t>
  </si>
  <si>
    <t>JEFATURA DE RIEGO RIO MALARGUE</t>
  </si>
  <si>
    <t xml:space="preserve">            HECTAREAS</t>
  </si>
  <si>
    <t>INSPECCION CAÑADA COLORADA</t>
  </si>
  <si>
    <t>La Junta, Coyhueco y Sosneado</t>
  </si>
  <si>
    <t>Jefatura de Zona Malagüe</t>
  </si>
  <si>
    <t>Ajo-Papa-Pasturas</t>
  </si>
  <si>
    <t>MA</t>
  </si>
  <si>
    <t xml:space="preserve">SECCION DE AFORO LA BARDA </t>
  </si>
  <si>
    <t>Gaviones</t>
  </si>
  <si>
    <t>REPARACION Y MANTENIM.</t>
  </si>
  <si>
    <t>TOMA Y REGULACIÓN CANAL LAS CHACRAS</t>
  </si>
  <si>
    <t>OBRA NUEVA</t>
  </si>
  <si>
    <t>REPARACIÓN COMPUERTAS 3,4,5,6 Y 7 DIQUE BLAS BRISOLI</t>
  </si>
  <si>
    <t>Pintura</t>
  </si>
  <si>
    <t>RIO MALARGÜE</t>
  </si>
  <si>
    <t>VALOR BRUTO DE LA PRODUCCIÓN - CUENCA RÍO DIAMANTE 2018</t>
  </si>
  <si>
    <t>FRUTALES</t>
  </si>
  <si>
    <t>OLIVO</t>
  </si>
  <si>
    <t>VEG ESPONTANEA BAJO RIEGO</t>
  </si>
  <si>
    <t>DISTRIBUCION RIO DIAMANTE</t>
  </si>
  <si>
    <t>FECHA: 15/10/2012</t>
  </si>
  <si>
    <t>SUBDELEGACION RIO DIAMANTE</t>
  </si>
  <si>
    <t>Nº ORGANISMO</t>
  </si>
  <si>
    <t xml:space="preserve">              HECTAREAS</t>
  </si>
  <si>
    <t>3-INSPECCION CANAL VILLA E HIJUELA LOS REYUNOS</t>
  </si>
  <si>
    <t>3-INSPECCION CANAL SOCAVON - FRUGONI Y MARCO UN</t>
  </si>
  <si>
    <t>3-INSPECCION LAS PAREDES</t>
  </si>
  <si>
    <t>3-INSPECCION PRIMERA DIAMANTE (PAVÉZ - SALAS - CUADRO NAC - 1 Y 2DA BOMBAL)</t>
  </si>
  <si>
    <t>3-INSPECCION CANAL MZ.EL CERRITO Y DERIVADOS (CERRITO - BALLOFET)</t>
  </si>
  <si>
    <t>3-INSPECCION CANAL TOLEDANO</t>
  </si>
  <si>
    <t xml:space="preserve">3-INSPECCION RAMA LA LLAVE - PIQUILLIN </t>
  </si>
  <si>
    <t>3-INSPECCION CANAL CEJAS DEL MONTE E HIJ.VICUÑA</t>
  </si>
  <si>
    <t>3-INSPECCION HIJUELA COL. ALGARROBAL</t>
  </si>
  <si>
    <t>3-INSPECCION CANAL MZ.GOUDGE  - HIJ. ESTANCIA</t>
  </si>
  <si>
    <t>3-INSPECCION CANAL MZ.VIDALINO</t>
  </si>
  <si>
    <t>3-INSPECCION CANAL ELENA-DIRECTO</t>
  </si>
  <si>
    <t>3-INSPECCION ARROYO DEL MEDIO Y CIENEGAS DEL TORAN</t>
  </si>
  <si>
    <t>3-INSPECCION  DES.GRAL.DEL NORTE-CANAL RESOLANA</t>
  </si>
  <si>
    <t>3-INSPECCION COLONIA ESPAÑOLA-UNIFICADA - CANAL RETAMITO</t>
  </si>
  <si>
    <t>3-INSPECCION UNIFICADA LOS CLAVELES  (CL. DAY FORTE E HIJ LOS CLAVELES)</t>
  </si>
  <si>
    <t>3-INSPECCION SANTA MARIA DEL VENCEDOR (SERU C - GRANDE - SAUCE DE LA LEONA - CORTADERAL - R CAIDA GONZ)</t>
  </si>
  <si>
    <t>3-INSPECCION UNIFICADA DE RAMA CAIDA (RAMA CAIDA, - CUBILLOS - GUTIERREZ - SALINAS)</t>
  </si>
  <si>
    <t>3-INSPECCION CANADA SECA-UNIFICADA (BARRUTTI - DEL MEDIO Y SAUCE DE LAS ROSAS)</t>
  </si>
  <si>
    <t>MI</t>
  </si>
  <si>
    <t>REVESTIMIENTO CANAL VISTA FLORES</t>
  </si>
  <si>
    <t>Raul Bourguet</t>
  </si>
  <si>
    <t>Canal Vista Flores</t>
  </si>
  <si>
    <t>Manantiales de Tunuyán - Z. Centro</t>
  </si>
  <si>
    <t>Arroyo Salas Caroca</t>
  </si>
  <si>
    <t>Canal La Quebrada Superior</t>
  </si>
  <si>
    <t>Hij. La Pampa</t>
  </si>
  <si>
    <t>Canal Esquina</t>
  </si>
  <si>
    <t>Canal El Peral</t>
  </si>
  <si>
    <t>Hij. Gualtallary</t>
  </si>
  <si>
    <t>Canal Rincón</t>
  </si>
  <si>
    <t>Canal Mz. Valle de Uco Margen Derecha</t>
  </si>
  <si>
    <t>Demetrio Fortugno</t>
  </si>
  <si>
    <t>Subdelegacion Río Tunuyan Superior</t>
  </si>
  <si>
    <t>VALOR BRUTO DE LA PRODUCCIÓN - CUENCA RÍO TUNUYÁN SUPERIOR</t>
  </si>
  <si>
    <t>Forestales</t>
  </si>
  <si>
    <t>Hortalizas</t>
  </si>
  <si>
    <t>Pasturas</t>
  </si>
  <si>
    <t>3-INSPECCION DEL ARROYO GUIÑAZU Y DERIVADOS</t>
  </si>
  <si>
    <t>4-INSPECCION HIJUELA LA PAMPA</t>
  </si>
  <si>
    <t>4-INSPECCION MATRIZ ESTE-UNIFICADO</t>
  </si>
  <si>
    <t>3-INSPECCION CANAL MZ.VALLE DE UCO</t>
  </si>
  <si>
    <t>3-INSPECCION YAUCHA-AGUANDA-UNIFICADA</t>
  </si>
  <si>
    <t>Dique V de Uco</t>
  </si>
  <si>
    <t>3-ASOCIACION A. Y VERT. DEL RIO TUNUYAN SUPERIOR</t>
  </si>
  <si>
    <t>3-ASOCIACION INSPEC.CAUCES DE TUPUNGATO</t>
  </si>
  <si>
    <t>3-INSPECCION CONCESION DEMETRIO FORTUGNO</t>
  </si>
  <si>
    <t xml:space="preserve">Revestimiento y/o reparación </t>
  </si>
  <si>
    <t>JULIO AGUADO</t>
  </si>
  <si>
    <t>METALICA</t>
  </si>
  <si>
    <t>REVESTIMIENTO Y/O REP. CANALETA HIJUELA PAREJAS</t>
  </si>
  <si>
    <t>RAUL JOFRE</t>
  </si>
  <si>
    <t>Andres Toso</t>
  </si>
  <si>
    <t>Correccion s/Fla de Moritz por DI</t>
  </si>
  <si>
    <t>REVESTIMIENTO CANAL CAPACHO</t>
  </si>
  <si>
    <t>REVESTIMIENTO CANAL MATRIZ A° GUIÑAZU</t>
  </si>
  <si>
    <t>Roberto Koucourek</t>
  </si>
  <si>
    <t>REVESTIMIENTO CANAL CONSULTA RAMA CENTRO</t>
  </si>
  <si>
    <t>Jorge Martíni</t>
  </si>
  <si>
    <t xml:space="preserve">Revestimiento </t>
  </si>
  <si>
    <t>REVESTIMIENTO CANAL PAMPA O SALTO</t>
  </si>
  <si>
    <t>Roberto Cavallaro</t>
  </si>
  <si>
    <t>REVESTIMIENTO 10 PARTIDORES CANAL RAMA DE AFUERA</t>
  </si>
  <si>
    <t>LOPEZ RAUL</t>
  </si>
  <si>
    <t>RIO TUNUYAN SUPERIOR</t>
  </si>
  <si>
    <t>Totales según prioridad.</t>
  </si>
  <si>
    <t>Prioridad</t>
  </si>
  <si>
    <t>RIOS</t>
  </si>
  <si>
    <t>Monto          Acumulado</t>
  </si>
  <si>
    <t>R. Mza.</t>
  </si>
  <si>
    <t>R. Tun. Inf.</t>
  </si>
  <si>
    <t>R. Tun. Sup.</t>
  </si>
  <si>
    <t>R. Diam.</t>
  </si>
  <si>
    <t xml:space="preserve">R. Atuel </t>
  </si>
  <si>
    <t>R. Malarg</t>
  </si>
  <si>
    <t>OBRA ELECTROMEC</t>
  </si>
  <si>
    <t>REPARACION Y MANTENIMIENTO</t>
  </si>
  <si>
    <t>Subdelegado</t>
  </si>
  <si>
    <t xml:space="preserve">ESRTRUCTURAS </t>
  </si>
  <si>
    <t>DIQUE CABECERA</t>
  </si>
  <si>
    <t>RECONSTRUCCIÓN Y COMPUERTAS NUEVAS (9) Y HOJA MÓVILES (2)</t>
  </si>
  <si>
    <t>Tableros Canal Reducción</t>
  </si>
  <si>
    <t>Tableros Canal San Martín</t>
  </si>
  <si>
    <t>GRAN MATRIZ</t>
  </si>
  <si>
    <t>SUMA S/PRIORIDAD</t>
  </si>
  <si>
    <t>PTOS</t>
  </si>
  <si>
    <t>Dique Las Tunas- Mantenimiento y reparación de compuertas</t>
  </si>
  <si>
    <t>Mantenimiento y reparación</t>
  </si>
  <si>
    <t>Julio Aguado</t>
  </si>
  <si>
    <t>Viñedos de alta gama</t>
  </si>
  <si>
    <t>ICAT</t>
  </si>
  <si>
    <t>I.C.A.T.</t>
  </si>
  <si>
    <t>a distrib</t>
  </si>
  <si>
    <t>Mendoza</t>
  </si>
  <si>
    <t>Inferior</t>
  </si>
  <si>
    <t>Superior</t>
  </si>
  <si>
    <t>Diamante</t>
  </si>
  <si>
    <t>Atuel</t>
  </si>
  <si>
    <t>Malargüe</t>
  </si>
  <si>
    <t>PASAR MAÑANA</t>
  </si>
  <si>
    <t>% revestim</t>
  </si>
  <si>
    <t>ok</t>
  </si>
  <si>
    <t>PASAR MAÑANA has</t>
  </si>
  <si>
    <t>verif % revestim insp</t>
  </si>
  <si>
    <t>PLAN DE 0BRAS 2019 RIO TUNUYAN INFERIOR</t>
  </si>
  <si>
    <t>OBRAS PRIORITARIAS</t>
  </si>
  <si>
    <t>Inspección</t>
  </si>
  <si>
    <t>Monto</t>
  </si>
  <si>
    <t>Acum</t>
  </si>
  <si>
    <t>Ptos</t>
  </si>
  <si>
    <t>Observación</t>
  </si>
  <si>
    <t>Subdelegación</t>
  </si>
  <si>
    <t>Compuerta Nº1 Dique Benegas</t>
  </si>
  <si>
    <t>Disminución de 4 copuertas</t>
  </si>
  <si>
    <t>Tablero e Instalación eléctrica Darsena</t>
  </si>
  <si>
    <t>Impermeab. Tramos Críticos Red Secundaria Hijuela 7ma Zapata</t>
  </si>
  <si>
    <t>Disminución de longitud</t>
  </si>
  <si>
    <t>Impermeab. Canal Norte de calle Robert a Molina</t>
  </si>
  <si>
    <t>Canal Norte e Hijuela Guevara</t>
  </si>
  <si>
    <t>Revestimiento Tramo Rama Henriquez</t>
  </si>
  <si>
    <t>Impermeab. Rama Mundo Nuevo Hijuela Bergara</t>
  </si>
  <si>
    <t>Canal Tramo Medio</t>
  </si>
  <si>
    <t>Impermeabilización Hijuela Sarramea</t>
  </si>
  <si>
    <t>Hijuelas Directas Canal Mtz San Martín</t>
  </si>
  <si>
    <t>Revestimiento Hijuela Nº6-Canal Nuevo Gil</t>
  </si>
  <si>
    <t>Revestimiento Rama Godoy</t>
  </si>
  <si>
    <t>Impermeab. Rama Moyano</t>
  </si>
  <si>
    <t>Canal Mtz. Constitución</t>
  </si>
  <si>
    <t>Impermeab. Hijuela Los Yoles</t>
  </si>
  <si>
    <t>Canal Mtz. Reducción</t>
  </si>
  <si>
    <t>Impermeab. Rama Chimbas</t>
  </si>
  <si>
    <t>Rama Chimbas</t>
  </si>
  <si>
    <t>Impermeab. Canal Otoyanes</t>
  </si>
  <si>
    <t>Canal Otoyanes</t>
  </si>
  <si>
    <t>Impermeab. Rama Norte Tramo III</t>
  </si>
  <si>
    <t>Rama La Paz y CD</t>
  </si>
  <si>
    <t>Reparación Losas Canal La Paz</t>
  </si>
  <si>
    <t>Canal Mtz. La Paz</t>
  </si>
  <si>
    <t>Impermeab. Tramo Canal Santa Rosa</t>
  </si>
  <si>
    <t>Impermeab. Hijuela Suarez</t>
  </si>
  <si>
    <t>Impermeab. Hijuela Nº3</t>
  </si>
  <si>
    <t>Impermeab. Rama Norte Tramo II</t>
  </si>
  <si>
    <t>Revestimiento Canal Río Bamba</t>
  </si>
  <si>
    <t>Canales de Medrano y Der</t>
  </si>
  <si>
    <t>Rama Sur Alto Verde Impermeab. Hijuela Nº19</t>
  </si>
  <si>
    <t>Impermeab. Rama Norte Tramo I</t>
  </si>
  <si>
    <t>OBRAS QUE NO SE VAN A EJECUTAR</t>
  </si>
  <si>
    <t>Revestimiento Canal Chacabuco Tramo XII</t>
  </si>
  <si>
    <t>Canal Chacabuco Arboles</t>
  </si>
  <si>
    <t>Reparación y Mantenimiento Losas</t>
  </si>
  <si>
    <t>Revestimiento Canal Mtz. Nuevo Gil</t>
  </si>
  <si>
    <t>Dique Benegas compuertas 9-10-11-19</t>
  </si>
  <si>
    <t>Impermeabi.  Rama Mundo Nuevo- Desareno Ortega</t>
  </si>
  <si>
    <t>Impermeab. Rama Norte Alto Verde C. Guajardo a C. Vega</t>
  </si>
  <si>
    <t>Adecuación Toma Canal Otoyanes</t>
  </si>
  <si>
    <t xml:space="preserve">Dique T.Benegas   Reparacion Comp. Nº 1 </t>
  </si>
  <si>
    <t>Disminución de sist de ejec</t>
  </si>
  <si>
    <t>no se ejecuta salvo excedentes $$$</t>
  </si>
  <si>
    <t>PRIORITARIA</t>
  </si>
  <si>
    <t>SECUNDARIA</t>
  </si>
  <si>
    <t>Ø 0,50</t>
  </si>
  <si>
    <t>ajo</t>
  </si>
  <si>
    <t>medio</t>
  </si>
  <si>
    <t xml:space="preserve">REVESTIMIENTO DE HIJUELAS </t>
  </si>
  <si>
    <t>oregano/ajo</t>
  </si>
  <si>
    <t>Mantenimiento compuertas Nº  13y14 - Dique Cipolletti</t>
  </si>
  <si>
    <t>Q =</t>
  </si>
  <si>
    <r>
      <t>[m</t>
    </r>
    <r>
      <rPr>
        <vertAlign val="superscript"/>
        <sz val="8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/seg]</t>
    </r>
  </si>
  <si>
    <r>
      <t>t</t>
    </r>
    <r>
      <rPr>
        <b/>
        <vertAlign val="subscript"/>
        <sz val="11"/>
        <color indexed="8"/>
        <rFont val="Calibri"/>
        <family val="2"/>
      </rPr>
      <t>n</t>
    </r>
    <r>
      <rPr>
        <b/>
        <sz val="11"/>
        <color indexed="8"/>
        <rFont val="Calibri"/>
        <family val="2"/>
      </rPr>
      <t xml:space="preserve"> =</t>
    </r>
  </si>
  <si>
    <r>
      <t>[m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</si>
  <si>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b/>
        <vertAlign val="subscript"/>
        <sz val="11"/>
        <color indexed="8"/>
        <rFont val="Calibri"/>
        <family val="2"/>
      </rPr>
      <t>c</t>
    </r>
    <r>
      <rPr>
        <b/>
        <sz val="11"/>
        <color indexed="8"/>
        <rFont val="Calibri"/>
        <family val="2"/>
      </rPr>
      <t xml:space="preserve"> =</t>
    </r>
  </si>
  <si>
    <t>b =</t>
  </si>
  <si>
    <r>
      <t>v</t>
    </r>
    <r>
      <rPr>
        <b/>
        <vertAlign val="subscript"/>
        <sz val="11"/>
        <color indexed="8"/>
        <rFont val="Calibri"/>
        <family val="2"/>
      </rPr>
      <t>n</t>
    </r>
    <r>
      <rPr>
        <b/>
        <sz val="11"/>
        <color indexed="8"/>
        <rFont val="Calibri"/>
        <family val="2"/>
      </rPr>
      <t xml:space="preserve"> =</t>
    </r>
  </si>
  <si>
    <r>
      <t>[m</t>
    </r>
    <r>
      <rPr>
        <sz val="11"/>
        <color theme="1"/>
        <rFont val="Calibri"/>
        <family val="2"/>
        <scheme val="minor"/>
      </rPr>
      <t>/seg]</t>
    </r>
  </si>
  <si>
    <r>
      <t>v</t>
    </r>
    <r>
      <rPr>
        <b/>
        <vertAlign val="subscript"/>
        <sz val="11"/>
        <color indexed="8"/>
        <rFont val="Calibri"/>
        <family val="2"/>
      </rPr>
      <t>c</t>
    </r>
    <r>
      <rPr>
        <b/>
        <sz val="11"/>
        <color indexed="8"/>
        <rFont val="Calibri"/>
        <family val="2"/>
      </rPr>
      <t xml:space="preserve"> =</t>
    </r>
  </si>
  <si>
    <t>z =</t>
  </si>
  <si>
    <r>
      <t>hv</t>
    </r>
    <r>
      <rPr>
        <b/>
        <vertAlign val="subscript"/>
        <sz val="11"/>
        <color indexed="8"/>
        <rFont val="Calibri"/>
        <family val="2"/>
      </rPr>
      <t>n</t>
    </r>
    <r>
      <rPr>
        <b/>
        <sz val="11"/>
        <color indexed="8"/>
        <rFont val="Calibri"/>
        <family val="2"/>
      </rPr>
      <t xml:space="preserve"> =</t>
    </r>
  </si>
  <si>
    <r>
      <t>hv</t>
    </r>
    <r>
      <rPr>
        <b/>
        <vertAlign val="subscript"/>
        <sz val="11"/>
        <color indexed="8"/>
        <rFont val="Calibri"/>
        <family val="2"/>
      </rPr>
      <t>c</t>
    </r>
    <r>
      <rPr>
        <b/>
        <sz val="11"/>
        <color indexed="8"/>
        <rFont val="Calibri"/>
        <family val="2"/>
      </rPr>
      <t xml:space="preserve"> =</t>
    </r>
  </si>
  <si>
    <t>io =</t>
  </si>
  <si>
    <r>
      <rPr>
        <b/>
        <sz val="14"/>
        <color indexed="8"/>
        <rFont val="Symbol"/>
        <family val="1"/>
        <charset val="2"/>
      </rPr>
      <t>e</t>
    </r>
    <r>
      <rPr>
        <b/>
        <vertAlign val="subscript"/>
        <sz val="11"/>
        <color indexed="8"/>
        <rFont val="Calibri"/>
        <family val="2"/>
      </rPr>
      <t xml:space="preserve">n </t>
    </r>
    <r>
      <rPr>
        <b/>
        <sz val="11"/>
        <color indexed="8"/>
        <rFont val="Calibri"/>
        <family val="2"/>
      </rPr>
      <t>=</t>
    </r>
  </si>
  <si>
    <r>
      <rPr>
        <b/>
        <sz val="14"/>
        <color indexed="8"/>
        <rFont val="Symbol"/>
        <family val="1"/>
        <charset val="2"/>
      </rPr>
      <t>e</t>
    </r>
    <r>
      <rPr>
        <b/>
        <vertAlign val="subscript"/>
        <sz val="11"/>
        <color indexed="8"/>
        <rFont val="Calibri"/>
        <family val="2"/>
      </rPr>
      <t xml:space="preserve">c </t>
    </r>
    <r>
      <rPr>
        <b/>
        <sz val="11"/>
        <color indexed="8"/>
        <rFont val="Calibri"/>
        <family val="2"/>
      </rPr>
      <t>=</t>
    </r>
  </si>
  <si>
    <t>n =</t>
  </si>
  <si>
    <r>
      <t>[seg/m</t>
    </r>
    <r>
      <rPr>
        <vertAlign val="superscript"/>
        <sz val="11"/>
        <color indexed="8"/>
        <rFont val="Calibri"/>
        <family val="2"/>
      </rPr>
      <t>1/3</t>
    </r>
    <r>
      <rPr>
        <sz val="11"/>
        <color theme="1"/>
        <rFont val="Calibri"/>
        <family val="2"/>
        <scheme val="minor"/>
      </rPr>
      <t>]</t>
    </r>
  </si>
  <si>
    <t>e =</t>
  </si>
  <si>
    <t>[mm]</t>
  </si>
  <si>
    <t>T =</t>
  </si>
  <si>
    <r>
      <t>[m</t>
    </r>
    <r>
      <rPr>
        <b/>
        <sz val="8"/>
        <color indexed="8"/>
        <rFont val="Helv"/>
      </rPr>
      <t>²</t>
    </r>
    <r>
      <rPr>
        <b/>
        <sz val="9"/>
        <color indexed="8"/>
        <rFont val="Helv"/>
      </rPr>
      <t>/seg]</t>
    </r>
  </si>
  <si>
    <t>d =</t>
  </si>
  <si>
    <t>Rh =</t>
  </si>
  <si>
    <t>[m]</t>
  </si>
  <si>
    <t>Fr =</t>
  </si>
  <si>
    <t>Ø =</t>
  </si>
  <si>
    <t>Rev =</t>
  </si>
  <si>
    <t>Re =</t>
  </si>
  <si>
    <t>H =</t>
  </si>
  <si>
    <t>f =</t>
  </si>
  <si>
    <r>
      <t>[seg/m</t>
    </r>
    <r>
      <rPr>
        <b/>
        <vertAlign val="superscript"/>
        <sz val="9"/>
        <color indexed="8"/>
        <rFont val="Arial"/>
        <family val="2"/>
      </rPr>
      <t>1/3</t>
    </r>
    <r>
      <rPr>
        <b/>
        <sz val="9"/>
        <color indexed="8"/>
        <rFont val="Arial"/>
        <family val="2"/>
      </rPr>
      <t>]</t>
    </r>
  </si>
  <si>
    <r>
      <t>b</t>
    </r>
    <r>
      <rPr>
        <b/>
        <vertAlign val="subscript"/>
        <sz val="10"/>
        <color indexed="8"/>
        <rFont val="Arial"/>
        <family val="2"/>
      </rPr>
      <t>opt</t>
    </r>
    <r>
      <rPr>
        <b/>
        <sz val="10"/>
        <color indexed="8"/>
        <rFont val="Arial"/>
        <family val="2"/>
      </rPr>
      <t xml:space="preserve"> =</t>
    </r>
  </si>
  <si>
    <t>m</t>
  </si>
  <si>
    <r>
      <t>t</t>
    </r>
    <r>
      <rPr>
        <vertAlign val="subscript"/>
        <sz val="11"/>
        <color indexed="8"/>
        <rFont val="Calibri"/>
        <family val="2"/>
      </rPr>
      <t>opt</t>
    </r>
    <r>
      <rPr>
        <sz val="11"/>
        <color theme="1"/>
        <rFont val="Calibri"/>
        <family val="2"/>
        <scheme val="minor"/>
      </rPr>
      <t xml:space="preserve"> =</t>
    </r>
  </si>
  <si>
    <t>c =</t>
  </si>
  <si>
    <r>
      <t>Rev</t>
    </r>
    <r>
      <rPr>
        <vertAlign val="subscript"/>
        <sz val="11"/>
        <color indexed="8"/>
        <rFont val="Calibri"/>
        <family val="2"/>
      </rPr>
      <t>opt</t>
    </r>
    <r>
      <rPr>
        <sz val="11"/>
        <color theme="1"/>
        <rFont val="Calibri"/>
        <family val="2"/>
        <scheme val="minor"/>
      </rPr>
      <t xml:space="preserve"> =</t>
    </r>
  </si>
  <si>
    <t>L =</t>
  </si>
  <si>
    <r>
      <t>H</t>
    </r>
    <r>
      <rPr>
        <vertAlign val="subscript"/>
        <sz val="11"/>
        <color indexed="8"/>
        <rFont val="Calibri"/>
        <family val="2"/>
      </rPr>
      <t>opt</t>
    </r>
    <r>
      <rPr>
        <sz val="11"/>
        <color theme="1"/>
        <rFont val="Calibri"/>
        <family val="2"/>
        <scheme val="minor"/>
      </rPr>
      <t xml:space="preserve"> =</t>
    </r>
  </si>
  <si>
    <t>Vol  Hº=</t>
  </si>
  <si>
    <r>
      <t>m</t>
    </r>
    <r>
      <rPr>
        <vertAlign val="superscript"/>
        <sz val="11"/>
        <color indexed="8"/>
        <rFont val="Calibri"/>
        <family val="2"/>
      </rPr>
      <t xml:space="preserve">3 </t>
    </r>
    <r>
      <rPr>
        <sz val="11"/>
        <color theme="1"/>
        <rFont val="Calibri"/>
        <family val="2"/>
        <scheme val="minor"/>
      </rPr>
      <t>/m</t>
    </r>
  </si>
  <si>
    <t>Arm. max =</t>
  </si>
  <si>
    <r>
      <t>kg/m</t>
    </r>
    <r>
      <rPr>
        <vertAlign val="superscript"/>
        <sz val="11"/>
        <color indexed="8"/>
        <rFont val="Calibri"/>
        <family val="2"/>
      </rPr>
      <t xml:space="preserve">3 </t>
    </r>
  </si>
  <si>
    <t>N =</t>
  </si>
  <si>
    <t>Prec. Hormigón</t>
  </si>
  <si>
    <r>
      <t>$/m</t>
    </r>
    <r>
      <rPr>
        <vertAlign val="superscript"/>
        <sz val="11"/>
        <color indexed="8"/>
        <rFont val="Calibri"/>
        <family val="2"/>
      </rPr>
      <t>3</t>
    </r>
  </si>
  <si>
    <t>Vel =</t>
  </si>
  <si>
    <t>[m/seg]</t>
  </si>
  <si>
    <t>Prec. Aceros =</t>
  </si>
  <si>
    <t>$/kg</t>
  </si>
  <si>
    <t>ITEM</t>
  </si>
  <si>
    <t>COSTO U</t>
  </si>
  <si>
    <t>INC</t>
  </si>
  <si>
    <t>Desperd Hº</t>
  </si>
  <si>
    <t>LYPT</t>
  </si>
  <si>
    <t>ARMADURAS</t>
  </si>
  <si>
    <t>Desperd Acero</t>
  </si>
  <si>
    <t>HORM</t>
  </si>
  <si>
    <t>diam</t>
  </si>
  <si>
    <t>Incid. Mov Suelos</t>
  </si>
  <si>
    <t>ACERO</t>
  </si>
  <si>
    <t>#</t>
  </si>
  <si>
    <t>Incid. Obras de arte.</t>
  </si>
  <si>
    <t>M0V.S.</t>
  </si>
  <si>
    <t>arm</t>
  </si>
  <si>
    <t>Costo Estim. =</t>
  </si>
  <si>
    <t>$/ml</t>
  </si>
  <si>
    <t>OB.ART</t>
  </si>
  <si>
    <t>Long =</t>
  </si>
  <si>
    <t>Precio Estim. =</t>
  </si>
  <si>
    <t>$</t>
  </si>
  <si>
    <t>Revestimiento canal Santa Rita-Progreso</t>
  </si>
  <si>
    <t xml:space="preserve">Revestimiento en hormigón </t>
  </si>
  <si>
    <t>Miguel Beccaría</t>
  </si>
  <si>
    <t>Licitación /m</t>
  </si>
  <si>
    <t>Revestimiento Hijuela Morales (entre Maza y Ozamis)</t>
  </si>
  <si>
    <t>REVESTIMIENTO TRAMO CALLE F A CALLE G</t>
  </si>
  <si>
    <t>pedida fuera de tiempo</t>
  </si>
  <si>
    <t>Reparacion de tableros Tablero e instalación electrica en compartos.</t>
  </si>
  <si>
    <t>alta</t>
  </si>
  <si>
    <t>RES</t>
  </si>
  <si>
    <t>Revestimiento Canal Barrancas</t>
  </si>
  <si>
    <t>s/p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</si>
</sst>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[$$-2C0A]\ #,##0"/>
    <numFmt numFmtId="165" formatCode="[$$-2C0A]\ #,##0.00"/>
    <numFmt numFmtId="166" formatCode="&quot;$&quot;\ #,##0.00"/>
    <numFmt numFmtId="167" formatCode="0.0%"/>
    <numFmt numFmtId="168" formatCode="0.000"/>
    <numFmt numFmtId="169" formatCode="0.0"/>
    <numFmt numFmtId="170" formatCode="[$USD]\ #,##0.00"/>
    <numFmt numFmtId="171" formatCode="_-&quot;$&quot;* #,##0.00_-;\-&quot;$&quot;* #,##0.00_-;_-&quot;$&quot;* &quot;-&quot;??_-;_-@_-"/>
    <numFmt numFmtId="172" formatCode="&quot;$&quot;\ #,##0"/>
    <numFmt numFmtId="173" formatCode="0.00&quot; U$S/ha&quot;"/>
    <numFmt numFmtId="174" formatCode="General_)"/>
    <numFmt numFmtId="175" formatCode="0.00000000"/>
    <numFmt numFmtId="176" formatCode="0.0000"/>
    <numFmt numFmtId="177" formatCode="0.000%"/>
    <numFmt numFmtId="178" formatCode="0.00_)"/>
  </numFmts>
  <fonts count="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vertAlign val="subscript"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i/>
      <vertAlign val="subscript"/>
      <sz val="2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i/>
      <vertAlign val="subscript"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sz val="9"/>
      <color rgb="FF262626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  <scheme val="minor"/>
    </font>
    <font>
      <sz val="10"/>
      <color theme="1"/>
      <name val="Tahoma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Helv"/>
    </font>
    <font>
      <vertAlign val="superscript"/>
      <sz val="8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Symbol"/>
      <family val="1"/>
      <charset val="2"/>
    </font>
    <font>
      <b/>
      <sz val="9"/>
      <color theme="1"/>
      <name val="Arial"/>
      <family val="2"/>
    </font>
    <font>
      <vertAlign val="superscript"/>
      <sz val="11"/>
      <color indexed="8"/>
      <name val="Calibri"/>
      <family val="2"/>
    </font>
    <font>
      <b/>
      <sz val="9"/>
      <color theme="1"/>
      <name val="Symbol"/>
      <family val="1"/>
      <charset val="2"/>
    </font>
    <font>
      <sz val="9"/>
      <color theme="1"/>
      <name val="Arial"/>
      <family val="2"/>
    </font>
    <font>
      <b/>
      <sz val="8"/>
      <color indexed="8"/>
      <name val="Helv"/>
    </font>
    <font>
      <b/>
      <sz val="9"/>
      <color indexed="8"/>
      <name val="Helv"/>
    </font>
    <font>
      <b/>
      <vertAlign val="superscript"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color indexed="8"/>
      <name val="Arial"/>
      <family val="2"/>
    </font>
    <font>
      <vertAlign val="subscript"/>
      <sz val="11"/>
      <color indexed="8"/>
      <name val="Calibri"/>
      <family val="2"/>
    </font>
    <font>
      <b/>
      <sz val="10"/>
      <color theme="1"/>
      <name val="Helv"/>
    </font>
    <font>
      <sz val="9"/>
      <color theme="1"/>
      <name val="Helv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15">
    <xf numFmtId="0" fontId="0" fillId="0" borderId="0" xfId="0"/>
    <xf numFmtId="0" fontId="0" fillId="0" borderId="0" xfId="0" applyFont="1"/>
    <xf numFmtId="0" fontId="0" fillId="0" borderId="7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Font="1" applyBorder="1"/>
    <xf numFmtId="9" fontId="0" fillId="0" borderId="7" xfId="0" applyNumberFormat="1" applyFont="1" applyBorder="1"/>
    <xf numFmtId="0" fontId="0" fillId="0" borderId="7" xfId="0" applyFont="1" applyBorder="1" applyAlignment="1">
      <alignment horizontal="right"/>
    </xf>
    <xf numFmtId="164" fontId="0" fillId="0" borderId="7" xfId="0" applyNumberFormat="1" applyFont="1" applyBorder="1"/>
    <xf numFmtId="9" fontId="0" fillId="0" borderId="7" xfId="0" applyNumberFormat="1" applyFont="1" applyBorder="1" applyAlignment="1">
      <alignment horizontal="right"/>
    </xf>
    <xf numFmtId="0" fontId="0" fillId="0" borderId="0" xfId="0" applyAlignment="1">
      <alignment vertical="center"/>
    </xf>
    <xf numFmtId="0" fontId="0" fillId="0" borderId="13" xfId="0" applyFont="1" applyBorder="1"/>
    <xf numFmtId="0" fontId="0" fillId="0" borderId="14" xfId="0" applyFont="1" applyBorder="1"/>
    <xf numFmtId="0" fontId="1" fillId="0" borderId="2" xfId="0" applyFont="1" applyBorder="1"/>
    <xf numFmtId="9" fontId="0" fillId="0" borderId="10" xfId="0" applyNumberFormat="1" applyFont="1" applyBorder="1"/>
    <xf numFmtId="0" fontId="0" fillId="0" borderId="10" xfId="0" applyFont="1" applyBorder="1" applyAlignment="1">
      <alignment horizontal="right"/>
    </xf>
    <xf numFmtId="164" fontId="0" fillId="0" borderId="10" xfId="0" applyNumberFormat="1" applyFont="1" applyBorder="1"/>
    <xf numFmtId="9" fontId="0" fillId="0" borderId="10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Fill="1" applyBorder="1" applyAlignment="1"/>
    <xf numFmtId="0" fontId="1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0" fillId="2" borderId="21" xfId="0" applyFont="1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vertic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applyFont="1" applyBorder="1"/>
    <xf numFmtId="0" fontId="0" fillId="0" borderId="9" xfId="0" applyFont="1" applyBorder="1"/>
    <xf numFmtId="0" fontId="1" fillId="2" borderId="26" xfId="0" applyFont="1" applyFill="1" applyBorder="1" applyAlignment="1">
      <alignment horizontal="center" vertical="center"/>
    </xf>
    <xf numFmtId="9" fontId="0" fillId="0" borderId="24" xfId="0" applyNumberFormat="1" applyFont="1" applyBorder="1"/>
    <xf numFmtId="9" fontId="0" fillId="0" borderId="25" xfId="0" applyNumberFormat="1" applyFont="1" applyBorder="1"/>
    <xf numFmtId="0" fontId="2" fillId="0" borderId="17" xfId="0" applyFont="1" applyFill="1" applyBorder="1" applyAlignment="1"/>
    <xf numFmtId="0" fontId="1" fillId="0" borderId="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7" fillId="2" borderId="20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7" xfId="0" applyFont="1" applyBorder="1"/>
    <xf numFmtId="0" fontId="16" fillId="0" borderId="10" xfId="0" applyFont="1" applyBorder="1"/>
    <xf numFmtId="0" fontId="1" fillId="2" borderId="2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8" xfId="0" applyFont="1" applyFill="1" applyBorder="1" applyAlignment="1">
      <alignment vertical="center"/>
    </xf>
    <xf numFmtId="0" fontId="19" fillId="4" borderId="7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0" fillId="0" borderId="7" xfId="0" applyFont="1" applyBorder="1" applyAlignment="1">
      <alignment horizontal="right" vertical="center"/>
    </xf>
    <xf numFmtId="9" fontId="0" fillId="4" borderId="7" xfId="0" applyNumberFormat="1" applyFont="1" applyFill="1" applyBorder="1" applyAlignment="1">
      <alignment horizontal="right" vertical="center"/>
    </xf>
    <xf numFmtId="0" fontId="19" fillId="0" borderId="7" xfId="0" applyFont="1" applyBorder="1" applyAlignment="1">
      <alignment horizontal="right" vertical="center"/>
    </xf>
    <xf numFmtId="2" fontId="19" fillId="0" borderId="7" xfId="0" applyNumberFormat="1" applyFont="1" applyBorder="1" applyAlignment="1">
      <alignment vertical="center"/>
    </xf>
    <xf numFmtId="164" fontId="19" fillId="5" borderId="7" xfId="0" applyNumberFormat="1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10" fontId="19" fillId="4" borderId="7" xfId="0" applyNumberFormat="1" applyFont="1" applyFill="1" applyBorder="1" applyAlignment="1">
      <alignment vertical="center"/>
    </xf>
    <xf numFmtId="164" fontId="19" fillId="4" borderId="7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164" fontId="0" fillId="4" borderId="7" xfId="0" applyNumberFormat="1" applyFont="1" applyFill="1" applyBorder="1" applyAlignment="1">
      <alignment vertical="center"/>
    </xf>
    <xf numFmtId="10" fontId="0" fillId="0" borderId="7" xfId="0" applyNumberFormat="1" applyFont="1" applyBorder="1" applyAlignment="1">
      <alignment horizontal="right" vertical="center"/>
    </xf>
    <xf numFmtId="0" fontId="0" fillId="4" borderId="7" xfId="0" applyFont="1" applyFill="1" applyBorder="1" applyAlignment="1">
      <alignment horizontal="right" vertical="center"/>
    </xf>
    <xf numFmtId="10" fontId="0" fillId="4" borderId="7" xfId="0" applyNumberFormat="1" applyFont="1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center"/>
    </xf>
    <xf numFmtId="164" fontId="0" fillId="6" borderId="7" xfId="0" applyNumberFormat="1" applyFont="1" applyFill="1" applyBorder="1" applyAlignment="1">
      <alignment vertical="center"/>
    </xf>
    <xf numFmtId="0" fontId="0" fillId="0" borderId="7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10" fontId="19" fillId="8" borderId="7" xfId="0" applyNumberFormat="1" applyFont="1" applyFill="1" applyBorder="1" applyAlignment="1">
      <alignment vertical="center"/>
    </xf>
    <xf numFmtId="164" fontId="19" fillId="8" borderId="7" xfId="0" applyNumberFormat="1" applyFont="1" applyFill="1" applyBorder="1" applyAlignment="1">
      <alignment vertical="center"/>
    </xf>
    <xf numFmtId="164" fontId="0" fillId="8" borderId="7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0" fillId="0" borderId="7" xfId="0" applyFont="1" applyBorder="1" applyAlignment="1">
      <alignment horizontal="center" vertical="center" wrapText="1"/>
    </xf>
    <xf numFmtId="0" fontId="16" fillId="4" borderId="7" xfId="0" applyFont="1" applyFill="1" applyBorder="1" applyAlignment="1">
      <alignment vertical="center"/>
    </xf>
    <xf numFmtId="164" fontId="19" fillId="6" borderId="7" xfId="0" applyNumberFormat="1" applyFont="1" applyFill="1" applyBorder="1" applyAlignment="1">
      <alignment vertical="center"/>
    </xf>
    <xf numFmtId="2" fontId="19" fillId="0" borderId="7" xfId="0" applyNumberFormat="1" applyFont="1" applyBorder="1" applyAlignment="1">
      <alignment horizontal="right" vertical="center"/>
    </xf>
    <xf numFmtId="164" fontId="19" fillId="4" borderId="7" xfId="0" applyNumberFormat="1" applyFont="1" applyFill="1" applyBorder="1" applyAlignment="1">
      <alignment horizontal="right" vertical="center"/>
    </xf>
    <xf numFmtId="0" fontId="16" fillId="0" borderId="7" xfId="0" applyFont="1" applyBorder="1" applyAlignment="1">
      <alignment vertical="center"/>
    </xf>
    <xf numFmtId="9" fontId="19" fillId="4" borderId="7" xfId="0" applyNumberFormat="1" applyFont="1" applyFill="1" applyBorder="1" applyAlignment="1">
      <alignment horizontal="right" vertical="center"/>
    </xf>
    <xf numFmtId="0" fontId="16" fillId="0" borderId="7" xfId="0" applyFont="1" applyBorder="1" applyAlignment="1">
      <alignment horizontal="right" vertical="center"/>
    </xf>
    <xf numFmtId="0" fontId="16" fillId="0" borderId="13" xfId="0" applyFont="1" applyBorder="1" applyAlignment="1">
      <alignment vertical="center"/>
    </xf>
    <xf numFmtId="0" fontId="19" fillId="8" borderId="7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0" fontId="0" fillId="0" borderId="0" xfId="1" applyNumberFormat="1" applyFont="1"/>
    <xf numFmtId="0" fontId="1" fillId="0" borderId="32" xfId="0" applyFont="1" applyFill="1" applyBorder="1" applyAlignment="1">
      <alignment vertical="center" wrapText="1"/>
    </xf>
    <xf numFmtId="0" fontId="11" fillId="0" borderId="7" xfId="0" applyFont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49" fontId="20" fillId="0" borderId="35" xfId="0" applyNumberFormat="1" applyFont="1" applyBorder="1" applyAlignment="1">
      <alignment horizontal="left" vertical="top" wrapText="1"/>
    </xf>
    <xf numFmtId="2" fontId="0" fillId="0" borderId="9" xfId="0" applyNumberFormat="1" applyFont="1" applyBorder="1" applyAlignment="1">
      <alignment horizontal="center" vertical="center"/>
    </xf>
    <xf numFmtId="49" fontId="20" fillId="0" borderId="36" xfId="0" applyNumberFormat="1" applyFont="1" applyBorder="1" applyAlignment="1">
      <alignment horizontal="left" vertical="top" wrapText="1"/>
    </xf>
    <xf numFmtId="2" fontId="0" fillId="0" borderId="10" xfId="0" applyNumberFormat="1" applyFont="1" applyBorder="1" applyAlignment="1">
      <alignment horizontal="center" vertical="center"/>
    </xf>
    <xf numFmtId="49" fontId="20" fillId="0" borderId="36" xfId="0" applyNumberFormat="1" applyFont="1" applyFill="1" applyBorder="1" applyAlignment="1">
      <alignment horizontal="left" vertical="top" wrapText="1"/>
    </xf>
    <xf numFmtId="49" fontId="20" fillId="0" borderId="37" xfId="0" applyNumberFormat="1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center" vertical="center"/>
    </xf>
    <xf numFmtId="2" fontId="0" fillId="0" borderId="39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20" fillId="0" borderId="36" xfId="0" applyNumberFormat="1" applyFont="1" applyBorder="1" applyAlignment="1">
      <alignment horizontal="center" vertical="center" wrapText="1"/>
    </xf>
    <xf numFmtId="9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9" fontId="2" fillId="0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9" fontId="2" fillId="0" borderId="36" xfId="0" applyNumberFormat="1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2" fillId="0" borderId="35" xfId="0" applyNumberFormat="1" applyFont="1" applyFill="1" applyBorder="1" applyAlignment="1">
      <alignment horizontal="center" vertical="center"/>
    </xf>
    <xf numFmtId="10" fontId="2" fillId="0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2" fillId="0" borderId="0" xfId="0" applyFont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 wrapText="1"/>
    </xf>
    <xf numFmtId="2" fontId="25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 wrapText="1"/>
    </xf>
    <xf numFmtId="0" fontId="24" fillId="0" borderId="7" xfId="0" applyFont="1" applyBorder="1" applyAlignment="1">
      <alignment horizontal="center" vertical="center"/>
    </xf>
    <xf numFmtId="0" fontId="26" fillId="0" borderId="0" xfId="0" applyFont="1"/>
    <xf numFmtId="164" fontId="0" fillId="0" borderId="7" xfId="0" applyNumberFormat="1" applyFont="1" applyBorder="1" applyAlignment="1">
      <alignment horizontal="center"/>
    </xf>
    <xf numFmtId="0" fontId="2" fillId="0" borderId="17" xfId="0" applyFont="1" applyFill="1" applyBorder="1" applyAlignment="1">
      <alignment horizontal="center" vertical="center" wrapText="1"/>
    </xf>
    <xf numFmtId="49" fontId="20" fillId="0" borderId="38" xfId="0" applyNumberFormat="1" applyFont="1" applyFill="1" applyBorder="1" applyAlignment="1">
      <alignment horizontal="left" vertical="center" wrapText="1"/>
    </xf>
    <xf numFmtId="49" fontId="20" fillId="0" borderId="35" xfId="0" applyNumberFormat="1" applyFont="1" applyBorder="1" applyAlignment="1">
      <alignment horizontal="left" vertical="center" wrapText="1"/>
    </xf>
    <xf numFmtId="49" fontId="20" fillId="0" borderId="36" xfId="0" applyNumberFormat="1" applyFont="1" applyBorder="1" applyAlignment="1">
      <alignment horizontal="left" vertical="center" wrapText="1"/>
    </xf>
    <xf numFmtId="49" fontId="20" fillId="0" borderId="36" xfId="0" applyNumberFormat="1" applyFont="1" applyFill="1" applyBorder="1" applyAlignment="1">
      <alignment horizontal="left" vertical="center" wrapText="1"/>
    </xf>
    <xf numFmtId="49" fontId="20" fillId="0" borderId="37" xfId="0" applyNumberFormat="1" applyFont="1" applyBorder="1" applyAlignment="1">
      <alignment horizontal="left" vertical="center" wrapText="1"/>
    </xf>
    <xf numFmtId="0" fontId="1" fillId="2" borderId="20" xfId="0" applyFont="1" applyFill="1" applyBorder="1" applyAlignment="1">
      <alignment horizontal="center" vertical="center"/>
    </xf>
    <xf numFmtId="166" fontId="0" fillId="0" borderId="0" xfId="3" applyNumberFormat="1" applyFont="1" applyFill="1" applyAlignment="1">
      <alignment horizontal="center" vertical="center"/>
    </xf>
    <xf numFmtId="49" fontId="20" fillId="0" borderId="40" xfId="0" applyNumberFormat="1" applyFont="1" applyFill="1" applyBorder="1" applyAlignment="1">
      <alignment horizontal="left" vertical="center" wrapText="1"/>
    </xf>
    <xf numFmtId="2" fontId="0" fillId="0" borderId="41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1" fillId="2" borderId="20" xfId="0" applyNumberFormat="1" applyFont="1" applyFill="1" applyBorder="1" applyAlignment="1">
      <alignment horizontal="center" vertical="center"/>
    </xf>
    <xf numFmtId="10" fontId="0" fillId="2" borderId="21" xfId="0" applyNumberFormat="1" applyFont="1" applyFill="1" applyBorder="1" applyAlignment="1">
      <alignment vertical="center"/>
    </xf>
    <xf numFmtId="10" fontId="1" fillId="2" borderId="12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vertical="center"/>
    </xf>
    <xf numFmtId="0" fontId="0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2" fillId="0" borderId="32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7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43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4" borderId="0" xfId="0" applyFill="1" applyBorder="1"/>
    <xf numFmtId="0" fontId="27" fillId="4" borderId="7" xfId="0" applyFont="1" applyFill="1" applyBorder="1" applyAlignment="1">
      <alignment horizontal="left" vertical="center"/>
    </xf>
    <xf numFmtId="43" fontId="0" fillId="0" borderId="7" xfId="2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9" fontId="0" fillId="10" borderId="7" xfId="0" applyNumberFormat="1" applyFill="1" applyBorder="1" applyAlignment="1">
      <alignment horizontal="center" vertical="center"/>
    </xf>
    <xf numFmtId="166" fontId="0" fillId="0" borderId="7" xfId="3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43" fontId="0" fillId="0" borderId="0" xfId="0" applyNumberFormat="1"/>
    <xf numFmtId="170" fontId="1" fillId="0" borderId="42" xfId="0" applyNumberFormat="1" applyFont="1" applyBorder="1" applyAlignment="1">
      <alignment horizontal="center" vertical="center"/>
    </xf>
    <xf numFmtId="0" fontId="29" fillId="0" borderId="7" xfId="0" applyFont="1" applyBorder="1"/>
    <xf numFmtId="0" fontId="29" fillId="0" borderId="7" xfId="0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30" fillId="0" borderId="7" xfId="0" applyFont="1" applyBorder="1"/>
    <xf numFmtId="0" fontId="31" fillId="0" borderId="7" xfId="0" applyFont="1" applyBorder="1" applyAlignment="1">
      <alignment horizontal="center"/>
    </xf>
    <xf numFmtId="0" fontId="31" fillId="0" borderId="7" xfId="0" applyFont="1" applyBorder="1"/>
    <xf numFmtId="9" fontId="31" fillId="0" borderId="7" xfId="0" applyNumberFormat="1" applyFont="1" applyBorder="1" applyAlignment="1">
      <alignment horizontal="center"/>
    </xf>
    <xf numFmtId="0" fontId="0" fillId="0" borderId="7" xfId="0" applyBorder="1" applyAlignment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47" xfId="0" applyFon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wrapText="1"/>
    </xf>
    <xf numFmtId="2" fontId="0" fillId="0" borderId="0" xfId="0" applyNumberFormat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2" fillId="13" borderId="7" xfId="0" applyFont="1" applyFill="1" applyBorder="1" applyAlignment="1">
      <alignment vertical="center"/>
    </xf>
    <xf numFmtId="167" fontId="0" fillId="0" borderId="7" xfId="1" applyNumberFormat="1" applyFont="1" applyBorder="1" applyAlignment="1">
      <alignment horizontal="center" vertical="center"/>
    </xf>
    <xf numFmtId="167" fontId="0" fillId="14" borderId="7" xfId="1" applyNumberFormat="1" applyFont="1" applyFill="1" applyBorder="1" applyAlignment="1">
      <alignment horizontal="center" vertical="center"/>
    </xf>
    <xf numFmtId="44" fontId="0" fillId="0" borderId="7" xfId="3" applyFont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12" fillId="13" borderId="7" xfId="0" applyFont="1" applyFill="1" applyBorder="1" applyAlignment="1">
      <alignment vertical="justify"/>
    </xf>
    <xf numFmtId="171" fontId="0" fillId="0" borderId="0" xfId="0" applyNumberFormat="1"/>
    <xf numFmtId="0" fontId="31" fillId="0" borderId="0" xfId="0" applyFont="1"/>
    <xf numFmtId="0" fontId="0" fillId="11" borderId="0" xfId="0" applyFill="1"/>
    <xf numFmtId="0" fontId="0" fillId="0" borderId="7" xfId="0" applyFont="1" applyBorder="1" applyAlignment="1">
      <alignment horizontal="center" wrapText="1"/>
    </xf>
    <xf numFmtId="9" fontId="0" fillId="0" borderId="7" xfId="0" applyNumberFormat="1" applyFont="1" applyBorder="1" applyAlignment="1">
      <alignment horizontal="center" wrapText="1"/>
    </xf>
    <xf numFmtId="0" fontId="16" fillId="0" borderId="7" xfId="0" applyFont="1" applyBorder="1" applyAlignment="1">
      <alignment horizontal="center" vertical="center" wrapText="1"/>
    </xf>
    <xf numFmtId="9" fontId="0" fillId="0" borderId="7" xfId="0" applyNumberFormat="1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 wrapText="1"/>
    </xf>
    <xf numFmtId="172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Border="1" applyAlignment="1"/>
    <xf numFmtId="166" fontId="0" fillId="0" borderId="0" xfId="0" applyNumberFormat="1" applyFont="1" applyBorder="1" applyAlignment="1"/>
    <xf numFmtId="166" fontId="18" fillId="0" borderId="0" xfId="3" applyNumberFormat="1" applyFont="1" applyBorder="1" applyAlignment="1"/>
    <xf numFmtId="170" fontId="0" fillId="0" borderId="0" xfId="0" applyNumberFormat="1" applyFont="1" applyBorder="1" applyAlignment="1"/>
    <xf numFmtId="0" fontId="3" fillId="0" borderId="4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9" fontId="0" fillId="0" borderId="22" xfId="0" applyNumberFormat="1" applyBorder="1" applyAlignment="1">
      <alignment horizontal="center" vertical="center" wrapText="1"/>
    </xf>
    <xf numFmtId="9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9" fontId="0" fillId="4" borderId="7" xfId="0" applyNumberFormat="1" applyFon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10" fontId="0" fillId="4" borderId="7" xfId="0" applyNumberFormat="1" applyFont="1" applyFill="1" applyBorder="1" applyAlignment="1">
      <alignment horizontal="center" vertical="center"/>
    </xf>
    <xf numFmtId="165" fontId="0" fillId="4" borderId="7" xfId="0" applyNumberFormat="1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9" fontId="19" fillId="0" borderId="7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0" fillId="0" borderId="7" xfId="3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7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wrapText="1"/>
    </xf>
    <xf numFmtId="0" fontId="0" fillId="0" borderId="21" xfId="0" applyFont="1" applyBorder="1" applyAlignment="1">
      <alignment horizontal="center" vertical="center"/>
    </xf>
    <xf numFmtId="9" fontId="0" fillId="0" borderId="22" xfId="0" applyNumberFormat="1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 wrapText="1"/>
    </xf>
    <xf numFmtId="9" fontId="0" fillId="4" borderId="22" xfId="0" applyNumberFormat="1" applyFont="1" applyFill="1" applyBorder="1" applyAlignment="1">
      <alignment horizontal="center" vertical="center" wrapText="1"/>
    </xf>
    <xf numFmtId="9" fontId="17" fillId="11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166" fontId="19" fillId="0" borderId="7" xfId="0" applyNumberFormat="1" applyFont="1" applyBorder="1" applyAlignment="1">
      <alignment horizontal="center" vertical="center"/>
    </xf>
    <xf numFmtId="165" fontId="19" fillId="0" borderId="7" xfId="0" applyNumberFormat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 wrapText="1"/>
    </xf>
    <xf numFmtId="165" fontId="0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9" fontId="0" fillId="0" borderId="46" xfId="0" applyNumberFormat="1" applyBorder="1" applyAlignment="1">
      <alignment horizontal="center" vertical="center" wrapText="1"/>
    </xf>
    <xf numFmtId="164" fontId="17" fillId="11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4" fontId="17" fillId="0" borderId="7" xfId="0" applyNumberFormat="1" applyFont="1" applyBorder="1" applyAlignment="1">
      <alignment horizontal="center" vertical="center"/>
    </xf>
    <xf numFmtId="9" fontId="19" fillId="0" borderId="7" xfId="1" applyFont="1" applyBorder="1" applyAlignment="1">
      <alignment horizontal="center" vertical="center"/>
    </xf>
    <xf numFmtId="166" fontId="0" fillId="0" borderId="0" xfId="3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20" xfId="0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166" fontId="1" fillId="0" borderId="7" xfId="0" applyNumberFormat="1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left" vertical="justify"/>
    </xf>
    <xf numFmtId="166" fontId="0" fillId="0" borderId="7" xfId="2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0" borderId="43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3" fillId="12" borderId="3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left" vertical="center" wrapText="1"/>
    </xf>
    <xf numFmtId="0" fontId="0" fillId="15" borderId="7" xfId="0" applyFont="1" applyFill="1" applyBorder="1" applyAlignment="1">
      <alignment vertical="justify"/>
    </xf>
    <xf numFmtId="4" fontId="26" fillId="0" borderId="7" xfId="0" applyNumberFormat="1" applyFont="1" applyBorder="1" applyAlignment="1">
      <alignment vertical="center"/>
    </xf>
    <xf numFmtId="9" fontId="26" fillId="4" borderId="30" xfId="1" applyFont="1" applyFill="1" applyBorder="1" applyAlignment="1">
      <alignment horizontal="center" vertical="center"/>
    </xf>
    <xf numFmtId="9" fontId="26" fillId="4" borderId="36" xfId="1" applyFont="1" applyFill="1" applyBorder="1" applyAlignment="1">
      <alignment horizontal="center" vertical="center"/>
    </xf>
    <xf numFmtId="9" fontId="26" fillId="4" borderId="7" xfId="1" applyFont="1" applyFill="1" applyBorder="1" applyAlignment="1">
      <alignment horizontal="center" vertical="center"/>
    </xf>
    <xf numFmtId="9" fontId="26" fillId="15" borderId="7" xfId="1" applyFont="1" applyFill="1" applyBorder="1" applyAlignment="1">
      <alignment horizontal="center" vertical="center"/>
    </xf>
    <xf numFmtId="9" fontId="0" fillId="4" borderId="10" xfId="1" applyFont="1" applyFill="1" applyBorder="1" applyAlignment="1">
      <alignment horizontal="center" vertical="center"/>
    </xf>
    <xf numFmtId="44" fontId="26" fillId="0" borderId="12" xfId="3" applyFont="1" applyBorder="1" applyAlignment="1">
      <alignment vertical="center"/>
    </xf>
    <xf numFmtId="44" fontId="26" fillId="0" borderId="7" xfId="3" applyFont="1" applyBorder="1" applyAlignment="1">
      <alignment vertical="center"/>
    </xf>
    <xf numFmtId="9" fontId="26" fillId="0" borderId="30" xfId="1" applyFont="1" applyBorder="1" applyAlignment="1">
      <alignment horizontal="center" vertical="center"/>
    </xf>
    <xf numFmtId="0" fontId="0" fillId="15" borderId="7" xfId="0" applyFont="1" applyFill="1" applyBorder="1" applyAlignment="1"/>
    <xf numFmtId="9" fontId="0" fillId="15" borderId="10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1" fillId="0" borderId="42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/>
    <xf numFmtId="0" fontId="31" fillId="0" borderId="52" xfId="0" applyFont="1" applyBorder="1" applyAlignment="1">
      <alignment horizontal="center"/>
    </xf>
    <xf numFmtId="0" fontId="31" fillId="0" borderId="53" xfId="0" applyFont="1" applyBorder="1" applyAlignment="1">
      <alignment horizontal="center"/>
    </xf>
    <xf numFmtId="0" fontId="31" fillId="0" borderId="54" xfId="0" applyFont="1" applyBorder="1" applyAlignment="1">
      <alignment horizontal="center"/>
    </xf>
    <xf numFmtId="0" fontId="31" fillId="0" borderId="51" xfId="0" applyFont="1" applyBorder="1"/>
    <xf numFmtId="0" fontId="31" fillId="0" borderId="53" xfId="0" applyFont="1" applyBorder="1"/>
    <xf numFmtId="0" fontId="31" fillId="0" borderId="15" xfId="0" applyFont="1" applyBorder="1" applyAlignment="1">
      <alignment horizontal="center"/>
    </xf>
    <xf numFmtId="0" fontId="0" fillId="0" borderId="13" xfId="0" applyBorder="1"/>
    <xf numFmtId="9" fontId="0" fillId="0" borderId="14" xfId="0" applyNumberFormat="1" applyBorder="1" applyAlignment="1">
      <alignment horizont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56" xfId="0" applyBorder="1"/>
    <xf numFmtId="0" fontId="0" fillId="0" borderId="50" xfId="0" applyBorder="1" applyAlignment="1">
      <alignment horizontal="center"/>
    </xf>
    <xf numFmtId="0" fontId="0" fillId="0" borderId="43" xfId="0" applyBorder="1"/>
    <xf numFmtId="9" fontId="0" fillId="0" borderId="45" xfId="0" applyNumberFormat="1" applyBorder="1" applyAlignment="1">
      <alignment horizontal="center"/>
    </xf>
    <xf numFmtId="0" fontId="0" fillId="0" borderId="18" xfId="0" applyBorder="1"/>
    <xf numFmtId="0" fontId="31" fillId="0" borderId="32" xfId="0" applyFont="1" applyBorder="1"/>
    <xf numFmtId="9" fontId="31" fillId="0" borderId="39" xfId="0" applyNumberFormat="1" applyFont="1" applyBorder="1" applyAlignment="1">
      <alignment horizontal="center"/>
    </xf>
    <xf numFmtId="0" fontId="26" fillId="0" borderId="7" xfId="0" applyFont="1" applyBorder="1" applyAlignment="1">
      <alignment horizontal="center" vertical="center"/>
    </xf>
    <xf numFmtId="0" fontId="9" fillId="0" borderId="55" xfId="0" applyFont="1" applyBorder="1"/>
    <xf numFmtId="0" fontId="9" fillId="0" borderId="21" xfId="0" applyFont="1" applyBorder="1"/>
    <xf numFmtId="44" fontId="0" fillId="0" borderId="0" xfId="0" applyNumberFormat="1"/>
    <xf numFmtId="4" fontId="0" fillId="0" borderId="0" xfId="0" applyNumberFormat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6" fillId="0" borderId="0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3" fillId="16" borderId="4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17" borderId="4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2" fontId="16" fillId="0" borderId="7" xfId="0" applyNumberFormat="1" applyFont="1" applyBorder="1"/>
    <xf numFmtId="9" fontId="0" fillId="0" borderId="7" xfId="1" applyFont="1" applyBorder="1" applyAlignment="1">
      <alignment horizontal="center"/>
    </xf>
    <xf numFmtId="171" fontId="0" fillId="0" borderId="7" xfId="0" applyNumberFormat="1" applyBorder="1"/>
    <xf numFmtId="2" fontId="0" fillId="0" borderId="7" xfId="0" applyNumberFormat="1" applyBorder="1"/>
    <xf numFmtId="0" fontId="0" fillId="0" borderId="7" xfId="0" applyBorder="1" applyAlignment="1">
      <alignment horizontal="right"/>
    </xf>
    <xf numFmtId="2" fontId="16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20" fillId="0" borderId="7" xfId="0" applyNumberFormat="1" applyFont="1" applyBorder="1" applyAlignment="1">
      <alignment horizontal="left" vertical="top" wrapText="1"/>
    </xf>
    <xf numFmtId="2" fontId="19" fillId="0" borderId="7" xfId="0" applyNumberFormat="1" applyFont="1" applyBorder="1" applyAlignment="1">
      <alignment horizontal="center"/>
    </xf>
    <xf numFmtId="2" fontId="0" fillId="0" borderId="0" xfId="0" applyNumberFormat="1"/>
    <xf numFmtId="0" fontId="1" fillId="0" borderId="42" xfId="0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9" fontId="1" fillId="0" borderId="22" xfId="0" applyNumberFormat="1" applyFont="1" applyBorder="1" applyAlignment="1">
      <alignment horizontal="center" vertical="center"/>
    </xf>
    <xf numFmtId="0" fontId="0" fillId="0" borderId="47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Font="1" applyBorder="1"/>
    <xf numFmtId="9" fontId="0" fillId="0" borderId="21" xfId="0" applyNumberFormat="1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0" fontId="0" fillId="0" borderId="55" xfId="0" applyFont="1" applyBorder="1"/>
    <xf numFmtId="10" fontId="0" fillId="0" borderId="21" xfId="0" applyNumberFormat="1" applyFont="1" applyBorder="1" applyAlignment="1">
      <alignment horizontal="center"/>
    </xf>
    <xf numFmtId="165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right"/>
    </xf>
    <xf numFmtId="0" fontId="0" fillId="0" borderId="22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6" fillId="0" borderId="21" xfId="0" applyFont="1" applyBorder="1" applyAlignment="1">
      <alignment horizontal="center" vertical="center"/>
    </xf>
    <xf numFmtId="0" fontId="36" fillId="0" borderId="55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0" fillId="5" borderId="60" xfId="0" applyFill="1" applyBorder="1"/>
    <xf numFmtId="10" fontId="0" fillId="0" borderId="7" xfId="0" applyNumberFormat="1" applyBorder="1"/>
    <xf numFmtId="0" fontId="0" fillId="5" borderId="20" xfId="0" applyFill="1" applyBorder="1"/>
    <xf numFmtId="0" fontId="37" fillId="0" borderId="0" xfId="0" applyFont="1"/>
    <xf numFmtId="0" fontId="31" fillId="0" borderId="24" xfId="0" applyFont="1" applyBorder="1" applyAlignment="1">
      <alignment horizontal="right"/>
    </xf>
    <xf numFmtId="0" fontId="31" fillId="0" borderId="7" xfId="0" applyFont="1" applyBorder="1" applyAlignment="1">
      <alignment horizontal="center" vertical="center"/>
    </xf>
    <xf numFmtId="0" fontId="38" fillId="0" borderId="13" xfId="0" applyFont="1" applyBorder="1" applyAlignment="1">
      <alignment horizontal="right"/>
    </xf>
    <xf numFmtId="0" fontId="38" fillId="0" borderId="7" xfId="0" applyFont="1" applyBorder="1" applyAlignment="1">
      <alignment horizontal="right"/>
    </xf>
    <xf numFmtId="0" fontId="16" fillId="0" borderId="7" xfId="0" applyFont="1" applyBorder="1" applyAlignment="1">
      <alignment horizontal="center" vertical="center"/>
    </xf>
    <xf numFmtId="9" fontId="16" fillId="0" borderId="7" xfId="0" applyNumberFormat="1" applyFont="1" applyBorder="1" applyAlignment="1">
      <alignment horizontal="center" vertical="center"/>
    </xf>
    <xf numFmtId="9" fontId="31" fillId="0" borderId="7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0" fillId="0" borderId="0" xfId="0" applyFill="1"/>
    <xf numFmtId="0" fontId="30" fillId="4" borderId="35" xfId="0" applyFont="1" applyFill="1" applyBorder="1" applyAlignment="1">
      <alignment horizontal="left" vertical="center" wrapText="1"/>
    </xf>
    <xf numFmtId="0" fontId="39" fillId="0" borderId="7" xfId="0" applyFont="1" applyBorder="1" applyAlignment="1"/>
    <xf numFmtId="0" fontId="30" fillId="4" borderId="36" xfId="0" applyFont="1" applyFill="1" applyBorder="1" applyAlignment="1">
      <alignment horizontal="left" vertical="center" wrapText="1"/>
    </xf>
    <xf numFmtId="0" fontId="30" fillId="4" borderId="7" xfId="0" applyFont="1" applyFill="1" applyBorder="1" applyAlignment="1">
      <alignment horizontal="left" vertical="center" wrapText="1"/>
    </xf>
    <xf numFmtId="10" fontId="0" fillId="4" borderId="7" xfId="1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wrapText="1"/>
    </xf>
    <xf numFmtId="2" fontId="0" fillId="0" borderId="21" xfId="0" applyNumberFormat="1" applyFont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9" fontId="0" fillId="0" borderId="21" xfId="0" applyNumberFormat="1" applyFont="1" applyBorder="1" applyAlignment="1">
      <alignment horizontal="center" wrapText="1"/>
    </xf>
    <xf numFmtId="2" fontId="17" fillId="0" borderId="21" xfId="0" applyNumberFormat="1" applyFont="1" applyBorder="1" applyAlignment="1">
      <alignment horizontal="center" wrapText="1"/>
    </xf>
    <xf numFmtId="0" fontId="0" fillId="0" borderId="55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center" vertical="center" wrapText="1"/>
    </xf>
    <xf numFmtId="10" fontId="1" fillId="2" borderId="31" xfId="0" applyNumberFormat="1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9" fontId="0" fillId="0" borderId="59" xfId="0" applyNumberFormat="1" applyBorder="1" applyAlignment="1">
      <alignment horizontal="center" vertical="center" wrapText="1"/>
    </xf>
    <xf numFmtId="9" fontId="0" fillId="0" borderId="2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166" fontId="26" fillId="0" borderId="7" xfId="3" applyNumberFormat="1" applyFont="1" applyBorder="1" applyAlignment="1">
      <alignment vertical="center"/>
    </xf>
    <xf numFmtId="0" fontId="1" fillId="0" borderId="49" xfId="0" applyFont="1" applyFill="1" applyBorder="1" applyAlignment="1">
      <alignment horizontal="center" vertical="center" wrapText="1"/>
    </xf>
    <xf numFmtId="9" fontId="26" fillId="4" borderId="30" xfId="1" applyFont="1" applyFill="1" applyBorder="1" applyAlignment="1">
      <alignment horizontal="center"/>
    </xf>
    <xf numFmtId="167" fontId="26" fillId="0" borderId="7" xfId="1" applyNumberFormat="1" applyFont="1" applyFill="1" applyBorder="1"/>
    <xf numFmtId="166" fontId="26" fillId="0" borderId="7" xfId="3" applyNumberFormat="1" applyFont="1" applyFill="1" applyBorder="1" applyAlignment="1">
      <alignment vertical="center"/>
    </xf>
    <xf numFmtId="0" fontId="7" fillId="0" borderId="42" xfId="0" applyFont="1" applyBorder="1" applyAlignment="1">
      <alignment horizontal="center" vertical="center" wrapText="1"/>
    </xf>
    <xf numFmtId="2" fontId="24" fillId="0" borderId="36" xfId="0" applyNumberFormat="1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horizontal="center" vertical="center"/>
    </xf>
    <xf numFmtId="10" fontId="19" fillId="0" borderId="7" xfId="0" applyNumberFormat="1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9" fontId="19" fillId="0" borderId="7" xfId="1" applyFont="1" applyFill="1" applyBorder="1" applyAlignment="1">
      <alignment horizontal="center" vertical="center"/>
    </xf>
    <xf numFmtId="9" fontId="19" fillId="0" borderId="7" xfId="0" applyNumberFormat="1" applyFont="1" applyFill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1" fillId="0" borderId="0" xfId="0" applyFont="1" applyAlignment="1">
      <alignment wrapText="1"/>
    </xf>
    <xf numFmtId="164" fontId="17" fillId="0" borderId="7" xfId="0" applyNumberFormat="1" applyFont="1" applyBorder="1" applyAlignment="1">
      <alignment horizontal="center"/>
    </xf>
    <xf numFmtId="164" fontId="17" fillId="4" borderId="7" xfId="0" applyNumberFormat="1" applyFont="1" applyFill="1" applyBorder="1" applyAlignment="1">
      <alignment horizontal="center" vertical="center"/>
    </xf>
    <xf numFmtId="173" fontId="1" fillId="0" borderId="0" xfId="0" applyNumberFormat="1" applyFont="1" applyAlignment="1">
      <alignment horizontal="center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9" fontId="0" fillId="0" borderId="12" xfId="0" applyNumberFormat="1" applyFont="1" applyBorder="1" applyAlignment="1">
      <alignment horizontal="center" vertical="center"/>
    </xf>
    <xf numFmtId="9" fontId="0" fillId="4" borderId="12" xfId="0" applyNumberFormat="1" applyFont="1" applyFill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9" fontId="0" fillId="0" borderId="12" xfId="0" applyNumberFormat="1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7" fontId="0" fillId="0" borderId="12" xfId="1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17" fillId="2" borderId="61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wrapText="1"/>
    </xf>
    <xf numFmtId="0" fontId="4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6" fontId="18" fillId="0" borderId="55" xfId="3" applyNumberFormat="1" applyFont="1" applyBorder="1" applyAlignment="1">
      <alignment horizontal="center" vertical="center"/>
    </xf>
    <xf numFmtId="166" fontId="18" fillId="0" borderId="21" xfId="3" applyNumberFormat="1" applyFon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166" fontId="18" fillId="0" borderId="47" xfId="3" applyNumberFormat="1" applyFont="1" applyBorder="1" applyAlignment="1">
      <alignment horizontal="center" vertical="center"/>
    </xf>
    <xf numFmtId="0" fontId="19" fillId="0" borderId="0" xfId="0" applyFont="1" applyBorder="1"/>
    <xf numFmtId="166" fontId="19" fillId="0" borderId="3" xfId="3" applyNumberFormat="1" applyFont="1" applyBorder="1" applyAlignment="1">
      <alignment horizontal="center" vertical="center"/>
    </xf>
    <xf numFmtId="166" fontId="19" fillId="0" borderId="3" xfId="3" applyNumberFormat="1" applyFont="1" applyFill="1" applyBorder="1" applyAlignment="1">
      <alignment horizontal="center" vertical="center"/>
    </xf>
    <xf numFmtId="0" fontId="19" fillId="16" borderId="7" xfId="0" applyFont="1" applyFill="1" applyBorder="1"/>
    <xf numFmtId="166" fontId="1" fillId="0" borderId="7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16" borderId="7" xfId="0" applyFill="1" applyBorder="1"/>
    <xf numFmtId="0" fontId="19" fillId="0" borderId="47" xfId="0" applyFont="1" applyBorder="1" applyAlignment="1">
      <alignment horizontal="right"/>
    </xf>
    <xf numFmtId="44" fontId="42" fillId="0" borderId="27" xfId="3" applyFont="1" applyBorder="1"/>
    <xf numFmtId="0" fontId="19" fillId="0" borderId="22" xfId="0" applyFont="1" applyBorder="1" applyAlignment="1">
      <alignment horizontal="right"/>
    </xf>
    <xf numFmtId="44" fontId="42" fillId="0" borderId="62" xfId="3" applyFont="1" applyBorder="1"/>
    <xf numFmtId="0" fontId="45" fillId="0" borderId="42" xfId="0" applyFont="1" applyBorder="1" applyAlignment="1">
      <alignment horizontal="right"/>
    </xf>
    <xf numFmtId="44" fontId="45" fillId="0" borderId="6" xfId="0" applyNumberFormat="1" applyFont="1" applyBorder="1"/>
    <xf numFmtId="9" fontId="1" fillId="0" borderId="9" xfId="1" applyFont="1" applyBorder="1" applyAlignment="1">
      <alignment horizontal="center" vertical="center"/>
    </xf>
    <xf numFmtId="44" fontId="1" fillId="0" borderId="0" xfId="3" applyFont="1" applyAlignment="1">
      <alignment vertical="center"/>
    </xf>
    <xf numFmtId="9" fontId="1" fillId="0" borderId="10" xfId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44" fontId="19" fillId="0" borderId="27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44" fontId="19" fillId="0" borderId="61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44" fontId="19" fillId="0" borderId="62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66" fontId="26" fillId="0" borderId="42" xfId="0" applyNumberFormat="1" applyFont="1" applyBorder="1" applyAlignment="1">
      <alignment horizontal="center" vertical="center"/>
    </xf>
    <xf numFmtId="166" fontId="26" fillId="0" borderId="53" xfId="0" applyNumberFormat="1" applyFont="1" applyBorder="1" applyAlignment="1">
      <alignment horizontal="center" vertical="center"/>
    </xf>
    <xf numFmtId="44" fontId="0" fillId="11" borderId="7" xfId="3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8" xfId="3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8" xfId="0" applyBorder="1"/>
    <xf numFmtId="44" fontId="0" fillId="0" borderId="13" xfId="3" applyFont="1" applyBorder="1"/>
    <xf numFmtId="0" fontId="0" fillId="0" borderId="14" xfId="0" applyBorder="1"/>
    <xf numFmtId="0" fontId="0" fillId="0" borderId="36" xfId="0" applyBorder="1"/>
    <xf numFmtId="44" fontId="0" fillId="0" borderId="7" xfId="3" applyFont="1" applyBorder="1"/>
    <xf numFmtId="0" fontId="0" fillId="0" borderId="65" xfId="0" applyBorder="1"/>
    <xf numFmtId="0" fontId="46" fillId="0" borderId="10" xfId="0" applyFont="1" applyBorder="1"/>
    <xf numFmtId="44" fontId="0" fillId="0" borderId="43" xfId="3" applyFont="1" applyBorder="1"/>
    <xf numFmtId="0" fontId="0" fillId="0" borderId="37" xfId="0" applyBorder="1"/>
    <xf numFmtId="0" fontId="0" fillId="0" borderId="24" xfId="0" applyBorder="1"/>
    <xf numFmtId="44" fontId="0" fillId="0" borderId="46" xfId="3" applyFont="1" applyBorder="1"/>
    <xf numFmtId="44" fontId="3" fillId="0" borderId="42" xfId="3" applyFont="1" applyBorder="1"/>
    <xf numFmtId="0" fontId="46" fillId="0" borderId="25" xfId="0" applyFont="1" applyBorder="1"/>
    <xf numFmtId="0" fontId="16" fillId="0" borderId="58" xfId="0" applyFont="1" applyFill="1" applyBorder="1"/>
    <xf numFmtId="0" fontId="16" fillId="0" borderId="13" xfId="0" applyFont="1" applyBorder="1"/>
    <xf numFmtId="44" fontId="16" fillId="0" borderId="13" xfId="3" applyFont="1" applyBorder="1"/>
    <xf numFmtId="0" fontId="16" fillId="0" borderId="14" xfId="0" applyFont="1" applyBorder="1"/>
    <xf numFmtId="0" fontId="16" fillId="0" borderId="36" xfId="0" applyFont="1" applyBorder="1"/>
    <xf numFmtId="44" fontId="16" fillId="0" borderId="7" xfId="3" applyFont="1" applyBorder="1"/>
    <xf numFmtId="0" fontId="16" fillId="0" borderId="37" xfId="0" applyFont="1" applyBorder="1"/>
    <xf numFmtId="0" fontId="16" fillId="0" borderId="24" xfId="0" applyFont="1" applyBorder="1"/>
    <xf numFmtId="44" fontId="16" fillId="0" borderId="24" xfId="3" applyFont="1" applyBorder="1"/>
    <xf numFmtId="0" fontId="16" fillId="0" borderId="25" xfId="0" applyFont="1" applyBorder="1"/>
    <xf numFmtId="0" fontId="46" fillId="0" borderId="36" xfId="0" applyFont="1" applyBorder="1"/>
    <xf numFmtId="0" fontId="46" fillId="0" borderId="7" xfId="0" applyFont="1" applyBorder="1"/>
    <xf numFmtId="44" fontId="46" fillId="0" borderId="7" xfId="3" applyFont="1" applyBorder="1"/>
    <xf numFmtId="0" fontId="46" fillId="0" borderId="37" xfId="0" applyFont="1" applyBorder="1"/>
    <xf numFmtId="0" fontId="46" fillId="0" borderId="24" xfId="0" applyFont="1" applyBorder="1"/>
    <xf numFmtId="44" fontId="46" fillId="0" borderId="24" xfId="3" applyFont="1" applyBorder="1"/>
    <xf numFmtId="44" fontId="47" fillId="0" borderId="25" xfId="3" applyFont="1" applyBorder="1"/>
    <xf numFmtId="2" fontId="0" fillId="0" borderId="1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6" fillId="0" borderId="13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46" fillId="0" borderId="58" xfId="0" applyFont="1" applyBorder="1"/>
    <xf numFmtId="0" fontId="46" fillId="0" borderId="13" xfId="0" applyFont="1" applyBorder="1"/>
    <xf numFmtId="44" fontId="46" fillId="0" borderId="13" xfId="3" applyFont="1" applyBorder="1"/>
    <xf numFmtId="0" fontId="46" fillId="0" borderId="14" xfId="0" applyFont="1" applyBorder="1"/>
    <xf numFmtId="0" fontId="3" fillId="0" borderId="38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10" borderId="42" xfId="0" applyFont="1" applyFill="1" applyBorder="1" applyAlignment="1">
      <alignment horizontal="center" vertical="center" wrapText="1"/>
    </xf>
    <xf numFmtId="0" fontId="34" fillId="10" borderId="42" xfId="0" applyFont="1" applyFill="1" applyBorder="1" applyAlignment="1">
      <alignment horizontal="center" vertical="center" wrapText="1"/>
    </xf>
    <xf numFmtId="0" fontId="2" fillId="19" borderId="42" xfId="0" applyFont="1" applyFill="1" applyBorder="1" applyAlignment="1">
      <alignment horizontal="center" vertical="center" wrapText="1"/>
    </xf>
    <xf numFmtId="0" fontId="34" fillId="19" borderId="42" xfId="0" applyFont="1" applyFill="1" applyBorder="1" applyAlignment="1">
      <alignment horizontal="center" vertical="center" wrapText="1"/>
    </xf>
    <xf numFmtId="0" fontId="2" fillId="19" borderId="17" xfId="0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48" fillId="19" borderId="42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/>
    </xf>
    <xf numFmtId="166" fontId="0" fillId="0" borderId="42" xfId="0" applyNumberFormat="1" applyBorder="1" applyAlignment="1">
      <alignment horizontal="center" vertical="center"/>
    </xf>
    <xf numFmtId="0" fontId="26" fillId="3" borderId="47" xfId="0" applyFont="1" applyFill="1" applyBorder="1" applyAlignment="1">
      <alignment horizontal="left" vertical="center" wrapText="1"/>
    </xf>
    <xf numFmtId="0" fontId="26" fillId="18" borderId="22" xfId="0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 wrapText="1"/>
    </xf>
    <xf numFmtId="0" fontId="26" fillId="0" borderId="62" xfId="0" applyFont="1" applyFill="1" applyBorder="1" applyAlignment="1">
      <alignment horizontal="left" vertical="center" wrapText="1"/>
    </xf>
    <xf numFmtId="10" fontId="19" fillId="0" borderId="21" xfId="0" applyNumberFormat="1" applyFont="1" applyBorder="1" applyAlignment="1">
      <alignment horizontal="center" vertical="center"/>
    </xf>
    <xf numFmtId="10" fontId="19" fillId="0" borderId="20" xfId="0" applyNumberFormat="1" applyFont="1" applyBorder="1" applyAlignment="1">
      <alignment horizontal="center" vertical="center"/>
    </xf>
    <xf numFmtId="0" fontId="19" fillId="0" borderId="28" xfId="0" applyFont="1" applyBorder="1"/>
    <xf numFmtId="0" fontId="42" fillId="0" borderId="3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9" fontId="19" fillId="0" borderId="31" xfId="0" applyNumberFormat="1" applyFont="1" applyBorder="1" applyAlignment="1">
      <alignment horizontal="center"/>
    </xf>
    <xf numFmtId="2" fontId="19" fillId="0" borderId="31" xfId="0" applyNumberFormat="1" applyFont="1" applyBorder="1" applyAlignment="1">
      <alignment horizontal="center"/>
    </xf>
    <xf numFmtId="20" fontId="19" fillId="0" borderId="31" xfId="0" applyNumberFormat="1" applyFont="1" applyBorder="1" applyAlignment="1">
      <alignment horizontal="center"/>
    </xf>
    <xf numFmtId="166" fontId="19" fillId="0" borderId="31" xfId="0" applyNumberFormat="1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164" fontId="19" fillId="0" borderId="31" xfId="0" applyNumberFormat="1" applyFont="1" applyBorder="1" applyAlignment="1">
      <alignment horizontal="center"/>
    </xf>
    <xf numFmtId="0" fontId="42" fillId="0" borderId="31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/>
    </xf>
    <xf numFmtId="0" fontId="48" fillId="0" borderId="42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9" fontId="19" fillId="0" borderId="22" xfId="0" applyNumberFormat="1" applyFont="1" applyBorder="1" applyAlignment="1">
      <alignment horizontal="center" vertical="center" wrapText="1"/>
    </xf>
    <xf numFmtId="0" fontId="19" fillId="0" borderId="47" xfId="0" applyFont="1" applyBorder="1" applyAlignment="1">
      <alignment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/>
    </xf>
    <xf numFmtId="9" fontId="42" fillId="0" borderId="21" xfId="0" applyNumberFormat="1" applyFont="1" applyBorder="1" applyAlignment="1">
      <alignment horizontal="center" vertical="center" wrapText="1"/>
    </xf>
    <xf numFmtId="166" fontId="19" fillId="0" borderId="21" xfId="0" applyNumberFormat="1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164" fontId="19" fillId="0" borderId="21" xfId="0" applyNumberFormat="1" applyFont="1" applyBorder="1" applyAlignment="1">
      <alignment horizontal="center"/>
    </xf>
    <xf numFmtId="9" fontId="19" fillId="0" borderId="21" xfId="0" applyNumberFormat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2" fontId="42" fillId="0" borderId="21" xfId="0" applyNumberFormat="1" applyFont="1" applyBorder="1" applyAlignment="1">
      <alignment horizontal="center" vertical="center" wrapText="1"/>
    </xf>
    <xf numFmtId="164" fontId="19" fillId="0" borderId="21" xfId="0" applyNumberFormat="1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wrapText="1"/>
    </xf>
    <xf numFmtId="0" fontId="19" fillId="0" borderId="21" xfId="0" applyFont="1" applyBorder="1" applyAlignment="1">
      <alignment horizontal="center" wrapText="1"/>
    </xf>
    <xf numFmtId="2" fontId="19" fillId="0" borderId="21" xfId="0" applyNumberFormat="1" applyFont="1" applyBorder="1" applyAlignment="1">
      <alignment horizontal="center" wrapText="1"/>
    </xf>
    <xf numFmtId="9" fontId="42" fillId="0" borderId="21" xfId="0" applyNumberFormat="1" applyFont="1" applyBorder="1" applyAlignment="1">
      <alignment horizontal="center" wrapText="1"/>
    </xf>
    <xf numFmtId="2" fontId="42" fillId="0" borderId="21" xfId="0" applyNumberFormat="1" applyFont="1" applyBorder="1" applyAlignment="1">
      <alignment horizontal="center" wrapText="1"/>
    </xf>
    <xf numFmtId="166" fontId="19" fillId="0" borderId="21" xfId="0" applyNumberFormat="1" applyFont="1" applyBorder="1" applyAlignment="1">
      <alignment horizontal="center" wrapText="1"/>
    </xf>
    <xf numFmtId="0" fontId="19" fillId="0" borderId="55" xfId="0" applyFont="1" applyBorder="1" applyAlignment="1">
      <alignment horizontal="center" wrapText="1"/>
    </xf>
    <xf numFmtId="9" fontId="19" fillId="0" borderId="21" xfId="0" applyNumberFormat="1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42" fillId="0" borderId="21" xfId="0" applyNumberFormat="1" applyFont="1" applyBorder="1" applyAlignment="1">
      <alignment horizontal="center" vertical="center" wrapText="1"/>
    </xf>
    <xf numFmtId="165" fontId="19" fillId="0" borderId="21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0" fontId="19" fillId="0" borderId="31" xfId="0" applyNumberFormat="1" applyFont="1" applyBorder="1" applyAlignment="1">
      <alignment horizontal="center" vertical="center"/>
    </xf>
    <xf numFmtId="0" fontId="19" fillId="0" borderId="47" xfId="0" applyFont="1" applyBorder="1"/>
    <xf numFmtId="0" fontId="42" fillId="0" borderId="2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9" fontId="19" fillId="0" borderId="21" xfId="0" applyNumberFormat="1" applyFont="1" applyBorder="1" applyAlignment="1">
      <alignment horizontal="center"/>
    </xf>
    <xf numFmtId="2" fontId="19" fillId="0" borderId="21" xfId="0" applyNumberFormat="1" applyFont="1" applyBorder="1" applyAlignment="1">
      <alignment horizontal="center"/>
    </xf>
    <xf numFmtId="20" fontId="19" fillId="0" borderId="21" xfId="0" applyNumberFormat="1" applyFont="1" applyBorder="1" applyAlignment="1">
      <alignment horizontal="center"/>
    </xf>
    <xf numFmtId="166" fontId="19" fillId="0" borderId="21" xfId="0" applyNumberFormat="1" applyFont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48" fillId="0" borderId="5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 wrapText="1"/>
    </xf>
    <xf numFmtId="2" fontId="19" fillId="0" borderId="31" xfId="0" applyNumberFormat="1" applyFont="1" applyBorder="1" applyAlignment="1">
      <alignment horizontal="center" vertical="center" wrapText="1"/>
    </xf>
    <xf numFmtId="9" fontId="42" fillId="0" borderId="31" xfId="0" applyNumberFormat="1" applyFont="1" applyBorder="1" applyAlignment="1">
      <alignment horizontal="center" vertical="center" wrapText="1"/>
    </xf>
    <xf numFmtId="0" fontId="42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164" fontId="19" fillId="0" borderId="31" xfId="0" applyNumberFormat="1" applyFont="1" applyBorder="1" applyAlignment="1">
      <alignment horizontal="center" vertical="center" wrapText="1"/>
    </xf>
    <xf numFmtId="9" fontId="19" fillId="0" borderId="31" xfId="0" applyNumberFormat="1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9" fontId="0" fillId="0" borderId="30" xfId="0" applyNumberFormat="1" applyFont="1" applyBorder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20" fontId="0" fillId="0" borderId="21" xfId="0" applyNumberFormat="1" applyFont="1" applyBorder="1" applyAlignment="1">
      <alignment horizontal="center" wrapText="1"/>
    </xf>
    <xf numFmtId="165" fontId="0" fillId="0" borderId="21" xfId="0" applyNumberFormat="1" applyFont="1" applyBorder="1" applyAlignment="1">
      <alignment horizontal="center" wrapText="1"/>
    </xf>
    <xf numFmtId="164" fontId="0" fillId="0" borderId="21" xfId="0" applyNumberFormat="1" applyFont="1" applyBorder="1" applyAlignment="1">
      <alignment horizontal="center" wrapText="1"/>
    </xf>
    <xf numFmtId="9" fontId="0" fillId="0" borderId="21" xfId="0" applyNumberFormat="1" applyBorder="1" applyAlignment="1">
      <alignment horizontal="center" wrapText="1"/>
    </xf>
    <xf numFmtId="0" fontId="0" fillId="7" borderId="0" xfId="0" applyFont="1" applyFill="1" applyProtection="1">
      <protection locked="0"/>
    </xf>
    <xf numFmtId="0" fontId="0" fillId="7" borderId="0" xfId="0" applyFont="1" applyFill="1" applyProtection="1"/>
    <xf numFmtId="2" fontId="0" fillId="7" borderId="0" xfId="0" applyNumberFormat="1" applyFont="1" applyFill="1" applyAlignment="1" applyProtection="1">
      <alignment horizontal="center"/>
    </xf>
    <xf numFmtId="0" fontId="0" fillId="7" borderId="0" xfId="0" applyFont="1" applyFill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right"/>
    </xf>
    <xf numFmtId="2" fontId="0" fillId="4" borderId="2" xfId="0" applyNumberFormat="1" applyFont="1" applyFill="1" applyBorder="1" applyAlignment="1" applyProtection="1">
      <alignment horizontal="center"/>
      <protection locked="0"/>
    </xf>
    <xf numFmtId="0" fontId="49" fillId="7" borderId="16" xfId="0" applyFont="1" applyFill="1" applyBorder="1" applyAlignment="1" applyProtection="1">
      <alignment vertical="center"/>
    </xf>
    <xf numFmtId="0" fontId="49" fillId="7" borderId="0" xfId="0" applyFont="1" applyFill="1" applyBorder="1" applyAlignment="1" applyProtection="1">
      <alignment vertical="center"/>
    </xf>
    <xf numFmtId="2" fontId="0" fillId="7" borderId="2" xfId="0" applyNumberFormat="1" applyFont="1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right"/>
    </xf>
    <xf numFmtId="2" fontId="0" fillId="4" borderId="0" xfId="0" applyNumberFormat="1" applyFont="1" applyFill="1" applyBorder="1" applyAlignment="1" applyProtection="1">
      <alignment horizontal="center"/>
      <protection locked="0"/>
    </xf>
    <xf numFmtId="0" fontId="49" fillId="7" borderId="65" xfId="0" applyFont="1" applyFill="1" applyBorder="1" applyAlignment="1" applyProtection="1">
      <alignment vertical="center"/>
    </xf>
    <xf numFmtId="2" fontId="0" fillId="7" borderId="0" xfId="0" applyNumberFormat="1" applyFont="1" applyFill="1" applyBorder="1" applyAlignment="1" applyProtection="1">
      <alignment horizontal="center"/>
    </xf>
    <xf numFmtId="0" fontId="1" fillId="7" borderId="65" xfId="0" applyFont="1" applyFill="1" applyBorder="1" applyProtection="1"/>
    <xf numFmtId="0" fontId="1" fillId="7" borderId="0" xfId="0" applyFont="1" applyFill="1" applyProtection="1"/>
    <xf numFmtId="0" fontId="0" fillId="4" borderId="0" xfId="0" applyFont="1" applyFill="1" applyBorder="1" applyAlignment="1" applyProtection="1">
      <alignment horizontal="center"/>
      <protection locked="0"/>
    </xf>
    <xf numFmtId="0" fontId="1" fillId="7" borderId="67" xfId="0" applyFont="1" applyFill="1" applyBorder="1" applyAlignment="1" applyProtection="1">
      <alignment horizontal="right"/>
    </xf>
    <xf numFmtId="2" fontId="0" fillId="7" borderId="68" xfId="0" applyNumberFormat="1" applyFont="1" applyFill="1" applyBorder="1" applyAlignment="1" applyProtection="1">
      <alignment horizontal="center"/>
    </xf>
    <xf numFmtId="0" fontId="49" fillId="7" borderId="69" xfId="0" applyFont="1" applyFill="1" applyBorder="1" applyAlignment="1" applyProtection="1">
      <alignment vertical="center"/>
    </xf>
    <xf numFmtId="2" fontId="0" fillId="7" borderId="0" xfId="0" applyNumberFormat="1" applyFont="1" applyFill="1" applyAlignment="1" applyProtection="1">
      <alignment horizontal="center" vertical="center"/>
    </xf>
    <xf numFmtId="0" fontId="0" fillId="4" borderId="68" xfId="0" applyFont="1" applyFill="1" applyBorder="1" applyAlignment="1" applyProtection="1">
      <alignment horizontal="center"/>
      <protection locked="0"/>
    </xf>
    <xf numFmtId="174" fontId="54" fillId="7" borderId="69" xfId="0" applyNumberFormat="1" applyFont="1" applyFill="1" applyBorder="1" applyAlignment="1" applyProtection="1">
      <alignment horizontal="left" vertical="center"/>
    </xf>
    <xf numFmtId="174" fontId="54" fillId="7" borderId="0" xfId="0" applyNumberFormat="1" applyFont="1" applyFill="1" applyBorder="1" applyAlignment="1" applyProtection="1">
      <alignment horizontal="left" vertical="center"/>
    </xf>
    <xf numFmtId="0" fontId="56" fillId="7" borderId="1" xfId="0" applyFont="1" applyFill="1" applyBorder="1" applyAlignment="1" applyProtection="1">
      <alignment horizontal="right" vertical="center"/>
    </xf>
    <xf numFmtId="0" fontId="57" fillId="4" borderId="2" xfId="0" applyFont="1" applyFill="1" applyBorder="1" applyAlignment="1" applyProtection="1">
      <alignment horizontal="center" vertical="center"/>
      <protection locked="0"/>
    </xf>
    <xf numFmtId="175" fontId="0" fillId="7" borderId="0" xfId="0" applyNumberFormat="1" applyFont="1" applyFill="1" applyAlignment="1" applyProtection="1">
      <alignment horizontal="center" vertical="center"/>
    </xf>
    <xf numFmtId="0" fontId="56" fillId="7" borderId="3" xfId="0" applyFont="1" applyFill="1" applyBorder="1" applyAlignment="1" applyProtection="1">
      <alignment horizontal="right" vertical="center"/>
    </xf>
    <xf numFmtId="0" fontId="57" fillId="7" borderId="0" xfId="0" applyFont="1" applyFill="1" applyBorder="1" applyAlignment="1" applyProtection="1">
      <alignment horizontal="center" vertical="center"/>
    </xf>
    <xf numFmtId="0" fontId="0" fillId="7" borderId="65" xfId="0" applyFont="1" applyFill="1" applyBorder="1" applyProtection="1"/>
    <xf numFmtId="0" fontId="0" fillId="7" borderId="0" xfId="0" applyFont="1" applyFill="1" applyBorder="1" applyProtection="1"/>
    <xf numFmtId="176" fontId="0" fillId="7" borderId="0" xfId="0" applyNumberFormat="1" applyFont="1" applyFill="1" applyAlignment="1" applyProtection="1">
      <alignment horizontal="center" vertical="center"/>
    </xf>
    <xf numFmtId="177" fontId="0" fillId="7" borderId="0" xfId="0" applyNumberFormat="1" applyFont="1" applyFill="1" applyProtection="1"/>
    <xf numFmtId="0" fontId="54" fillId="7" borderId="67" xfId="0" applyFont="1" applyFill="1" applyBorder="1" applyAlignment="1" applyProtection="1">
      <alignment horizontal="right" vertical="center"/>
    </xf>
    <xf numFmtId="0" fontId="57" fillId="7" borderId="68" xfId="0" applyFont="1" applyFill="1" applyBorder="1" applyAlignment="1" applyProtection="1">
      <alignment horizontal="left" vertical="center"/>
    </xf>
    <xf numFmtId="0" fontId="54" fillId="7" borderId="0" xfId="0" applyFont="1" applyFill="1" applyBorder="1" applyAlignment="1" applyProtection="1">
      <alignment horizontal="right" vertical="center"/>
    </xf>
    <xf numFmtId="0" fontId="57" fillId="7" borderId="0" xfId="0" applyFont="1" applyFill="1" applyBorder="1" applyAlignment="1" applyProtection="1">
      <alignment horizontal="left" vertical="center"/>
    </xf>
    <xf numFmtId="0" fontId="62" fillId="7" borderId="1" xfId="0" applyFont="1" applyFill="1" applyBorder="1" applyAlignment="1" applyProtection="1">
      <alignment horizontal="right"/>
    </xf>
    <xf numFmtId="2" fontId="57" fillId="7" borderId="2" xfId="0" applyNumberFormat="1" applyFont="1" applyFill="1" applyBorder="1" applyAlignment="1" applyProtection="1">
      <alignment horizontal="center"/>
    </xf>
    <xf numFmtId="0" fontId="0" fillId="7" borderId="16" xfId="0" applyFont="1" applyFill="1" applyBorder="1" applyProtection="1"/>
    <xf numFmtId="0" fontId="62" fillId="7" borderId="3" xfId="0" applyFont="1" applyFill="1" applyBorder="1" applyAlignment="1" applyProtection="1">
      <alignment horizontal="right"/>
    </xf>
    <xf numFmtId="2" fontId="57" fillId="7" borderId="0" xfId="0" applyNumberFormat="1" applyFont="1" applyFill="1" applyBorder="1" applyAlignment="1" applyProtection="1">
      <alignment horizontal="center"/>
    </xf>
    <xf numFmtId="0" fontId="1" fillId="7" borderId="4" xfId="0" applyFont="1" applyFill="1" applyBorder="1" applyAlignment="1" applyProtection="1">
      <alignment horizontal="right"/>
    </xf>
    <xf numFmtId="2" fontId="0" fillId="7" borderId="5" xfId="0" applyNumberFormat="1" applyFont="1" applyFill="1" applyBorder="1" applyAlignment="1" applyProtection="1">
      <alignment horizontal="center"/>
    </xf>
    <xf numFmtId="0" fontId="0" fillId="7" borderId="6" xfId="0" applyFont="1" applyFill="1" applyBorder="1" applyProtection="1"/>
    <xf numFmtId="0" fontId="66" fillId="7" borderId="0" xfId="0" applyFont="1" applyFill="1" applyBorder="1" applyAlignment="1" applyProtection="1">
      <alignment horizontal="right"/>
    </xf>
    <xf numFmtId="0" fontId="0" fillId="7" borderId="69" xfId="0" applyFont="1" applyFill="1" applyBorder="1" applyProtection="1"/>
    <xf numFmtId="0" fontId="62" fillId="7" borderId="67" xfId="0" applyFont="1" applyFill="1" applyBorder="1" applyAlignment="1" applyProtection="1">
      <alignment horizontal="right"/>
    </xf>
    <xf numFmtId="178" fontId="57" fillId="7" borderId="68" xfId="0" applyNumberFormat="1" applyFont="1" applyFill="1" applyBorder="1" applyAlignment="1" applyProtection="1">
      <alignment horizontal="center"/>
    </xf>
    <xf numFmtId="0" fontId="1" fillId="7" borderId="4" xfId="0" applyFont="1" applyFill="1" applyBorder="1" applyAlignment="1" applyProtection="1">
      <alignment horizontal="right" vertical="center"/>
    </xf>
    <xf numFmtId="2" fontId="0" fillId="7" borderId="5" xfId="0" applyNumberFormat="1" applyFont="1" applyFill="1" applyBorder="1" applyAlignment="1" applyProtection="1">
      <alignment horizontal="center" vertical="center"/>
    </xf>
    <xf numFmtId="2" fontId="1" fillId="7" borderId="6" xfId="0" applyNumberFormat="1" applyFont="1" applyFill="1" applyBorder="1" applyAlignment="1" applyProtection="1">
      <alignment horizontal="left" vertical="center"/>
    </xf>
    <xf numFmtId="178" fontId="57" fillId="7" borderId="0" xfId="0" applyNumberFormat="1" applyFont="1" applyFill="1" applyBorder="1" applyAlignment="1" applyProtection="1">
      <alignment horizontal="left"/>
    </xf>
    <xf numFmtId="0" fontId="62" fillId="7" borderId="0" xfId="0" applyFont="1" applyFill="1" applyBorder="1" applyAlignment="1" applyProtection="1">
      <alignment horizontal="right"/>
    </xf>
    <xf numFmtId="2" fontId="57" fillId="7" borderId="0" xfId="0" applyNumberFormat="1" applyFont="1" applyFill="1" applyBorder="1" applyAlignment="1" applyProtection="1">
      <alignment horizontal="left"/>
    </xf>
    <xf numFmtId="2" fontId="0" fillId="7" borderId="16" xfId="0" applyNumberFormat="1" applyFont="1" applyFill="1" applyBorder="1" applyAlignment="1" applyProtection="1">
      <alignment horizontal="center"/>
    </xf>
    <xf numFmtId="0" fontId="1" fillId="7" borderId="19" xfId="0" applyFont="1" applyFill="1" applyBorder="1" applyAlignment="1" applyProtection="1">
      <alignment horizontal="right" vertical="center"/>
    </xf>
    <xf numFmtId="2" fontId="0" fillId="4" borderId="28" xfId="0" applyNumberFormat="1" applyFont="1" applyFill="1" applyBorder="1" applyAlignment="1" applyProtection="1">
      <alignment horizontal="center" vertical="center"/>
      <protection locked="0"/>
    </xf>
    <xf numFmtId="2" fontId="1" fillId="7" borderId="27" xfId="0" applyNumberFormat="1" applyFont="1" applyFill="1" applyBorder="1" applyAlignment="1" applyProtection="1">
      <alignment horizontal="left" vertical="center"/>
    </xf>
    <xf numFmtId="178" fontId="67" fillId="7" borderId="0" xfId="0" applyNumberFormat="1" applyFont="1" applyFill="1" applyBorder="1" applyAlignment="1" applyProtection="1">
      <alignment horizontal="left"/>
    </xf>
    <xf numFmtId="0" fontId="1" fillId="7" borderId="26" xfId="0" applyFont="1" applyFill="1" applyBorder="1" applyAlignment="1" applyProtection="1">
      <alignment horizontal="right" vertical="center"/>
    </xf>
    <xf numFmtId="2" fontId="0" fillId="4" borderId="59" xfId="0" applyNumberFormat="1" applyFont="1" applyFill="1" applyBorder="1" applyAlignment="1" applyProtection="1">
      <alignment horizontal="center" vertical="center"/>
      <protection locked="0"/>
    </xf>
    <xf numFmtId="2" fontId="1" fillId="7" borderId="62" xfId="0" applyNumberFormat="1" applyFont="1" applyFill="1" applyBorder="1" applyAlignment="1" applyProtection="1">
      <alignment horizontal="left" vertical="center"/>
    </xf>
    <xf numFmtId="2" fontId="1" fillId="7" borderId="42" xfId="0" applyNumberFormat="1" applyFont="1" applyFill="1" applyBorder="1" applyAlignment="1" applyProtection="1">
      <alignment horizontal="center" vertical="center"/>
    </xf>
    <xf numFmtId="2" fontId="1" fillId="7" borderId="5" xfId="0" applyNumberFormat="1" applyFont="1" applyFill="1" applyBorder="1" applyAlignment="1" applyProtection="1">
      <alignment horizontal="center" vertical="center"/>
    </xf>
    <xf numFmtId="2" fontId="1" fillId="7" borderId="29" xfId="0" applyNumberFormat="1" applyFont="1" applyFill="1" applyBorder="1" applyAlignment="1" applyProtection="1">
      <alignment horizontal="center" vertical="center"/>
    </xf>
    <xf numFmtId="10" fontId="18" fillId="4" borderId="28" xfId="1" applyNumberFormat="1" applyFont="1" applyFill="1" applyBorder="1" applyAlignment="1" applyProtection="1">
      <alignment horizontal="center"/>
      <protection locked="0"/>
    </xf>
    <xf numFmtId="0" fontId="0" fillId="7" borderId="27" xfId="0" applyFont="1" applyFill="1" applyBorder="1" applyProtection="1"/>
    <xf numFmtId="2" fontId="1" fillId="7" borderId="47" xfId="0" applyNumberFormat="1" applyFont="1" applyFill="1" applyBorder="1" applyAlignment="1" applyProtection="1">
      <alignment horizontal="center" vertical="center"/>
    </xf>
    <xf numFmtId="166" fontId="18" fillId="7" borderId="28" xfId="3" applyNumberFormat="1" applyFont="1" applyFill="1" applyBorder="1" applyAlignment="1" applyProtection="1">
      <alignment horizontal="center" vertical="center"/>
    </xf>
    <xf numFmtId="166" fontId="18" fillId="7" borderId="19" xfId="3" applyNumberFormat="1" applyFont="1" applyFill="1" applyBorder="1" applyAlignment="1" applyProtection="1">
      <alignment horizontal="center" vertical="center"/>
    </xf>
    <xf numFmtId="10" fontId="18" fillId="7" borderId="47" xfId="1" applyNumberFormat="1" applyFont="1" applyFill="1" applyBorder="1" applyAlignment="1" applyProtection="1">
      <alignment horizontal="center" vertical="center"/>
    </xf>
    <xf numFmtId="0" fontId="1" fillId="7" borderId="20" xfId="0" applyFont="1" applyFill="1" applyBorder="1" applyAlignment="1" applyProtection="1">
      <alignment horizontal="right" vertical="center"/>
    </xf>
    <xf numFmtId="10" fontId="18" fillId="4" borderId="31" xfId="1" applyNumberFormat="1" applyFont="1" applyFill="1" applyBorder="1" applyAlignment="1" applyProtection="1">
      <alignment horizontal="center"/>
      <protection locked="0"/>
    </xf>
    <xf numFmtId="0" fontId="0" fillId="7" borderId="61" xfId="0" applyFont="1" applyFill="1" applyBorder="1" applyProtection="1"/>
    <xf numFmtId="2" fontId="1" fillId="7" borderId="55" xfId="0" applyNumberFormat="1" applyFont="1" applyFill="1" applyBorder="1" applyAlignment="1" applyProtection="1">
      <alignment horizontal="center" vertical="center"/>
    </xf>
    <xf numFmtId="166" fontId="18" fillId="7" borderId="57" xfId="3" applyNumberFormat="1" applyFont="1" applyFill="1" applyBorder="1" applyAlignment="1" applyProtection="1">
      <alignment horizontal="center" vertical="center"/>
    </xf>
    <xf numFmtId="166" fontId="18" fillId="7" borderId="60" xfId="3" applyNumberFormat="1" applyFont="1" applyFill="1" applyBorder="1" applyAlignment="1" applyProtection="1">
      <alignment horizontal="center" vertical="center"/>
    </xf>
    <xf numFmtId="10" fontId="18" fillId="7" borderId="21" xfId="1" applyNumberFormat="1" applyFont="1" applyFill="1" applyBorder="1" applyAlignment="1" applyProtection="1">
      <alignment horizontal="center" vertical="center"/>
    </xf>
    <xf numFmtId="0" fontId="1" fillId="7" borderId="19" xfId="0" applyFont="1" applyFill="1" applyBorder="1" applyAlignment="1" applyProtection="1">
      <alignment horizontal="center" vertical="center"/>
    </xf>
    <xf numFmtId="0" fontId="0" fillId="4" borderId="27" xfId="0" applyFont="1" applyFill="1" applyBorder="1" applyAlignment="1" applyProtection="1">
      <alignment horizontal="center" vertical="center"/>
      <protection locked="0"/>
    </xf>
    <xf numFmtId="168" fontId="0" fillId="7" borderId="28" xfId="0" applyNumberFormat="1" applyFont="1" applyFill="1" applyBorder="1" applyAlignment="1" applyProtection="1">
      <alignment horizontal="center" vertical="center"/>
    </xf>
    <xf numFmtId="2" fontId="0" fillId="7" borderId="47" xfId="0" applyNumberFormat="1" applyFont="1" applyFill="1" applyBorder="1" applyAlignment="1" applyProtection="1">
      <alignment horizontal="center" vertical="center"/>
    </xf>
    <xf numFmtId="2" fontId="0" fillId="7" borderId="27" xfId="0" applyNumberFormat="1" applyFont="1" applyFill="1" applyBorder="1" applyAlignment="1" applyProtection="1">
      <alignment horizontal="center" vertical="center"/>
    </xf>
    <xf numFmtId="2" fontId="57" fillId="7" borderId="68" xfId="0" applyNumberFormat="1" applyFont="1" applyFill="1" applyBorder="1" applyAlignment="1" applyProtection="1">
      <alignment horizontal="center"/>
    </xf>
    <xf numFmtId="2" fontId="0" fillId="7" borderId="69" xfId="0" applyNumberFormat="1" applyFont="1" applyFill="1" applyBorder="1" applyAlignment="1" applyProtection="1">
      <alignment horizontal="center"/>
    </xf>
    <xf numFmtId="2" fontId="1" fillId="7" borderId="21" xfId="0" applyNumberFormat="1" applyFont="1" applyFill="1" applyBorder="1" applyAlignment="1" applyProtection="1">
      <alignment horizontal="center" vertical="center"/>
    </xf>
    <xf numFmtId="166" fontId="18" fillId="7" borderId="31" xfId="3" applyNumberFormat="1" applyFont="1" applyFill="1" applyBorder="1" applyAlignment="1" applyProtection="1">
      <alignment horizontal="center" vertical="center"/>
    </xf>
    <xf numFmtId="166" fontId="18" fillId="7" borderId="20" xfId="3" applyNumberFormat="1" applyFont="1" applyFill="1" applyBorder="1" applyAlignment="1" applyProtection="1">
      <alignment horizontal="center" vertical="center"/>
    </xf>
    <xf numFmtId="0" fontId="1" fillId="7" borderId="20" xfId="0" applyFont="1" applyFill="1" applyBorder="1" applyAlignment="1" applyProtection="1">
      <alignment horizontal="center" vertical="center"/>
    </xf>
    <xf numFmtId="0" fontId="0" fillId="4" borderId="61" xfId="0" applyFont="1" applyFill="1" applyBorder="1" applyAlignment="1" applyProtection="1">
      <alignment horizontal="center" vertical="center"/>
      <protection locked="0"/>
    </xf>
    <xf numFmtId="0" fontId="0" fillId="7" borderId="31" xfId="0" applyFont="1" applyFill="1" applyBorder="1" applyAlignment="1" applyProtection="1">
      <alignment horizontal="center" vertical="center"/>
    </xf>
    <xf numFmtId="2" fontId="0" fillId="7" borderId="21" xfId="0" applyNumberFormat="1" applyFont="1" applyFill="1" applyBorder="1" applyAlignment="1" applyProtection="1">
      <alignment horizontal="center" vertical="center"/>
    </xf>
    <xf numFmtId="2" fontId="0" fillId="7" borderId="61" xfId="0" applyNumberFormat="1" applyFont="1" applyFill="1" applyBorder="1" applyAlignment="1" applyProtection="1">
      <alignment horizontal="center" vertical="center"/>
    </xf>
    <xf numFmtId="10" fontId="18" fillId="4" borderId="59" xfId="1" applyNumberFormat="1" applyFont="1" applyFill="1" applyBorder="1" applyAlignment="1" applyProtection="1">
      <alignment horizontal="center"/>
      <protection locked="0"/>
    </xf>
    <xf numFmtId="0" fontId="0" fillId="7" borderId="62" xfId="0" applyFont="1" applyFill="1" applyBorder="1" applyProtection="1"/>
    <xf numFmtId="166" fontId="18" fillId="7" borderId="70" xfId="3" applyNumberFormat="1" applyFont="1" applyFill="1" applyBorder="1" applyAlignment="1" applyProtection="1">
      <alignment horizontal="center" vertical="center"/>
    </xf>
    <xf numFmtId="176" fontId="0" fillId="7" borderId="31" xfId="0" applyNumberFormat="1" applyFont="1" applyFill="1" applyBorder="1" applyAlignment="1" applyProtection="1">
      <alignment horizontal="center" vertical="center"/>
    </xf>
    <xf numFmtId="2" fontId="1" fillId="7" borderId="22" xfId="0" applyNumberFormat="1" applyFont="1" applyFill="1" applyBorder="1" applyAlignment="1" applyProtection="1">
      <alignment horizontal="center" vertical="center"/>
    </xf>
    <xf numFmtId="166" fontId="18" fillId="7" borderId="59" xfId="3" applyNumberFormat="1" applyFont="1" applyFill="1" applyBorder="1" applyAlignment="1" applyProtection="1">
      <alignment horizontal="center" vertical="center"/>
    </xf>
    <xf numFmtId="166" fontId="1" fillId="7" borderId="4" xfId="3" applyNumberFormat="1" applyFont="1" applyFill="1" applyBorder="1" applyAlignment="1" applyProtection="1">
      <alignment horizontal="center" vertical="center"/>
    </xf>
    <xf numFmtId="10" fontId="18" fillId="7" borderId="22" xfId="1" applyNumberFormat="1" applyFont="1" applyFill="1" applyBorder="1" applyAlignment="1" applyProtection="1">
      <alignment horizontal="center" vertical="center"/>
    </xf>
    <xf numFmtId="0" fontId="0" fillId="7" borderId="26" xfId="0" applyFont="1" applyFill="1" applyBorder="1" applyProtection="1"/>
    <xf numFmtId="0" fontId="0" fillId="7" borderId="62" xfId="0" applyFont="1" applyFill="1" applyBorder="1" applyAlignment="1" applyProtection="1">
      <alignment horizontal="center" vertical="center"/>
    </xf>
    <xf numFmtId="176" fontId="0" fillId="7" borderId="59" xfId="0" applyNumberFormat="1" applyFont="1" applyFill="1" applyBorder="1" applyAlignment="1" applyProtection="1">
      <alignment horizontal="center" vertical="center"/>
    </xf>
    <xf numFmtId="2" fontId="0" fillId="7" borderId="22" xfId="0" applyNumberFormat="1" applyFont="1" applyFill="1" applyBorder="1" applyAlignment="1" applyProtection="1">
      <alignment horizontal="center" vertical="center"/>
    </xf>
    <xf numFmtId="2" fontId="0" fillId="7" borderId="62" xfId="0" applyNumberFormat="1" applyFont="1" applyFill="1" applyBorder="1" applyAlignment="1" applyProtection="1">
      <alignment horizontal="center" vertical="center"/>
    </xf>
    <xf numFmtId="171" fontId="18" fillId="7" borderId="5" xfId="3" applyNumberFormat="1" applyFont="1" applyFill="1" applyBorder="1" applyAlignment="1" applyProtection="1">
      <alignment horizontal="center" vertical="center"/>
    </xf>
    <xf numFmtId="10" fontId="0" fillId="7" borderId="0" xfId="0" applyNumberFormat="1" applyFont="1" applyFill="1" applyAlignment="1" applyProtection="1">
      <alignment horizontal="center" vertical="center"/>
    </xf>
    <xf numFmtId="164" fontId="0" fillId="0" borderId="7" xfId="0" applyNumberFormat="1" applyFont="1" applyBorder="1" applyAlignment="1" applyProtection="1">
      <alignment horizontal="center" vertical="center"/>
      <protection locked="0"/>
    </xf>
    <xf numFmtId="0" fontId="0" fillId="7" borderId="0" xfId="0" applyFont="1" applyFill="1" applyBorder="1" applyAlignment="1" applyProtection="1"/>
    <xf numFmtId="0" fontId="0" fillId="7" borderId="0" xfId="0" applyFill="1" applyProtection="1"/>
    <xf numFmtId="44" fontId="0" fillId="7" borderId="0" xfId="0" applyNumberFormat="1" applyFont="1" applyFill="1" applyBorder="1" applyAlignment="1" applyProtection="1"/>
    <xf numFmtId="44" fontId="18" fillId="7" borderId="0" xfId="3" applyFont="1" applyFill="1" applyProtection="1"/>
    <xf numFmtId="2" fontId="0" fillId="7" borderId="0" xfId="0" applyNumberFormat="1" applyFont="1" applyFill="1" applyProtection="1"/>
    <xf numFmtId="0" fontId="19" fillId="0" borderId="8" xfId="0" applyFont="1" applyFill="1" applyBorder="1" applyAlignment="1">
      <alignment horizontal="center" vertical="center"/>
    </xf>
    <xf numFmtId="0" fontId="42" fillId="0" borderId="7" xfId="0" applyFont="1" applyFill="1" applyBorder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" fontId="19" fillId="0" borderId="7" xfId="0" applyNumberFormat="1" applyFont="1" applyFill="1" applyBorder="1" applyAlignment="1">
      <alignment horizontal="center" vertical="center"/>
    </xf>
    <xf numFmtId="9" fontId="19" fillId="0" borderId="10" xfId="0" applyNumberFormat="1" applyFont="1" applyFill="1" applyBorder="1" applyAlignment="1">
      <alignment horizontal="center" vertical="center"/>
    </xf>
    <xf numFmtId="2" fontId="19" fillId="0" borderId="7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42" fillId="0" borderId="7" xfId="0" applyNumberFormat="1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0" xfId="0" applyFont="1" applyFill="1"/>
    <xf numFmtId="10" fontId="19" fillId="0" borderId="0" xfId="1" applyNumberFormat="1" applyFont="1" applyFill="1" applyAlignment="1">
      <alignment horizontal="center" vertical="center"/>
    </xf>
    <xf numFmtId="10" fontId="19" fillId="0" borderId="0" xfId="1" applyNumberFormat="1" applyFont="1" applyFill="1"/>
    <xf numFmtId="0" fontId="48" fillId="0" borderId="17" xfId="0" applyFont="1" applyFill="1" applyBorder="1" applyAlignment="1">
      <alignment horizontal="center" vertical="center" wrapText="1"/>
    </xf>
    <xf numFmtId="0" fontId="48" fillId="0" borderId="39" xfId="0" applyFont="1" applyFill="1" applyBorder="1" applyAlignment="1">
      <alignment horizontal="center" vertical="center" wrapText="1"/>
    </xf>
    <xf numFmtId="49" fontId="48" fillId="0" borderId="17" xfId="0" applyNumberFormat="1" applyFont="1" applyFill="1" applyBorder="1" applyAlignment="1">
      <alignment horizontal="center" vertical="center"/>
    </xf>
    <xf numFmtId="49" fontId="48" fillId="0" borderId="17" xfId="0" applyNumberFormat="1" applyFont="1" applyFill="1" applyBorder="1" applyAlignment="1">
      <alignment horizontal="center" vertical="center" wrapText="1"/>
    </xf>
    <xf numFmtId="49" fontId="48" fillId="0" borderId="39" xfId="0" applyNumberFormat="1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9" fontId="19" fillId="0" borderId="24" xfId="0" applyNumberFormat="1" applyFont="1" applyFill="1" applyBorder="1" applyAlignment="1">
      <alignment horizontal="center" vertical="center"/>
    </xf>
    <xf numFmtId="9" fontId="19" fillId="0" borderId="25" xfId="0" applyNumberFormat="1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10" fontId="19" fillId="0" borderId="7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164" fontId="19" fillId="0" borderId="7" xfId="0" applyNumberFormat="1" applyFont="1" applyFill="1" applyBorder="1" applyAlignment="1">
      <alignment horizontal="center" vertical="center" wrapText="1"/>
    </xf>
    <xf numFmtId="164" fontId="42" fillId="0" borderId="7" xfId="0" applyNumberFormat="1" applyFont="1" applyFill="1" applyBorder="1" applyAlignment="1">
      <alignment horizontal="center" vertical="center"/>
    </xf>
    <xf numFmtId="164" fontId="42" fillId="0" borderId="7" xfId="0" applyNumberFormat="1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167" fontId="19" fillId="0" borderId="7" xfId="0" applyNumberFormat="1" applyFont="1" applyFill="1" applyBorder="1" applyAlignment="1">
      <alignment horizontal="center" vertical="center"/>
    </xf>
    <xf numFmtId="9" fontId="19" fillId="0" borderId="7" xfId="0" applyNumberFormat="1" applyFont="1" applyFill="1" applyBorder="1" applyAlignment="1">
      <alignment horizontal="center" vertical="center" wrapText="1"/>
    </xf>
    <xf numFmtId="0" fontId="42" fillId="0" borderId="7" xfId="0" applyFont="1" applyFill="1" applyBorder="1" applyAlignment="1">
      <alignment horizontal="center" vertical="center" wrapText="1"/>
    </xf>
    <xf numFmtId="0" fontId="19" fillId="0" borderId="24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10" fontId="19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center" vertical="center"/>
    </xf>
    <xf numFmtId="9" fontId="19" fillId="0" borderId="0" xfId="0" applyNumberFormat="1" applyFont="1" applyFill="1" applyAlignment="1">
      <alignment horizontal="center" vertical="center"/>
    </xf>
    <xf numFmtId="164" fontId="19" fillId="0" borderId="0" xfId="0" applyNumberFormat="1" applyFont="1" applyFill="1" applyAlignment="1">
      <alignment horizontal="center" vertical="center"/>
    </xf>
    <xf numFmtId="2" fontId="19" fillId="0" borderId="0" xfId="0" applyNumberFormat="1" applyFont="1" applyFill="1" applyAlignment="1">
      <alignment horizontal="center" vertical="center"/>
    </xf>
    <xf numFmtId="0" fontId="48" fillId="0" borderId="64" xfId="0" applyFont="1" applyFill="1" applyBorder="1" applyAlignment="1">
      <alignment horizontal="center" vertical="center"/>
    </xf>
    <xf numFmtId="0" fontId="48" fillId="0" borderId="52" xfId="0" applyFont="1" applyFill="1" applyBorder="1" applyAlignment="1">
      <alignment horizontal="center" vertical="center"/>
    </xf>
    <xf numFmtId="0" fontId="48" fillId="0" borderId="53" xfId="0" applyFont="1" applyFill="1" applyBorder="1" applyAlignment="1">
      <alignment horizontal="center" vertical="center"/>
    </xf>
    <xf numFmtId="0" fontId="19" fillId="0" borderId="35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 wrapText="1"/>
    </xf>
    <xf numFmtId="49" fontId="48" fillId="0" borderId="4" xfId="0" applyNumberFormat="1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9" fontId="19" fillId="0" borderId="37" xfId="0" applyNumberFormat="1" applyFont="1" applyFill="1" applyBorder="1" applyAlignment="1">
      <alignment horizontal="center" vertical="center"/>
    </xf>
    <xf numFmtId="0" fontId="19" fillId="0" borderId="36" xfId="0" applyNumberFormat="1" applyFont="1" applyFill="1" applyBorder="1" applyAlignment="1">
      <alignment horizontal="center" vertical="center"/>
    </xf>
    <xf numFmtId="10" fontId="19" fillId="0" borderId="36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167" fontId="19" fillId="0" borderId="36" xfId="0" applyNumberFormat="1" applyFont="1" applyFill="1" applyBorder="1" applyAlignment="1">
      <alignment horizontal="center" vertical="center"/>
    </xf>
    <xf numFmtId="9" fontId="19" fillId="0" borderId="36" xfId="1" applyFont="1" applyFill="1" applyBorder="1" applyAlignment="1">
      <alignment horizontal="center" vertical="center"/>
    </xf>
    <xf numFmtId="0" fontId="42" fillId="0" borderId="36" xfId="0" applyFont="1" applyFill="1" applyBorder="1" applyAlignment="1">
      <alignment horizontal="center" vertical="center"/>
    </xf>
    <xf numFmtId="9" fontId="19" fillId="0" borderId="36" xfId="0" applyNumberFormat="1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vertical="center"/>
    </xf>
    <xf numFmtId="10" fontId="0" fillId="0" borderId="0" xfId="0" applyNumberFormat="1" applyFill="1"/>
    <xf numFmtId="0" fontId="16" fillId="0" borderId="0" xfId="0" applyFont="1" applyFill="1"/>
    <xf numFmtId="2" fontId="24" fillId="0" borderId="35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 wrapText="1"/>
    </xf>
    <xf numFmtId="166" fontId="26" fillId="3" borderId="8" xfId="0" applyNumberFormat="1" applyFont="1" applyFill="1" applyBorder="1" applyAlignment="1">
      <alignment horizontal="center" vertical="center"/>
    </xf>
    <xf numFmtId="166" fontId="26" fillId="3" borderId="9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166" fontId="26" fillId="3" borderId="7" xfId="0" applyNumberFormat="1" applyFont="1" applyFill="1" applyBorder="1" applyAlignment="1">
      <alignment horizontal="center" vertical="center"/>
    </xf>
    <xf numFmtId="166" fontId="26" fillId="3" borderId="10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 wrapText="1"/>
    </xf>
    <xf numFmtId="166" fontId="26" fillId="3" borderId="24" xfId="0" applyNumberFormat="1" applyFont="1" applyFill="1" applyBorder="1" applyAlignment="1">
      <alignment horizontal="center" vertical="center"/>
    </xf>
    <xf numFmtId="166" fontId="26" fillId="3" borderId="25" xfId="0" applyNumberFormat="1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left" vertical="center" wrapText="1"/>
    </xf>
    <xf numFmtId="166" fontId="26" fillId="18" borderId="7" xfId="0" applyNumberFormat="1" applyFont="1" applyFill="1" applyBorder="1" applyAlignment="1">
      <alignment horizontal="center" vertical="center"/>
    </xf>
    <xf numFmtId="166" fontId="26" fillId="18" borderId="10" xfId="0" applyNumberFormat="1" applyFont="1" applyFill="1" applyBorder="1" applyAlignment="1">
      <alignment horizontal="center" vertical="center"/>
    </xf>
    <xf numFmtId="0" fontId="3" fillId="18" borderId="24" xfId="0" applyFont="1" applyFill="1" applyBorder="1" applyAlignment="1">
      <alignment horizontal="left" vertical="center" wrapText="1"/>
    </xf>
    <xf numFmtId="166" fontId="26" fillId="18" borderId="24" xfId="0" applyNumberFormat="1" applyFont="1" applyFill="1" applyBorder="1" applyAlignment="1">
      <alignment horizontal="center" vertical="center"/>
    </xf>
    <xf numFmtId="166" fontId="26" fillId="18" borderId="2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30" xfId="3" applyNumberFormat="1" applyFont="1" applyBorder="1" applyAlignment="1">
      <alignment horizontal="center" vertical="center"/>
    </xf>
    <xf numFmtId="166" fontId="0" fillId="0" borderId="71" xfId="3" applyNumberFormat="1" applyFont="1" applyBorder="1" applyAlignment="1">
      <alignment horizontal="center" vertical="center"/>
    </xf>
    <xf numFmtId="0" fontId="0" fillId="0" borderId="67" xfId="0" applyFont="1" applyBorder="1"/>
    <xf numFmtId="0" fontId="0" fillId="0" borderId="68" xfId="0" applyFont="1" applyBorder="1"/>
    <xf numFmtId="0" fontId="0" fillId="0" borderId="68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166" fontId="26" fillId="0" borderId="65" xfId="0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2" fontId="24" fillId="3" borderId="36" xfId="0" applyNumberFormat="1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2" fontId="24" fillId="18" borderId="36" xfId="0" applyNumberFormat="1" applyFont="1" applyFill="1" applyBorder="1" applyAlignment="1">
      <alignment horizontal="center" vertical="center"/>
    </xf>
    <xf numFmtId="0" fontId="24" fillId="18" borderId="7" xfId="0" applyFont="1" applyFill="1" applyBorder="1" applyAlignment="1">
      <alignment horizontal="center" vertical="center"/>
    </xf>
    <xf numFmtId="166" fontId="3" fillId="0" borderId="42" xfId="0" applyNumberFormat="1" applyFont="1" applyBorder="1" applyAlignment="1">
      <alignment horizontal="center" vertical="center"/>
    </xf>
    <xf numFmtId="2" fontId="44" fillId="3" borderId="58" xfId="0" applyNumberFormat="1" applyFont="1" applyFill="1" applyBorder="1" applyAlignment="1">
      <alignment horizontal="center" vertical="center"/>
    </xf>
    <xf numFmtId="0" fontId="44" fillId="3" borderId="13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left" vertical="center" wrapText="1"/>
    </xf>
    <xf numFmtId="166" fontId="26" fillId="3" borderId="13" xfId="0" applyNumberFormat="1" applyFont="1" applyFill="1" applyBorder="1" applyAlignment="1">
      <alignment horizontal="center" vertical="center"/>
    </xf>
    <xf numFmtId="166" fontId="26" fillId="3" borderId="14" xfId="0" applyNumberFormat="1" applyFont="1" applyFill="1" applyBorder="1" applyAlignment="1">
      <alignment horizontal="center" vertical="center"/>
    </xf>
    <xf numFmtId="2" fontId="44" fillId="3" borderId="36" xfId="0" applyNumberFormat="1" applyFont="1" applyFill="1" applyBorder="1" applyAlignment="1">
      <alignment horizontal="center" vertical="center"/>
    </xf>
    <xf numFmtId="0" fontId="44" fillId="3" borderId="7" xfId="0" applyFont="1" applyFill="1" applyBorder="1" applyAlignment="1">
      <alignment horizontal="center" vertical="center"/>
    </xf>
    <xf numFmtId="2" fontId="44" fillId="3" borderId="37" xfId="0" applyNumberFormat="1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center" vertical="center"/>
    </xf>
    <xf numFmtId="2" fontId="44" fillId="18" borderId="64" xfId="0" applyNumberFormat="1" applyFont="1" applyFill="1" applyBorder="1" applyAlignment="1">
      <alignment horizontal="center" vertical="center"/>
    </xf>
    <xf numFmtId="0" fontId="44" fillId="18" borderId="52" xfId="0" applyFont="1" applyFill="1" applyBorder="1" applyAlignment="1">
      <alignment horizontal="center" vertical="center"/>
    </xf>
    <xf numFmtId="0" fontId="26" fillId="18" borderId="52" xfId="0" applyFont="1" applyFill="1" applyBorder="1" applyAlignment="1">
      <alignment horizontal="left" vertical="center" wrapText="1"/>
    </xf>
    <xf numFmtId="166" fontId="26" fillId="18" borderId="52" xfId="0" applyNumberFormat="1" applyFont="1" applyFill="1" applyBorder="1" applyAlignment="1">
      <alignment horizontal="center" vertical="center"/>
    </xf>
    <xf numFmtId="166" fontId="26" fillId="18" borderId="53" xfId="0" applyNumberFormat="1" applyFont="1" applyFill="1" applyBorder="1" applyAlignment="1">
      <alignment horizontal="center" vertical="center"/>
    </xf>
    <xf numFmtId="2" fontId="36" fillId="3" borderId="58" xfId="0" applyNumberFormat="1" applyFont="1" applyFill="1" applyBorder="1" applyAlignment="1">
      <alignment horizontal="center" vertical="center"/>
    </xf>
    <xf numFmtId="0" fontId="36" fillId="3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 wrapText="1"/>
    </xf>
    <xf numFmtId="166" fontId="41" fillId="3" borderId="13" xfId="0" applyNumberFormat="1" applyFont="1" applyFill="1" applyBorder="1" applyAlignment="1">
      <alignment horizontal="center" vertical="center"/>
    </xf>
    <xf numFmtId="166" fontId="41" fillId="3" borderId="14" xfId="0" applyNumberFormat="1" applyFont="1" applyFill="1" applyBorder="1" applyAlignment="1">
      <alignment horizontal="center" vertical="center"/>
    </xf>
    <xf numFmtId="2" fontId="36" fillId="3" borderId="36" xfId="0" applyNumberFormat="1" applyFont="1" applyFill="1" applyBorder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wrapText="1"/>
    </xf>
    <xf numFmtId="166" fontId="41" fillId="3" borderId="7" xfId="0" applyNumberFormat="1" applyFont="1" applyFill="1" applyBorder="1" applyAlignment="1">
      <alignment horizontal="center" vertical="center"/>
    </xf>
    <xf numFmtId="166" fontId="41" fillId="3" borderId="10" xfId="0" applyNumberFormat="1" applyFont="1" applyFill="1" applyBorder="1" applyAlignment="1">
      <alignment horizontal="center" vertical="center"/>
    </xf>
    <xf numFmtId="2" fontId="36" fillId="3" borderId="37" xfId="0" applyNumberFormat="1" applyFont="1" applyFill="1" applyBorder="1" applyAlignment="1">
      <alignment horizontal="center" vertical="center"/>
    </xf>
    <xf numFmtId="0" fontId="36" fillId="3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 wrapText="1"/>
    </xf>
    <xf numFmtId="166" fontId="41" fillId="3" borderId="24" xfId="0" applyNumberFormat="1" applyFont="1" applyFill="1" applyBorder="1" applyAlignment="1">
      <alignment horizontal="center" vertical="center"/>
    </xf>
    <xf numFmtId="166" fontId="41" fillId="3" borderId="25" xfId="0" applyNumberFormat="1" applyFont="1" applyFill="1" applyBorder="1" applyAlignment="1">
      <alignment horizontal="center" vertical="center"/>
    </xf>
    <xf numFmtId="2" fontId="36" fillId="18" borderId="58" xfId="0" applyNumberFormat="1" applyFont="1" applyFill="1" applyBorder="1" applyAlignment="1">
      <alignment horizontal="center" vertical="center"/>
    </xf>
    <xf numFmtId="0" fontId="36" fillId="18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left" vertical="center" wrapText="1"/>
    </xf>
    <xf numFmtId="166" fontId="41" fillId="18" borderId="13" xfId="0" applyNumberFormat="1" applyFont="1" applyFill="1" applyBorder="1" applyAlignment="1">
      <alignment horizontal="center" vertical="center"/>
    </xf>
    <xf numFmtId="166" fontId="41" fillId="18" borderId="14" xfId="0" applyNumberFormat="1" applyFont="1" applyFill="1" applyBorder="1" applyAlignment="1">
      <alignment horizontal="center" vertical="center"/>
    </xf>
    <xf numFmtId="2" fontId="36" fillId="18" borderId="37" xfId="0" applyNumberFormat="1" applyFont="1" applyFill="1" applyBorder="1" applyAlignment="1">
      <alignment horizontal="center" vertical="center"/>
    </xf>
    <xf numFmtId="0" fontId="36" fillId="18" borderId="24" xfId="0" applyFont="1" applyFill="1" applyBorder="1" applyAlignment="1">
      <alignment horizontal="center" vertical="center"/>
    </xf>
    <xf numFmtId="0" fontId="2" fillId="18" borderId="24" xfId="0" applyFont="1" applyFill="1" applyBorder="1" applyAlignment="1">
      <alignment horizontal="left" vertical="center" wrapText="1"/>
    </xf>
    <xf numFmtId="166" fontId="41" fillId="18" borderId="24" xfId="0" applyNumberFormat="1" applyFont="1" applyFill="1" applyBorder="1" applyAlignment="1">
      <alignment horizontal="center" vertical="center"/>
    </xf>
    <xf numFmtId="166" fontId="41" fillId="18" borderId="25" xfId="0" applyNumberFormat="1" applyFont="1" applyFill="1" applyBorder="1" applyAlignment="1">
      <alignment horizontal="center" vertical="center"/>
    </xf>
    <xf numFmtId="2" fontId="24" fillId="18" borderId="37" xfId="0" applyNumberFormat="1" applyFont="1" applyFill="1" applyBorder="1" applyAlignment="1">
      <alignment horizontal="center" vertical="center"/>
    </xf>
    <xf numFmtId="0" fontId="24" fillId="18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41" fillId="0" borderId="42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72" xfId="0" applyBorder="1"/>
    <xf numFmtId="0" fontId="0" fillId="0" borderId="72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2" fontId="24" fillId="3" borderId="37" xfId="0" applyNumberFormat="1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 vertical="center"/>
    </xf>
    <xf numFmtId="2" fontId="24" fillId="0" borderId="44" xfId="0" applyNumberFormat="1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left" vertical="center" wrapText="1"/>
    </xf>
    <xf numFmtId="166" fontId="26" fillId="3" borderId="43" xfId="0" applyNumberFormat="1" applyFont="1" applyFill="1" applyBorder="1" applyAlignment="1">
      <alignment horizontal="center" vertical="center"/>
    </xf>
    <xf numFmtId="166" fontId="26" fillId="3" borderId="45" xfId="0" applyNumberFormat="1" applyFont="1" applyFill="1" applyBorder="1" applyAlignment="1">
      <alignment horizontal="center" vertical="center"/>
    </xf>
    <xf numFmtId="2" fontId="24" fillId="18" borderId="35" xfId="0" applyNumberFormat="1" applyFont="1" applyFill="1" applyBorder="1" applyAlignment="1">
      <alignment horizontal="center" vertical="center"/>
    </xf>
    <xf numFmtId="0" fontId="24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left" vertical="center" wrapText="1"/>
    </xf>
    <xf numFmtId="166" fontId="26" fillId="18" borderId="8" xfId="0" applyNumberFormat="1" applyFont="1" applyFill="1" applyBorder="1" applyAlignment="1">
      <alignment horizontal="center" vertical="center"/>
    </xf>
    <xf numFmtId="166" fontId="26" fillId="18" borderId="9" xfId="0" applyNumberFormat="1" applyFont="1" applyFill="1" applyBorder="1" applyAlignment="1">
      <alignment horizontal="center" vertical="center"/>
    </xf>
    <xf numFmtId="0" fontId="48" fillId="3" borderId="8" xfId="0" applyFont="1" applyFill="1" applyBorder="1" applyAlignment="1">
      <alignment horizontal="left" vertical="center" wrapText="1"/>
    </xf>
    <xf numFmtId="166" fontId="69" fillId="3" borderId="8" xfId="0" applyNumberFormat="1" applyFont="1" applyFill="1" applyBorder="1" applyAlignment="1">
      <alignment horizontal="center" vertical="center"/>
    </xf>
    <xf numFmtId="166" fontId="69" fillId="3" borderId="9" xfId="0" applyNumberFormat="1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left" vertical="center" wrapText="1"/>
    </xf>
    <xf numFmtId="166" fontId="69" fillId="3" borderId="7" xfId="0" applyNumberFormat="1" applyFont="1" applyFill="1" applyBorder="1" applyAlignment="1">
      <alignment horizontal="center" vertical="center"/>
    </xf>
    <xf numFmtId="166" fontId="69" fillId="3" borderId="10" xfId="0" applyNumberFormat="1" applyFont="1" applyFill="1" applyBorder="1" applyAlignment="1">
      <alignment horizontal="center" vertical="center"/>
    </xf>
    <xf numFmtId="2" fontId="16" fillId="0" borderId="35" xfId="0" applyNumberFormat="1" applyFont="1" applyBorder="1" applyAlignment="1">
      <alignment horizontal="center" vertical="center"/>
    </xf>
    <xf numFmtId="2" fontId="16" fillId="0" borderId="36" xfId="0" applyNumberFormat="1" applyFont="1" applyBorder="1" applyAlignment="1">
      <alignment horizontal="center" vertical="center"/>
    </xf>
    <xf numFmtId="2" fontId="16" fillId="0" borderId="37" xfId="0" applyNumberFormat="1" applyFont="1" applyBorder="1" applyAlignment="1">
      <alignment horizontal="center" vertical="center"/>
    </xf>
    <xf numFmtId="2" fontId="16" fillId="0" borderId="58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70" fillId="0" borderId="8" xfId="0" applyFont="1" applyBorder="1" applyAlignment="1">
      <alignment horizontal="center" vertical="center"/>
    </xf>
    <xf numFmtId="0" fontId="41" fillId="3" borderId="11" xfId="0" applyFont="1" applyFill="1" applyBorder="1" applyAlignment="1">
      <alignment horizontal="left" vertical="center" wrapText="1"/>
    </xf>
    <xf numFmtId="0" fontId="41" fillId="0" borderId="8" xfId="0" applyFont="1" applyBorder="1" applyAlignment="1">
      <alignment horizontal="left" vertical="center" wrapText="1"/>
    </xf>
    <xf numFmtId="166" fontId="41" fillId="0" borderId="8" xfId="0" applyNumberFormat="1" applyFont="1" applyBorder="1" applyAlignment="1">
      <alignment horizontal="center" vertical="center"/>
    </xf>
    <xf numFmtId="166" fontId="41" fillId="0" borderId="9" xfId="0" applyNumberFormat="1" applyFont="1" applyBorder="1" applyAlignment="1">
      <alignment horizontal="center" vertical="center"/>
    </xf>
    <xf numFmtId="166" fontId="41" fillId="0" borderId="65" xfId="0" applyNumberFormat="1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41" fillId="3" borderId="12" xfId="0" applyFont="1" applyFill="1" applyBorder="1" applyAlignment="1">
      <alignment horizontal="left" vertical="center" wrapText="1"/>
    </xf>
    <xf numFmtId="0" fontId="41" fillId="0" borderId="7" xfId="0" applyFont="1" applyBorder="1" applyAlignment="1">
      <alignment horizontal="left" vertical="center" wrapText="1"/>
    </xf>
    <xf numFmtId="166" fontId="41" fillId="0" borderId="7" xfId="0" applyNumberFormat="1" applyFont="1" applyBorder="1" applyAlignment="1">
      <alignment horizontal="center" vertical="center"/>
    </xf>
    <xf numFmtId="166" fontId="41" fillId="0" borderId="10" xfId="0" applyNumberFormat="1" applyFont="1" applyBorder="1" applyAlignment="1">
      <alignment horizontal="center" vertical="center"/>
    </xf>
    <xf numFmtId="0" fontId="41" fillId="3" borderId="7" xfId="0" applyFont="1" applyFill="1" applyBorder="1" applyAlignment="1">
      <alignment horizontal="left" vertical="center" wrapText="1"/>
    </xf>
    <xf numFmtId="0" fontId="41" fillId="0" borderId="65" xfId="0" applyFont="1" applyBorder="1" applyAlignment="1">
      <alignment horizontal="center" vertical="center"/>
    </xf>
    <xf numFmtId="0" fontId="70" fillId="0" borderId="24" xfId="0" applyFont="1" applyBorder="1" applyAlignment="1">
      <alignment horizontal="center" vertical="center"/>
    </xf>
    <xf numFmtId="0" fontId="41" fillId="3" borderId="24" xfId="0" applyFont="1" applyFill="1" applyBorder="1" applyAlignment="1">
      <alignment horizontal="left" vertical="center" wrapText="1"/>
    </xf>
    <xf numFmtId="0" fontId="41" fillId="0" borderId="24" xfId="0" applyFont="1" applyBorder="1" applyAlignment="1">
      <alignment horizontal="left" vertical="center" wrapText="1"/>
    </xf>
    <xf numFmtId="166" fontId="41" fillId="0" borderId="24" xfId="0" applyNumberFormat="1" applyFont="1" applyBorder="1" applyAlignment="1">
      <alignment horizontal="center" vertical="center"/>
    </xf>
    <xf numFmtId="166" fontId="41" fillId="0" borderId="25" xfId="0" applyNumberFormat="1" applyFont="1" applyBorder="1" applyAlignment="1">
      <alignment horizontal="center" vertical="center"/>
    </xf>
    <xf numFmtId="166" fontId="2" fillId="0" borderId="42" xfId="0" applyNumberFormat="1" applyFont="1" applyBorder="1" applyAlignment="1">
      <alignment horizontal="center" vertical="center"/>
    </xf>
    <xf numFmtId="0" fontId="41" fillId="18" borderId="13" xfId="0" applyFont="1" applyFill="1" applyBorder="1" applyAlignment="1">
      <alignment horizontal="left" vertical="center" wrapText="1"/>
    </xf>
    <xf numFmtId="0" fontId="41" fillId="0" borderId="13" xfId="0" applyFont="1" applyBorder="1" applyAlignment="1">
      <alignment horizontal="left" vertical="center" wrapText="1"/>
    </xf>
    <xf numFmtId="166" fontId="41" fillId="0" borderId="13" xfId="0" applyNumberFormat="1" applyFont="1" applyBorder="1" applyAlignment="1">
      <alignment horizontal="center" vertical="center"/>
    </xf>
    <xf numFmtId="0" fontId="41" fillId="18" borderId="7" xfId="0" applyFont="1" applyFill="1" applyBorder="1" applyAlignment="1">
      <alignment horizontal="left" vertical="center" wrapText="1"/>
    </xf>
    <xf numFmtId="0" fontId="41" fillId="18" borderId="12" xfId="0" applyFont="1" applyFill="1" applyBorder="1" applyAlignment="1">
      <alignment horizontal="left" vertical="center" wrapText="1"/>
    </xf>
    <xf numFmtId="0" fontId="41" fillId="18" borderId="23" xfId="0" applyFont="1" applyFill="1" applyBorder="1" applyAlignment="1">
      <alignment horizontal="left" vertical="center" wrapText="1"/>
    </xf>
    <xf numFmtId="166" fontId="41" fillId="0" borderId="30" xfId="0" applyNumberFormat="1" applyFont="1" applyBorder="1" applyAlignment="1">
      <alignment horizontal="center" vertical="center"/>
    </xf>
    <xf numFmtId="166" fontId="41" fillId="0" borderId="46" xfId="0" applyNumberFormat="1" applyFont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43" xfId="0" applyFont="1" applyFill="1" applyBorder="1" applyAlignment="1">
      <alignment horizontal="center" vertical="center"/>
    </xf>
    <xf numFmtId="0" fontId="48" fillId="3" borderId="43" xfId="0" applyFont="1" applyFill="1" applyBorder="1" applyAlignment="1">
      <alignment horizontal="left" vertical="center" wrapText="1"/>
    </xf>
    <xf numFmtId="166" fontId="69" fillId="3" borderId="43" xfId="0" applyNumberFormat="1" applyFont="1" applyFill="1" applyBorder="1" applyAlignment="1">
      <alignment horizontal="center" vertical="center"/>
    </xf>
    <xf numFmtId="166" fontId="69" fillId="3" borderId="45" xfId="0" applyNumberFormat="1" applyFont="1" applyFill="1" applyBorder="1" applyAlignment="1">
      <alignment horizontal="center" vertical="center"/>
    </xf>
    <xf numFmtId="0" fontId="36" fillId="18" borderId="32" xfId="0" applyFont="1" applyFill="1" applyBorder="1" applyAlignment="1">
      <alignment horizontal="center" vertical="center"/>
    </xf>
    <xf numFmtId="0" fontId="48" fillId="18" borderId="32" xfId="0" applyFont="1" applyFill="1" applyBorder="1" applyAlignment="1">
      <alignment horizontal="left" vertical="center" wrapText="1"/>
    </xf>
    <xf numFmtId="166" fontId="69" fillId="18" borderId="32" xfId="0" applyNumberFormat="1" applyFont="1" applyFill="1" applyBorder="1" applyAlignment="1">
      <alignment horizontal="center" vertical="center"/>
    </xf>
    <xf numFmtId="166" fontId="69" fillId="18" borderId="39" xfId="0" applyNumberFormat="1" applyFont="1" applyFill="1" applyBorder="1" applyAlignment="1">
      <alignment horizontal="center" vertical="center"/>
    </xf>
    <xf numFmtId="0" fontId="41" fillId="18" borderId="8" xfId="0" applyFont="1" applyFill="1" applyBorder="1" applyAlignment="1">
      <alignment horizontal="left" vertical="center" wrapText="1"/>
    </xf>
    <xf numFmtId="166" fontId="41" fillId="0" borderId="8" xfId="0" applyNumberFormat="1" applyFont="1" applyFill="1" applyBorder="1" applyAlignment="1">
      <alignment horizontal="center" vertical="center"/>
    </xf>
    <xf numFmtId="166" fontId="41" fillId="0" borderId="71" xfId="0" applyNumberFormat="1" applyFont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 vertical="center" wrapText="1"/>
    </xf>
    <xf numFmtId="0" fontId="1" fillId="18" borderId="25" xfId="0" applyFont="1" applyFill="1" applyBorder="1" applyAlignment="1">
      <alignment horizontal="center" vertical="center" wrapText="1"/>
    </xf>
    <xf numFmtId="44" fontId="1" fillId="0" borderId="42" xfId="3" applyFont="1" applyBorder="1" applyAlignment="1">
      <alignment vertical="center"/>
    </xf>
    <xf numFmtId="44" fontId="17" fillId="0" borderId="42" xfId="0" applyNumberFormat="1" applyFont="1" applyBorder="1" applyAlignment="1">
      <alignment vertical="center"/>
    </xf>
    <xf numFmtId="0" fontId="19" fillId="0" borderId="29" xfId="0" applyFont="1" applyFill="1" applyBorder="1"/>
    <xf numFmtId="0" fontId="19" fillId="0" borderId="72" xfId="0" applyFont="1" applyFill="1" applyBorder="1"/>
    <xf numFmtId="0" fontId="69" fillId="0" borderId="72" xfId="0" applyFont="1" applyFill="1" applyBorder="1" applyAlignment="1">
      <alignment horizontal="center" vertical="center"/>
    </xf>
    <xf numFmtId="0" fontId="69" fillId="0" borderId="72" xfId="0" applyFont="1" applyFill="1" applyBorder="1"/>
    <xf numFmtId="166" fontId="48" fillId="0" borderId="42" xfId="0" applyNumberFormat="1" applyFont="1" applyFill="1" applyBorder="1" applyAlignment="1">
      <alignment horizontal="center" vertical="center"/>
    </xf>
    <xf numFmtId="2" fontId="36" fillId="3" borderId="35" xfId="0" applyNumberFormat="1" applyFont="1" applyFill="1" applyBorder="1" applyAlignment="1">
      <alignment horizontal="center" vertical="center"/>
    </xf>
    <xf numFmtId="2" fontId="36" fillId="3" borderId="44" xfId="0" applyNumberFormat="1" applyFont="1" applyFill="1" applyBorder="1" applyAlignment="1">
      <alignment horizontal="center" vertical="center"/>
    </xf>
    <xf numFmtId="2" fontId="36" fillId="18" borderId="38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2" fontId="24" fillId="3" borderId="35" xfId="0" applyNumberFormat="1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vertical="center"/>
    </xf>
    <xf numFmtId="10" fontId="0" fillId="4" borderId="7" xfId="1" applyNumberFormat="1" applyFont="1" applyFill="1" applyBorder="1" applyAlignment="1">
      <alignment horizontal="right" vertical="center"/>
    </xf>
    <xf numFmtId="10" fontId="19" fillId="4" borderId="7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righ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30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" fillId="2" borderId="2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right" vertical="center" wrapText="1"/>
    </xf>
    <xf numFmtId="0" fontId="9" fillId="0" borderId="31" xfId="0" applyFont="1" applyBorder="1" applyAlignment="1">
      <alignment horizontal="right" vertical="center" wrapText="1"/>
    </xf>
    <xf numFmtId="0" fontId="9" fillId="0" borderId="12" xfId="0" applyFont="1" applyBorder="1" applyAlignment="1">
      <alignment horizontal="right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2" fillId="0" borderId="33" xfId="0" applyFont="1" applyBorder="1" applyAlignment="1">
      <alignment horizontal="right"/>
    </xf>
    <xf numFmtId="0" fontId="12" fillId="0" borderId="34" xfId="0" applyFont="1" applyBorder="1" applyAlignment="1">
      <alignment horizontal="right"/>
    </xf>
    <xf numFmtId="0" fontId="68" fillId="0" borderId="4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4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right" vertical="center" wrapText="1"/>
    </xf>
    <xf numFmtId="0" fontId="3" fillId="2" borderId="18" xfId="0" applyFont="1" applyFill="1" applyBorder="1" applyAlignment="1">
      <alignment horizontal="right" vertical="center" wrapText="1"/>
    </xf>
    <xf numFmtId="166" fontId="40" fillId="0" borderId="4" xfId="0" applyNumberFormat="1" applyFont="1" applyBorder="1" applyAlignment="1">
      <alignment horizontal="center" vertical="center"/>
    </xf>
    <xf numFmtId="166" fontId="40" fillId="0" borderId="5" xfId="0" applyNumberFormat="1" applyFont="1" applyBorder="1" applyAlignment="1">
      <alignment horizontal="center" vertical="center"/>
    </xf>
    <xf numFmtId="166" fontId="40" fillId="0" borderId="6" xfId="0" applyNumberFormat="1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0" fillId="0" borderId="35" xfId="0" applyFont="1" applyBorder="1" applyAlignment="1">
      <alignment vertical="center" wrapText="1"/>
    </xf>
    <xf numFmtId="0" fontId="0" fillId="0" borderId="36" xfId="0" applyFont="1" applyBorder="1" applyAlignment="1">
      <alignment vertical="center" wrapText="1"/>
    </xf>
    <xf numFmtId="0" fontId="0" fillId="0" borderId="44" xfId="0" applyFont="1" applyBorder="1" applyAlignment="1">
      <alignment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8" fillId="11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7" borderId="4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2" fontId="1" fillId="7" borderId="4" xfId="0" applyNumberFormat="1" applyFont="1" applyFill="1" applyBorder="1" applyAlignment="1" applyProtection="1">
      <alignment horizontal="center"/>
    </xf>
    <xf numFmtId="2" fontId="1" fillId="7" borderId="5" xfId="0" applyNumberFormat="1" applyFont="1" applyFill="1" applyBorder="1" applyAlignment="1" applyProtection="1">
      <alignment horizontal="center"/>
    </xf>
    <xf numFmtId="2" fontId="1" fillId="7" borderId="6" xfId="0" applyNumberFormat="1" applyFont="1" applyFill="1" applyBorder="1" applyAlignment="1" applyProtection="1">
      <alignment horizontal="center"/>
    </xf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PERFIL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183425456019073E-2"/>
          <c:y val="0.19480355077895534"/>
          <c:w val="0.93454459504319098"/>
          <c:h val="0.7537959317585313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[3]COSTO!$O$7:$O$18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0.65</c:v>
                </c:pt>
                <c:pt idx="4">
                  <c:v>0.65</c:v>
                </c:pt>
                <c:pt idx="5">
                  <c:v>0.5</c:v>
                </c:pt>
                <c:pt idx="6">
                  <c:v>-0.5</c:v>
                </c:pt>
                <c:pt idx="7">
                  <c:v>-0.65</c:v>
                </c:pt>
                <c:pt idx="8">
                  <c:v>-0.65</c:v>
                </c:pt>
                <c:pt idx="9">
                  <c:v>-0.5</c:v>
                </c:pt>
                <c:pt idx="10">
                  <c:v>-0.5</c:v>
                </c:pt>
                <c:pt idx="11">
                  <c:v>0</c:v>
                </c:pt>
              </c:numCache>
            </c:numRef>
          </c:xVal>
          <c:yVal>
            <c:numRef>
              <c:f>[3]COSTO!$P$7:$P$18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5376"/>
        <c:axId val="118996992"/>
      </c:scatterChart>
      <c:valAx>
        <c:axId val="518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18996992"/>
        <c:crosses val="autoZero"/>
        <c:crossBetween val="midCat"/>
      </c:valAx>
      <c:valAx>
        <c:axId val="1189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51845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212174330991391"/>
          <c:y val="7.810971519378937E-2"/>
          <c:w val="0.20954758572593149"/>
          <c:h val="5.8949740463583478E-2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3" Type="http://schemas.openxmlformats.org/officeDocument/2006/relationships/image" Target="../media/image7.wmf"/><Relationship Id="rId7" Type="http://schemas.openxmlformats.org/officeDocument/2006/relationships/image" Target="../media/image3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6" Type="http://schemas.openxmlformats.org/officeDocument/2006/relationships/image" Target="../media/image2.wmf"/><Relationship Id="rId5" Type="http://schemas.openxmlformats.org/officeDocument/2006/relationships/image" Target="../media/image11.emf"/><Relationship Id="rId4" Type="http://schemas.openxmlformats.org/officeDocument/2006/relationships/image" Target="../media/image8.w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3" Type="http://schemas.openxmlformats.org/officeDocument/2006/relationships/image" Target="../media/image7.wmf"/><Relationship Id="rId7" Type="http://schemas.openxmlformats.org/officeDocument/2006/relationships/image" Target="../media/image3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6" Type="http://schemas.openxmlformats.org/officeDocument/2006/relationships/image" Target="../media/image2.wmf"/><Relationship Id="rId5" Type="http://schemas.openxmlformats.org/officeDocument/2006/relationships/image" Target="../media/image11.emf"/><Relationship Id="rId4" Type="http://schemas.openxmlformats.org/officeDocument/2006/relationships/image" Target="../media/image8.w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5</xdr:row>
      <xdr:rowOff>85592</xdr:rowOff>
    </xdr:from>
    <xdr:to>
      <xdr:col>6</xdr:col>
      <xdr:colOff>1553022</xdr:colOff>
      <xdr:row>5</xdr:row>
      <xdr:rowOff>495299</xdr:rowOff>
    </xdr:to>
    <xdr:pic>
      <xdr:nvPicPr>
        <xdr:cNvPr id="2" name="Picture 2" descr="C:\Users\FAO1\Downloads\nueva marca pn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05" t="39363" r="19616" b="36604"/>
        <a:stretch/>
      </xdr:blipFill>
      <xdr:spPr bwMode="auto">
        <a:xfrm>
          <a:off x="5267325" y="1047617"/>
          <a:ext cx="1924498" cy="409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180974</xdr:colOff>
      <xdr:row>1</xdr:row>
      <xdr:rowOff>180975</xdr:rowOff>
    </xdr:from>
    <xdr:to>
      <xdr:col>4</xdr:col>
      <xdr:colOff>490281</xdr:colOff>
      <xdr:row>3</xdr:row>
      <xdr:rowOff>133350</xdr:rowOff>
    </xdr:to>
    <xdr:pic>
      <xdr:nvPicPr>
        <xdr:cNvPr id="2" name="Picture 2" descr="C:\Users\FAO1\Downloads\nueva marca pn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05" t="39363" r="19616" b="36604"/>
        <a:stretch/>
      </xdr:blipFill>
      <xdr:spPr bwMode="auto">
        <a:xfrm>
          <a:off x="2009774" y="371475"/>
          <a:ext cx="134753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76</xdr:row>
          <xdr:rowOff>66675</xdr:rowOff>
        </xdr:from>
        <xdr:to>
          <xdr:col>6</xdr:col>
          <xdr:colOff>0</xdr:colOff>
          <xdr:row>76</xdr:row>
          <xdr:rowOff>638175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77</xdr:row>
          <xdr:rowOff>542925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78</xdr:row>
          <xdr:rowOff>38100</xdr:rowOff>
        </xdr:from>
        <xdr:to>
          <xdr:col>6</xdr:col>
          <xdr:colOff>0</xdr:colOff>
          <xdr:row>78</xdr:row>
          <xdr:rowOff>571500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79</xdr:row>
          <xdr:rowOff>104775</xdr:rowOff>
        </xdr:from>
        <xdr:to>
          <xdr:col>6</xdr:col>
          <xdr:colOff>0</xdr:colOff>
          <xdr:row>79</xdr:row>
          <xdr:rowOff>657225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80</xdr:row>
          <xdr:rowOff>590550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81</xdr:row>
          <xdr:rowOff>542925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82</xdr:row>
          <xdr:rowOff>552450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83</xdr:row>
          <xdr:rowOff>76200</xdr:rowOff>
        </xdr:from>
        <xdr:to>
          <xdr:col>5</xdr:col>
          <xdr:colOff>4314825</xdr:colOff>
          <xdr:row>83</xdr:row>
          <xdr:rowOff>666750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180974</xdr:colOff>
      <xdr:row>1</xdr:row>
      <xdr:rowOff>180975</xdr:rowOff>
    </xdr:from>
    <xdr:to>
      <xdr:col>4</xdr:col>
      <xdr:colOff>957006</xdr:colOff>
      <xdr:row>3</xdr:row>
      <xdr:rowOff>114300</xdr:rowOff>
    </xdr:to>
    <xdr:pic>
      <xdr:nvPicPr>
        <xdr:cNvPr id="2" name="Picture 2" descr="C:\Users\FAO1\Downloads\nueva marca pn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05" t="39363" r="19616" b="36604"/>
        <a:stretch/>
      </xdr:blipFill>
      <xdr:spPr bwMode="auto">
        <a:xfrm>
          <a:off x="2009774" y="371475"/>
          <a:ext cx="1347532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79</xdr:row>
          <xdr:rowOff>228600</xdr:rowOff>
        </xdr:from>
        <xdr:to>
          <xdr:col>5</xdr:col>
          <xdr:colOff>1733550</xdr:colOff>
          <xdr:row>79</xdr:row>
          <xdr:rowOff>628650</xdr:rowOff>
        </xdr:to>
        <xdr:sp macro="" textlink="">
          <xdr:nvSpPr>
            <xdr:cNvPr id="12292" name="Object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294" name="Object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83</xdr:row>
          <xdr:rowOff>76200</xdr:rowOff>
        </xdr:from>
        <xdr:to>
          <xdr:col>5</xdr:col>
          <xdr:colOff>2647950</xdr:colOff>
          <xdr:row>84</xdr:row>
          <xdr:rowOff>19050</xdr:rowOff>
        </xdr:to>
        <xdr:sp macro="" textlink="">
          <xdr:nvSpPr>
            <xdr:cNvPr id="12296" name="Object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76</xdr:row>
          <xdr:rowOff>133350</xdr:rowOff>
        </xdr:from>
        <xdr:to>
          <xdr:col>5</xdr:col>
          <xdr:colOff>1952625</xdr:colOff>
          <xdr:row>76</xdr:row>
          <xdr:rowOff>561975</xdr:rowOff>
        </xdr:to>
        <xdr:sp macro="" textlink="">
          <xdr:nvSpPr>
            <xdr:cNvPr id="12297" name="Object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77</xdr:row>
          <xdr:rowOff>114300</xdr:rowOff>
        </xdr:from>
        <xdr:to>
          <xdr:col>5</xdr:col>
          <xdr:colOff>2066925</xdr:colOff>
          <xdr:row>77</xdr:row>
          <xdr:rowOff>466725</xdr:rowOff>
        </xdr:to>
        <xdr:sp macro="" textlink="">
          <xdr:nvSpPr>
            <xdr:cNvPr id="12298" name="Object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78</xdr:row>
          <xdr:rowOff>161925</xdr:rowOff>
        </xdr:from>
        <xdr:to>
          <xdr:col>5</xdr:col>
          <xdr:colOff>2066925</xdr:colOff>
          <xdr:row>78</xdr:row>
          <xdr:rowOff>523875</xdr:rowOff>
        </xdr:to>
        <xdr:sp macro="" textlink="">
          <xdr:nvSpPr>
            <xdr:cNvPr id="12299" name="Object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01" name="Object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02" name="Object 14" hidden="1">
              <a:extLst>
                <a:ext uri="{63B3BB69-23CF-44E3-9099-C40C66FF867C}">
                  <a14:compatExt spid="_x0000_s1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180974</xdr:colOff>
      <xdr:row>1</xdr:row>
      <xdr:rowOff>180975</xdr:rowOff>
    </xdr:from>
    <xdr:to>
      <xdr:col>4</xdr:col>
      <xdr:colOff>562398</xdr:colOff>
      <xdr:row>3</xdr:row>
      <xdr:rowOff>114300</xdr:rowOff>
    </xdr:to>
    <xdr:pic>
      <xdr:nvPicPr>
        <xdr:cNvPr id="2" name="Picture 2" descr="C:\Users\FAO1\Downloads\nueva marca pn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05" t="39363" r="19616" b="36604"/>
        <a:stretch/>
      </xdr:blipFill>
      <xdr:spPr bwMode="auto">
        <a:xfrm>
          <a:off x="1838324" y="371475"/>
          <a:ext cx="1347532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79</xdr:row>
          <xdr:rowOff>228600</xdr:rowOff>
        </xdr:from>
        <xdr:to>
          <xdr:col>5</xdr:col>
          <xdr:colOff>1733550</xdr:colOff>
          <xdr:row>79</xdr:row>
          <xdr:rowOff>628650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29699" name="Object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29700" name="Object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83</xdr:row>
          <xdr:rowOff>76200</xdr:rowOff>
        </xdr:from>
        <xdr:to>
          <xdr:col>5</xdr:col>
          <xdr:colOff>1857375</xdr:colOff>
          <xdr:row>83</xdr:row>
          <xdr:rowOff>476250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76</xdr:row>
          <xdr:rowOff>133350</xdr:rowOff>
        </xdr:from>
        <xdr:to>
          <xdr:col>5</xdr:col>
          <xdr:colOff>1952625</xdr:colOff>
          <xdr:row>76</xdr:row>
          <xdr:rowOff>561975</xdr:rowOff>
        </xdr:to>
        <xdr:sp macro="" textlink="">
          <xdr:nvSpPr>
            <xdr:cNvPr id="29702" name="Object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77</xdr:row>
          <xdr:rowOff>114300</xdr:rowOff>
        </xdr:from>
        <xdr:to>
          <xdr:col>5</xdr:col>
          <xdr:colOff>2066925</xdr:colOff>
          <xdr:row>77</xdr:row>
          <xdr:rowOff>466725</xdr:rowOff>
        </xdr:to>
        <xdr:sp macro="" textlink="">
          <xdr:nvSpPr>
            <xdr:cNvPr id="29703" name="Object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78</xdr:row>
          <xdr:rowOff>161925</xdr:rowOff>
        </xdr:from>
        <xdr:to>
          <xdr:col>5</xdr:col>
          <xdr:colOff>2066925</xdr:colOff>
          <xdr:row>78</xdr:row>
          <xdr:rowOff>523875</xdr:rowOff>
        </xdr:to>
        <xdr:sp macro="" textlink="">
          <xdr:nvSpPr>
            <xdr:cNvPr id="29704" name="Object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29705" name="Object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29706" name="Object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180974</xdr:colOff>
      <xdr:row>1</xdr:row>
      <xdr:rowOff>180975</xdr:rowOff>
    </xdr:from>
    <xdr:to>
      <xdr:col>4</xdr:col>
      <xdr:colOff>823656</xdr:colOff>
      <xdr:row>3</xdr:row>
      <xdr:rowOff>114300</xdr:rowOff>
    </xdr:to>
    <xdr:pic>
      <xdr:nvPicPr>
        <xdr:cNvPr id="2" name="Picture 2" descr="C:\Users\FAO1\Downloads\nueva marca pn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05" t="39363" r="19616" b="36604"/>
        <a:stretch/>
      </xdr:blipFill>
      <xdr:spPr bwMode="auto">
        <a:xfrm>
          <a:off x="2009774" y="371475"/>
          <a:ext cx="1347532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76</xdr:row>
          <xdr:rowOff>0</xdr:rowOff>
        </xdr:from>
        <xdr:to>
          <xdr:col>5</xdr:col>
          <xdr:colOff>1790700</xdr:colOff>
          <xdr:row>77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78</xdr:row>
          <xdr:rowOff>38100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79</xdr:row>
          <xdr:rowOff>104775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83</xdr:row>
          <xdr:rowOff>9525</xdr:rowOff>
        </xdr:from>
        <xdr:to>
          <xdr:col>5</xdr:col>
          <xdr:colOff>1704975</xdr:colOff>
          <xdr:row>83</xdr:row>
          <xdr:rowOff>295275</xdr:rowOff>
        </xdr:to>
        <xdr:sp macro="" textlink="">
          <xdr:nvSpPr>
            <xdr:cNvPr id="6192" name="Object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180974</xdr:colOff>
      <xdr:row>1</xdr:row>
      <xdr:rowOff>180975</xdr:rowOff>
    </xdr:from>
    <xdr:to>
      <xdr:col>4</xdr:col>
      <xdr:colOff>2471481</xdr:colOff>
      <xdr:row>4</xdr:row>
      <xdr:rowOff>19050</xdr:rowOff>
    </xdr:to>
    <xdr:pic>
      <xdr:nvPicPr>
        <xdr:cNvPr id="2" name="Picture 2" descr="C:\Users\FAO1\Downloads\nueva marca pn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05" t="39363" r="19616" b="36604"/>
        <a:stretch/>
      </xdr:blipFill>
      <xdr:spPr bwMode="auto">
        <a:xfrm>
          <a:off x="1666874" y="371475"/>
          <a:ext cx="288105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76</xdr:row>
          <xdr:rowOff>695325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77</xdr:row>
          <xdr:rowOff>542925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78</xdr:row>
          <xdr:rowOff>38100</xdr:rowOff>
        </xdr:from>
        <xdr:to>
          <xdr:col>6</xdr:col>
          <xdr:colOff>0</xdr:colOff>
          <xdr:row>78</xdr:row>
          <xdr:rowOff>571500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79</xdr:row>
          <xdr:rowOff>104775</xdr:rowOff>
        </xdr:from>
        <xdr:to>
          <xdr:col>6</xdr:col>
          <xdr:colOff>0</xdr:colOff>
          <xdr:row>79</xdr:row>
          <xdr:rowOff>657225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80</xdr:row>
          <xdr:rowOff>590550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81</xdr:row>
          <xdr:rowOff>542925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82</xdr:row>
          <xdr:rowOff>552450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83</xdr:row>
          <xdr:rowOff>85725</xdr:rowOff>
        </xdr:from>
        <xdr:to>
          <xdr:col>6</xdr:col>
          <xdr:colOff>0</xdr:colOff>
          <xdr:row>83</xdr:row>
          <xdr:rowOff>628650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180974</xdr:colOff>
      <xdr:row>1</xdr:row>
      <xdr:rowOff>180975</xdr:rowOff>
    </xdr:from>
    <xdr:to>
      <xdr:col>4</xdr:col>
      <xdr:colOff>2471481</xdr:colOff>
      <xdr:row>4</xdr:row>
      <xdr:rowOff>19050</xdr:rowOff>
    </xdr:to>
    <xdr:pic>
      <xdr:nvPicPr>
        <xdr:cNvPr id="2" name="Picture 2" descr="C:\Users\FAO1\Downloads\nueva marca pn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05" t="39363" r="19616" b="36604"/>
        <a:stretch/>
      </xdr:blipFill>
      <xdr:spPr bwMode="auto">
        <a:xfrm>
          <a:off x="2009774" y="371475"/>
          <a:ext cx="288105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76</xdr:row>
          <xdr:rowOff>695325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77</xdr:row>
          <xdr:rowOff>542925</xdr:rowOff>
        </xdr:to>
        <xdr:sp macro="" textlink="">
          <xdr:nvSpPr>
            <xdr:cNvPr id="40962" name="Object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78</xdr:row>
          <xdr:rowOff>38100</xdr:rowOff>
        </xdr:from>
        <xdr:to>
          <xdr:col>6</xdr:col>
          <xdr:colOff>0</xdr:colOff>
          <xdr:row>78</xdr:row>
          <xdr:rowOff>571500</xdr:rowOff>
        </xdr:to>
        <xdr:sp macro="" textlink="">
          <xdr:nvSpPr>
            <xdr:cNvPr id="40963" name="Object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79</xdr:row>
          <xdr:rowOff>104775</xdr:rowOff>
        </xdr:from>
        <xdr:to>
          <xdr:col>6</xdr:col>
          <xdr:colOff>0</xdr:colOff>
          <xdr:row>79</xdr:row>
          <xdr:rowOff>657225</xdr:rowOff>
        </xdr:to>
        <xdr:sp macro="" textlink="">
          <xdr:nvSpPr>
            <xdr:cNvPr id="40964" name="Object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80</xdr:row>
          <xdr:rowOff>590550</xdr:rowOff>
        </xdr:to>
        <xdr:sp macro="" textlink="">
          <xdr:nvSpPr>
            <xdr:cNvPr id="40965" name="Object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81</xdr:row>
          <xdr:rowOff>542925</xdr:rowOff>
        </xdr:to>
        <xdr:sp macro="" textlink="">
          <xdr:nvSpPr>
            <xdr:cNvPr id="40966" name="Object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82</xdr:row>
          <xdr:rowOff>552450</xdr:rowOff>
        </xdr:to>
        <xdr:sp macro="" textlink="">
          <xdr:nvSpPr>
            <xdr:cNvPr id="40967" name="Object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83</xdr:row>
          <xdr:rowOff>85725</xdr:rowOff>
        </xdr:from>
        <xdr:to>
          <xdr:col>6</xdr:col>
          <xdr:colOff>0</xdr:colOff>
          <xdr:row>83</xdr:row>
          <xdr:rowOff>628650</xdr:rowOff>
        </xdr:to>
        <xdr:sp macro="" textlink="">
          <xdr:nvSpPr>
            <xdr:cNvPr id="40968" name="Object 8" hidden="1">
              <a:extLst>
                <a:ext uri="{63B3BB69-23CF-44E3-9099-C40C66FF867C}">
                  <a14:compatExt spid="_x0000_s40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180974</xdr:colOff>
      <xdr:row>1</xdr:row>
      <xdr:rowOff>180975</xdr:rowOff>
    </xdr:from>
    <xdr:to>
      <xdr:col>4</xdr:col>
      <xdr:colOff>823656</xdr:colOff>
      <xdr:row>3</xdr:row>
      <xdr:rowOff>114300</xdr:rowOff>
    </xdr:to>
    <xdr:pic>
      <xdr:nvPicPr>
        <xdr:cNvPr id="2" name="Picture 2" descr="C:\Users\FAO1\Downloads\nueva marca pn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05" t="39363" r="19616" b="36604"/>
        <a:stretch/>
      </xdr:blipFill>
      <xdr:spPr bwMode="auto">
        <a:xfrm>
          <a:off x="2009774" y="371475"/>
          <a:ext cx="1347532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76</xdr:row>
          <xdr:rowOff>0</xdr:rowOff>
        </xdr:from>
        <xdr:to>
          <xdr:col>5</xdr:col>
          <xdr:colOff>1790700</xdr:colOff>
          <xdr:row>77</xdr:row>
          <xdr:rowOff>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21506" name="Object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78</xdr:row>
          <xdr:rowOff>38100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21507" name="Object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79</xdr:row>
          <xdr:rowOff>104775</xdr:rowOff>
        </xdr:from>
        <xdr:to>
          <xdr:col>5</xdr:col>
          <xdr:colOff>1790700</xdr:colOff>
          <xdr:row>80</xdr:row>
          <xdr:rowOff>0</xdr:rowOff>
        </xdr:to>
        <xdr:sp macro="" textlink="">
          <xdr:nvSpPr>
            <xdr:cNvPr id="21508" name="Object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21509" name="Object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21510" name="Object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21511" name="Object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133350</xdr:colOff>
          <xdr:row>83</xdr:row>
          <xdr:rowOff>9525</xdr:rowOff>
        </xdr:from>
        <xdr:to>
          <xdr:col>5</xdr:col>
          <xdr:colOff>1704975</xdr:colOff>
          <xdr:row>83</xdr:row>
          <xdr:rowOff>295275</xdr:rowOff>
        </xdr:to>
        <xdr:sp macro="" textlink="">
          <xdr:nvSpPr>
            <xdr:cNvPr id="21512" name="Object 8" hidden="1">
              <a:extLst>
                <a:ext uri="{63B3BB69-23CF-44E3-9099-C40C66FF867C}">
                  <a14:compatExt spid="_x0000_s2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180975</xdr:rowOff>
    </xdr:from>
    <xdr:to>
      <xdr:col>19</xdr:col>
      <xdr:colOff>180975</xdr:colOff>
      <xdr:row>21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A%20DATOS%20AMPLIADO%20V03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DOCS/DGI/2019%20PLAN%20DE%20OBRAS/RIO%20DIAMANTE/Celula%20de%20Cultivo%20-%20Cuenca%20R&#237;o%20Diamante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DOCS/DGI/CANAL%20TIPO%20PRES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"/>
      <sheetName val="MENDOZA"/>
      <sheetName val="TUNINF"/>
      <sheetName val="TUNSUP"/>
      <sheetName val="DIAMANTE"/>
      <sheetName val="ATUEL"/>
      <sheetName val="MALARGÜE"/>
      <sheetName val="COMPLETO"/>
      <sheetName val="CALIF HTA"/>
      <sheetName val="ANALISIS"/>
      <sheetName val="CALC"/>
      <sheetName val="VBP_RM"/>
      <sheetName val="VBP_TI"/>
      <sheetName val="VBP_TS"/>
      <sheetName val="VBP_RD"/>
      <sheetName val="VBP_RA"/>
      <sheetName val="VBP_MA"/>
      <sheetName val="calc can"/>
    </sheetNames>
    <sheetDataSet>
      <sheetData sheetId="0"/>
      <sheetData sheetId="1"/>
      <sheetData sheetId="2">
        <row r="16">
          <cell r="M16">
            <v>66643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9">
          <cell r="M29">
            <v>85614.354451533873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 Bruto Producción"/>
      <sheetName val="Forestal"/>
      <sheetName val="Frutales"/>
      <sheetName val="Hortalizas"/>
      <sheetName val="Olivo"/>
      <sheetName val="Pastura"/>
      <sheetName val="Vid"/>
      <sheetName val="Veg. Espontanea "/>
    </sheetNames>
    <sheetDataSet>
      <sheetData sheetId="0" refreshError="1"/>
      <sheetData sheetId="1" refreshError="1">
        <row r="5">
          <cell r="H5">
            <v>29047.795479807341</v>
          </cell>
        </row>
        <row r="6">
          <cell r="H6">
            <v>74.513768388002148</v>
          </cell>
        </row>
        <row r="7">
          <cell r="H7">
            <v>40.288919902404118</v>
          </cell>
        </row>
        <row r="8">
          <cell r="H8">
            <v>0</v>
          </cell>
        </row>
        <row r="9">
          <cell r="H9">
            <v>95.489598423454339</v>
          </cell>
        </row>
        <row r="10">
          <cell r="H10">
            <v>236.55651041027755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25116.492685120513</v>
          </cell>
        </row>
        <row r="15">
          <cell r="H15">
            <v>1571.5507267887574</v>
          </cell>
        </row>
        <row r="16">
          <cell r="H16">
            <v>72.9261778677092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238.20463803146325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613.36131262325102</v>
          </cell>
        </row>
        <row r="24">
          <cell r="H24">
            <v>0</v>
          </cell>
        </row>
        <row r="25">
          <cell r="H25">
            <v>172.42630038065565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114.48312992952089</v>
          </cell>
        </row>
        <row r="32">
          <cell r="H32">
            <v>0</v>
          </cell>
        </row>
        <row r="33">
          <cell r="H33">
            <v>590.56342914873437</v>
          </cell>
        </row>
        <row r="34">
          <cell r="H34">
            <v>4400.7858546168964</v>
          </cell>
        </row>
        <row r="35">
          <cell r="H35">
            <v>254.36459361137875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180.04402136505013</v>
          </cell>
        </row>
        <row r="39">
          <cell r="H39">
            <v>0</v>
          </cell>
        </row>
      </sheetData>
      <sheetData sheetId="2" refreshError="1">
        <row r="5">
          <cell r="H5">
            <v>86467.580585402015</v>
          </cell>
        </row>
        <row r="6">
          <cell r="H6">
            <v>56483.254733726644</v>
          </cell>
        </row>
        <row r="7">
          <cell r="H7">
            <v>83015.861862876773</v>
          </cell>
        </row>
        <row r="8">
          <cell r="H8">
            <v>65692.720023781832</v>
          </cell>
        </row>
        <row r="9">
          <cell r="H9">
            <v>63576.68679740349</v>
          </cell>
        </row>
        <row r="10">
          <cell r="H10">
            <v>81939.181828080327</v>
          </cell>
        </row>
        <row r="11">
          <cell r="H11">
            <v>160197.00739107214</v>
          </cell>
        </row>
        <row r="12">
          <cell r="H12">
            <v>90935.071234126051</v>
          </cell>
        </row>
        <row r="13">
          <cell r="H13">
            <v>154179.33439980322</v>
          </cell>
        </row>
        <row r="14">
          <cell r="H14">
            <v>8051.6299407729193</v>
          </cell>
        </row>
        <row r="15">
          <cell r="H15">
            <v>23143.048890372931</v>
          </cell>
        </row>
        <row r="16">
          <cell r="H16">
            <v>73374.324840086745</v>
          </cell>
        </row>
        <row r="17">
          <cell r="H17">
            <v>82245.019067543268</v>
          </cell>
        </row>
        <row r="18">
          <cell r="H18">
            <v>97449.826458273528</v>
          </cell>
        </row>
        <row r="19">
          <cell r="H19">
            <v>108898.7286160732</v>
          </cell>
        </row>
        <row r="20">
          <cell r="H20">
            <v>133952.4468252809</v>
          </cell>
        </row>
        <row r="21">
          <cell r="H21">
            <v>149162.70279720909</v>
          </cell>
        </row>
        <row r="22">
          <cell r="H22">
            <v>184642.62686142256</v>
          </cell>
        </row>
        <row r="23">
          <cell r="H23">
            <v>226177.8230830644</v>
          </cell>
        </row>
        <row r="24">
          <cell r="H24">
            <v>115810.35835851239</v>
          </cell>
        </row>
        <row r="25">
          <cell r="H25">
            <v>177418.47973947859</v>
          </cell>
        </row>
        <row r="26">
          <cell r="H26">
            <v>173716.58597643179</v>
          </cell>
        </row>
        <row r="27">
          <cell r="H27">
            <v>135154.70269277148</v>
          </cell>
        </row>
        <row r="28">
          <cell r="H28">
            <v>173009.92081864356</v>
          </cell>
        </row>
        <row r="29">
          <cell r="H29">
            <v>126721.01790813525</v>
          </cell>
        </row>
        <row r="30">
          <cell r="H30">
            <v>134260.96899983639</v>
          </cell>
        </row>
        <row r="31">
          <cell r="H31">
            <v>110330.35415519789</v>
          </cell>
        </row>
        <row r="32">
          <cell r="H32">
            <v>178038.5532886991</v>
          </cell>
        </row>
        <row r="33">
          <cell r="H33">
            <v>98635.26401876306</v>
          </cell>
        </row>
        <row r="34">
          <cell r="H34">
            <v>37473.477406679769</v>
          </cell>
        </row>
        <row r="35">
          <cell r="H35">
            <v>171324.4071548642</v>
          </cell>
        </row>
        <row r="36">
          <cell r="H36">
            <v>75595.779881447394</v>
          </cell>
        </row>
        <row r="37">
          <cell r="H37">
            <v>80204.123564851659</v>
          </cell>
        </row>
        <row r="38">
          <cell r="H38">
            <v>81464.526411970102</v>
          </cell>
        </row>
        <row r="39">
          <cell r="H39">
            <v>76708.884688090737</v>
          </cell>
        </row>
      </sheetData>
      <sheetData sheetId="3" refreshError="1">
        <row r="5">
          <cell r="H5">
            <v>2197.8806965542794</v>
          </cell>
        </row>
        <row r="6">
          <cell r="H6">
            <v>9176.0799732857504</v>
          </cell>
        </row>
        <row r="7">
          <cell r="H7">
            <v>3448.5993959885127</v>
          </cell>
        </row>
        <row r="8">
          <cell r="H8">
            <v>9567.8882506922346</v>
          </cell>
        </row>
        <row r="9">
          <cell r="H9">
            <v>6500.120199082171</v>
          </cell>
        </row>
        <row r="10">
          <cell r="H10">
            <v>7737.2004510253992</v>
          </cell>
        </row>
        <row r="11">
          <cell r="H11">
            <v>2277.1738194097479</v>
          </cell>
        </row>
        <row r="12">
          <cell r="H12">
            <v>9003.9150441499569</v>
          </cell>
        </row>
        <row r="13">
          <cell r="H13">
            <v>1366.6514313820567</v>
          </cell>
        </row>
        <row r="14">
          <cell r="H14">
            <v>0</v>
          </cell>
        </row>
        <row r="15">
          <cell r="H15">
            <v>11824.347668358609</v>
          </cell>
        </row>
        <row r="16">
          <cell r="H16">
            <v>8018.2808686965182</v>
          </cell>
        </row>
        <row r="17">
          <cell r="H17">
            <v>4293.919791527177</v>
          </cell>
        </row>
        <row r="18">
          <cell r="H18">
            <v>2501.9459740733491</v>
          </cell>
        </row>
        <row r="19">
          <cell r="H19">
            <v>2231.1509735849809</v>
          </cell>
        </row>
        <row r="20">
          <cell r="H20">
            <v>3301.5162831160796</v>
          </cell>
        </row>
        <row r="21">
          <cell r="H21">
            <v>3826.0649414157974</v>
          </cell>
        </row>
        <row r="22">
          <cell r="H22">
            <v>6805.3724604424597</v>
          </cell>
        </row>
        <row r="23">
          <cell r="H23">
            <v>3403.944989751858</v>
          </cell>
        </row>
        <row r="24">
          <cell r="H24">
            <v>6560.5597238352802</v>
          </cell>
        </row>
        <row r="25">
          <cell r="H25">
            <v>7287.2699756176889</v>
          </cell>
        </row>
        <row r="26">
          <cell r="H26">
            <v>4020.7621318375013</v>
          </cell>
        </row>
        <row r="27">
          <cell r="H27">
            <v>7245.057661016659</v>
          </cell>
        </row>
        <row r="28">
          <cell r="H28">
            <v>10479.212885126191</v>
          </cell>
        </row>
        <row r="29">
          <cell r="H29">
            <v>5317.6199201927275</v>
          </cell>
        </row>
        <row r="30">
          <cell r="H30">
            <v>1057.6686349880065</v>
          </cell>
        </row>
        <row r="31">
          <cell r="H31">
            <v>3944.1727923318531</v>
          </cell>
        </row>
        <row r="32">
          <cell r="H32">
            <v>466.0903198680536</v>
          </cell>
        </row>
        <row r="33">
          <cell r="H33">
            <v>0</v>
          </cell>
        </row>
        <row r="34">
          <cell r="H34">
            <v>13614.931237721023</v>
          </cell>
        </row>
        <row r="35">
          <cell r="H35">
            <v>14605.614965165369</v>
          </cell>
        </row>
        <row r="36">
          <cell r="H36">
            <v>3296.0877643103604</v>
          </cell>
        </row>
        <row r="37">
          <cell r="H37">
            <v>0</v>
          </cell>
        </row>
        <row r="38">
          <cell r="H38">
            <v>3152.3938216742449</v>
          </cell>
        </row>
        <row r="39">
          <cell r="H39">
            <v>43667.296786389416</v>
          </cell>
        </row>
      </sheetData>
      <sheetData sheetId="4" refreshError="1">
        <row r="5">
          <cell r="H5">
            <v>0</v>
          </cell>
        </row>
        <row r="6">
          <cell r="H6">
            <v>8026.3836222143436</v>
          </cell>
        </row>
        <row r="7">
          <cell r="H7">
            <v>16050.913837118282</v>
          </cell>
        </row>
        <row r="8">
          <cell r="H8">
            <v>43405.090190212475</v>
          </cell>
        </row>
        <row r="9">
          <cell r="H9">
            <v>25811.241494372523</v>
          </cell>
        </row>
        <row r="10">
          <cell r="H10">
            <v>46949.843734148591</v>
          </cell>
        </row>
        <row r="11">
          <cell r="H11">
            <v>14227.500614747994</v>
          </cell>
        </row>
        <row r="12">
          <cell r="H12">
            <v>1462.4529596823597</v>
          </cell>
        </row>
        <row r="13">
          <cell r="H13">
            <v>7555.1689376521126</v>
          </cell>
        </row>
        <row r="14">
          <cell r="H14">
            <v>0</v>
          </cell>
        </row>
        <row r="15">
          <cell r="H15">
            <v>140.3170291775676</v>
          </cell>
        </row>
        <row r="16">
          <cell r="H16">
            <v>5880.9753437602676</v>
          </cell>
        </row>
        <row r="17">
          <cell r="H17">
            <v>4047.9469342835282</v>
          </cell>
        </row>
        <row r="18">
          <cell r="H18">
            <v>19607.599893782815</v>
          </cell>
        </row>
        <row r="19">
          <cell r="H19">
            <v>14394.430151839722</v>
          </cell>
        </row>
        <row r="20">
          <cell r="H20">
            <v>24415.975398224979</v>
          </cell>
        </row>
        <row r="21">
          <cell r="H21">
            <v>2358.7721157849655</v>
          </cell>
        </row>
        <row r="22">
          <cell r="H22">
            <v>1783.4696867130992</v>
          </cell>
        </row>
        <row r="23">
          <cell r="H23">
            <v>4602.9324178477609</v>
          </cell>
        </row>
        <row r="24">
          <cell r="H24">
            <v>6564.3468654274911</v>
          </cell>
        </row>
        <row r="25">
          <cell r="H25">
            <v>15816.710719533721</v>
          </cell>
        </row>
        <row r="26">
          <cell r="H26">
            <v>6473.9287762995391</v>
          </cell>
        </row>
        <row r="27">
          <cell r="H27">
            <v>6307.2093173558351</v>
          </cell>
        </row>
        <row r="28">
          <cell r="H28">
            <v>6423.0744997565189</v>
          </cell>
        </row>
        <row r="29">
          <cell r="H29">
            <v>14438.326093629368</v>
          </cell>
        </row>
        <row r="30">
          <cell r="H30">
            <v>7650.6610667678897</v>
          </cell>
        </row>
        <row r="31">
          <cell r="H31">
            <v>15666.198594212581</v>
          </cell>
        </row>
        <row r="32">
          <cell r="H32">
            <v>1522.8883879424136</v>
          </cell>
        </row>
        <row r="33">
          <cell r="H33">
            <v>5462.7117196257941</v>
          </cell>
        </row>
        <row r="34">
          <cell r="H34">
            <v>245.57956777996074</v>
          </cell>
        </row>
        <row r="35">
          <cell r="H35">
            <v>18671.572431044777</v>
          </cell>
        </row>
        <row r="36">
          <cell r="H36">
            <v>1006.3699902680706</v>
          </cell>
        </row>
        <row r="37">
          <cell r="H37">
            <v>0</v>
          </cell>
        </row>
        <row r="38">
          <cell r="H38">
            <v>456.54019703280562</v>
          </cell>
        </row>
        <row r="39">
          <cell r="H39">
            <v>47889.098928796477</v>
          </cell>
        </row>
      </sheetData>
      <sheetData sheetId="5" refreshError="1">
        <row r="5">
          <cell r="G5">
            <v>16615.339014449801</v>
          </cell>
        </row>
        <row r="6">
          <cell r="G6">
            <v>6023.2459538757639</v>
          </cell>
        </row>
        <row r="7">
          <cell r="G7">
            <v>2713.4748709948785</v>
          </cell>
        </row>
        <row r="8">
          <cell r="G8">
            <v>10880.372441669431</v>
          </cell>
        </row>
        <row r="9">
          <cell r="G9">
            <v>16396.848818449533</v>
          </cell>
        </row>
        <row r="10">
          <cell r="G10">
            <v>9383.1559193299054</v>
          </cell>
        </row>
        <row r="11">
          <cell r="G11">
            <v>798.15434638582997</v>
          </cell>
        </row>
        <row r="12">
          <cell r="G12">
            <v>37154.588141003493</v>
          </cell>
        </row>
        <row r="13">
          <cell r="G13">
            <v>0</v>
          </cell>
        </row>
        <row r="14">
          <cell r="G14">
            <v>37440.318429286308</v>
          </cell>
        </row>
        <row r="15">
          <cell r="G15">
            <v>0</v>
          </cell>
        </row>
        <row r="16">
          <cell r="G16">
            <v>12316.880605138695</v>
          </cell>
        </row>
        <row r="17">
          <cell r="G17">
            <v>9154.9814467580854</v>
          </cell>
        </row>
        <row r="18">
          <cell r="G18">
            <v>109.83823336131815</v>
          </cell>
        </row>
        <row r="19">
          <cell r="G19">
            <v>9637.0895767214661</v>
          </cell>
        </row>
        <row r="20">
          <cell r="G20">
            <v>681.26526476998492</v>
          </cell>
        </row>
        <row r="21">
          <cell r="G21">
            <v>782.25964892042782</v>
          </cell>
        </row>
        <row r="22">
          <cell r="G22">
            <v>1309.8880957321876</v>
          </cell>
        </row>
        <row r="23">
          <cell r="G23">
            <v>54.676779868129806</v>
          </cell>
        </row>
        <row r="24">
          <cell r="G24">
            <v>1811.091866027426</v>
          </cell>
        </row>
        <row r="25">
          <cell r="G25">
            <v>1448.0360705967466</v>
          </cell>
        </row>
        <row r="26">
          <cell r="G26">
            <v>471.12926751651725</v>
          </cell>
        </row>
        <row r="27">
          <cell r="G27">
            <v>9987.1783111709938</v>
          </cell>
        </row>
        <row r="28">
          <cell r="G28">
            <v>278.55430316656549</v>
          </cell>
        </row>
        <row r="29">
          <cell r="G29">
            <v>12633.732989796203</v>
          </cell>
        </row>
        <row r="30">
          <cell r="G30">
            <v>9842.9562051239227</v>
          </cell>
        </row>
        <row r="31">
          <cell r="G31">
            <v>357.18736538010518</v>
          </cell>
        </row>
        <row r="32">
          <cell r="G32">
            <v>6854.8232901806668</v>
          </cell>
        </row>
        <row r="33">
          <cell r="G33">
            <v>307.09298315734191</v>
          </cell>
        </row>
        <row r="34">
          <cell r="G34">
            <v>5434.9705304518666</v>
          </cell>
        </row>
        <row r="35">
          <cell r="G35">
            <v>105.81567094233357</v>
          </cell>
        </row>
        <row r="36">
          <cell r="G36">
            <v>32847.916482349821</v>
          </cell>
        </row>
        <row r="37">
          <cell r="G37">
            <v>51984.099124701606</v>
          </cell>
        </row>
        <row r="38">
          <cell r="G38">
            <v>11621.487463000258</v>
          </cell>
        </row>
        <row r="39">
          <cell r="G39">
            <v>2064.272211720227</v>
          </cell>
        </row>
      </sheetData>
      <sheetData sheetId="6" refreshError="1">
        <row r="5">
          <cell r="H5">
            <v>2802.0411263430906</v>
          </cell>
        </row>
        <row r="6">
          <cell r="H6">
            <v>39471.43930901467</v>
          </cell>
        </row>
        <row r="7">
          <cell r="H7">
            <v>34641.653039802848</v>
          </cell>
        </row>
        <row r="8">
          <cell r="H8">
            <v>13512.902387425051</v>
          </cell>
        </row>
        <row r="9">
          <cell r="H9">
            <v>19119.817649280471</v>
          </cell>
        </row>
        <row r="10">
          <cell r="H10">
            <v>9397.590722632156</v>
          </cell>
        </row>
        <row r="11">
          <cell r="H11">
            <v>13701.921437554922</v>
          </cell>
        </row>
        <row r="12">
          <cell r="H12">
            <v>4228.7171592945215</v>
          </cell>
        </row>
        <row r="13">
          <cell r="H13">
            <v>18101.271973031227</v>
          </cell>
        </row>
        <row r="14">
          <cell r="H14">
            <v>4677.1855175911141</v>
          </cell>
        </row>
        <row r="15">
          <cell r="H15">
            <v>8941.1862054194989</v>
          </cell>
        </row>
        <row r="16">
          <cell r="H16">
            <v>13498.317926618211</v>
          </cell>
        </row>
        <row r="17">
          <cell r="H17">
            <v>11603.967818574265</v>
          </cell>
        </row>
        <row r="18">
          <cell r="H18">
            <v>24224.851872614476</v>
          </cell>
        </row>
        <row r="19">
          <cell r="H19">
            <v>14035.200514481472</v>
          </cell>
        </row>
        <row r="20">
          <cell r="H20">
            <v>23026.901472351376</v>
          </cell>
        </row>
        <row r="21">
          <cell r="H21">
            <v>32574.206866082328</v>
          </cell>
        </row>
        <row r="22">
          <cell r="H22">
            <v>20636.09816816921</v>
          </cell>
        </row>
        <row r="23">
          <cell r="H23">
            <v>9729.7910878851599</v>
          </cell>
        </row>
        <row r="24">
          <cell r="H24">
            <v>36647.666628010644</v>
          </cell>
        </row>
        <row r="25">
          <cell r="H25">
            <v>12464.463616880583</v>
          </cell>
        </row>
        <row r="26">
          <cell r="H26">
            <v>22028.260192959366</v>
          </cell>
        </row>
        <row r="27">
          <cell r="H27">
            <v>20889.447555661478</v>
          </cell>
        </row>
        <row r="28">
          <cell r="H28">
            <v>18948.205563127369</v>
          </cell>
        </row>
        <row r="29">
          <cell r="H29">
            <v>11221.975946199856</v>
          </cell>
        </row>
        <row r="30">
          <cell r="H30">
            <v>16125.666321065268</v>
          </cell>
        </row>
        <row r="31">
          <cell r="H31">
            <v>22682.830435111122</v>
          </cell>
        </row>
        <row r="32">
          <cell r="H32">
            <v>12173.077128099603</v>
          </cell>
        </row>
        <row r="33">
          <cell r="H33">
            <v>28197.079345360427</v>
          </cell>
        </row>
        <row r="34">
          <cell r="H34">
            <v>29944.204322200392</v>
          </cell>
        </row>
        <row r="35">
          <cell r="H35">
            <v>9713.0767081248669</v>
          </cell>
        </row>
        <row r="36">
          <cell r="H36">
            <v>12575.735645403878</v>
          </cell>
        </row>
        <row r="37">
          <cell r="H37">
            <v>0</v>
          </cell>
        </row>
        <row r="38">
          <cell r="H38">
            <v>21110.492140639399</v>
          </cell>
        </row>
        <row r="39">
          <cell r="H39">
            <v>0</v>
          </cell>
        </row>
      </sheetData>
      <sheetData sheetId="7" refreshError="1"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24338.724845165725</v>
          </cell>
        </row>
        <row r="16">
          <cell r="G16">
            <v>7051.5696018156232</v>
          </cell>
        </row>
        <row r="17">
          <cell r="G17">
            <v>9551.8756457757881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5177.7922588246001</v>
          </cell>
        </row>
        <row r="39">
          <cell r="G3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"/>
      <sheetName val="BASE"/>
      <sheetName val="Hoja1"/>
      <sheetName val="Hoja2"/>
    </sheetNames>
    <sheetDataSet>
      <sheetData sheetId="0">
        <row r="7">
          <cell r="O7">
            <v>0</v>
          </cell>
          <cell r="P7">
            <v>0</v>
          </cell>
        </row>
        <row r="8">
          <cell r="O8">
            <v>0.5</v>
          </cell>
          <cell r="P8">
            <v>0</v>
          </cell>
        </row>
        <row r="9">
          <cell r="O9">
            <v>0.5</v>
          </cell>
          <cell r="P9">
            <v>1</v>
          </cell>
        </row>
        <row r="10">
          <cell r="O10">
            <v>0.65</v>
          </cell>
          <cell r="P10">
            <v>1</v>
          </cell>
        </row>
        <row r="11">
          <cell r="O11">
            <v>0.65</v>
          </cell>
          <cell r="P11">
            <v>-0.15</v>
          </cell>
        </row>
        <row r="12">
          <cell r="O12">
            <v>0.5</v>
          </cell>
          <cell r="P12">
            <v>-0.15</v>
          </cell>
        </row>
        <row r="13">
          <cell r="O13">
            <v>-0.5</v>
          </cell>
          <cell r="P13">
            <v>-0.15</v>
          </cell>
        </row>
        <row r="14">
          <cell r="O14">
            <v>-0.65</v>
          </cell>
          <cell r="P14">
            <v>-0.15</v>
          </cell>
        </row>
        <row r="15">
          <cell r="O15">
            <v>-0.65</v>
          </cell>
          <cell r="P15">
            <v>1</v>
          </cell>
        </row>
        <row r="16">
          <cell r="O16">
            <v>-0.5</v>
          </cell>
          <cell r="P16">
            <v>1</v>
          </cell>
        </row>
        <row r="17">
          <cell r="O17">
            <v>-0.5</v>
          </cell>
          <cell r="P17">
            <v>0</v>
          </cell>
        </row>
        <row r="18">
          <cell r="O18">
            <v>0</v>
          </cell>
          <cell r="P18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6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8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5" Type="http://schemas.openxmlformats.org/officeDocument/2006/relationships/image" Target="../media/image7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9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w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11.emf"/><Relationship Id="rId18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18.bin"/><Relationship Id="rId7" Type="http://schemas.openxmlformats.org/officeDocument/2006/relationships/image" Target="../media/image6.wmf"/><Relationship Id="rId12" Type="http://schemas.openxmlformats.org/officeDocument/2006/relationships/oleObject" Target="../embeddings/oleObject13.bin"/><Relationship Id="rId17" Type="http://schemas.openxmlformats.org/officeDocument/2006/relationships/image" Target="../media/image3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8.wmf"/><Relationship Id="rId5" Type="http://schemas.openxmlformats.org/officeDocument/2006/relationships/image" Target="../media/image5.wmf"/><Relationship Id="rId15" Type="http://schemas.openxmlformats.org/officeDocument/2006/relationships/image" Target="../media/image2.wmf"/><Relationship Id="rId10" Type="http://schemas.openxmlformats.org/officeDocument/2006/relationships/oleObject" Target="../embeddings/oleObject12.bin"/><Relationship Id="rId19" Type="http://schemas.openxmlformats.org/officeDocument/2006/relationships/image" Target="../media/image4.wmf"/><Relationship Id="rId4" Type="http://schemas.openxmlformats.org/officeDocument/2006/relationships/oleObject" Target="../embeddings/oleObject9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1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13" Type="http://schemas.openxmlformats.org/officeDocument/2006/relationships/image" Target="../media/image11.emf"/><Relationship Id="rId18" Type="http://schemas.openxmlformats.org/officeDocument/2006/relationships/oleObject" Target="../embeddings/oleObject26.bin"/><Relationship Id="rId3" Type="http://schemas.openxmlformats.org/officeDocument/2006/relationships/vmlDrawing" Target="../drawings/vmlDrawing3.vml"/><Relationship Id="rId21" Type="http://schemas.openxmlformats.org/officeDocument/2006/relationships/oleObject" Target="../embeddings/oleObject28.bin"/><Relationship Id="rId7" Type="http://schemas.openxmlformats.org/officeDocument/2006/relationships/image" Target="../media/image6.wmf"/><Relationship Id="rId12" Type="http://schemas.openxmlformats.org/officeDocument/2006/relationships/oleObject" Target="../embeddings/oleObject23.bin"/><Relationship Id="rId17" Type="http://schemas.openxmlformats.org/officeDocument/2006/relationships/image" Target="../media/image3.w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25.bin"/><Relationship Id="rId20" Type="http://schemas.openxmlformats.org/officeDocument/2006/relationships/oleObject" Target="../embeddings/oleObject27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0.bin"/><Relationship Id="rId11" Type="http://schemas.openxmlformats.org/officeDocument/2006/relationships/image" Target="../media/image8.wmf"/><Relationship Id="rId5" Type="http://schemas.openxmlformats.org/officeDocument/2006/relationships/image" Target="../media/image5.wmf"/><Relationship Id="rId15" Type="http://schemas.openxmlformats.org/officeDocument/2006/relationships/image" Target="../media/image2.wmf"/><Relationship Id="rId10" Type="http://schemas.openxmlformats.org/officeDocument/2006/relationships/oleObject" Target="../embeddings/oleObject22.bin"/><Relationship Id="rId19" Type="http://schemas.openxmlformats.org/officeDocument/2006/relationships/image" Target="../media/image4.wmf"/><Relationship Id="rId4" Type="http://schemas.openxmlformats.org/officeDocument/2006/relationships/oleObject" Target="../embeddings/oleObject19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2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1.bin"/><Relationship Id="rId13" Type="http://schemas.openxmlformats.org/officeDocument/2006/relationships/image" Target="../media/image6.wmf"/><Relationship Id="rId18" Type="http://schemas.openxmlformats.org/officeDocument/2006/relationships/oleObject" Target="../embeddings/oleObject36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3.wmf"/><Relationship Id="rId12" Type="http://schemas.openxmlformats.org/officeDocument/2006/relationships/oleObject" Target="../embeddings/oleObject33.bin"/><Relationship Id="rId17" Type="http://schemas.openxmlformats.org/officeDocument/2006/relationships/image" Target="../media/image8.w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35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0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5" Type="http://schemas.openxmlformats.org/officeDocument/2006/relationships/image" Target="../media/image7.wmf"/><Relationship Id="rId10" Type="http://schemas.openxmlformats.org/officeDocument/2006/relationships/oleObject" Target="../embeddings/oleObject32.bin"/><Relationship Id="rId19" Type="http://schemas.openxmlformats.org/officeDocument/2006/relationships/image" Target="../media/image11.emf"/><Relationship Id="rId4" Type="http://schemas.openxmlformats.org/officeDocument/2006/relationships/oleObject" Target="../embeddings/oleObject29.bin"/><Relationship Id="rId9" Type="http://schemas.openxmlformats.org/officeDocument/2006/relationships/image" Target="../media/image4.wmf"/><Relationship Id="rId14" Type="http://schemas.openxmlformats.org/officeDocument/2006/relationships/oleObject" Target="../embeddings/oleObject3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9.bin"/><Relationship Id="rId13" Type="http://schemas.openxmlformats.org/officeDocument/2006/relationships/image" Target="../media/image6.wmf"/><Relationship Id="rId18" Type="http://schemas.openxmlformats.org/officeDocument/2006/relationships/oleObject" Target="../embeddings/oleObject44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3.wmf"/><Relationship Id="rId12" Type="http://schemas.openxmlformats.org/officeDocument/2006/relationships/oleObject" Target="../embeddings/oleObject41.bin"/><Relationship Id="rId17" Type="http://schemas.openxmlformats.org/officeDocument/2006/relationships/image" Target="../media/image8.wmf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43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8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5" Type="http://schemas.openxmlformats.org/officeDocument/2006/relationships/image" Target="../media/image7.wmf"/><Relationship Id="rId10" Type="http://schemas.openxmlformats.org/officeDocument/2006/relationships/oleObject" Target="../embeddings/oleObject40.bin"/><Relationship Id="rId19" Type="http://schemas.openxmlformats.org/officeDocument/2006/relationships/image" Target="../media/image9.wmf"/><Relationship Id="rId4" Type="http://schemas.openxmlformats.org/officeDocument/2006/relationships/oleObject" Target="../embeddings/oleObject37.bin"/><Relationship Id="rId9" Type="http://schemas.openxmlformats.org/officeDocument/2006/relationships/image" Target="../media/image4.wmf"/><Relationship Id="rId14" Type="http://schemas.openxmlformats.org/officeDocument/2006/relationships/oleObject" Target="../embeddings/oleObject4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7.bin"/><Relationship Id="rId13" Type="http://schemas.openxmlformats.org/officeDocument/2006/relationships/image" Target="../media/image6.wmf"/><Relationship Id="rId18" Type="http://schemas.openxmlformats.org/officeDocument/2006/relationships/oleObject" Target="../embeddings/oleObject52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3.wmf"/><Relationship Id="rId12" Type="http://schemas.openxmlformats.org/officeDocument/2006/relationships/oleObject" Target="../embeddings/oleObject49.bin"/><Relationship Id="rId17" Type="http://schemas.openxmlformats.org/officeDocument/2006/relationships/image" Target="../media/image8.wmf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51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46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5" Type="http://schemas.openxmlformats.org/officeDocument/2006/relationships/image" Target="../media/image7.wmf"/><Relationship Id="rId10" Type="http://schemas.openxmlformats.org/officeDocument/2006/relationships/oleObject" Target="../embeddings/oleObject48.bin"/><Relationship Id="rId19" Type="http://schemas.openxmlformats.org/officeDocument/2006/relationships/image" Target="../media/image9.wmf"/><Relationship Id="rId4" Type="http://schemas.openxmlformats.org/officeDocument/2006/relationships/oleObject" Target="../embeddings/oleObject45.bin"/><Relationship Id="rId9" Type="http://schemas.openxmlformats.org/officeDocument/2006/relationships/image" Target="../media/image4.wmf"/><Relationship Id="rId14" Type="http://schemas.openxmlformats.org/officeDocument/2006/relationships/oleObject" Target="../embeddings/oleObject50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5.bin"/><Relationship Id="rId13" Type="http://schemas.openxmlformats.org/officeDocument/2006/relationships/image" Target="../media/image6.wmf"/><Relationship Id="rId18" Type="http://schemas.openxmlformats.org/officeDocument/2006/relationships/oleObject" Target="../embeddings/oleObject60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3.wmf"/><Relationship Id="rId12" Type="http://schemas.openxmlformats.org/officeDocument/2006/relationships/oleObject" Target="../embeddings/oleObject57.bin"/><Relationship Id="rId17" Type="http://schemas.openxmlformats.org/officeDocument/2006/relationships/image" Target="../media/image8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59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54.bin"/><Relationship Id="rId11" Type="http://schemas.openxmlformats.org/officeDocument/2006/relationships/image" Target="../media/image5.wmf"/><Relationship Id="rId5" Type="http://schemas.openxmlformats.org/officeDocument/2006/relationships/image" Target="../media/image2.wmf"/><Relationship Id="rId15" Type="http://schemas.openxmlformats.org/officeDocument/2006/relationships/image" Target="../media/image7.wmf"/><Relationship Id="rId10" Type="http://schemas.openxmlformats.org/officeDocument/2006/relationships/oleObject" Target="../embeddings/oleObject56.bin"/><Relationship Id="rId19" Type="http://schemas.openxmlformats.org/officeDocument/2006/relationships/image" Target="../media/image11.emf"/><Relationship Id="rId4" Type="http://schemas.openxmlformats.org/officeDocument/2006/relationships/oleObject" Target="../embeddings/oleObject53.bin"/><Relationship Id="rId9" Type="http://schemas.openxmlformats.org/officeDocument/2006/relationships/image" Target="../media/image4.wmf"/><Relationship Id="rId14" Type="http://schemas.openxmlformats.org/officeDocument/2006/relationships/oleObject" Target="../embeddings/oleObject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U84"/>
  <sheetViews>
    <sheetView topLeftCell="A4" zoomScale="85" zoomScaleNormal="85" workbookViewId="0">
      <selection activeCell="N31" sqref="N31"/>
    </sheetView>
  </sheetViews>
  <sheetFormatPr baseColWidth="10" defaultRowHeight="15" x14ac:dyDescent="0.25"/>
  <cols>
    <col min="2" max="2" width="3.7109375" customWidth="1"/>
    <col min="3" max="3" width="7.140625" customWidth="1"/>
    <col min="4" max="4" width="8.85546875" customWidth="1"/>
    <col min="5" max="5" width="39.5703125" customWidth="1"/>
    <col min="6" max="6" width="12.5703125" style="19" customWidth="1"/>
    <col min="7" max="7" width="26.140625" customWidth="1"/>
    <col min="8" max="8" width="20.5703125" customWidth="1"/>
    <col min="9" max="9" width="21" style="46" customWidth="1"/>
    <col min="10" max="10" width="22.5703125" style="10" customWidth="1"/>
    <col min="11" max="11" width="10.140625" style="10" customWidth="1"/>
    <col min="12" max="12" width="7.85546875" style="10" customWidth="1"/>
    <col min="13" max="13" width="7" style="10" customWidth="1"/>
    <col min="20" max="20" width="21.7109375" customWidth="1"/>
    <col min="21" max="21" width="24.140625" customWidth="1"/>
  </cols>
  <sheetData>
    <row r="5" spans="3:21" ht="15.75" thickBot="1" x14ac:dyDescent="0.3">
      <c r="C5" s="1"/>
      <c r="D5" s="1"/>
      <c r="E5" s="1"/>
      <c r="F5" s="18"/>
      <c r="G5" s="1"/>
      <c r="H5" s="1"/>
      <c r="I5" s="47"/>
    </row>
    <row r="6" spans="3:21" ht="42.75" customHeight="1" thickBot="1" x14ac:dyDescent="0.3">
      <c r="C6" s="1033" t="s">
        <v>154</v>
      </c>
      <c r="D6" s="1034"/>
      <c r="E6" s="1035"/>
      <c r="F6" s="24"/>
      <c r="G6" s="13"/>
      <c r="H6" s="44" t="s">
        <v>157</v>
      </c>
      <c r="I6" s="1015" t="s">
        <v>35</v>
      </c>
      <c r="J6" s="1016"/>
      <c r="K6" s="1016"/>
      <c r="L6" s="1016"/>
      <c r="M6" s="1016"/>
    </row>
    <row r="7" spans="3:21" ht="24" thickBot="1" x14ac:dyDescent="0.4">
      <c r="C7" s="1027" t="s">
        <v>59</v>
      </c>
      <c r="D7" s="1028"/>
      <c r="E7" s="1028"/>
      <c r="F7" s="1028"/>
      <c r="G7" s="1028"/>
      <c r="H7" s="1029"/>
      <c r="I7" s="1015"/>
      <c r="J7" s="1016"/>
      <c r="K7" s="1016"/>
      <c r="L7" s="1016"/>
      <c r="M7" s="1016"/>
      <c r="Q7" s="10"/>
      <c r="R7" s="10"/>
      <c r="S7" s="510" t="s">
        <v>926</v>
      </c>
      <c r="T7" s="511">
        <v>200000000</v>
      </c>
      <c r="U7" s="10"/>
    </row>
    <row r="8" spans="3:21" ht="21.75" thickBot="1" x14ac:dyDescent="0.3">
      <c r="C8" s="1017" t="s">
        <v>60</v>
      </c>
      <c r="D8" s="1018"/>
      <c r="E8" s="1018"/>
      <c r="F8" s="1019"/>
      <c r="G8" s="3" t="s">
        <v>153</v>
      </c>
      <c r="H8" s="4" t="s">
        <v>1</v>
      </c>
      <c r="I8" s="1015"/>
      <c r="J8" s="1016"/>
      <c r="K8" s="1016"/>
      <c r="L8" s="1016"/>
      <c r="M8" s="1016"/>
      <c r="Q8" s="10"/>
      <c r="R8" s="10"/>
      <c r="S8" s="512" t="s">
        <v>1256</v>
      </c>
      <c r="T8" s="513">
        <f>0.2*T7</f>
        <v>40000000</v>
      </c>
      <c r="U8" s="1000">
        <f>+T8-(U17-T9)</f>
        <v>33941675.780000001</v>
      </c>
    </row>
    <row r="9" spans="3:21" ht="23.25" customHeight="1" thickBot="1" x14ac:dyDescent="0.3">
      <c r="C9" s="1030" t="s">
        <v>58</v>
      </c>
      <c r="D9" s="1031"/>
      <c r="E9" s="1031"/>
      <c r="F9" s="1032"/>
      <c r="G9" s="37"/>
      <c r="H9" s="38"/>
      <c r="I9" s="1015" t="s">
        <v>61</v>
      </c>
      <c r="J9" s="1016"/>
      <c r="K9" s="1016"/>
      <c r="L9" s="1016"/>
      <c r="M9" s="1016"/>
      <c r="Q9" s="10"/>
      <c r="R9" s="10"/>
      <c r="S9" s="514" t="s">
        <v>1103</v>
      </c>
      <c r="T9" s="515">
        <f>+T7-T8</f>
        <v>160000000</v>
      </c>
      <c r="U9" s="10"/>
    </row>
    <row r="10" spans="3:21" ht="27.75" customHeight="1" thickBot="1" x14ac:dyDescent="0.35">
      <c r="C10" s="1023" t="s">
        <v>89</v>
      </c>
      <c r="D10" s="1024"/>
      <c r="E10" s="1024"/>
      <c r="F10" s="1025"/>
      <c r="G10" s="42"/>
      <c r="H10" s="25"/>
      <c r="I10" s="1015" t="s">
        <v>31</v>
      </c>
      <c r="J10" s="1026"/>
      <c r="K10" s="1026"/>
      <c r="L10" s="1026"/>
      <c r="M10" s="1026"/>
      <c r="Q10" s="520" t="s">
        <v>1104</v>
      </c>
      <c r="R10" s="516">
        <v>0.3</v>
      </c>
      <c r="S10" s="524" t="s">
        <v>1104</v>
      </c>
      <c r="T10" s="523">
        <f>+R10*$T$9</f>
        <v>48000000</v>
      </c>
      <c r="U10" s="523">
        <f>+MENDOZA!M112</f>
        <v>47025000</v>
      </c>
    </row>
    <row r="11" spans="3:21" ht="22.5" customHeight="1" thickBot="1" x14ac:dyDescent="0.3">
      <c r="C11" s="1030" t="s">
        <v>28</v>
      </c>
      <c r="D11" s="1031"/>
      <c r="E11" s="1031"/>
      <c r="F11" s="1032"/>
      <c r="G11" s="2"/>
      <c r="H11" s="5"/>
      <c r="I11" s="1015" t="s">
        <v>57</v>
      </c>
      <c r="J11" s="1016"/>
      <c r="K11" s="1016"/>
      <c r="L11" s="1016"/>
      <c r="M11" s="1016"/>
      <c r="Q11" s="521" t="s">
        <v>1105</v>
      </c>
      <c r="R11" s="518">
        <v>0.2</v>
      </c>
      <c r="S11" s="525" t="s">
        <v>1105</v>
      </c>
      <c r="T11" s="526">
        <f t="shared" ref="T11:T15" si="0">+R11*$T$9</f>
        <v>32000000</v>
      </c>
      <c r="U11" s="526">
        <f>+TUNINF!M109</f>
        <v>31820297.25</v>
      </c>
    </row>
    <row r="12" spans="3:21" ht="22.5" customHeight="1" thickBot="1" x14ac:dyDescent="0.3">
      <c r="C12" s="1030" t="s">
        <v>56</v>
      </c>
      <c r="D12" s="1031"/>
      <c r="E12" s="1031"/>
      <c r="F12" s="1032"/>
      <c r="G12" s="2"/>
      <c r="H12" s="5"/>
      <c r="I12" s="1015" t="s">
        <v>36</v>
      </c>
      <c r="J12" s="1026"/>
      <c r="K12" s="1026"/>
      <c r="L12" s="1026"/>
      <c r="M12" s="1026"/>
      <c r="Q12" s="521" t="s">
        <v>1106</v>
      </c>
      <c r="R12" s="518">
        <v>0.14000000000000001</v>
      </c>
      <c r="S12" s="525" t="s">
        <v>1106</v>
      </c>
      <c r="T12" s="526">
        <f t="shared" si="0"/>
        <v>22400000.000000004</v>
      </c>
      <c r="U12" s="526">
        <f>+TUNSUP!M107</f>
        <v>22860635.220000003</v>
      </c>
    </row>
    <row r="13" spans="3:21" ht="22.5" customHeight="1" thickBot="1" x14ac:dyDescent="0.3">
      <c r="C13" s="1030" t="s">
        <v>55</v>
      </c>
      <c r="D13" s="1031"/>
      <c r="E13" s="1031"/>
      <c r="F13" s="1032"/>
      <c r="G13" s="2"/>
      <c r="H13" s="5"/>
      <c r="I13" s="1015" t="s">
        <v>37</v>
      </c>
      <c r="J13" s="1026"/>
      <c r="K13" s="1026"/>
      <c r="L13" s="1026"/>
      <c r="M13" s="1026"/>
      <c r="Q13" s="521" t="s">
        <v>1107</v>
      </c>
      <c r="R13" s="518">
        <v>0.14000000000000001</v>
      </c>
      <c r="S13" s="525" t="s">
        <v>1107</v>
      </c>
      <c r="T13" s="526">
        <f t="shared" si="0"/>
        <v>22400000.000000004</v>
      </c>
      <c r="U13" s="526">
        <f>+DIAMANTE!M105</f>
        <v>28570000</v>
      </c>
    </row>
    <row r="14" spans="3:21" ht="30.75" customHeight="1" thickBot="1" x14ac:dyDescent="0.3">
      <c r="C14" s="1030" t="s">
        <v>38</v>
      </c>
      <c r="D14" s="1031"/>
      <c r="E14" s="1031"/>
      <c r="F14" s="1032"/>
      <c r="G14" s="40"/>
      <c r="H14" s="41"/>
      <c r="I14" s="1015" t="s">
        <v>34</v>
      </c>
      <c r="J14" s="1026"/>
      <c r="K14" s="1026"/>
      <c r="L14" s="1026"/>
      <c r="M14" s="1026"/>
      <c r="Q14" s="521" t="s">
        <v>1108</v>
      </c>
      <c r="R14" s="518">
        <v>0.13</v>
      </c>
      <c r="S14" s="525" t="s">
        <v>1108</v>
      </c>
      <c r="T14" s="526">
        <f t="shared" si="0"/>
        <v>20800000</v>
      </c>
      <c r="U14" s="526">
        <f>+ATUEL!M105</f>
        <v>20920000</v>
      </c>
    </row>
    <row r="15" spans="3:21" ht="15.75" thickBot="1" x14ac:dyDescent="0.3">
      <c r="C15" s="1020" t="s">
        <v>0</v>
      </c>
      <c r="D15" s="1021"/>
      <c r="E15" s="1022"/>
      <c r="F15" s="20"/>
      <c r="G15" s="37"/>
      <c r="H15" s="38"/>
      <c r="I15" s="1015" t="s">
        <v>159</v>
      </c>
      <c r="J15" s="1026"/>
      <c r="K15" s="1026"/>
      <c r="L15" s="1026"/>
      <c r="M15" s="1026"/>
      <c r="Q15" s="522" t="s">
        <v>1109</v>
      </c>
      <c r="R15" s="519">
        <v>0.09</v>
      </c>
      <c r="S15" s="527" t="s">
        <v>1109</v>
      </c>
      <c r="T15" s="528">
        <f t="shared" si="0"/>
        <v>14400000</v>
      </c>
      <c r="U15" s="528">
        <f>+MALARGÜE!M103</f>
        <v>14862391.75</v>
      </c>
    </row>
    <row r="16" spans="3:21" s="10" customFormat="1" ht="15.75" thickBot="1" x14ac:dyDescent="0.3">
      <c r="C16" s="26">
        <v>1</v>
      </c>
      <c r="D16" s="26"/>
      <c r="E16" s="29" t="s">
        <v>23</v>
      </c>
      <c r="F16" s="21" t="s">
        <v>39</v>
      </c>
      <c r="G16" s="2"/>
      <c r="H16" s="5"/>
      <c r="I16" s="1015" t="s">
        <v>160</v>
      </c>
      <c r="J16" s="1026"/>
      <c r="K16" s="1026"/>
      <c r="L16" s="1026"/>
      <c r="M16" s="1026"/>
      <c r="U16" s="517"/>
    </row>
    <row r="17" spans="3:21" s="10" customFormat="1" ht="15.75" thickBot="1" x14ac:dyDescent="0.3">
      <c r="C17" s="26">
        <v>2</v>
      </c>
      <c r="D17" s="26"/>
      <c r="E17" s="29" t="s">
        <v>19</v>
      </c>
      <c r="F17" s="21" t="s">
        <v>41</v>
      </c>
      <c r="G17" s="2"/>
      <c r="H17" s="5"/>
      <c r="I17" s="1015"/>
      <c r="J17" s="1026"/>
      <c r="K17" s="1026"/>
      <c r="L17" s="1026"/>
      <c r="M17" s="1026"/>
      <c r="U17" s="999">
        <f>SUM(U10:U16)</f>
        <v>166058324.22</v>
      </c>
    </row>
    <row r="18" spans="3:21" s="10" customFormat="1" x14ac:dyDescent="0.25">
      <c r="C18" s="26">
        <v>3</v>
      </c>
      <c r="D18" s="26"/>
      <c r="E18" s="29" t="s">
        <v>24</v>
      </c>
      <c r="F18" s="21" t="s">
        <v>42</v>
      </c>
      <c r="G18" s="2"/>
      <c r="H18" s="5"/>
      <c r="I18" s="1015" t="s">
        <v>161</v>
      </c>
      <c r="J18" s="1026"/>
      <c r="K18" s="1026"/>
      <c r="L18" s="1026"/>
      <c r="M18" s="1026"/>
    </row>
    <row r="19" spans="3:21" s="10" customFormat="1" x14ac:dyDescent="0.25">
      <c r="C19" s="48">
        <v>4</v>
      </c>
      <c r="D19" s="48"/>
      <c r="E19" s="49" t="s">
        <v>62</v>
      </c>
      <c r="F19" s="50" t="s">
        <v>67</v>
      </c>
      <c r="G19" s="51"/>
      <c r="H19" s="52"/>
      <c r="I19" s="1037" t="s">
        <v>162</v>
      </c>
      <c r="J19" s="1052"/>
      <c r="K19" s="1052"/>
      <c r="L19" s="1052"/>
      <c r="M19" s="1052"/>
    </row>
    <row r="20" spans="3:21" s="10" customFormat="1" x14ac:dyDescent="0.25">
      <c r="C20" s="26">
        <v>5</v>
      </c>
      <c r="D20" s="26"/>
      <c r="E20" s="29" t="s">
        <v>63</v>
      </c>
      <c r="F20" s="21"/>
      <c r="G20" s="2"/>
      <c r="H20" s="5"/>
      <c r="I20" s="1015"/>
      <c r="J20" s="1016"/>
      <c r="K20" s="1016"/>
      <c r="L20" s="1016"/>
      <c r="M20" s="1016"/>
    </row>
    <row r="21" spans="3:21" s="10" customFormat="1" x14ac:dyDescent="0.25">
      <c r="C21" s="48"/>
      <c r="D21" s="48" t="s">
        <v>64</v>
      </c>
      <c r="E21" s="49" t="s">
        <v>68</v>
      </c>
      <c r="F21" s="50" t="s">
        <v>71</v>
      </c>
      <c r="G21" s="51"/>
      <c r="H21" s="52"/>
      <c r="I21" s="1037" t="s">
        <v>163</v>
      </c>
      <c r="J21" s="1052"/>
      <c r="K21" s="1052"/>
      <c r="L21" s="1052"/>
      <c r="M21" s="1052"/>
    </row>
    <row r="22" spans="3:21" s="10" customFormat="1" x14ac:dyDescent="0.25">
      <c r="C22" s="48"/>
      <c r="D22" s="48" t="s">
        <v>65</v>
      </c>
      <c r="E22" s="49" t="s">
        <v>69</v>
      </c>
      <c r="F22" s="50" t="s">
        <v>72</v>
      </c>
      <c r="G22" s="51"/>
      <c r="H22" s="52"/>
      <c r="I22" s="1037" t="s">
        <v>162</v>
      </c>
      <c r="J22" s="1052"/>
      <c r="K22" s="1052"/>
      <c r="L22" s="1052"/>
      <c r="M22" s="1052"/>
    </row>
    <row r="23" spans="3:21" s="10" customFormat="1" ht="16.5" customHeight="1" x14ac:dyDescent="0.25">
      <c r="C23" s="48"/>
      <c r="D23" s="48" t="s">
        <v>66</v>
      </c>
      <c r="E23" s="49" t="s">
        <v>70</v>
      </c>
      <c r="F23" s="50" t="s">
        <v>167</v>
      </c>
      <c r="G23" s="51"/>
      <c r="H23" s="52"/>
      <c r="I23" s="1037" t="s">
        <v>163</v>
      </c>
      <c r="J23" s="1052"/>
      <c r="K23" s="1052"/>
      <c r="L23" s="1052"/>
      <c r="M23" s="1052"/>
    </row>
    <row r="24" spans="3:21" s="10" customFormat="1" ht="16.5" customHeight="1" x14ac:dyDescent="0.25">
      <c r="C24" s="26">
        <v>6</v>
      </c>
      <c r="D24" s="26"/>
      <c r="E24" s="29" t="s">
        <v>73</v>
      </c>
      <c r="F24" s="21" t="s">
        <v>74</v>
      </c>
      <c r="G24" s="2"/>
      <c r="H24" s="5"/>
      <c r="I24" s="1015" t="s">
        <v>75</v>
      </c>
      <c r="J24" s="1016"/>
      <c r="K24" s="1016"/>
      <c r="L24" s="1016"/>
      <c r="M24" s="1016"/>
    </row>
    <row r="25" spans="3:21" s="10" customFormat="1" x14ac:dyDescent="0.25">
      <c r="C25" s="26">
        <v>7</v>
      </c>
      <c r="D25" s="26"/>
      <c r="E25" s="29" t="s">
        <v>2</v>
      </c>
      <c r="F25" s="21" t="s">
        <v>44</v>
      </c>
      <c r="G25" s="6"/>
      <c r="H25" s="14"/>
      <c r="I25" s="1015" t="s">
        <v>32</v>
      </c>
      <c r="J25" s="1026"/>
      <c r="K25" s="1026"/>
      <c r="L25" s="1026"/>
      <c r="M25" s="1026"/>
    </row>
    <row r="26" spans="3:21" s="10" customFormat="1" x14ac:dyDescent="0.25">
      <c r="C26" s="62"/>
      <c r="D26" s="62"/>
      <c r="E26" s="29"/>
      <c r="F26" s="21"/>
      <c r="G26" s="6"/>
      <c r="H26" s="14"/>
      <c r="I26" s="1037" t="s">
        <v>1064</v>
      </c>
      <c r="J26" s="1038"/>
      <c r="K26" s="1038"/>
      <c r="L26" s="1038"/>
      <c r="M26" s="1038"/>
    </row>
    <row r="27" spans="3:21" s="10" customFormat="1" x14ac:dyDescent="0.25">
      <c r="C27" s="27" t="s">
        <v>3</v>
      </c>
      <c r="D27" s="27"/>
      <c r="E27" s="30"/>
      <c r="F27" s="21"/>
      <c r="G27" s="2"/>
      <c r="H27" s="5"/>
      <c r="I27" s="1015"/>
      <c r="J27" s="1026"/>
      <c r="K27" s="1026"/>
      <c r="L27" s="1026"/>
      <c r="M27" s="1026"/>
    </row>
    <row r="28" spans="3:21" s="10" customFormat="1" ht="15.75" customHeight="1" x14ac:dyDescent="0.25">
      <c r="C28" s="26">
        <v>8</v>
      </c>
      <c r="D28" s="26"/>
      <c r="E28" s="29" t="s">
        <v>4</v>
      </c>
      <c r="F28" s="21"/>
      <c r="G28" s="7"/>
      <c r="H28" s="15"/>
      <c r="I28" s="1015" t="s">
        <v>76</v>
      </c>
      <c r="J28" s="1026"/>
      <c r="K28" s="1026"/>
      <c r="L28" s="1026"/>
      <c r="M28" s="1026"/>
    </row>
    <row r="29" spans="3:21" s="10" customFormat="1" x14ac:dyDescent="0.25">
      <c r="C29" s="26">
        <v>9</v>
      </c>
      <c r="D29" s="26"/>
      <c r="E29" s="29" t="s">
        <v>25</v>
      </c>
      <c r="F29" s="21"/>
      <c r="G29" s="2"/>
      <c r="H29" s="5"/>
      <c r="I29" s="1015" t="s">
        <v>164</v>
      </c>
      <c r="J29" s="1026"/>
      <c r="K29" s="1026"/>
      <c r="L29" s="1026"/>
      <c r="M29" s="1026"/>
    </row>
    <row r="30" spans="3:21" s="10" customFormat="1" x14ac:dyDescent="0.25">
      <c r="C30" s="26">
        <v>10</v>
      </c>
      <c r="D30" s="26"/>
      <c r="E30" s="29" t="s">
        <v>77</v>
      </c>
      <c r="F30" s="21"/>
      <c r="G30" s="2"/>
      <c r="H30" s="5"/>
      <c r="I30" s="1015"/>
      <c r="J30" s="1016"/>
      <c r="K30" s="1016"/>
      <c r="L30" s="1016"/>
      <c r="M30" s="1016"/>
    </row>
    <row r="31" spans="3:21" s="10" customFormat="1" x14ac:dyDescent="0.25">
      <c r="C31" s="48"/>
      <c r="D31" s="48" t="s">
        <v>78</v>
      </c>
      <c r="E31" s="49" t="s">
        <v>79</v>
      </c>
      <c r="F31" s="50"/>
      <c r="G31" s="51"/>
      <c r="H31" s="52"/>
      <c r="I31" s="1037" t="s">
        <v>155</v>
      </c>
      <c r="J31" s="1052"/>
      <c r="K31" s="1052"/>
      <c r="L31" s="1052"/>
      <c r="M31" s="1052"/>
    </row>
    <row r="32" spans="3:21" s="10" customFormat="1" x14ac:dyDescent="0.25">
      <c r="C32" s="48"/>
      <c r="D32" s="48" t="s">
        <v>80</v>
      </c>
      <c r="E32" s="49" t="s">
        <v>81</v>
      </c>
      <c r="F32" s="50" t="s">
        <v>71</v>
      </c>
      <c r="G32" s="51"/>
      <c r="H32" s="52"/>
      <c r="I32" s="1037" t="s">
        <v>163</v>
      </c>
      <c r="J32" s="1052"/>
      <c r="K32" s="1052"/>
      <c r="L32" s="1052"/>
      <c r="M32" s="1052"/>
    </row>
    <row r="33" spans="3:13" s="10" customFormat="1" x14ac:dyDescent="0.25">
      <c r="C33" s="48"/>
      <c r="D33" s="48" t="s">
        <v>82</v>
      </c>
      <c r="E33" s="49" t="s">
        <v>85</v>
      </c>
      <c r="F33" s="50" t="s">
        <v>178</v>
      </c>
      <c r="G33" s="51"/>
      <c r="H33" s="52"/>
      <c r="I33" s="1037" t="s">
        <v>163</v>
      </c>
      <c r="J33" s="1052"/>
      <c r="K33" s="1052"/>
      <c r="L33" s="1052"/>
      <c r="M33" s="1052"/>
    </row>
    <row r="34" spans="3:13" s="10" customFormat="1" x14ac:dyDescent="0.25">
      <c r="C34" s="48"/>
      <c r="D34" s="48" t="s">
        <v>83</v>
      </c>
      <c r="E34" s="49" t="s">
        <v>86</v>
      </c>
      <c r="F34" s="50" t="s">
        <v>179</v>
      </c>
      <c r="G34" s="51"/>
      <c r="H34" s="52"/>
      <c r="I34" s="1037" t="s">
        <v>162</v>
      </c>
      <c r="J34" s="1052"/>
      <c r="K34" s="1052"/>
      <c r="L34" s="1052"/>
      <c r="M34" s="1052"/>
    </row>
    <row r="35" spans="3:13" s="10" customFormat="1" x14ac:dyDescent="0.25">
      <c r="C35" s="48"/>
      <c r="D35" s="48" t="s">
        <v>84</v>
      </c>
      <c r="E35" s="49" t="s">
        <v>87</v>
      </c>
      <c r="F35" s="50" t="s">
        <v>180</v>
      </c>
      <c r="G35" s="51"/>
      <c r="H35" s="52"/>
      <c r="I35" s="1037" t="s">
        <v>163</v>
      </c>
      <c r="J35" s="1052"/>
      <c r="K35" s="1052"/>
      <c r="L35" s="1052"/>
      <c r="M35" s="1052"/>
    </row>
    <row r="36" spans="3:13" s="10" customFormat="1" x14ac:dyDescent="0.25">
      <c r="C36" s="1036">
        <v>11</v>
      </c>
      <c r="D36" s="26" t="s">
        <v>142</v>
      </c>
      <c r="E36" s="29" t="s">
        <v>29</v>
      </c>
      <c r="F36" s="21" t="s">
        <v>43</v>
      </c>
      <c r="G36" s="8"/>
      <c r="H36" s="16"/>
      <c r="I36" s="1015" t="s">
        <v>33</v>
      </c>
      <c r="J36" s="1026"/>
      <c r="K36" s="1026"/>
      <c r="L36" s="1026"/>
      <c r="M36" s="1026"/>
    </row>
    <row r="37" spans="3:13" s="10" customFormat="1" x14ac:dyDescent="0.25">
      <c r="C37" s="1036"/>
      <c r="D37" s="26" t="s">
        <v>143</v>
      </c>
      <c r="E37" s="29" t="s">
        <v>30</v>
      </c>
      <c r="F37" s="21" t="s">
        <v>40</v>
      </c>
      <c r="G37" s="8"/>
      <c r="H37" s="16"/>
      <c r="I37" s="1015" t="s">
        <v>33</v>
      </c>
      <c r="J37" s="1026"/>
      <c r="K37" s="1026"/>
      <c r="L37" s="1026"/>
      <c r="M37" s="1026"/>
    </row>
    <row r="38" spans="3:13" s="10" customFormat="1" x14ac:dyDescent="0.25">
      <c r="C38" s="27" t="s">
        <v>5</v>
      </c>
      <c r="D38" s="27"/>
      <c r="E38" s="30"/>
      <c r="F38" s="22"/>
      <c r="G38" s="11"/>
      <c r="H38" s="12"/>
      <c r="I38" s="1015"/>
      <c r="J38" s="1026"/>
      <c r="K38" s="1026"/>
      <c r="L38" s="1026"/>
      <c r="M38" s="1026"/>
    </row>
    <row r="39" spans="3:13" s="10" customFormat="1" x14ac:dyDescent="0.25">
      <c r="C39" s="26">
        <v>12</v>
      </c>
      <c r="D39" s="26"/>
      <c r="E39" s="29" t="s">
        <v>21</v>
      </c>
      <c r="F39" s="21" t="s">
        <v>45</v>
      </c>
      <c r="G39" s="6"/>
      <c r="H39" s="14"/>
      <c r="I39" s="1015" t="s">
        <v>32</v>
      </c>
      <c r="J39" s="1026"/>
      <c r="K39" s="1026"/>
      <c r="L39" s="1026"/>
      <c r="M39" s="1026"/>
    </row>
    <row r="40" spans="3:13" s="10" customFormat="1" x14ac:dyDescent="0.25">
      <c r="C40" s="26">
        <v>13</v>
      </c>
      <c r="D40" s="26"/>
      <c r="E40" s="29" t="s">
        <v>88</v>
      </c>
      <c r="F40" s="21" t="s">
        <v>48</v>
      </c>
      <c r="G40" s="6"/>
      <c r="H40" s="14"/>
      <c r="I40" s="1015" t="s">
        <v>32</v>
      </c>
      <c r="J40" s="1026"/>
      <c r="K40" s="1026"/>
      <c r="L40" s="1026"/>
      <c r="M40" s="1026"/>
    </row>
    <row r="41" spans="3:13" s="10" customFormat="1" x14ac:dyDescent="0.25">
      <c r="C41" s="26">
        <v>14</v>
      </c>
      <c r="D41" s="26"/>
      <c r="E41" s="30" t="s">
        <v>22</v>
      </c>
      <c r="F41" s="21" t="s">
        <v>46</v>
      </c>
      <c r="G41" s="8"/>
      <c r="H41" s="16"/>
      <c r="I41" s="1015" t="s">
        <v>33</v>
      </c>
      <c r="J41" s="1026"/>
      <c r="K41" s="1026"/>
      <c r="L41" s="1026"/>
      <c r="M41" s="1026"/>
    </row>
    <row r="42" spans="3:13" s="10" customFormat="1" ht="18" customHeight="1" x14ac:dyDescent="0.25">
      <c r="C42" s="28" t="s">
        <v>6</v>
      </c>
      <c r="D42" s="28"/>
      <c r="E42" s="31"/>
      <c r="F42" s="32" t="s">
        <v>54</v>
      </c>
      <c r="G42" s="2"/>
      <c r="H42" s="5"/>
      <c r="I42" s="1015" t="s">
        <v>165</v>
      </c>
      <c r="J42" s="1016"/>
      <c r="K42" s="1016"/>
      <c r="L42" s="1016"/>
      <c r="M42" s="1016"/>
    </row>
    <row r="43" spans="3:13" s="10" customFormat="1" x14ac:dyDescent="0.25">
      <c r="C43" s="1036">
        <v>15</v>
      </c>
      <c r="D43" s="26"/>
      <c r="E43" s="33" t="s">
        <v>7</v>
      </c>
      <c r="F43" s="21">
        <v>40</v>
      </c>
      <c r="G43" s="2"/>
      <c r="H43" s="5"/>
      <c r="I43" s="1015"/>
      <c r="J43" s="1016"/>
      <c r="K43" s="1016"/>
      <c r="L43" s="1016"/>
      <c r="M43" s="1016"/>
    </row>
    <row r="44" spans="3:13" s="10" customFormat="1" x14ac:dyDescent="0.25">
      <c r="C44" s="1036"/>
      <c r="D44" s="26"/>
      <c r="E44" s="33" t="s">
        <v>8</v>
      </c>
      <c r="F44" s="21">
        <v>26</v>
      </c>
      <c r="G44" s="7"/>
      <c r="H44" s="15"/>
      <c r="I44" s="1015"/>
      <c r="J44" s="1016"/>
      <c r="K44" s="1016"/>
      <c r="L44" s="1016"/>
      <c r="M44" s="1016"/>
    </row>
    <row r="45" spans="3:13" s="10" customFormat="1" x14ac:dyDescent="0.25">
      <c r="C45" s="1036"/>
      <c r="D45" s="26"/>
      <c r="E45" s="33" t="s">
        <v>9</v>
      </c>
      <c r="F45" s="21">
        <v>13</v>
      </c>
      <c r="G45" s="2"/>
      <c r="H45" s="5"/>
      <c r="I45" s="1015"/>
      <c r="J45" s="1016"/>
      <c r="K45" s="1016"/>
      <c r="L45" s="1016"/>
      <c r="M45" s="1016"/>
    </row>
    <row r="46" spans="3:13" s="10" customFormat="1" x14ac:dyDescent="0.25">
      <c r="C46" s="1036"/>
      <c r="D46" s="26"/>
      <c r="E46" s="33" t="s">
        <v>10</v>
      </c>
      <c r="F46" s="21">
        <v>0</v>
      </c>
      <c r="G46" s="2"/>
      <c r="H46" s="5"/>
      <c r="I46" s="1015"/>
      <c r="J46" s="1016"/>
      <c r="K46" s="1016"/>
      <c r="L46" s="1016"/>
      <c r="M46" s="1016"/>
    </row>
    <row r="47" spans="3:13" s="10" customFormat="1" ht="18" customHeight="1" x14ac:dyDescent="0.25">
      <c r="C47" s="28" t="s">
        <v>11</v>
      </c>
      <c r="D47" s="28"/>
      <c r="E47" s="31"/>
      <c r="F47" s="32" t="s">
        <v>50</v>
      </c>
      <c r="G47" s="2"/>
      <c r="H47" s="5"/>
      <c r="I47" s="1015" t="s">
        <v>166</v>
      </c>
      <c r="J47" s="1016"/>
      <c r="K47" s="1016"/>
      <c r="L47" s="1016"/>
      <c r="M47" s="1016"/>
    </row>
    <row r="48" spans="3:13" s="10" customFormat="1" x14ac:dyDescent="0.25">
      <c r="C48" s="1036">
        <v>16</v>
      </c>
      <c r="D48" s="26"/>
      <c r="E48" s="33" t="s">
        <v>12</v>
      </c>
      <c r="F48" s="21">
        <v>40</v>
      </c>
      <c r="G48" s="2"/>
      <c r="H48" s="5"/>
      <c r="I48" s="1015"/>
      <c r="J48" s="1016"/>
      <c r="K48" s="1016"/>
      <c r="L48" s="1016"/>
      <c r="M48" s="1016"/>
    </row>
    <row r="49" spans="3:13" s="10" customFormat="1" x14ac:dyDescent="0.25">
      <c r="C49" s="1036"/>
      <c r="D49" s="26"/>
      <c r="E49" s="33" t="s">
        <v>13</v>
      </c>
      <c r="F49" s="21">
        <v>26</v>
      </c>
      <c r="G49" s="2"/>
      <c r="H49" s="5"/>
      <c r="I49" s="1015"/>
      <c r="J49" s="1016"/>
      <c r="K49" s="1016"/>
      <c r="L49" s="1016"/>
      <c r="M49" s="1016"/>
    </row>
    <row r="50" spans="3:13" s="10" customFormat="1" x14ac:dyDescent="0.25">
      <c r="C50" s="1036"/>
      <c r="D50" s="26"/>
      <c r="E50" s="33" t="s">
        <v>14</v>
      </c>
      <c r="F50" s="21">
        <v>13</v>
      </c>
      <c r="G50" s="7"/>
      <c r="H50" s="15"/>
      <c r="I50" s="1015"/>
      <c r="J50" s="1016"/>
      <c r="K50" s="1016"/>
      <c r="L50" s="1016"/>
      <c r="M50" s="1016"/>
    </row>
    <row r="51" spans="3:13" s="10" customFormat="1" x14ac:dyDescent="0.25">
      <c r="C51" s="1036"/>
      <c r="D51" s="26"/>
      <c r="E51" s="33" t="s">
        <v>16</v>
      </c>
      <c r="F51" s="21">
        <v>0</v>
      </c>
      <c r="G51" s="2"/>
      <c r="H51" s="5"/>
      <c r="I51" s="1015"/>
      <c r="J51" s="1016"/>
      <c r="K51" s="1016"/>
      <c r="L51" s="1016"/>
      <c r="M51" s="1016"/>
    </row>
    <row r="52" spans="3:13" s="10" customFormat="1" x14ac:dyDescent="0.25">
      <c r="C52" s="27" t="s">
        <v>15</v>
      </c>
      <c r="D52" s="27"/>
      <c r="E52" s="30"/>
      <c r="F52" s="21"/>
      <c r="G52" s="2"/>
      <c r="H52" s="5"/>
      <c r="I52" s="1015"/>
      <c r="J52" s="1026"/>
      <c r="K52" s="1026"/>
      <c r="L52" s="1026"/>
      <c r="M52" s="1026"/>
    </row>
    <row r="53" spans="3:13" s="10" customFormat="1" x14ac:dyDescent="0.25">
      <c r="C53" s="26">
        <v>17</v>
      </c>
      <c r="D53" s="26"/>
      <c r="E53" s="29" t="s">
        <v>17</v>
      </c>
      <c r="F53" s="21" t="s">
        <v>47</v>
      </c>
      <c r="G53" s="8"/>
      <c r="H53" s="16"/>
      <c r="I53" s="1015" t="s">
        <v>33</v>
      </c>
      <c r="J53" s="1026"/>
      <c r="K53" s="1026"/>
      <c r="L53" s="1026"/>
      <c r="M53" s="1026"/>
    </row>
    <row r="54" spans="3:13" s="10" customFormat="1" ht="15.75" x14ac:dyDescent="0.25">
      <c r="C54" s="1045">
        <v>18</v>
      </c>
      <c r="D54" s="26">
        <v>18.100000000000001</v>
      </c>
      <c r="E54" s="29" t="s">
        <v>170</v>
      </c>
      <c r="F54" s="23" t="s">
        <v>53</v>
      </c>
      <c r="G54" s="7"/>
      <c r="H54" s="15"/>
      <c r="I54" s="1015" t="s">
        <v>172</v>
      </c>
      <c r="J54" s="1026"/>
      <c r="K54" s="1026"/>
      <c r="L54" s="1026"/>
      <c r="M54" s="1026"/>
    </row>
    <row r="55" spans="3:13" s="10" customFormat="1" ht="15.75" x14ac:dyDescent="0.25">
      <c r="C55" s="1045"/>
      <c r="D55" s="53">
        <v>18.2</v>
      </c>
      <c r="E55" s="29" t="s">
        <v>171</v>
      </c>
      <c r="F55" s="23" t="s">
        <v>53</v>
      </c>
      <c r="G55" s="7"/>
      <c r="H55" s="15"/>
      <c r="I55" s="1015" t="s">
        <v>32</v>
      </c>
      <c r="J55" s="1026"/>
      <c r="K55" s="1026"/>
      <c r="L55" s="1026"/>
      <c r="M55" s="1026"/>
    </row>
    <row r="56" spans="3:13" s="10" customFormat="1" ht="18" x14ac:dyDescent="0.25">
      <c r="C56" s="26">
        <v>19</v>
      </c>
      <c r="D56" s="26"/>
      <c r="E56" s="29" t="s">
        <v>27</v>
      </c>
      <c r="F56" s="32" t="s">
        <v>52</v>
      </c>
      <c r="G56" s="7"/>
      <c r="H56" s="15"/>
      <c r="I56" s="1015" t="s">
        <v>175</v>
      </c>
      <c r="J56" s="1026"/>
      <c r="K56" s="1026"/>
      <c r="L56" s="1026"/>
      <c r="M56" s="1026"/>
    </row>
    <row r="57" spans="3:13" s="10" customFormat="1" ht="15.75" x14ac:dyDescent="0.25">
      <c r="C57" s="26">
        <v>20</v>
      </c>
      <c r="D57" s="26"/>
      <c r="E57" s="29" t="s">
        <v>18</v>
      </c>
      <c r="F57" s="23" t="s">
        <v>53</v>
      </c>
      <c r="G57" s="7"/>
      <c r="H57" s="15"/>
      <c r="I57" s="1015" t="s">
        <v>26</v>
      </c>
      <c r="J57" s="1026"/>
      <c r="K57" s="1026"/>
      <c r="L57" s="1026"/>
      <c r="M57" s="1026"/>
    </row>
    <row r="58" spans="3:13" s="10" customFormat="1" x14ac:dyDescent="0.25">
      <c r="C58" s="26">
        <v>21</v>
      </c>
      <c r="D58" s="26"/>
      <c r="E58" s="29" t="s">
        <v>20</v>
      </c>
      <c r="F58" s="21" t="s">
        <v>49</v>
      </c>
      <c r="G58" s="9"/>
      <c r="H58" s="17"/>
      <c r="I58" s="1015" t="s">
        <v>32</v>
      </c>
      <c r="J58" s="1026"/>
      <c r="K58" s="1026"/>
      <c r="L58" s="1026"/>
      <c r="M58" s="1026"/>
    </row>
    <row r="59" spans="3:13" s="10" customFormat="1" ht="18.75" thickBot="1" x14ac:dyDescent="0.35">
      <c r="C59" s="39">
        <v>22</v>
      </c>
      <c r="D59" s="39"/>
      <c r="E59" s="34" t="s">
        <v>177</v>
      </c>
      <c r="F59" s="45" t="s">
        <v>51</v>
      </c>
      <c r="G59" s="35"/>
      <c r="H59" s="36"/>
      <c r="I59" s="1015" t="s">
        <v>176</v>
      </c>
      <c r="J59" s="1026"/>
      <c r="K59" s="1026"/>
      <c r="L59" s="1026"/>
      <c r="M59" s="1026"/>
    </row>
    <row r="60" spans="3:13" x14ac:dyDescent="0.25">
      <c r="C60" s="1"/>
      <c r="D60" s="1"/>
      <c r="I60" s="47"/>
    </row>
    <row r="62" spans="3:13" x14ac:dyDescent="0.25">
      <c r="E62">
        <f>86400/1000*365</f>
        <v>31536.000000000004</v>
      </c>
    </row>
    <row r="67" spans="2:10" customFormat="1" ht="18.75" x14ac:dyDescent="0.25">
      <c r="B67" s="54"/>
      <c r="C67" s="54"/>
      <c r="D67" s="54"/>
      <c r="E67" s="1049" t="s">
        <v>158</v>
      </c>
      <c r="F67" s="1050"/>
      <c r="G67" s="1050"/>
      <c r="H67" s="1051"/>
      <c r="I67" s="55"/>
      <c r="J67" s="55"/>
    </row>
    <row r="68" spans="2:10" customFormat="1" x14ac:dyDescent="0.25">
      <c r="B68" s="54"/>
      <c r="C68" s="54"/>
      <c r="D68" s="54"/>
      <c r="E68" s="54" t="s">
        <v>90</v>
      </c>
      <c r="F68" s="54"/>
      <c r="G68" s="54"/>
      <c r="H68" s="54"/>
      <c r="I68" s="54"/>
      <c r="J68" s="54"/>
    </row>
    <row r="69" spans="2:10" customFormat="1" x14ac:dyDescent="0.25">
      <c r="B69" s="54"/>
      <c r="C69" s="1039" t="s">
        <v>91</v>
      </c>
      <c r="D69" s="1039"/>
      <c r="E69" s="1039"/>
      <c r="F69" s="1039"/>
      <c r="G69" s="43" t="s">
        <v>92</v>
      </c>
      <c r="H69" s="43" t="s">
        <v>93</v>
      </c>
      <c r="I69" s="43" t="s">
        <v>94</v>
      </c>
      <c r="J69" s="43" t="s">
        <v>95</v>
      </c>
    </row>
    <row r="70" spans="2:10" customFormat="1" x14ac:dyDescent="0.25">
      <c r="B70" s="43">
        <v>1</v>
      </c>
      <c r="C70" s="1040" t="s">
        <v>96</v>
      </c>
      <c r="D70" s="1040"/>
      <c r="E70" s="1041" t="s">
        <v>97</v>
      </c>
      <c r="F70" s="1041"/>
      <c r="G70" s="56" t="s">
        <v>141</v>
      </c>
      <c r="H70" s="60" t="s">
        <v>98</v>
      </c>
      <c r="I70" s="57" t="s">
        <v>99</v>
      </c>
      <c r="J70" s="57" t="s">
        <v>100</v>
      </c>
    </row>
    <row r="71" spans="2:10" customFormat="1" x14ac:dyDescent="0.25">
      <c r="B71" s="43">
        <v>2</v>
      </c>
      <c r="C71" s="1040" t="s">
        <v>101</v>
      </c>
      <c r="D71" s="1040"/>
      <c r="E71" s="1042" t="s">
        <v>102</v>
      </c>
      <c r="F71" s="1042"/>
      <c r="G71" s="61" t="s">
        <v>144</v>
      </c>
      <c r="H71" s="60" t="s">
        <v>98</v>
      </c>
      <c r="I71" s="57" t="s">
        <v>103</v>
      </c>
      <c r="J71" s="57" t="s">
        <v>104</v>
      </c>
    </row>
    <row r="72" spans="2:10" customFormat="1" x14ac:dyDescent="0.25">
      <c r="B72" s="43">
        <v>3</v>
      </c>
      <c r="C72" s="1040" t="s">
        <v>105</v>
      </c>
      <c r="D72" s="1040"/>
      <c r="E72" s="1042" t="s">
        <v>106</v>
      </c>
      <c r="F72" s="1042"/>
      <c r="G72" s="61" t="s">
        <v>145</v>
      </c>
      <c r="H72" s="60" t="s">
        <v>98</v>
      </c>
      <c r="I72" s="57" t="s">
        <v>103</v>
      </c>
      <c r="J72" s="57" t="s">
        <v>104</v>
      </c>
    </row>
    <row r="73" spans="2:10" customFormat="1" ht="36.75" customHeight="1" x14ac:dyDescent="0.25">
      <c r="B73" s="43">
        <v>4</v>
      </c>
      <c r="C73" s="1040" t="s">
        <v>107</v>
      </c>
      <c r="D73" s="1040"/>
      <c r="E73" s="1042" t="s">
        <v>108</v>
      </c>
      <c r="F73" s="1042"/>
      <c r="G73" s="61" t="s">
        <v>168</v>
      </c>
      <c r="H73" s="60" t="s">
        <v>98</v>
      </c>
      <c r="I73" s="57" t="s">
        <v>103</v>
      </c>
      <c r="J73" s="57" t="s">
        <v>104</v>
      </c>
    </row>
    <row r="74" spans="2:10" customFormat="1" x14ac:dyDescent="0.25">
      <c r="B74" s="43">
        <v>5</v>
      </c>
      <c r="C74" s="1040" t="s">
        <v>109</v>
      </c>
      <c r="D74" s="1040"/>
      <c r="E74" s="1042" t="s">
        <v>156</v>
      </c>
      <c r="F74" s="1042"/>
      <c r="G74" s="61" t="s">
        <v>146</v>
      </c>
      <c r="H74" s="60" t="s">
        <v>98</v>
      </c>
      <c r="I74" s="57" t="s">
        <v>110</v>
      </c>
      <c r="J74" s="57" t="s">
        <v>111</v>
      </c>
    </row>
    <row r="75" spans="2:10" customFormat="1" x14ac:dyDescent="0.25">
      <c r="B75" s="43">
        <v>6</v>
      </c>
      <c r="C75" s="1040" t="s">
        <v>112</v>
      </c>
      <c r="D75" s="1040"/>
      <c r="E75" s="1042" t="s">
        <v>113</v>
      </c>
      <c r="F75" s="1042"/>
      <c r="G75" s="61" t="s">
        <v>147</v>
      </c>
      <c r="H75" s="60" t="s">
        <v>98</v>
      </c>
      <c r="I75" s="57" t="s">
        <v>114</v>
      </c>
      <c r="J75" s="57" t="s">
        <v>115</v>
      </c>
    </row>
    <row r="76" spans="2:10" customFormat="1" x14ac:dyDescent="0.25">
      <c r="B76" s="43">
        <v>7</v>
      </c>
      <c r="C76" s="1040" t="s">
        <v>116</v>
      </c>
      <c r="D76" s="1040"/>
      <c r="E76" s="1042" t="s">
        <v>117</v>
      </c>
      <c r="F76" s="1042"/>
      <c r="G76" s="61" t="s">
        <v>118</v>
      </c>
      <c r="H76" s="60" t="s">
        <v>98</v>
      </c>
      <c r="I76" s="57" t="s">
        <v>119</v>
      </c>
      <c r="J76" s="57" t="s">
        <v>120</v>
      </c>
    </row>
    <row r="77" spans="2:10" customFormat="1" x14ac:dyDescent="0.25">
      <c r="B77" s="43">
        <v>8</v>
      </c>
      <c r="C77" s="1040" t="s">
        <v>121</v>
      </c>
      <c r="D77" s="1040"/>
      <c r="E77" s="1043" t="s">
        <v>122</v>
      </c>
      <c r="F77" s="1044"/>
      <c r="G77" s="61" t="s">
        <v>148</v>
      </c>
      <c r="H77" s="60" t="s">
        <v>169</v>
      </c>
      <c r="I77" s="57" t="s">
        <v>99</v>
      </c>
      <c r="J77" s="57" t="s">
        <v>124</v>
      </c>
    </row>
    <row r="78" spans="2:10" customFormat="1" ht="30" customHeight="1" x14ac:dyDescent="0.25">
      <c r="B78" s="43">
        <v>9</v>
      </c>
      <c r="C78" s="1040" t="s">
        <v>125</v>
      </c>
      <c r="D78" s="1040"/>
      <c r="E78" s="1042" t="s">
        <v>126</v>
      </c>
      <c r="F78" s="1042"/>
      <c r="G78" s="61" t="s">
        <v>149</v>
      </c>
      <c r="H78" s="60" t="s">
        <v>98</v>
      </c>
      <c r="I78" s="57" t="s">
        <v>174</v>
      </c>
      <c r="J78" s="57" t="s">
        <v>127</v>
      </c>
    </row>
    <row r="79" spans="2:10" customFormat="1" ht="30.75" customHeight="1" x14ac:dyDescent="0.25">
      <c r="B79" s="43">
        <v>10</v>
      </c>
      <c r="C79" s="1040" t="s">
        <v>128</v>
      </c>
      <c r="D79" s="1040"/>
      <c r="E79" s="1042" t="s">
        <v>129</v>
      </c>
      <c r="F79" s="1042"/>
      <c r="G79" s="61" t="s">
        <v>150</v>
      </c>
      <c r="H79" s="60" t="s">
        <v>123</v>
      </c>
      <c r="I79" s="57" t="s">
        <v>130</v>
      </c>
      <c r="J79" s="57" t="s">
        <v>131</v>
      </c>
    </row>
    <row r="80" spans="2:10" customFormat="1" x14ac:dyDescent="0.25">
      <c r="B80" s="43">
        <v>11</v>
      </c>
      <c r="C80" s="1040" t="s">
        <v>132</v>
      </c>
      <c r="D80" s="1040"/>
      <c r="E80" s="1042" t="s">
        <v>133</v>
      </c>
      <c r="F80" s="1042"/>
      <c r="G80" s="61" t="s">
        <v>151</v>
      </c>
      <c r="H80" s="60" t="s">
        <v>123</v>
      </c>
      <c r="I80" s="57" t="s">
        <v>134</v>
      </c>
      <c r="J80" s="57" t="s">
        <v>135</v>
      </c>
    </row>
    <row r="81" spans="2:10" customFormat="1" x14ac:dyDescent="0.25">
      <c r="B81" s="43">
        <v>12</v>
      </c>
      <c r="C81" s="1040" t="s">
        <v>136</v>
      </c>
      <c r="D81" s="1040"/>
      <c r="E81" s="1042" t="s">
        <v>137</v>
      </c>
      <c r="F81" s="1042"/>
      <c r="G81" s="61" t="s">
        <v>152</v>
      </c>
      <c r="H81" s="60" t="s">
        <v>123</v>
      </c>
      <c r="I81" s="57" t="s">
        <v>138</v>
      </c>
      <c r="J81" s="57" t="s">
        <v>139</v>
      </c>
    </row>
    <row r="82" spans="2:10" customFormat="1" x14ac:dyDescent="0.25">
      <c r="B82" s="43"/>
      <c r="C82" s="1046" t="s">
        <v>140</v>
      </c>
      <c r="D82" s="1047"/>
      <c r="E82" s="1047"/>
      <c r="F82" s="1047"/>
      <c r="G82" s="1048"/>
      <c r="H82" s="60" t="s">
        <v>173</v>
      </c>
      <c r="I82" s="58"/>
      <c r="J82" s="43"/>
    </row>
    <row r="83" spans="2:10" customFormat="1" x14ac:dyDescent="0.25">
      <c r="B83" s="54"/>
      <c r="C83" s="54"/>
      <c r="D83" s="54"/>
      <c r="E83" s="54"/>
      <c r="F83" s="19"/>
      <c r="G83" s="54"/>
      <c r="H83" s="54"/>
      <c r="I83" s="54"/>
      <c r="J83" s="54"/>
    </row>
    <row r="84" spans="2:10" customFormat="1" ht="21" x14ac:dyDescent="0.25">
      <c r="B84" s="54"/>
      <c r="C84" s="54"/>
      <c r="D84" s="54"/>
      <c r="E84" s="54"/>
      <c r="F84" s="19"/>
      <c r="G84" s="54"/>
      <c r="H84" s="59">
        <f>3*40+80+800</f>
        <v>1000</v>
      </c>
      <c r="I84" s="54"/>
      <c r="J84" s="54"/>
    </row>
  </sheetData>
  <mergeCells count="87">
    <mergeCell ref="C54:C55"/>
    <mergeCell ref="I55:M55"/>
    <mergeCell ref="C82:G82"/>
    <mergeCell ref="E67:H67"/>
    <mergeCell ref="I19:M19"/>
    <mergeCell ref="I20:M20"/>
    <mergeCell ref="I21:M21"/>
    <mergeCell ref="I22:M22"/>
    <mergeCell ref="I23:M23"/>
    <mergeCell ref="I24:M24"/>
    <mergeCell ref="I30:M30"/>
    <mergeCell ref="I31:M31"/>
    <mergeCell ref="I32:M32"/>
    <mergeCell ref="I33:M33"/>
    <mergeCell ref="I34:M34"/>
    <mergeCell ref="I35:M35"/>
    <mergeCell ref="C76:D76"/>
    <mergeCell ref="E76:F76"/>
    <mergeCell ref="C77:D77"/>
    <mergeCell ref="E77:F77"/>
    <mergeCell ref="C72:D72"/>
    <mergeCell ref="E72:F72"/>
    <mergeCell ref="C73:D73"/>
    <mergeCell ref="E73:F73"/>
    <mergeCell ref="C74:D74"/>
    <mergeCell ref="E74:F74"/>
    <mergeCell ref="C75:D75"/>
    <mergeCell ref="E75:F75"/>
    <mergeCell ref="C81:D81"/>
    <mergeCell ref="E81:F81"/>
    <mergeCell ref="C78:D78"/>
    <mergeCell ref="E78:F78"/>
    <mergeCell ref="C79:D79"/>
    <mergeCell ref="E79:F79"/>
    <mergeCell ref="C80:D80"/>
    <mergeCell ref="E80:F80"/>
    <mergeCell ref="C69:F69"/>
    <mergeCell ref="C70:D70"/>
    <mergeCell ref="E70:F70"/>
    <mergeCell ref="C71:D71"/>
    <mergeCell ref="E71:F71"/>
    <mergeCell ref="I13:M13"/>
    <mergeCell ref="I14:M14"/>
    <mergeCell ref="C36:C37"/>
    <mergeCell ref="C43:C46"/>
    <mergeCell ref="C48:C51"/>
    <mergeCell ref="I36:M36"/>
    <mergeCell ref="I37:M37"/>
    <mergeCell ref="I16:M16"/>
    <mergeCell ref="I17:M17"/>
    <mergeCell ref="I18:M18"/>
    <mergeCell ref="I25:M25"/>
    <mergeCell ref="I47:M51"/>
    <mergeCell ref="I42:M46"/>
    <mergeCell ref="I26:M26"/>
    <mergeCell ref="I59:M59"/>
    <mergeCell ref="I9:M9"/>
    <mergeCell ref="I7:M7"/>
    <mergeCell ref="I53:M53"/>
    <mergeCell ref="I54:M54"/>
    <mergeCell ref="I56:M56"/>
    <mergeCell ref="I57:M57"/>
    <mergeCell ref="I58:M58"/>
    <mergeCell ref="I52:M52"/>
    <mergeCell ref="I27:M27"/>
    <mergeCell ref="I38:M38"/>
    <mergeCell ref="I39:M39"/>
    <mergeCell ref="I40:M40"/>
    <mergeCell ref="I41:M41"/>
    <mergeCell ref="I28:M28"/>
    <mergeCell ref="I29:M29"/>
    <mergeCell ref="I6:M6"/>
    <mergeCell ref="C8:F8"/>
    <mergeCell ref="C15:E15"/>
    <mergeCell ref="C10:F10"/>
    <mergeCell ref="I15:M15"/>
    <mergeCell ref="I10:M10"/>
    <mergeCell ref="C7:H7"/>
    <mergeCell ref="I8:M8"/>
    <mergeCell ref="C9:F9"/>
    <mergeCell ref="C11:F11"/>
    <mergeCell ref="C12:F12"/>
    <mergeCell ref="C13:F13"/>
    <mergeCell ref="C14:F14"/>
    <mergeCell ref="C6:E6"/>
    <mergeCell ref="I11:M11"/>
    <mergeCell ref="I12:M12"/>
  </mergeCells>
  <printOptions horizontalCentered="1" verticalCentered="1"/>
  <pageMargins left="0.31496062992125984" right="0.31496062992125984" top="0.35433070866141736" bottom="0.35433070866141736" header="0" footer="0"/>
  <pageSetup scale="41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60"/>
  <sheetViews>
    <sheetView topLeftCell="A4" workbookViewId="0">
      <selection activeCell="C2" sqref="C2:K29"/>
    </sheetView>
  </sheetViews>
  <sheetFormatPr baseColWidth="10" defaultRowHeight="15" x14ac:dyDescent="0.25"/>
  <cols>
    <col min="3" max="3" width="15.28515625" style="109" customWidth="1"/>
    <col min="4" max="4" width="19.42578125" style="109" customWidth="1"/>
    <col min="5" max="5" width="18.7109375" style="109" customWidth="1"/>
    <col min="6" max="6" width="20.85546875" style="109" customWidth="1"/>
    <col min="7" max="7" width="17.7109375" style="109" customWidth="1"/>
    <col min="8" max="8" width="18.5703125" style="109" customWidth="1"/>
    <col min="9" max="9" width="19.140625" style="109" customWidth="1"/>
    <col min="10" max="10" width="24.42578125" customWidth="1"/>
    <col min="11" max="11" width="20.42578125" customWidth="1"/>
    <col min="12" max="12" width="20.7109375" customWidth="1"/>
    <col min="13" max="13" width="19" customWidth="1"/>
  </cols>
  <sheetData>
    <row r="1" spans="3:11" ht="15.75" thickBot="1" x14ac:dyDescent="0.3"/>
    <row r="2" spans="3:11" s="89" customFormat="1" ht="33" customHeight="1" thickBot="1" x14ac:dyDescent="0.3">
      <c r="C2" s="1089" t="s">
        <v>1077</v>
      </c>
      <c r="D2" s="1086" t="s">
        <v>1078</v>
      </c>
      <c r="E2" s="1087"/>
      <c r="F2" s="1087"/>
      <c r="G2" s="1087"/>
      <c r="H2" s="1087"/>
      <c r="I2" s="1088"/>
      <c r="J2" s="1089" t="s">
        <v>1076</v>
      </c>
      <c r="K2" s="1089" t="s">
        <v>1079</v>
      </c>
    </row>
    <row r="3" spans="3:11" s="89" customFormat="1" ht="47.25" customHeight="1" thickBot="1" x14ac:dyDescent="0.3">
      <c r="C3" s="1090"/>
      <c r="D3" s="442" t="s">
        <v>1080</v>
      </c>
      <c r="E3" s="442" t="s">
        <v>1081</v>
      </c>
      <c r="F3" s="442" t="s">
        <v>1082</v>
      </c>
      <c r="G3" s="442" t="s">
        <v>1083</v>
      </c>
      <c r="H3" s="442" t="s">
        <v>1084</v>
      </c>
      <c r="I3" s="442" t="s">
        <v>1085</v>
      </c>
      <c r="J3" s="1090"/>
      <c r="K3" s="1090"/>
    </row>
    <row r="4" spans="3:11" ht="18.75" x14ac:dyDescent="0.25">
      <c r="C4" s="393" t="s">
        <v>299</v>
      </c>
      <c r="D4" s="497">
        <f>+MENDOZA!L100</f>
        <v>6725000</v>
      </c>
      <c r="E4" s="497">
        <f>+TUNINF!L100</f>
        <v>7560000</v>
      </c>
      <c r="F4" s="497">
        <f>+TUNSUP!L100</f>
        <v>2680629.7799999998</v>
      </c>
      <c r="G4" s="497">
        <f>+DIAMANTE!L100</f>
        <v>1400000</v>
      </c>
      <c r="H4" s="497">
        <f>+ATUEL!L100</f>
        <v>700000</v>
      </c>
      <c r="I4" s="497">
        <f>+MALARGÜE!L100</f>
        <v>9520500</v>
      </c>
      <c r="J4" s="497">
        <f>SUM(D4:I4)</f>
        <v>28586129.780000001</v>
      </c>
      <c r="K4" s="497">
        <f>+J4</f>
        <v>28586129.780000001</v>
      </c>
    </row>
    <row r="5" spans="3:11" ht="18.75" x14ac:dyDescent="0.25">
      <c r="C5" s="392" t="s">
        <v>300</v>
      </c>
      <c r="D5" s="498">
        <f>+MENDOZA!L101</f>
        <v>5000000</v>
      </c>
      <c r="E5" s="498">
        <f>+TUNINF!L101</f>
        <v>2840297.25</v>
      </c>
      <c r="F5" s="498">
        <f>+TUNSUP!L101</f>
        <v>3556000</v>
      </c>
      <c r="G5" s="498">
        <f>+DIAMANTE!L101</f>
        <v>1020000</v>
      </c>
      <c r="H5" s="498">
        <f>+ATUEL!L101</f>
        <v>12000000</v>
      </c>
      <c r="I5" s="498">
        <f>+MALARGÜE!L101</f>
        <v>1107500</v>
      </c>
      <c r="J5" s="498">
        <f t="shared" ref="J5" si="0">SUM(D5:I5)</f>
        <v>25523797.25</v>
      </c>
      <c r="K5" s="498">
        <f>+K4+J5</f>
        <v>54109927.030000001</v>
      </c>
    </row>
    <row r="6" spans="3:11" ht="18.75" x14ac:dyDescent="0.25">
      <c r="C6" s="392" t="s">
        <v>301</v>
      </c>
      <c r="D6" s="498">
        <f>+MENDOZA!L102</f>
        <v>2500000</v>
      </c>
      <c r="E6" s="498">
        <f>+TUNINF!L102</f>
        <v>3000000</v>
      </c>
      <c r="F6" s="498">
        <f>+TUNSUP!L102</f>
        <v>3579135.79</v>
      </c>
      <c r="G6" s="498">
        <f>+DIAMANTE!L102</f>
        <v>8700000</v>
      </c>
      <c r="H6" s="498">
        <f>+ATUEL!L102</f>
        <v>270000</v>
      </c>
      <c r="I6" s="498">
        <f>+MALARGÜE!L102</f>
        <v>1026891.75</v>
      </c>
      <c r="J6" s="498">
        <f t="shared" ref="J6:J27" si="1">SUM(D6:I6)</f>
        <v>19076027.539999999</v>
      </c>
      <c r="K6" s="498">
        <f t="shared" ref="K6:K26" si="2">+K5+J6</f>
        <v>73185954.569999993</v>
      </c>
    </row>
    <row r="7" spans="3:11" ht="18.75" x14ac:dyDescent="0.25">
      <c r="C7" s="392" t="s">
        <v>302</v>
      </c>
      <c r="D7" s="498">
        <f>+MENDOZA!L103</f>
        <v>4000000</v>
      </c>
      <c r="E7" s="498">
        <f>+TUNINF!L103</f>
        <v>2500000</v>
      </c>
      <c r="F7" s="498">
        <f>+TUNSUP!L103</f>
        <v>702851.1</v>
      </c>
      <c r="G7" s="498">
        <f>+DIAMANTE!L103</f>
        <v>2300000</v>
      </c>
      <c r="H7" s="498">
        <f>+ATUEL!L103</f>
        <v>3900000</v>
      </c>
      <c r="I7" s="498">
        <f>+MALARGÜE!L103</f>
        <v>3207500</v>
      </c>
      <c r="J7" s="498">
        <f t="shared" si="1"/>
        <v>16610351.1</v>
      </c>
      <c r="K7" s="498">
        <f t="shared" si="2"/>
        <v>89796305.669999987</v>
      </c>
    </row>
    <row r="8" spans="3:11" ht="18.75" x14ac:dyDescent="0.25">
      <c r="C8" s="392" t="s">
        <v>303</v>
      </c>
      <c r="D8" s="498">
        <f>+MENDOZA!L104</f>
        <v>2000000</v>
      </c>
      <c r="E8" s="498">
        <f>+TUNINF!L104</f>
        <v>1500000</v>
      </c>
      <c r="F8" s="498">
        <f>+TUNSUP!L104</f>
        <v>3700000</v>
      </c>
      <c r="G8" s="498">
        <f>+DIAMANTE!L104</f>
        <v>1750000</v>
      </c>
      <c r="H8" s="498">
        <f>+ATUEL!L104</f>
        <v>250000</v>
      </c>
      <c r="I8" s="498" t="e">
        <f>+MALARGÜE!#REF!</f>
        <v>#REF!</v>
      </c>
      <c r="J8" s="498" t="e">
        <f t="shared" si="1"/>
        <v>#REF!</v>
      </c>
      <c r="K8" s="498" t="e">
        <f t="shared" si="2"/>
        <v>#REF!</v>
      </c>
    </row>
    <row r="9" spans="3:11" ht="18.75" x14ac:dyDescent="0.25">
      <c r="C9" s="392" t="s">
        <v>304</v>
      </c>
      <c r="D9" s="498">
        <f>+MENDOZA!L105</f>
        <v>3600000</v>
      </c>
      <c r="E9" s="498">
        <f>+TUNINF!L105</f>
        <v>1680000</v>
      </c>
      <c r="F9" s="498">
        <f>+TUNSUP!L105</f>
        <v>4000000</v>
      </c>
      <c r="G9" s="498">
        <f>+DIAMANTE!L105</f>
        <v>13400000</v>
      </c>
      <c r="H9" s="498">
        <f>+ATUEL!L105</f>
        <v>3800000</v>
      </c>
      <c r="I9" s="498" t="e">
        <f>+MALARGÜE!#REF!</f>
        <v>#REF!</v>
      </c>
      <c r="J9" s="498" t="e">
        <f t="shared" si="1"/>
        <v>#REF!</v>
      </c>
      <c r="K9" s="498" t="e">
        <f t="shared" si="2"/>
        <v>#REF!</v>
      </c>
    </row>
    <row r="10" spans="3:11" ht="18.75" x14ac:dyDescent="0.25">
      <c r="C10" s="392" t="s">
        <v>305</v>
      </c>
      <c r="D10" s="498">
        <f>+MENDOZA!L106</f>
        <v>4800000</v>
      </c>
      <c r="E10" s="498">
        <f>+TUNINF!L106</f>
        <v>2200000</v>
      </c>
      <c r="F10" s="498">
        <f>+TUNSUP!L106</f>
        <v>2542018.5499999998</v>
      </c>
      <c r="G10" s="498">
        <f>+DIAMANTE!L106</f>
        <v>4300000</v>
      </c>
      <c r="H10" s="498">
        <f>+ATUEL!L106</f>
        <v>1700000</v>
      </c>
      <c r="I10" s="498" t="e">
        <f>+MALARGÜE!#REF!</f>
        <v>#REF!</v>
      </c>
      <c r="J10" s="498" t="e">
        <f t="shared" si="1"/>
        <v>#REF!</v>
      </c>
      <c r="K10" s="498" t="e">
        <f t="shared" si="2"/>
        <v>#REF!</v>
      </c>
    </row>
    <row r="11" spans="3:11" s="409" customFormat="1" ht="18.75" x14ac:dyDescent="0.25">
      <c r="C11" s="408" t="s">
        <v>306</v>
      </c>
      <c r="D11" s="498">
        <f>+MENDOZA!L107</f>
        <v>4000000</v>
      </c>
      <c r="E11" s="498">
        <f>+TUNINF!L107</f>
        <v>2850000</v>
      </c>
      <c r="F11" s="498">
        <f>+TUNSUP!L107</f>
        <v>2100000</v>
      </c>
      <c r="G11" s="498">
        <f>+DIAMANTE!L107</f>
        <v>4900000</v>
      </c>
      <c r="H11" s="498">
        <f>+ATUEL!L107</f>
        <v>230000</v>
      </c>
      <c r="I11" s="498" t="e">
        <f>+MALARGÜE!#REF!</f>
        <v>#REF!</v>
      </c>
      <c r="J11" s="498" t="e">
        <f t="shared" si="1"/>
        <v>#REF!</v>
      </c>
      <c r="K11" s="498" t="e">
        <f t="shared" si="2"/>
        <v>#REF!</v>
      </c>
    </row>
    <row r="12" spans="3:11" ht="18.75" x14ac:dyDescent="0.25">
      <c r="C12" s="392" t="s">
        <v>307</v>
      </c>
      <c r="D12" s="498">
        <f>+MENDOZA!L108</f>
        <v>3000000</v>
      </c>
      <c r="E12" s="498">
        <f>+TUNINF!L110</f>
        <v>9500000</v>
      </c>
      <c r="F12" s="498" t="e">
        <f>+TUNSUP!#REF!</f>
        <v>#REF!</v>
      </c>
      <c r="G12" s="498">
        <f>+DIAMANTE!L108</f>
        <v>0</v>
      </c>
      <c r="H12" s="498">
        <f>+ATUEL!L108</f>
        <v>2100000</v>
      </c>
      <c r="I12" s="498" t="e">
        <f>+MALARGÜE!#REF!</f>
        <v>#REF!</v>
      </c>
      <c r="J12" s="498" t="e">
        <f t="shared" si="1"/>
        <v>#REF!</v>
      </c>
      <c r="K12" s="498" t="e">
        <f t="shared" si="2"/>
        <v>#REF!</v>
      </c>
    </row>
    <row r="13" spans="3:11" ht="18.75" x14ac:dyDescent="0.25">
      <c r="C13" s="392" t="s">
        <v>308</v>
      </c>
      <c r="D13" s="498">
        <f>+MENDOZA!L109</f>
        <v>2500000</v>
      </c>
      <c r="E13" s="498">
        <f>+TUNINF!L108</f>
        <v>2340000</v>
      </c>
      <c r="F13" s="498" t="e">
        <f>+TUNSUP!#REF!</f>
        <v>#REF!</v>
      </c>
      <c r="G13" s="498">
        <f>+DIAMANTE!L109</f>
        <v>0</v>
      </c>
      <c r="H13" s="498">
        <f>+ATUEL!L109</f>
        <v>3200000</v>
      </c>
      <c r="I13" s="498" t="e">
        <f>+MALARGÜE!#REF!</f>
        <v>#REF!</v>
      </c>
      <c r="J13" s="498" t="e">
        <f t="shared" si="1"/>
        <v>#REF!</v>
      </c>
      <c r="K13" s="498" t="e">
        <f t="shared" si="2"/>
        <v>#REF!</v>
      </c>
    </row>
    <row r="14" spans="3:11" ht="18.75" x14ac:dyDescent="0.25">
      <c r="C14" s="392" t="s">
        <v>309</v>
      </c>
      <c r="D14" s="498">
        <f>+MENDOZA!L113</f>
        <v>8211000</v>
      </c>
      <c r="E14" s="498">
        <f>+TUNINF!L109</f>
        <v>5350000</v>
      </c>
      <c r="F14" s="498" t="e">
        <f>+TUNSUP!#REF!</f>
        <v>#REF!</v>
      </c>
      <c r="G14" s="498">
        <f>+DIAMANTE!L110</f>
        <v>0</v>
      </c>
      <c r="H14" s="498">
        <f>+ATUEL!L110</f>
        <v>200000</v>
      </c>
      <c r="I14" s="498" t="e">
        <f>+MALARGÜE!#REF!</f>
        <v>#REF!</v>
      </c>
      <c r="J14" s="498" t="e">
        <f t="shared" si="1"/>
        <v>#REF!</v>
      </c>
      <c r="K14" s="498" t="e">
        <f t="shared" si="2"/>
        <v>#REF!</v>
      </c>
    </row>
    <row r="15" spans="3:11" ht="18.75" x14ac:dyDescent="0.25">
      <c r="C15" s="392" t="s">
        <v>310</v>
      </c>
      <c r="D15" s="498">
        <f>+MENDOZA!L110</f>
        <v>4000000</v>
      </c>
      <c r="E15" s="498">
        <f>+TUNINF!L111</f>
        <v>3492000</v>
      </c>
      <c r="F15" s="498" t="e">
        <f>+TUNSUP!#REF!</f>
        <v>#REF!</v>
      </c>
      <c r="G15" s="498">
        <f>+DIAMANTE!L111</f>
        <v>0</v>
      </c>
      <c r="H15" s="498">
        <f>+ATUEL!L111</f>
        <v>1800000</v>
      </c>
      <c r="I15" s="498">
        <f>+MALARGÜE!L104</f>
        <v>0</v>
      </c>
      <c r="J15" s="498" t="e">
        <f t="shared" si="1"/>
        <v>#REF!</v>
      </c>
      <c r="K15" s="498" t="e">
        <f t="shared" si="2"/>
        <v>#REF!</v>
      </c>
    </row>
    <row r="16" spans="3:11" ht="18.75" x14ac:dyDescent="0.25">
      <c r="C16" s="392" t="s">
        <v>311</v>
      </c>
      <c r="D16" s="498">
        <f>+MENDOZA!L111</f>
        <v>2400000</v>
      </c>
      <c r="E16" s="498">
        <f>+TUNINF!L112</f>
        <v>2300000</v>
      </c>
      <c r="F16" s="498" t="e">
        <f>+TUNSUP!#REF!</f>
        <v>#REF!</v>
      </c>
      <c r="G16" s="498">
        <f>+DIAMANTE!L112</f>
        <v>0</v>
      </c>
      <c r="H16" s="498">
        <f>+ATUEL!L112</f>
        <v>3200000</v>
      </c>
      <c r="I16" s="498">
        <f>+MALARGÜE!L105</f>
        <v>0</v>
      </c>
      <c r="J16" s="498" t="e">
        <f t="shared" si="1"/>
        <v>#REF!</v>
      </c>
      <c r="K16" s="498" t="e">
        <f t="shared" si="2"/>
        <v>#REF!</v>
      </c>
    </row>
    <row r="17" spans="3:12" ht="18.75" x14ac:dyDescent="0.25">
      <c r="C17" s="392" t="s">
        <v>312</v>
      </c>
      <c r="D17" s="498" t="e">
        <f>+MENDOZA!#REF!</f>
        <v>#REF!</v>
      </c>
      <c r="E17" s="498">
        <f>+TUNINF!L113</f>
        <v>570000</v>
      </c>
      <c r="F17" s="498" t="e">
        <f>+TUNSUP!#REF!</f>
        <v>#REF!</v>
      </c>
      <c r="G17" s="498">
        <f>+DIAMANTE!L113</f>
        <v>0</v>
      </c>
      <c r="H17" s="498">
        <f>+ATUEL!L113</f>
        <v>2400000</v>
      </c>
      <c r="I17" s="498">
        <f>+MALARGÜE!L106</f>
        <v>0</v>
      </c>
      <c r="J17" s="498" t="e">
        <f t="shared" si="1"/>
        <v>#REF!</v>
      </c>
      <c r="K17" s="498" t="e">
        <f t="shared" si="2"/>
        <v>#REF!</v>
      </c>
    </row>
    <row r="18" spans="3:12" s="109" customFormat="1" ht="18.75" x14ac:dyDescent="0.25">
      <c r="C18" s="392" t="s">
        <v>313</v>
      </c>
      <c r="D18" s="498" t="e">
        <f>+MENDOZA!#REF!</f>
        <v>#REF!</v>
      </c>
      <c r="E18" s="498">
        <f>+TUNINF!L114</f>
        <v>3900000</v>
      </c>
      <c r="F18" s="498" t="e">
        <f>+TUNSUP!#REF!</f>
        <v>#REF!</v>
      </c>
      <c r="G18" s="498">
        <f>+DIAMANTE!L114</f>
        <v>0</v>
      </c>
      <c r="H18" s="498">
        <f>+ATUEL!L114</f>
        <v>3700000</v>
      </c>
      <c r="I18" s="498">
        <f>+MALARGÜE!L107</f>
        <v>0</v>
      </c>
      <c r="J18" s="498" t="e">
        <f t="shared" si="1"/>
        <v>#REF!</v>
      </c>
      <c r="K18" s="498" t="e">
        <f t="shared" si="2"/>
        <v>#REF!</v>
      </c>
    </row>
    <row r="19" spans="3:12" ht="18.75" x14ac:dyDescent="0.25">
      <c r="C19" s="392" t="s">
        <v>619</v>
      </c>
      <c r="D19" s="498" t="e">
        <f>+MENDOZA!#REF!</f>
        <v>#REF!</v>
      </c>
      <c r="E19" s="498">
        <f>+TUNINF!L115</f>
        <v>5900000</v>
      </c>
      <c r="F19" s="498" t="e">
        <f>+TUNSUP!#REF!</f>
        <v>#REF!</v>
      </c>
      <c r="G19" s="498">
        <f>+DIAMANTE!L115</f>
        <v>0</v>
      </c>
      <c r="H19" s="498">
        <f>+ATUEL!L115</f>
        <v>0</v>
      </c>
      <c r="I19" s="498">
        <f>+MALARGÜE!L108</f>
        <v>0</v>
      </c>
      <c r="J19" s="498" t="e">
        <f t="shared" si="1"/>
        <v>#REF!</v>
      </c>
      <c r="K19" s="498" t="e">
        <f t="shared" si="2"/>
        <v>#REF!</v>
      </c>
    </row>
    <row r="20" spans="3:12" ht="18.75" x14ac:dyDescent="0.25">
      <c r="C20" s="392" t="s">
        <v>620</v>
      </c>
      <c r="D20" s="498" t="e">
        <f>+MENDOZA!#REF!</f>
        <v>#REF!</v>
      </c>
      <c r="E20" s="498">
        <f>+TUNINF!L116</f>
        <v>3500000</v>
      </c>
      <c r="F20" s="498" t="e">
        <f>+TUNSUP!#REF!</f>
        <v>#REF!</v>
      </c>
      <c r="G20" s="498">
        <f>+DIAMANTE!L116</f>
        <v>0</v>
      </c>
      <c r="H20" s="498">
        <f>+ATUEL!L116</f>
        <v>0</v>
      </c>
      <c r="I20" s="498">
        <f>+MALARGÜE!L109</f>
        <v>0</v>
      </c>
      <c r="J20" s="498" t="e">
        <f t="shared" si="1"/>
        <v>#REF!</v>
      </c>
      <c r="K20" s="498" t="e">
        <f t="shared" si="2"/>
        <v>#REF!</v>
      </c>
    </row>
    <row r="21" spans="3:12" ht="18.75" x14ac:dyDescent="0.25">
      <c r="C21" s="392" t="s">
        <v>621</v>
      </c>
      <c r="D21" s="498" t="e">
        <f>+MENDOZA!#REF!</f>
        <v>#REF!</v>
      </c>
      <c r="E21" s="498">
        <f>+TUNINF!L117</f>
        <v>3100000</v>
      </c>
      <c r="F21" s="498" t="e">
        <f>+TUNSUP!#REF!</f>
        <v>#REF!</v>
      </c>
      <c r="G21" s="498">
        <f>+DIAMANTE!L117</f>
        <v>0</v>
      </c>
      <c r="H21" s="498">
        <f>+ATUEL!L117</f>
        <v>0</v>
      </c>
      <c r="I21" s="498">
        <f>+MALARGÜE!L110</f>
        <v>0</v>
      </c>
      <c r="J21" s="498" t="e">
        <f t="shared" si="1"/>
        <v>#REF!</v>
      </c>
      <c r="K21" s="498" t="e">
        <f t="shared" si="2"/>
        <v>#REF!</v>
      </c>
    </row>
    <row r="22" spans="3:12" ht="18.75" x14ac:dyDescent="0.25">
      <c r="C22" s="392" t="s">
        <v>622</v>
      </c>
      <c r="D22" s="498" t="e">
        <f>+MENDOZA!#REF!</f>
        <v>#REF!</v>
      </c>
      <c r="E22" s="498">
        <f>+TUNINF!L118</f>
        <v>1750000</v>
      </c>
      <c r="F22" s="498" t="e">
        <f>+TUNSUP!#REF!</f>
        <v>#REF!</v>
      </c>
      <c r="G22" s="498">
        <f>+DIAMANTE!L118</f>
        <v>0</v>
      </c>
      <c r="H22" s="498">
        <f>+ATUEL!L118</f>
        <v>0</v>
      </c>
      <c r="I22" s="498">
        <f>+MALARGÜE!L111</f>
        <v>0</v>
      </c>
      <c r="J22" s="498" t="e">
        <f t="shared" si="1"/>
        <v>#REF!</v>
      </c>
      <c r="K22" s="498" t="e">
        <f t="shared" si="2"/>
        <v>#REF!</v>
      </c>
    </row>
    <row r="23" spans="3:12" ht="18.75" x14ac:dyDescent="0.25">
      <c r="C23" s="392" t="s">
        <v>898</v>
      </c>
      <c r="D23" s="498" t="e">
        <f>+MENDOZA!#REF!</f>
        <v>#REF!</v>
      </c>
      <c r="E23" s="498">
        <f>+TUNINF!L119</f>
        <v>2650000</v>
      </c>
      <c r="F23" s="498" t="e">
        <f>+TUNSUP!#REF!</f>
        <v>#REF!</v>
      </c>
      <c r="G23" s="498">
        <f>+DIAMANTE!L119</f>
        <v>0</v>
      </c>
      <c r="H23" s="498">
        <f>+ATUEL!L119</f>
        <v>0</v>
      </c>
      <c r="I23" s="498">
        <f>+MALARGÜE!L112</f>
        <v>0</v>
      </c>
      <c r="J23" s="498" t="e">
        <f t="shared" si="1"/>
        <v>#REF!</v>
      </c>
      <c r="K23" s="498" t="e">
        <f t="shared" si="2"/>
        <v>#REF!</v>
      </c>
    </row>
    <row r="24" spans="3:12" ht="18.75" x14ac:dyDescent="0.25">
      <c r="C24" s="392" t="s">
        <v>899</v>
      </c>
      <c r="D24" s="498" t="e">
        <f>+MENDOZA!#REF!</f>
        <v>#REF!</v>
      </c>
      <c r="E24" s="498">
        <f>+TUNINF!L120</f>
        <v>3458000</v>
      </c>
      <c r="F24" s="498">
        <f>+TUNSUP!L108</f>
        <v>2200000</v>
      </c>
      <c r="G24" s="498">
        <f>+DIAMANTE!L120</f>
        <v>0</v>
      </c>
      <c r="H24" s="498">
        <f>+ATUEL!L120</f>
        <v>0</v>
      </c>
      <c r="I24" s="498">
        <f>+MALARGÜE!L113</f>
        <v>0</v>
      </c>
      <c r="J24" s="498" t="e">
        <f t="shared" si="1"/>
        <v>#REF!</v>
      </c>
      <c r="K24" s="498" t="e">
        <f t="shared" si="2"/>
        <v>#REF!</v>
      </c>
    </row>
    <row r="25" spans="3:12" ht="18.75" x14ac:dyDescent="0.25">
      <c r="C25" s="392" t="s">
        <v>900</v>
      </c>
      <c r="D25" s="498" t="e">
        <f>+MENDOZA!#REF!</f>
        <v>#REF!</v>
      </c>
      <c r="E25" s="498">
        <f>+TUNINF!L121</f>
        <v>2500000</v>
      </c>
      <c r="F25" s="498">
        <f>+TUNSUP!L109</f>
        <v>0</v>
      </c>
      <c r="G25" s="498">
        <f>+DIAMANTE!L121</f>
        <v>0</v>
      </c>
      <c r="H25" s="498">
        <f>+ATUEL!L121</f>
        <v>0</v>
      </c>
      <c r="I25" s="498">
        <f>+MALARGÜE!L114</f>
        <v>0</v>
      </c>
      <c r="J25" s="498" t="e">
        <f t="shared" si="1"/>
        <v>#REF!</v>
      </c>
      <c r="K25" s="498" t="e">
        <f t="shared" si="2"/>
        <v>#REF!</v>
      </c>
    </row>
    <row r="26" spans="3:12" ht="18.75" x14ac:dyDescent="0.25">
      <c r="C26" s="392" t="s">
        <v>901</v>
      </c>
      <c r="D26" s="498">
        <f>+MENDOZA!L115</f>
        <v>0</v>
      </c>
      <c r="E26" s="498" t="e">
        <f>+TUNINF!#REF!</f>
        <v>#REF!</v>
      </c>
      <c r="F26" s="498">
        <f>+TUNSUP!L110</f>
        <v>0</v>
      </c>
      <c r="G26" s="498">
        <f>+DIAMANTE!L122</f>
        <v>0</v>
      </c>
      <c r="H26" s="498">
        <f>+ATUEL!L122</f>
        <v>0</v>
      </c>
      <c r="I26" s="498">
        <f>+MALARGÜE!L115</f>
        <v>0</v>
      </c>
      <c r="J26" s="498" t="e">
        <f t="shared" si="1"/>
        <v>#REF!</v>
      </c>
      <c r="K26" s="498" t="e">
        <f t="shared" si="2"/>
        <v>#REF!</v>
      </c>
    </row>
    <row r="27" spans="3:12" ht="18.75" x14ac:dyDescent="0.25">
      <c r="C27" s="392" t="s">
        <v>902</v>
      </c>
      <c r="D27" s="498">
        <f>+MENDOZA!L116</f>
        <v>0</v>
      </c>
      <c r="E27" s="498" t="e">
        <f>+TUNINF!#REF!</f>
        <v>#REF!</v>
      </c>
      <c r="F27" s="498">
        <f>+TUNSUP!L111</f>
        <v>0</v>
      </c>
      <c r="G27" s="498">
        <f>+DIAMANTE!L123</f>
        <v>0</v>
      </c>
      <c r="H27" s="498">
        <f>+ATUEL!L123</f>
        <v>0</v>
      </c>
      <c r="I27" s="498">
        <f>+MALARGÜE!L116</f>
        <v>0</v>
      </c>
      <c r="J27" s="498" t="e">
        <f t="shared" si="1"/>
        <v>#REF!</v>
      </c>
      <c r="K27" s="498" t="e">
        <f>+K26+J27</f>
        <v>#REF!</v>
      </c>
    </row>
    <row r="28" spans="3:12" ht="15.75" thickBot="1" x14ac:dyDescent="0.3">
      <c r="C28" s="496"/>
      <c r="D28" s="496"/>
      <c r="E28" s="496"/>
      <c r="F28" s="496"/>
      <c r="G28" s="496"/>
      <c r="H28" s="496"/>
      <c r="I28" s="496"/>
    </row>
    <row r="29" spans="3:12" ht="15.75" thickBot="1" x14ac:dyDescent="0.3">
      <c r="C29" s="496"/>
      <c r="D29" s="499" t="e">
        <f>SUM(D4:D27)</f>
        <v>#REF!</v>
      </c>
      <c r="E29" s="499" t="e">
        <f t="shared" ref="E29:I29" si="3">SUM(E4:E27)</f>
        <v>#REF!</v>
      </c>
      <c r="F29" s="499" t="e">
        <f t="shared" si="3"/>
        <v>#REF!</v>
      </c>
      <c r="G29" s="499">
        <f t="shared" si="3"/>
        <v>37770000</v>
      </c>
      <c r="H29" s="499">
        <f t="shared" si="3"/>
        <v>39450000</v>
      </c>
      <c r="I29" s="594" t="e">
        <f t="shared" si="3"/>
        <v>#REF!</v>
      </c>
      <c r="J29" s="144"/>
      <c r="K29" s="174"/>
    </row>
    <row r="30" spans="3:12" x14ac:dyDescent="0.25">
      <c r="J30" s="174"/>
    </row>
    <row r="31" spans="3:12" ht="15.75" thickBot="1" x14ac:dyDescent="0.3">
      <c r="K31" s="502"/>
      <c r="L31" s="502"/>
    </row>
    <row r="32" spans="3:12" ht="27" customHeight="1" thickBot="1" x14ac:dyDescent="0.3">
      <c r="C32" s="1089" t="s">
        <v>1077</v>
      </c>
      <c r="D32" s="1086" t="s">
        <v>1078</v>
      </c>
      <c r="E32" s="1087"/>
      <c r="F32" s="1087"/>
      <c r="G32" s="1087"/>
      <c r="H32" s="1087"/>
      <c r="I32" s="1088"/>
      <c r="J32" s="1089" t="s">
        <v>1095</v>
      </c>
      <c r="K32" s="1091"/>
      <c r="L32" s="502"/>
    </row>
    <row r="33" spans="3:12" ht="24" thickBot="1" x14ac:dyDescent="0.3">
      <c r="C33" s="1090"/>
      <c r="D33" s="442" t="s">
        <v>1080</v>
      </c>
      <c r="E33" s="442" t="s">
        <v>1081</v>
      </c>
      <c r="F33" s="442" t="s">
        <v>1082</v>
      </c>
      <c r="G33" s="442" t="s">
        <v>1083</v>
      </c>
      <c r="H33" s="442" t="s">
        <v>1084</v>
      </c>
      <c r="I33" s="442" t="s">
        <v>1085</v>
      </c>
      <c r="J33" s="1090"/>
      <c r="K33" s="1091"/>
      <c r="L33" s="502"/>
    </row>
    <row r="34" spans="3:12" ht="18.75" x14ac:dyDescent="0.25">
      <c r="C34" s="393" t="s">
        <v>299</v>
      </c>
      <c r="D34" s="501">
        <f t="shared" ref="D34:I34" si="4">+D4</f>
        <v>6725000</v>
      </c>
      <c r="E34" s="501">
        <f t="shared" si="4"/>
        <v>7560000</v>
      </c>
      <c r="F34" s="501">
        <f t="shared" si="4"/>
        <v>2680629.7799999998</v>
      </c>
      <c r="G34" s="501">
        <f t="shared" si="4"/>
        <v>1400000</v>
      </c>
      <c r="H34" s="501">
        <f t="shared" si="4"/>
        <v>700000</v>
      </c>
      <c r="I34" s="501">
        <f t="shared" si="4"/>
        <v>9520500</v>
      </c>
      <c r="J34" s="501">
        <f>SUM(D34:I34)</f>
        <v>28586129.780000001</v>
      </c>
      <c r="K34" s="503"/>
      <c r="L34" s="502"/>
    </row>
    <row r="35" spans="3:12" ht="18.75" x14ac:dyDescent="0.25">
      <c r="C35" s="392" t="s">
        <v>300</v>
      </c>
      <c r="D35" s="497">
        <f t="shared" ref="D35:D57" si="5">+D34+D5</f>
        <v>11725000</v>
      </c>
      <c r="E35" s="497">
        <f t="shared" ref="E35:E57" si="6">+E34+E5</f>
        <v>10400297.25</v>
      </c>
      <c r="F35" s="497">
        <f t="shared" ref="F35:F57" si="7">+F34+F5</f>
        <v>6236629.7799999993</v>
      </c>
      <c r="G35" s="497">
        <f t="shared" ref="G35:G57" si="8">+G34+G5</f>
        <v>2420000</v>
      </c>
      <c r="H35" s="497">
        <f t="shared" ref="H35:H57" si="9">+H34+H5</f>
        <v>12700000</v>
      </c>
      <c r="I35" s="497">
        <f t="shared" ref="I35:I57" si="10">+I34+I5</f>
        <v>10628000</v>
      </c>
      <c r="J35" s="498">
        <f t="shared" ref="J35:J57" si="11">SUM(D35:I35)</f>
        <v>54109927.030000001</v>
      </c>
      <c r="K35" s="503"/>
      <c r="L35" s="502"/>
    </row>
    <row r="36" spans="3:12" ht="18.75" x14ac:dyDescent="0.25">
      <c r="C36" s="392" t="s">
        <v>301</v>
      </c>
      <c r="D36" s="497">
        <f t="shared" si="5"/>
        <v>14225000</v>
      </c>
      <c r="E36" s="497">
        <f t="shared" si="6"/>
        <v>13400297.25</v>
      </c>
      <c r="F36" s="497">
        <f t="shared" si="7"/>
        <v>9815765.5700000003</v>
      </c>
      <c r="G36" s="497">
        <f t="shared" si="8"/>
        <v>11120000</v>
      </c>
      <c r="H36" s="497">
        <f t="shared" si="9"/>
        <v>12970000</v>
      </c>
      <c r="I36" s="497">
        <f t="shared" si="10"/>
        <v>11654891.75</v>
      </c>
      <c r="J36" s="498">
        <f t="shared" si="11"/>
        <v>73185954.569999993</v>
      </c>
      <c r="K36" s="503"/>
      <c r="L36" s="502"/>
    </row>
    <row r="37" spans="3:12" ht="18.75" x14ac:dyDescent="0.25">
      <c r="C37" s="392" t="s">
        <v>302</v>
      </c>
      <c r="D37" s="497">
        <f t="shared" si="5"/>
        <v>18225000</v>
      </c>
      <c r="E37" s="497">
        <f t="shared" si="6"/>
        <v>15900297.25</v>
      </c>
      <c r="F37" s="497">
        <f t="shared" si="7"/>
        <v>10518616.67</v>
      </c>
      <c r="G37" s="497">
        <f t="shared" si="8"/>
        <v>13420000</v>
      </c>
      <c r="H37" s="497">
        <f t="shared" si="9"/>
        <v>16870000</v>
      </c>
      <c r="I37" s="497">
        <f t="shared" si="10"/>
        <v>14862391.75</v>
      </c>
      <c r="J37" s="498">
        <f t="shared" si="11"/>
        <v>89796305.670000002</v>
      </c>
      <c r="K37" s="503"/>
      <c r="L37" s="502"/>
    </row>
    <row r="38" spans="3:12" ht="18.75" x14ac:dyDescent="0.25">
      <c r="C38" s="392" t="s">
        <v>303</v>
      </c>
      <c r="D38" s="497">
        <f t="shared" si="5"/>
        <v>20225000</v>
      </c>
      <c r="E38" s="497">
        <f t="shared" si="6"/>
        <v>17400297.25</v>
      </c>
      <c r="F38" s="497">
        <f t="shared" si="7"/>
        <v>14218616.67</v>
      </c>
      <c r="G38" s="497">
        <f t="shared" si="8"/>
        <v>15170000</v>
      </c>
      <c r="H38" s="497">
        <f t="shared" si="9"/>
        <v>17120000</v>
      </c>
      <c r="I38" s="497" t="e">
        <f t="shared" si="10"/>
        <v>#REF!</v>
      </c>
      <c r="J38" s="498" t="e">
        <f t="shared" si="11"/>
        <v>#REF!</v>
      </c>
      <c r="K38" s="503"/>
      <c r="L38" s="502"/>
    </row>
    <row r="39" spans="3:12" ht="18.75" x14ac:dyDescent="0.25">
      <c r="C39" s="392" t="s">
        <v>304</v>
      </c>
      <c r="D39" s="497">
        <f t="shared" si="5"/>
        <v>23825000</v>
      </c>
      <c r="E39" s="497">
        <f t="shared" si="6"/>
        <v>19080297.25</v>
      </c>
      <c r="F39" s="497">
        <f t="shared" si="7"/>
        <v>18218616.670000002</v>
      </c>
      <c r="G39" s="497">
        <f t="shared" si="8"/>
        <v>28570000</v>
      </c>
      <c r="H39" s="497">
        <f t="shared" si="9"/>
        <v>20920000</v>
      </c>
      <c r="I39" s="497" t="e">
        <f t="shared" si="10"/>
        <v>#REF!</v>
      </c>
      <c r="J39" s="498" t="e">
        <f t="shared" si="11"/>
        <v>#REF!</v>
      </c>
      <c r="K39" s="503"/>
      <c r="L39" s="502"/>
    </row>
    <row r="40" spans="3:12" ht="18.75" x14ac:dyDescent="0.25">
      <c r="C40" s="392" t="s">
        <v>305</v>
      </c>
      <c r="D40" s="497">
        <f t="shared" si="5"/>
        <v>28625000</v>
      </c>
      <c r="E40" s="497">
        <f t="shared" si="6"/>
        <v>21280297.25</v>
      </c>
      <c r="F40" s="497">
        <f t="shared" si="7"/>
        <v>20760635.220000003</v>
      </c>
      <c r="G40" s="497">
        <f t="shared" si="8"/>
        <v>32870000</v>
      </c>
      <c r="H40" s="497">
        <f t="shared" si="9"/>
        <v>22620000</v>
      </c>
      <c r="I40" s="497" t="e">
        <f t="shared" si="10"/>
        <v>#REF!</v>
      </c>
      <c r="J40" s="498" t="e">
        <f t="shared" si="11"/>
        <v>#REF!</v>
      </c>
      <c r="K40" s="503"/>
      <c r="L40" s="502"/>
    </row>
    <row r="41" spans="3:12" ht="18.75" x14ac:dyDescent="0.25">
      <c r="C41" s="408" t="s">
        <v>306</v>
      </c>
      <c r="D41" s="497">
        <f t="shared" si="5"/>
        <v>32625000</v>
      </c>
      <c r="E41" s="497">
        <f t="shared" si="6"/>
        <v>24130297.25</v>
      </c>
      <c r="F41" s="497">
        <f t="shared" si="7"/>
        <v>22860635.220000003</v>
      </c>
      <c r="G41" s="497">
        <f t="shared" si="8"/>
        <v>37770000</v>
      </c>
      <c r="H41" s="497">
        <f t="shared" si="9"/>
        <v>22850000</v>
      </c>
      <c r="I41" s="497" t="e">
        <f t="shared" si="10"/>
        <v>#REF!</v>
      </c>
      <c r="J41" s="498" t="e">
        <f t="shared" si="11"/>
        <v>#REF!</v>
      </c>
      <c r="K41" s="504"/>
      <c r="L41" s="502"/>
    </row>
    <row r="42" spans="3:12" ht="18.75" x14ac:dyDescent="0.25">
      <c r="C42" s="392" t="s">
        <v>307</v>
      </c>
      <c r="D42" s="497">
        <f t="shared" si="5"/>
        <v>35625000</v>
      </c>
      <c r="E42" s="497">
        <f t="shared" si="6"/>
        <v>33630297.25</v>
      </c>
      <c r="F42" s="497" t="e">
        <f t="shared" si="7"/>
        <v>#REF!</v>
      </c>
      <c r="G42" s="497">
        <f t="shared" si="8"/>
        <v>37770000</v>
      </c>
      <c r="H42" s="497">
        <f t="shared" si="9"/>
        <v>24950000</v>
      </c>
      <c r="I42" s="497" t="e">
        <f t="shared" si="10"/>
        <v>#REF!</v>
      </c>
      <c r="J42" s="498" t="e">
        <f t="shared" si="11"/>
        <v>#REF!</v>
      </c>
      <c r="K42" s="503"/>
      <c r="L42" s="502"/>
    </row>
    <row r="43" spans="3:12" ht="18.75" x14ac:dyDescent="0.25">
      <c r="C43" s="392" t="s">
        <v>308</v>
      </c>
      <c r="D43" s="497">
        <f t="shared" si="5"/>
        <v>38125000</v>
      </c>
      <c r="E43" s="497">
        <f t="shared" si="6"/>
        <v>35970297.25</v>
      </c>
      <c r="F43" s="497" t="e">
        <f t="shared" si="7"/>
        <v>#REF!</v>
      </c>
      <c r="G43" s="497">
        <f t="shared" si="8"/>
        <v>37770000</v>
      </c>
      <c r="H43" s="497">
        <f t="shared" si="9"/>
        <v>28150000</v>
      </c>
      <c r="I43" s="497" t="e">
        <f t="shared" si="10"/>
        <v>#REF!</v>
      </c>
      <c r="J43" s="498" t="e">
        <f t="shared" si="11"/>
        <v>#REF!</v>
      </c>
      <c r="K43" s="503"/>
      <c r="L43" s="502"/>
    </row>
    <row r="44" spans="3:12" ht="18.75" x14ac:dyDescent="0.25">
      <c r="C44" s="392" t="s">
        <v>309</v>
      </c>
      <c r="D44" s="497">
        <f t="shared" si="5"/>
        <v>46336000</v>
      </c>
      <c r="E44" s="497">
        <f t="shared" si="6"/>
        <v>41320297.25</v>
      </c>
      <c r="F44" s="497" t="e">
        <f t="shared" si="7"/>
        <v>#REF!</v>
      </c>
      <c r="G44" s="497">
        <f t="shared" si="8"/>
        <v>37770000</v>
      </c>
      <c r="H44" s="497">
        <f t="shared" si="9"/>
        <v>28350000</v>
      </c>
      <c r="I44" s="497" t="e">
        <f t="shared" si="10"/>
        <v>#REF!</v>
      </c>
      <c r="J44" s="498" t="e">
        <f t="shared" si="11"/>
        <v>#REF!</v>
      </c>
      <c r="K44" s="503"/>
      <c r="L44" s="502"/>
    </row>
    <row r="45" spans="3:12" ht="18.75" x14ac:dyDescent="0.25">
      <c r="C45" s="392" t="s">
        <v>310</v>
      </c>
      <c r="D45" s="497">
        <f t="shared" si="5"/>
        <v>50336000</v>
      </c>
      <c r="E45" s="497">
        <f t="shared" si="6"/>
        <v>44812297.25</v>
      </c>
      <c r="F45" s="497" t="e">
        <f t="shared" si="7"/>
        <v>#REF!</v>
      </c>
      <c r="G45" s="497">
        <f t="shared" si="8"/>
        <v>37770000</v>
      </c>
      <c r="H45" s="497">
        <f t="shared" si="9"/>
        <v>30150000</v>
      </c>
      <c r="I45" s="497" t="e">
        <f t="shared" si="10"/>
        <v>#REF!</v>
      </c>
      <c r="J45" s="498" t="e">
        <f t="shared" si="11"/>
        <v>#REF!</v>
      </c>
      <c r="K45" s="503"/>
      <c r="L45" s="502"/>
    </row>
    <row r="46" spans="3:12" ht="18.75" x14ac:dyDescent="0.25">
      <c r="C46" s="392" t="s">
        <v>311</v>
      </c>
      <c r="D46" s="497">
        <f t="shared" si="5"/>
        <v>52736000</v>
      </c>
      <c r="E46" s="497">
        <f t="shared" si="6"/>
        <v>47112297.25</v>
      </c>
      <c r="F46" s="497" t="e">
        <f t="shared" si="7"/>
        <v>#REF!</v>
      </c>
      <c r="G46" s="497">
        <f t="shared" si="8"/>
        <v>37770000</v>
      </c>
      <c r="H46" s="497">
        <f t="shared" si="9"/>
        <v>33350000</v>
      </c>
      <c r="I46" s="497" t="e">
        <f t="shared" si="10"/>
        <v>#REF!</v>
      </c>
      <c r="J46" s="498" t="e">
        <f t="shared" si="11"/>
        <v>#REF!</v>
      </c>
      <c r="K46" s="503"/>
      <c r="L46" s="502"/>
    </row>
    <row r="47" spans="3:12" ht="18.75" x14ac:dyDescent="0.25">
      <c r="C47" s="392" t="s">
        <v>312</v>
      </c>
      <c r="D47" s="497" t="e">
        <f t="shared" si="5"/>
        <v>#REF!</v>
      </c>
      <c r="E47" s="497">
        <f t="shared" si="6"/>
        <v>47682297.25</v>
      </c>
      <c r="F47" s="497" t="e">
        <f t="shared" si="7"/>
        <v>#REF!</v>
      </c>
      <c r="G47" s="497">
        <f t="shared" si="8"/>
        <v>37770000</v>
      </c>
      <c r="H47" s="497">
        <f t="shared" si="9"/>
        <v>35750000</v>
      </c>
      <c r="I47" s="497" t="e">
        <f t="shared" si="10"/>
        <v>#REF!</v>
      </c>
      <c r="J47" s="498" t="e">
        <f t="shared" si="11"/>
        <v>#REF!</v>
      </c>
      <c r="K47" s="503"/>
      <c r="L47" s="502"/>
    </row>
    <row r="48" spans="3:12" ht="18.75" x14ac:dyDescent="0.25">
      <c r="C48" s="392" t="s">
        <v>313</v>
      </c>
      <c r="D48" s="497" t="e">
        <f t="shared" si="5"/>
        <v>#REF!</v>
      </c>
      <c r="E48" s="497">
        <f t="shared" si="6"/>
        <v>51582297.25</v>
      </c>
      <c r="F48" s="497" t="e">
        <f t="shared" si="7"/>
        <v>#REF!</v>
      </c>
      <c r="G48" s="497">
        <f t="shared" si="8"/>
        <v>37770000</v>
      </c>
      <c r="H48" s="497">
        <f t="shared" si="9"/>
        <v>39450000</v>
      </c>
      <c r="I48" s="497" t="e">
        <f t="shared" si="10"/>
        <v>#REF!</v>
      </c>
      <c r="J48" s="498" t="e">
        <f t="shared" si="11"/>
        <v>#REF!</v>
      </c>
      <c r="K48" s="503"/>
      <c r="L48" s="502"/>
    </row>
    <row r="49" spans="3:12" ht="18.75" x14ac:dyDescent="0.25">
      <c r="C49" s="392" t="s">
        <v>619</v>
      </c>
      <c r="D49" s="497" t="e">
        <f t="shared" si="5"/>
        <v>#REF!</v>
      </c>
      <c r="E49" s="497">
        <f t="shared" si="6"/>
        <v>57482297.25</v>
      </c>
      <c r="F49" s="497" t="e">
        <f t="shared" si="7"/>
        <v>#REF!</v>
      </c>
      <c r="G49" s="497">
        <f t="shared" si="8"/>
        <v>37770000</v>
      </c>
      <c r="H49" s="497">
        <f t="shared" si="9"/>
        <v>39450000</v>
      </c>
      <c r="I49" s="497" t="e">
        <f t="shared" si="10"/>
        <v>#REF!</v>
      </c>
      <c r="J49" s="498" t="e">
        <f t="shared" si="11"/>
        <v>#REF!</v>
      </c>
      <c r="K49" s="503"/>
      <c r="L49" s="502"/>
    </row>
    <row r="50" spans="3:12" ht="18.75" x14ac:dyDescent="0.25">
      <c r="C50" s="392" t="s">
        <v>620</v>
      </c>
      <c r="D50" s="497" t="e">
        <f t="shared" si="5"/>
        <v>#REF!</v>
      </c>
      <c r="E50" s="497">
        <f t="shared" si="6"/>
        <v>60982297.25</v>
      </c>
      <c r="F50" s="497" t="e">
        <f t="shared" si="7"/>
        <v>#REF!</v>
      </c>
      <c r="G50" s="497">
        <f t="shared" si="8"/>
        <v>37770000</v>
      </c>
      <c r="H50" s="497">
        <f t="shared" si="9"/>
        <v>39450000</v>
      </c>
      <c r="I50" s="497" t="e">
        <f t="shared" si="10"/>
        <v>#REF!</v>
      </c>
      <c r="J50" s="498" t="e">
        <f t="shared" si="11"/>
        <v>#REF!</v>
      </c>
      <c r="K50" s="503"/>
      <c r="L50" s="502"/>
    </row>
    <row r="51" spans="3:12" ht="18.75" x14ac:dyDescent="0.25">
      <c r="C51" s="392" t="s">
        <v>621</v>
      </c>
      <c r="D51" s="497" t="e">
        <f t="shared" si="5"/>
        <v>#REF!</v>
      </c>
      <c r="E51" s="497">
        <f t="shared" si="6"/>
        <v>64082297.25</v>
      </c>
      <c r="F51" s="497" t="e">
        <f t="shared" si="7"/>
        <v>#REF!</v>
      </c>
      <c r="G51" s="497">
        <f t="shared" si="8"/>
        <v>37770000</v>
      </c>
      <c r="H51" s="497">
        <f t="shared" si="9"/>
        <v>39450000</v>
      </c>
      <c r="I51" s="497" t="e">
        <f t="shared" si="10"/>
        <v>#REF!</v>
      </c>
      <c r="J51" s="498" t="e">
        <f t="shared" si="11"/>
        <v>#REF!</v>
      </c>
      <c r="K51" s="503"/>
      <c r="L51" s="502"/>
    </row>
    <row r="52" spans="3:12" ht="18.75" x14ac:dyDescent="0.25">
      <c r="C52" s="392" t="s">
        <v>622</v>
      </c>
      <c r="D52" s="497" t="e">
        <f t="shared" si="5"/>
        <v>#REF!</v>
      </c>
      <c r="E52" s="497">
        <f t="shared" si="6"/>
        <v>65832297.25</v>
      </c>
      <c r="F52" s="497" t="e">
        <f t="shared" si="7"/>
        <v>#REF!</v>
      </c>
      <c r="G52" s="497">
        <f t="shared" si="8"/>
        <v>37770000</v>
      </c>
      <c r="H52" s="497">
        <f t="shared" si="9"/>
        <v>39450000</v>
      </c>
      <c r="I52" s="497" t="e">
        <f t="shared" si="10"/>
        <v>#REF!</v>
      </c>
      <c r="J52" s="498" t="e">
        <f t="shared" si="11"/>
        <v>#REF!</v>
      </c>
      <c r="K52" s="503"/>
      <c r="L52" s="502"/>
    </row>
    <row r="53" spans="3:12" ht="18.75" x14ac:dyDescent="0.25">
      <c r="C53" s="392" t="s">
        <v>898</v>
      </c>
      <c r="D53" s="497" t="e">
        <f t="shared" si="5"/>
        <v>#REF!</v>
      </c>
      <c r="E53" s="497">
        <f t="shared" si="6"/>
        <v>68482297.25</v>
      </c>
      <c r="F53" s="497" t="e">
        <f t="shared" si="7"/>
        <v>#REF!</v>
      </c>
      <c r="G53" s="497">
        <f t="shared" si="8"/>
        <v>37770000</v>
      </c>
      <c r="H53" s="497">
        <f t="shared" si="9"/>
        <v>39450000</v>
      </c>
      <c r="I53" s="497" t="e">
        <f t="shared" si="10"/>
        <v>#REF!</v>
      </c>
      <c r="J53" s="498" t="e">
        <f t="shared" si="11"/>
        <v>#REF!</v>
      </c>
      <c r="K53" s="503"/>
      <c r="L53" s="502"/>
    </row>
    <row r="54" spans="3:12" ht="18.75" x14ac:dyDescent="0.25">
      <c r="C54" s="392" t="s">
        <v>899</v>
      </c>
      <c r="D54" s="497" t="e">
        <f t="shared" si="5"/>
        <v>#REF!</v>
      </c>
      <c r="E54" s="497">
        <f t="shared" si="6"/>
        <v>71940297.25</v>
      </c>
      <c r="F54" s="497" t="e">
        <f t="shared" si="7"/>
        <v>#REF!</v>
      </c>
      <c r="G54" s="497">
        <f t="shared" si="8"/>
        <v>37770000</v>
      </c>
      <c r="H54" s="497">
        <f t="shared" si="9"/>
        <v>39450000</v>
      </c>
      <c r="I54" s="497" t="e">
        <f t="shared" si="10"/>
        <v>#REF!</v>
      </c>
      <c r="J54" s="498" t="e">
        <f t="shared" si="11"/>
        <v>#REF!</v>
      </c>
      <c r="K54" s="503"/>
      <c r="L54" s="502"/>
    </row>
    <row r="55" spans="3:12" ht="18.75" x14ac:dyDescent="0.25">
      <c r="C55" s="392" t="s">
        <v>900</v>
      </c>
      <c r="D55" s="497" t="e">
        <f t="shared" si="5"/>
        <v>#REF!</v>
      </c>
      <c r="E55" s="497">
        <f t="shared" si="6"/>
        <v>74440297.25</v>
      </c>
      <c r="F55" s="497" t="e">
        <f t="shared" si="7"/>
        <v>#REF!</v>
      </c>
      <c r="G55" s="497">
        <f t="shared" si="8"/>
        <v>37770000</v>
      </c>
      <c r="H55" s="497">
        <f t="shared" si="9"/>
        <v>39450000</v>
      </c>
      <c r="I55" s="497" t="e">
        <f t="shared" si="10"/>
        <v>#REF!</v>
      </c>
      <c r="J55" s="498" t="e">
        <f t="shared" si="11"/>
        <v>#REF!</v>
      </c>
      <c r="K55" s="503"/>
      <c r="L55" s="502"/>
    </row>
    <row r="56" spans="3:12" ht="18.75" x14ac:dyDescent="0.25">
      <c r="C56" s="392" t="s">
        <v>901</v>
      </c>
      <c r="D56" s="497" t="e">
        <f t="shared" si="5"/>
        <v>#REF!</v>
      </c>
      <c r="E56" s="497" t="e">
        <f t="shared" si="6"/>
        <v>#REF!</v>
      </c>
      <c r="F56" s="497" t="e">
        <f t="shared" si="7"/>
        <v>#REF!</v>
      </c>
      <c r="G56" s="497">
        <f t="shared" si="8"/>
        <v>37770000</v>
      </c>
      <c r="H56" s="497">
        <f t="shared" si="9"/>
        <v>39450000</v>
      </c>
      <c r="I56" s="497" t="e">
        <f t="shared" si="10"/>
        <v>#REF!</v>
      </c>
      <c r="J56" s="498" t="e">
        <f t="shared" si="11"/>
        <v>#REF!</v>
      </c>
      <c r="K56" s="503"/>
      <c r="L56" s="502"/>
    </row>
    <row r="57" spans="3:12" ht="18.75" x14ac:dyDescent="0.25">
      <c r="C57" s="392" t="s">
        <v>902</v>
      </c>
      <c r="D57" s="497" t="e">
        <f t="shared" si="5"/>
        <v>#REF!</v>
      </c>
      <c r="E57" s="497" t="e">
        <f t="shared" si="6"/>
        <v>#REF!</v>
      </c>
      <c r="F57" s="497" t="e">
        <f t="shared" si="7"/>
        <v>#REF!</v>
      </c>
      <c r="G57" s="497">
        <f t="shared" si="8"/>
        <v>37770000</v>
      </c>
      <c r="H57" s="497">
        <f t="shared" si="9"/>
        <v>39450000</v>
      </c>
      <c r="I57" s="497" t="e">
        <f t="shared" si="10"/>
        <v>#REF!</v>
      </c>
      <c r="J57" s="498" t="e">
        <f t="shared" si="11"/>
        <v>#REF!</v>
      </c>
      <c r="K57" s="503"/>
      <c r="L57" s="502"/>
    </row>
    <row r="58" spans="3:12" ht="15.75" thickBot="1" x14ac:dyDescent="0.3">
      <c r="C58" s="496"/>
      <c r="D58" s="496"/>
      <c r="E58" s="496"/>
      <c r="F58" s="496"/>
      <c r="G58" s="496"/>
      <c r="H58" s="496"/>
      <c r="I58" s="496"/>
      <c r="K58" s="502"/>
      <c r="L58" s="502"/>
    </row>
    <row r="59" spans="3:12" ht="15.75" thickBot="1" x14ac:dyDescent="0.3">
      <c r="C59" s="496"/>
      <c r="D59" s="499" t="e">
        <f>+D57</f>
        <v>#REF!</v>
      </c>
      <c r="E59" s="499" t="e">
        <f t="shared" ref="E59:I59" si="12">+E57</f>
        <v>#REF!</v>
      </c>
      <c r="F59" s="499" t="e">
        <f t="shared" si="12"/>
        <v>#REF!</v>
      </c>
      <c r="G59" s="499">
        <f t="shared" si="12"/>
        <v>37770000</v>
      </c>
      <c r="H59" s="499">
        <f t="shared" si="12"/>
        <v>39450000</v>
      </c>
      <c r="I59" s="499" t="e">
        <f t="shared" si="12"/>
        <v>#REF!</v>
      </c>
    </row>
    <row r="60" spans="3:12" ht="27" thickBot="1" x14ac:dyDescent="0.3">
      <c r="D60" s="1083" t="e">
        <f>SUM(D59:I59)</f>
        <v>#REF!</v>
      </c>
      <c r="E60" s="1084"/>
      <c r="F60" s="1084"/>
      <c r="G60" s="1084"/>
      <c r="H60" s="1084"/>
      <c r="I60" s="1085"/>
    </row>
  </sheetData>
  <mergeCells count="9">
    <mergeCell ref="D60:I60"/>
    <mergeCell ref="D2:I2"/>
    <mergeCell ref="C2:C3"/>
    <mergeCell ref="J2:J3"/>
    <mergeCell ref="K2:K3"/>
    <mergeCell ref="C32:C33"/>
    <mergeCell ref="D32:I32"/>
    <mergeCell ref="J32:J33"/>
    <mergeCell ref="K32:K33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4"/>
  <sheetViews>
    <sheetView workbookViewId="0">
      <selection activeCell="A2" sqref="A2:A12"/>
    </sheetView>
  </sheetViews>
  <sheetFormatPr baseColWidth="10" defaultRowHeight="15" x14ac:dyDescent="0.25"/>
  <sheetData>
    <row r="2" spans="1:1" x14ac:dyDescent="0.25">
      <c r="A2" s="535">
        <v>832.24610140776713</v>
      </c>
    </row>
    <row r="3" spans="1:1" x14ac:dyDescent="0.25">
      <c r="A3" s="535">
        <v>781.88946274617047</v>
      </c>
    </row>
    <row r="4" spans="1:1" x14ac:dyDescent="0.25">
      <c r="A4" s="535">
        <v>682.60653806342941</v>
      </c>
    </row>
    <row r="5" spans="1:1" x14ac:dyDescent="0.25">
      <c r="A5" s="535">
        <v>634.34872580661352</v>
      </c>
    </row>
    <row r="6" spans="1:1" x14ac:dyDescent="0.25">
      <c r="A6" s="535">
        <v>571.87407922992338</v>
      </c>
    </row>
    <row r="7" spans="1:1" x14ac:dyDescent="0.25">
      <c r="A7" s="535">
        <v>544.84645855264546</v>
      </c>
    </row>
    <row r="8" spans="1:1" x14ac:dyDescent="0.25">
      <c r="A8" s="535">
        <v>502.61479987057021</v>
      </c>
    </row>
    <row r="9" spans="1:1" x14ac:dyDescent="0.25">
      <c r="A9" s="535">
        <v>459.35148396494839</v>
      </c>
    </row>
    <row r="10" spans="1:1" x14ac:dyDescent="0.25">
      <c r="A10" s="535">
        <v>388.36649738992207</v>
      </c>
    </row>
    <row r="11" spans="1:1" x14ac:dyDescent="0.25">
      <c r="A11" s="535">
        <v>374.72556595863381</v>
      </c>
    </row>
    <row r="12" spans="1:1" x14ac:dyDescent="0.25">
      <c r="A12" s="535">
        <v>281.08257066624458</v>
      </c>
    </row>
    <row r="13" spans="1:1" x14ac:dyDescent="0.25">
      <c r="A13" s="535"/>
    </row>
    <row r="14" spans="1:1" x14ac:dyDescent="0.25">
      <c r="A14" s="535"/>
    </row>
    <row r="15" spans="1:1" x14ac:dyDescent="0.25">
      <c r="A15" s="535"/>
    </row>
    <row r="16" spans="1:1" x14ac:dyDescent="0.25">
      <c r="A16" s="535"/>
    </row>
    <row r="17" spans="1:1" x14ac:dyDescent="0.25">
      <c r="A17" s="535"/>
    </row>
    <row r="18" spans="1:1" x14ac:dyDescent="0.25">
      <c r="A18" s="535"/>
    </row>
    <row r="19" spans="1:1" x14ac:dyDescent="0.25">
      <c r="A19" s="535"/>
    </row>
    <row r="20" spans="1:1" x14ac:dyDescent="0.25">
      <c r="A20" s="535"/>
    </row>
    <row r="21" spans="1:1" x14ac:dyDescent="0.25">
      <c r="A21" s="535"/>
    </row>
    <row r="22" spans="1:1" x14ac:dyDescent="0.25">
      <c r="A22" s="535"/>
    </row>
    <row r="23" spans="1:1" x14ac:dyDescent="0.25">
      <c r="A23" s="535"/>
    </row>
    <row r="24" spans="1:1" x14ac:dyDescent="0.25">
      <c r="A24" s="535"/>
    </row>
    <row r="25" spans="1:1" x14ac:dyDescent="0.25">
      <c r="A25" s="535"/>
    </row>
    <row r="26" spans="1:1" x14ac:dyDescent="0.25">
      <c r="A26" s="535"/>
    </row>
    <row r="27" spans="1:1" x14ac:dyDescent="0.25">
      <c r="A27" s="535"/>
    </row>
    <row r="28" spans="1:1" x14ac:dyDescent="0.25">
      <c r="A28" s="535"/>
    </row>
    <row r="29" spans="1:1" x14ac:dyDescent="0.25">
      <c r="A29" s="535"/>
    </row>
    <row r="30" spans="1:1" x14ac:dyDescent="0.25">
      <c r="A30" s="535"/>
    </row>
    <row r="31" spans="1:1" x14ac:dyDescent="0.25">
      <c r="A31" s="535"/>
    </row>
    <row r="32" spans="1:1" x14ac:dyDescent="0.25">
      <c r="A32" s="535"/>
    </row>
    <row r="33" spans="1:1" x14ac:dyDescent="0.25">
      <c r="A33" s="535"/>
    </row>
    <row r="34" spans="1:1" x14ac:dyDescent="0.25">
      <c r="A34" s="535"/>
    </row>
    <row r="35" spans="1:1" x14ac:dyDescent="0.25">
      <c r="A35" s="535"/>
    </row>
    <row r="36" spans="1:1" x14ac:dyDescent="0.25">
      <c r="A36" s="535"/>
    </row>
    <row r="37" spans="1:1" x14ac:dyDescent="0.25">
      <c r="A37" s="535"/>
    </row>
    <row r="38" spans="1:1" x14ac:dyDescent="0.25">
      <c r="A38" s="535"/>
    </row>
    <row r="39" spans="1:1" x14ac:dyDescent="0.25">
      <c r="A39" s="535"/>
    </row>
    <row r="40" spans="1:1" x14ac:dyDescent="0.25">
      <c r="A40" s="535"/>
    </row>
    <row r="41" spans="1:1" x14ac:dyDescent="0.25">
      <c r="A41" s="535"/>
    </row>
    <row r="42" spans="1:1" x14ac:dyDescent="0.25">
      <c r="A42" s="535"/>
    </row>
    <row r="43" spans="1:1" x14ac:dyDescent="0.25">
      <c r="A43" s="535"/>
    </row>
    <row r="44" spans="1:1" x14ac:dyDescent="0.25">
      <c r="A44" s="535"/>
    </row>
    <row r="45" spans="1:1" x14ac:dyDescent="0.25">
      <c r="A45" s="535"/>
    </row>
    <row r="46" spans="1:1" x14ac:dyDescent="0.25">
      <c r="A46" s="535"/>
    </row>
    <row r="47" spans="1:1" x14ac:dyDescent="0.25">
      <c r="A47" s="535"/>
    </row>
    <row r="48" spans="1:1" x14ac:dyDescent="0.25">
      <c r="A48" s="535"/>
    </row>
    <row r="49" spans="1:1" x14ac:dyDescent="0.25">
      <c r="A49" s="535"/>
    </row>
    <row r="50" spans="1:1" x14ac:dyDescent="0.25">
      <c r="A50" s="535"/>
    </row>
    <row r="51" spans="1:1" x14ac:dyDescent="0.25">
      <c r="A51" s="535"/>
    </row>
    <row r="52" spans="1:1" x14ac:dyDescent="0.25">
      <c r="A52" s="535"/>
    </row>
    <row r="53" spans="1:1" x14ac:dyDescent="0.25">
      <c r="A53" s="535"/>
    </row>
    <row r="54" spans="1:1" x14ac:dyDescent="0.25">
      <c r="A54" s="535"/>
    </row>
    <row r="55" spans="1:1" x14ac:dyDescent="0.25">
      <c r="A55" s="535"/>
    </row>
    <row r="56" spans="1:1" x14ac:dyDescent="0.25">
      <c r="A56" s="535"/>
    </row>
    <row r="57" spans="1:1" x14ac:dyDescent="0.25">
      <c r="A57" s="535"/>
    </row>
    <row r="58" spans="1:1" x14ac:dyDescent="0.25">
      <c r="A58" s="535"/>
    </row>
    <row r="59" spans="1:1" x14ac:dyDescent="0.25">
      <c r="A59" s="535"/>
    </row>
    <row r="60" spans="1:1" x14ac:dyDescent="0.25">
      <c r="A60" s="535"/>
    </row>
    <row r="61" spans="1:1" x14ac:dyDescent="0.25">
      <c r="A61" s="535"/>
    </row>
    <row r="62" spans="1:1" x14ac:dyDescent="0.25">
      <c r="A62" s="535"/>
    </row>
    <row r="63" spans="1:1" x14ac:dyDescent="0.25">
      <c r="A63" s="535"/>
    </row>
    <row r="64" spans="1:1" x14ac:dyDescent="0.25">
      <c r="A64" s="535"/>
    </row>
    <row r="65" spans="1:1" x14ac:dyDescent="0.25">
      <c r="A65" s="535"/>
    </row>
    <row r="66" spans="1:1" x14ac:dyDescent="0.25">
      <c r="A66" s="535"/>
    </row>
    <row r="67" spans="1:1" x14ac:dyDescent="0.25">
      <c r="A67" s="535"/>
    </row>
    <row r="68" spans="1:1" x14ac:dyDescent="0.25">
      <c r="A68" s="535"/>
    </row>
    <row r="69" spans="1:1" x14ac:dyDescent="0.25">
      <c r="A69" s="535"/>
    </row>
    <row r="70" spans="1:1" x14ac:dyDescent="0.25">
      <c r="A70" s="535"/>
    </row>
    <row r="71" spans="1:1" x14ac:dyDescent="0.25">
      <c r="A71" s="535"/>
    </row>
    <row r="72" spans="1:1" x14ac:dyDescent="0.25">
      <c r="A72" s="535"/>
    </row>
    <row r="73" spans="1:1" x14ac:dyDescent="0.25">
      <c r="A73" s="535"/>
    </row>
    <row r="74" spans="1:1" x14ac:dyDescent="0.25">
      <c r="A74" s="535"/>
    </row>
    <row r="75" spans="1:1" x14ac:dyDescent="0.25">
      <c r="A75" s="535"/>
    </row>
    <row r="76" spans="1:1" x14ac:dyDescent="0.25">
      <c r="A76" s="535"/>
    </row>
    <row r="77" spans="1:1" x14ac:dyDescent="0.25">
      <c r="A77" s="535"/>
    </row>
    <row r="78" spans="1:1" x14ac:dyDescent="0.25">
      <c r="A78" s="535"/>
    </row>
    <row r="79" spans="1:1" x14ac:dyDescent="0.25">
      <c r="A79" s="535"/>
    </row>
    <row r="80" spans="1:1" x14ac:dyDescent="0.25">
      <c r="A80" s="535"/>
    </row>
    <row r="81" spans="1:1" x14ac:dyDescent="0.25">
      <c r="A81" s="535"/>
    </row>
    <row r="82" spans="1:1" x14ac:dyDescent="0.25">
      <c r="A82" s="535"/>
    </row>
    <row r="83" spans="1:1" x14ac:dyDescent="0.25">
      <c r="A83" s="535"/>
    </row>
    <row r="84" spans="1:1" x14ac:dyDescent="0.25">
      <c r="A84" s="535"/>
    </row>
    <row r="85" spans="1:1" x14ac:dyDescent="0.25">
      <c r="A85" s="535"/>
    </row>
    <row r="86" spans="1:1" x14ac:dyDescent="0.25">
      <c r="A86" s="535"/>
    </row>
    <row r="87" spans="1:1" x14ac:dyDescent="0.25">
      <c r="A87" s="535"/>
    </row>
    <row r="88" spans="1:1" x14ac:dyDescent="0.25">
      <c r="A88" s="535"/>
    </row>
    <row r="89" spans="1:1" x14ac:dyDescent="0.25">
      <c r="A89" s="535"/>
    </row>
    <row r="90" spans="1:1" x14ac:dyDescent="0.25">
      <c r="A90" s="535"/>
    </row>
    <row r="91" spans="1:1" x14ac:dyDescent="0.25">
      <c r="A91" s="535"/>
    </row>
    <row r="92" spans="1:1" x14ac:dyDescent="0.25">
      <c r="A92" s="535"/>
    </row>
    <row r="93" spans="1:1" x14ac:dyDescent="0.25">
      <c r="A93" s="535"/>
    </row>
    <row r="94" spans="1:1" x14ac:dyDescent="0.25">
      <c r="A94" s="535"/>
    </row>
    <row r="95" spans="1:1" x14ac:dyDescent="0.25">
      <c r="A95" s="535"/>
    </row>
    <row r="96" spans="1:1" x14ac:dyDescent="0.25">
      <c r="A96" s="535"/>
    </row>
    <row r="97" spans="1:1" x14ac:dyDescent="0.25">
      <c r="A97" s="535"/>
    </row>
    <row r="98" spans="1:1" x14ac:dyDescent="0.25">
      <c r="A98" s="535"/>
    </row>
    <row r="99" spans="1:1" x14ac:dyDescent="0.25">
      <c r="A99" s="535"/>
    </row>
    <row r="100" spans="1:1" x14ac:dyDescent="0.25">
      <c r="A100" s="535"/>
    </row>
    <row r="101" spans="1:1" x14ac:dyDescent="0.25">
      <c r="A101" s="535"/>
    </row>
    <row r="102" spans="1:1" x14ac:dyDescent="0.25">
      <c r="A102" s="535"/>
    </row>
    <row r="103" spans="1:1" x14ac:dyDescent="0.25">
      <c r="A103" s="535"/>
    </row>
    <row r="104" spans="1:1" x14ac:dyDescent="0.25">
      <c r="A104" s="535"/>
    </row>
  </sheetData>
  <sortState ref="A2:A104">
    <sortCondition descending="1" ref="A2:A10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5"/>
  <sheetViews>
    <sheetView topLeftCell="B7" workbookViewId="0">
      <selection activeCell="N19" sqref="N19"/>
    </sheetView>
  </sheetViews>
  <sheetFormatPr baseColWidth="10" defaultRowHeight="15" x14ac:dyDescent="0.25"/>
  <cols>
    <col min="2" max="2" width="20.140625" customWidth="1"/>
    <col min="3" max="3" width="42.42578125" customWidth="1"/>
    <col min="4" max="4" width="16.85546875" customWidth="1"/>
    <col min="5" max="5" width="16.5703125" customWidth="1"/>
    <col min="6" max="6" width="14.85546875" style="161" customWidth="1"/>
    <col min="7" max="7" width="12.5703125" customWidth="1"/>
    <col min="8" max="8" width="12.140625" customWidth="1"/>
    <col min="9" max="9" width="12.5703125" bestFit="1" customWidth="1"/>
    <col min="10" max="12" width="11.5703125" bestFit="1" customWidth="1"/>
    <col min="13" max="13" width="12.5703125" bestFit="1" customWidth="1"/>
    <col min="14" max="14" width="16.42578125" style="173" customWidth="1"/>
    <col min="15" max="15" width="21.140625" style="174" customWidth="1"/>
    <col min="17" max="17" width="41.28515625" customWidth="1"/>
    <col min="19" max="19" width="42.85546875" customWidth="1"/>
  </cols>
  <sheetData>
    <row r="1" spans="1:19" x14ac:dyDescent="0.25">
      <c r="B1" s="1099" t="s">
        <v>472</v>
      </c>
      <c r="C1" s="1099"/>
      <c r="D1" s="1099"/>
      <c r="E1" s="1099"/>
      <c r="F1" s="1099"/>
      <c r="G1" s="1099"/>
      <c r="H1" s="1099"/>
      <c r="I1" s="172">
        <v>43009</v>
      </c>
    </row>
    <row r="3" spans="1:19" x14ac:dyDescent="0.25">
      <c r="G3" s="1100" t="s">
        <v>473</v>
      </c>
      <c r="H3" s="1100"/>
      <c r="I3" s="1100"/>
      <c r="J3" s="1100"/>
      <c r="K3" s="1100"/>
      <c r="L3" s="1100"/>
      <c r="M3" s="1100"/>
      <c r="O3" s="174" t="s">
        <v>474</v>
      </c>
    </row>
    <row r="4" spans="1:19" ht="63.75" customHeight="1" thickBot="1" x14ac:dyDescent="0.3">
      <c r="B4" s="299" t="s">
        <v>475</v>
      </c>
      <c r="C4" s="299" t="s">
        <v>476</v>
      </c>
      <c r="D4" s="299" t="s">
        <v>477</v>
      </c>
      <c r="E4" s="299" t="s">
        <v>478</v>
      </c>
      <c r="F4" s="299" t="s">
        <v>479</v>
      </c>
      <c r="G4" s="294" t="s">
        <v>480</v>
      </c>
      <c r="H4" s="294" t="s">
        <v>481</v>
      </c>
      <c r="I4" s="294" t="s">
        <v>482</v>
      </c>
      <c r="J4" s="294" t="s">
        <v>483</v>
      </c>
      <c r="K4" s="294" t="s">
        <v>484</v>
      </c>
      <c r="L4" s="294" t="s">
        <v>485</v>
      </c>
      <c r="M4" s="294" t="s">
        <v>486</v>
      </c>
      <c r="N4" s="300" t="s">
        <v>487</v>
      </c>
      <c r="O4" s="300" t="s">
        <v>488</v>
      </c>
    </row>
    <row r="5" spans="1:19" ht="29.25" customHeight="1" x14ac:dyDescent="0.25">
      <c r="A5" s="1095" t="s">
        <v>489</v>
      </c>
      <c r="B5" s="94" t="s">
        <v>490</v>
      </c>
      <c r="C5" s="301" t="s">
        <v>491</v>
      </c>
      <c r="D5" s="179">
        <f>+G48</f>
        <v>968.32</v>
      </c>
      <c r="E5" s="179">
        <f>+D5*F5/100</f>
        <v>479.31840000000005</v>
      </c>
      <c r="F5" s="180">
        <v>49.5</v>
      </c>
      <c r="G5" s="181">
        <v>1.6161616161616161</v>
      </c>
      <c r="H5" s="181">
        <v>13.939393939393939</v>
      </c>
      <c r="I5" s="181">
        <v>0</v>
      </c>
      <c r="J5" s="181">
        <v>0</v>
      </c>
      <c r="K5" s="181">
        <v>1.8181818181818181</v>
      </c>
      <c r="L5" s="181">
        <v>0</v>
      </c>
      <c r="M5" s="182">
        <v>82.62626262626263</v>
      </c>
      <c r="N5" s="183">
        <v>127958.38383838386</v>
      </c>
      <c r="O5" s="302">
        <f>+N5*E5</f>
        <v>61332807.808000013</v>
      </c>
      <c r="Q5" s="177"/>
    </row>
    <row r="6" spans="1:19" ht="21" customHeight="1" x14ac:dyDescent="0.25">
      <c r="A6" s="1097"/>
      <c r="B6" s="94" t="s">
        <v>492</v>
      </c>
      <c r="C6" s="178" t="s">
        <v>493</v>
      </c>
      <c r="D6" s="179">
        <f>+G43</f>
        <v>3901.19</v>
      </c>
      <c r="E6" s="179">
        <f t="shared" ref="E6:E33" si="0">+D6*F6/100</f>
        <v>955.79155000000003</v>
      </c>
      <c r="F6" s="180">
        <v>24.5</v>
      </c>
      <c r="G6" s="181">
        <v>1.2244897959183674</v>
      </c>
      <c r="H6" s="181">
        <v>1.6326530612244898</v>
      </c>
      <c r="I6" s="181">
        <v>0.40816326530612246</v>
      </c>
      <c r="J6" s="181">
        <v>0</v>
      </c>
      <c r="K6" s="181">
        <v>4.0816326530612246</v>
      </c>
      <c r="L6" s="181">
        <v>9.795918367346939</v>
      </c>
      <c r="M6" s="182">
        <v>82.857142857142861</v>
      </c>
      <c r="N6" s="183">
        <v>114896.24489795917</v>
      </c>
      <c r="O6" s="302">
        <f t="shared" ref="O6:O33" si="1">+N6*E6</f>
        <v>109816860.00019999</v>
      </c>
      <c r="Q6" s="177"/>
    </row>
    <row r="7" spans="1:19" ht="26.25" customHeight="1" x14ac:dyDescent="0.25">
      <c r="A7" s="1097"/>
      <c r="B7" s="94" t="s">
        <v>494</v>
      </c>
      <c r="C7" s="178" t="s">
        <v>495</v>
      </c>
      <c r="D7" s="179">
        <f>+G49</f>
        <v>5844.64</v>
      </c>
      <c r="E7" s="179">
        <f t="shared" si="0"/>
        <v>3910.0641600000004</v>
      </c>
      <c r="F7" s="180">
        <v>66.900000000000006</v>
      </c>
      <c r="G7" s="181">
        <v>0.44843049327354256</v>
      </c>
      <c r="H7" s="181">
        <v>1.9431988041853512</v>
      </c>
      <c r="I7" s="181">
        <v>0</v>
      </c>
      <c r="J7" s="181">
        <v>0.74738415545590431</v>
      </c>
      <c r="K7" s="181">
        <v>0.14947683109118085</v>
      </c>
      <c r="L7" s="181">
        <v>2.9895366218236172</v>
      </c>
      <c r="M7" s="182">
        <v>93.721973094170394</v>
      </c>
      <c r="N7" s="183">
        <v>108010.31390134529</v>
      </c>
      <c r="O7" s="302">
        <f t="shared" si="1"/>
        <v>422327257.296</v>
      </c>
      <c r="Q7" s="177"/>
    </row>
    <row r="8" spans="1:19" ht="46.5" customHeight="1" thickBot="1" x14ac:dyDescent="0.3">
      <c r="A8" s="1096"/>
      <c r="B8" s="94" t="s">
        <v>496</v>
      </c>
      <c r="C8" s="301" t="s">
        <v>497</v>
      </c>
      <c r="D8" s="179">
        <f>+G44+G45+G46+G47</f>
        <v>6647.8</v>
      </c>
      <c r="E8" s="179">
        <f t="shared" si="0"/>
        <v>2260.252</v>
      </c>
      <c r="F8" s="180">
        <v>34</v>
      </c>
      <c r="G8" s="181">
        <v>4.4117647058823533</v>
      </c>
      <c r="H8" s="181">
        <v>33.235294117647058</v>
      </c>
      <c r="I8" s="181">
        <v>20</v>
      </c>
      <c r="J8" s="181">
        <v>3.8235294117647061</v>
      </c>
      <c r="K8" s="181">
        <v>0</v>
      </c>
      <c r="L8" s="181">
        <v>2.9411764705882355</v>
      </c>
      <c r="M8" s="182">
        <v>35.588235294117645</v>
      </c>
      <c r="N8" s="183">
        <v>47237.794117647056</v>
      </c>
      <c r="O8" s="302">
        <f t="shared" si="1"/>
        <v>106769318.63</v>
      </c>
      <c r="Q8" s="177"/>
    </row>
    <row r="9" spans="1:19" ht="48" customHeight="1" x14ac:dyDescent="0.25">
      <c r="A9" s="1095" t="s">
        <v>498</v>
      </c>
      <c r="B9" s="94" t="s">
        <v>499</v>
      </c>
      <c r="C9" s="88" t="s">
        <v>500</v>
      </c>
      <c r="D9" s="179">
        <f>+G52</f>
        <v>892.53</v>
      </c>
      <c r="E9" s="179">
        <f t="shared" si="0"/>
        <v>582.82209</v>
      </c>
      <c r="F9" s="180">
        <v>65.3</v>
      </c>
      <c r="G9" s="181">
        <v>0.30627871362940279</v>
      </c>
      <c r="H9" s="181">
        <v>6.431852986217458</v>
      </c>
      <c r="I9" s="181">
        <v>17.151607963246555</v>
      </c>
      <c r="J9" s="181">
        <v>0.15313935681470139</v>
      </c>
      <c r="K9" s="181">
        <v>0</v>
      </c>
      <c r="L9" s="181">
        <v>0.15313935681470139</v>
      </c>
      <c r="M9" s="182">
        <v>75.803981623277181</v>
      </c>
      <c r="N9" s="183">
        <v>130083.76722817763</v>
      </c>
      <c r="O9" s="302">
        <f t="shared" si="1"/>
        <v>75815693.090999991</v>
      </c>
      <c r="Q9" s="184"/>
    </row>
    <row r="10" spans="1:19" ht="33" customHeight="1" x14ac:dyDescent="0.25">
      <c r="A10" s="1097"/>
      <c r="B10" s="94" t="s">
        <v>501</v>
      </c>
      <c r="C10" s="88" t="s">
        <v>502</v>
      </c>
      <c r="D10" s="179">
        <f>+G53+G54</f>
        <v>3654.24</v>
      </c>
      <c r="E10" s="179">
        <f t="shared" si="0"/>
        <v>3625.0060800000001</v>
      </c>
      <c r="F10" s="180">
        <v>99.2</v>
      </c>
      <c r="G10" s="181">
        <v>0</v>
      </c>
      <c r="H10" s="181">
        <v>0</v>
      </c>
      <c r="I10" s="182">
        <v>100</v>
      </c>
      <c r="J10" s="181">
        <v>0</v>
      </c>
      <c r="K10" s="181">
        <v>0</v>
      </c>
      <c r="L10" s="181">
        <v>0</v>
      </c>
      <c r="M10" s="181">
        <v>0</v>
      </c>
      <c r="N10" s="183">
        <v>156000</v>
      </c>
      <c r="O10" s="302">
        <f t="shared" si="1"/>
        <v>565500948.48000002</v>
      </c>
      <c r="Q10" s="184"/>
    </row>
    <row r="11" spans="1:19" ht="36.75" customHeight="1" x14ac:dyDescent="0.25">
      <c r="A11" s="1097"/>
      <c r="B11" s="94" t="s">
        <v>503</v>
      </c>
      <c r="C11" s="88" t="s">
        <v>504</v>
      </c>
      <c r="D11" s="179">
        <f>+G55</f>
        <v>1837.14</v>
      </c>
      <c r="E11" s="179">
        <f t="shared" si="0"/>
        <v>521.74776000000008</v>
      </c>
      <c r="F11" s="180">
        <v>28.400000000000002</v>
      </c>
      <c r="G11" s="181">
        <v>1.056338028169014</v>
      </c>
      <c r="H11" s="182">
        <v>59.507042253521114</v>
      </c>
      <c r="I11" s="181">
        <v>20.77464788732394</v>
      </c>
      <c r="J11" s="181">
        <v>0</v>
      </c>
      <c r="K11" s="181">
        <v>0</v>
      </c>
      <c r="L11" s="181">
        <v>0</v>
      </c>
      <c r="M11" s="181">
        <v>18.661971830985912</v>
      </c>
      <c r="N11" s="183">
        <v>137888.38028169013</v>
      </c>
      <c r="O11" s="302">
        <f t="shared" si="1"/>
        <v>71942953.542000011</v>
      </c>
      <c r="Q11" s="184"/>
    </row>
    <row r="12" spans="1:19" ht="28.5" customHeight="1" x14ac:dyDescent="0.25">
      <c r="A12" s="1097"/>
      <c r="B12" s="94" t="s">
        <v>505</v>
      </c>
      <c r="C12" s="88" t="s">
        <v>506</v>
      </c>
      <c r="D12" s="179">
        <f>+G56</f>
        <v>3431.63</v>
      </c>
      <c r="E12" s="179">
        <f t="shared" si="0"/>
        <v>247.07736</v>
      </c>
      <c r="F12" s="180">
        <v>7.2</v>
      </c>
      <c r="G12" s="181">
        <v>1.3888888888888888</v>
      </c>
      <c r="H12" s="181">
        <v>4.166666666666667</v>
      </c>
      <c r="I12" s="181">
        <v>4.166666666666667</v>
      </c>
      <c r="J12" s="181">
        <v>0</v>
      </c>
      <c r="K12" s="181">
        <v>0</v>
      </c>
      <c r="L12" s="181">
        <v>31.944444444444439</v>
      </c>
      <c r="M12" s="182">
        <v>58.333333333333329</v>
      </c>
      <c r="N12" s="183">
        <v>133240.27777777775</v>
      </c>
      <c r="O12" s="302">
        <f t="shared" si="1"/>
        <v>32920656.078999992</v>
      </c>
      <c r="Q12" s="177"/>
    </row>
    <row r="13" spans="1:19" ht="32.25" customHeight="1" thickBot="1" x14ac:dyDescent="0.3">
      <c r="A13" s="1096"/>
      <c r="B13" s="94" t="s">
        <v>507</v>
      </c>
      <c r="C13" s="88" t="s">
        <v>508</v>
      </c>
      <c r="D13" s="179">
        <f>+G57</f>
        <v>2114.3000000000002</v>
      </c>
      <c r="E13" s="179">
        <f t="shared" si="0"/>
        <v>687.14750000000004</v>
      </c>
      <c r="F13" s="180">
        <v>32.5</v>
      </c>
      <c r="G13" s="181">
        <v>0.92307692307692313</v>
      </c>
      <c r="H13" s="181">
        <v>4</v>
      </c>
      <c r="I13" s="181">
        <v>1.5384615384615385</v>
      </c>
      <c r="J13" s="182">
        <v>45.230769230769234</v>
      </c>
      <c r="K13" s="181">
        <v>4</v>
      </c>
      <c r="L13" s="181">
        <v>0</v>
      </c>
      <c r="M13" s="181">
        <v>44.307692307692307</v>
      </c>
      <c r="N13" s="183">
        <v>108019.07692307692</v>
      </c>
      <c r="O13" s="302">
        <f t="shared" si="1"/>
        <v>74225038.659999996</v>
      </c>
      <c r="Q13" s="177"/>
    </row>
    <row r="14" spans="1:19" ht="34.5" customHeight="1" x14ac:dyDescent="0.25">
      <c r="A14" s="1095" t="s">
        <v>509</v>
      </c>
      <c r="B14" s="94" t="s">
        <v>510</v>
      </c>
      <c r="C14" s="88" t="s">
        <v>511</v>
      </c>
      <c r="D14" s="179">
        <f>+G59+G62</f>
        <v>9333.7900000000009</v>
      </c>
      <c r="E14" s="179">
        <f t="shared" si="0"/>
        <v>7084.3466100000005</v>
      </c>
      <c r="F14" s="180">
        <v>75.900000000000006</v>
      </c>
      <c r="G14" s="181">
        <v>0.39525691699604742</v>
      </c>
      <c r="H14" s="181">
        <v>16.337285902503293</v>
      </c>
      <c r="I14" s="181">
        <v>30.830039525691696</v>
      </c>
      <c r="J14" s="181">
        <v>1.1857707509881421</v>
      </c>
      <c r="K14" s="181">
        <v>0.26350461133069825</v>
      </c>
      <c r="L14" s="181">
        <v>6.587615283267457</v>
      </c>
      <c r="M14" s="182">
        <v>44.400527009222664</v>
      </c>
      <c r="N14" s="183">
        <v>148672.31225296442</v>
      </c>
      <c r="O14" s="302">
        <f t="shared" si="1"/>
        <v>1053246191.31015</v>
      </c>
      <c r="Q14" s="177"/>
    </row>
    <row r="15" spans="1:19" ht="32.25" customHeight="1" x14ac:dyDescent="0.25">
      <c r="A15" s="1097"/>
      <c r="B15" s="94" t="s">
        <v>512</v>
      </c>
      <c r="C15" s="88" t="s">
        <v>513</v>
      </c>
      <c r="D15" s="179">
        <f>+G61+G60</f>
        <v>2777.46</v>
      </c>
      <c r="E15" s="179">
        <f t="shared" si="0"/>
        <v>1824.7912199999998</v>
      </c>
      <c r="F15" s="180">
        <v>65.699999999999989</v>
      </c>
      <c r="G15" s="181">
        <v>0</v>
      </c>
      <c r="H15" s="181">
        <v>4.4140030441400313</v>
      </c>
      <c r="I15" s="181">
        <v>10.654490106544904</v>
      </c>
      <c r="J15" s="181">
        <v>1.9786910197869105</v>
      </c>
      <c r="K15" s="181">
        <v>2.2831050228310508</v>
      </c>
      <c r="L15" s="181">
        <v>28.462709284627099</v>
      </c>
      <c r="M15" s="182">
        <v>52.207001522070016</v>
      </c>
      <c r="N15" s="183">
        <v>111631.96347031964</v>
      </c>
      <c r="O15" s="302">
        <f t="shared" si="1"/>
        <v>203705026.81199998</v>
      </c>
      <c r="Q15" s="185"/>
    </row>
    <row r="16" spans="1:19" ht="48" customHeight="1" x14ac:dyDescent="0.25">
      <c r="A16" s="1097"/>
      <c r="B16" s="94" t="s">
        <v>514</v>
      </c>
      <c r="C16" s="88" t="s">
        <v>515</v>
      </c>
      <c r="D16" s="179">
        <f>+G59+G66+G65</f>
        <v>11670.52</v>
      </c>
      <c r="E16" s="179">
        <f t="shared" si="0"/>
        <v>6652.1963999999998</v>
      </c>
      <c r="F16" s="180">
        <v>57</v>
      </c>
      <c r="G16" s="181">
        <v>8.9473684210526301</v>
      </c>
      <c r="H16" s="181">
        <v>2.1052631578947367</v>
      </c>
      <c r="I16" s="181">
        <v>15.614035087719298</v>
      </c>
      <c r="J16" s="181">
        <v>4.7368421052631575</v>
      </c>
      <c r="K16" s="181">
        <v>1.4035087719298245</v>
      </c>
      <c r="L16" s="182">
        <v>46.666666666666664</v>
      </c>
      <c r="M16" s="181">
        <v>20.526315789473685</v>
      </c>
      <c r="N16" s="183">
        <v>116278.87719298246</v>
      </c>
      <c r="O16" s="302">
        <f t="shared" si="1"/>
        <v>773509928.25919998</v>
      </c>
      <c r="Q16" s="185"/>
      <c r="S16" s="185"/>
    </row>
    <row r="17" spans="1:19" ht="55.5" customHeight="1" thickBot="1" x14ac:dyDescent="0.3">
      <c r="A17" s="1096"/>
      <c r="B17" s="94" t="s">
        <v>516</v>
      </c>
      <c r="C17" s="88" t="s">
        <v>517</v>
      </c>
      <c r="D17" s="179">
        <f>+G64+G102</f>
        <v>1602.99</v>
      </c>
      <c r="E17" s="179">
        <f t="shared" si="0"/>
        <v>671.65281000000004</v>
      </c>
      <c r="F17" s="180">
        <v>41.9</v>
      </c>
      <c r="G17" s="181">
        <v>0.47732696897374705</v>
      </c>
      <c r="H17" s="181">
        <v>7.3985680190930792</v>
      </c>
      <c r="I17" s="181">
        <v>8.591885441527447</v>
      </c>
      <c r="J17" s="181">
        <v>12.171837708830548</v>
      </c>
      <c r="K17" s="181">
        <v>0</v>
      </c>
      <c r="L17" s="182">
        <v>47.25536992840096</v>
      </c>
      <c r="M17" s="181">
        <v>24.105011933174225</v>
      </c>
      <c r="N17" s="183">
        <v>116362.9832935561</v>
      </c>
      <c r="O17" s="302">
        <f t="shared" si="1"/>
        <v>78155524.709100008</v>
      </c>
      <c r="P17" s="177"/>
      <c r="Q17" s="185"/>
      <c r="S17" s="185"/>
    </row>
    <row r="18" spans="1:19" ht="33.75" customHeight="1" x14ac:dyDescent="0.25">
      <c r="A18" s="1095" t="s">
        <v>518</v>
      </c>
      <c r="B18" s="94" t="s">
        <v>519</v>
      </c>
      <c r="C18" s="94" t="s">
        <v>520</v>
      </c>
      <c r="D18" s="179">
        <f>+G82+G80</f>
        <v>6410.33</v>
      </c>
      <c r="E18" s="179">
        <f t="shared" si="0"/>
        <v>4153.8938400000006</v>
      </c>
      <c r="F18" s="180">
        <v>64.800000000000011</v>
      </c>
      <c r="G18" s="181">
        <v>1.0802469135802468</v>
      </c>
      <c r="H18" s="181">
        <v>2.7777777777777772</v>
      </c>
      <c r="I18" s="181">
        <v>10.493827160493826</v>
      </c>
      <c r="J18" s="182">
        <v>40.740740740740733</v>
      </c>
      <c r="K18" s="181">
        <v>11.574074074074073</v>
      </c>
      <c r="L18" s="181">
        <v>4.0123456790123448</v>
      </c>
      <c r="M18" s="181">
        <v>29.320987654320984</v>
      </c>
      <c r="N18" s="183">
        <v>90778.472222222219</v>
      </c>
      <c r="O18" s="302">
        <f t="shared" si="1"/>
        <v>377084136.56850004</v>
      </c>
      <c r="P18" s="177"/>
      <c r="Q18" s="185"/>
      <c r="S18" s="185"/>
    </row>
    <row r="19" spans="1:19" ht="130.5" customHeight="1" thickBot="1" x14ac:dyDescent="0.3">
      <c r="A19" s="1096"/>
      <c r="B19" s="94" t="s">
        <v>521</v>
      </c>
      <c r="C19" s="94" t="s">
        <v>522</v>
      </c>
      <c r="D19" s="179">
        <f>+G70++G71++G72+G73+G74+G75+G76+G77+G78+G79+G81</f>
        <v>16756.579999999998</v>
      </c>
      <c r="E19" s="179">
        <f t="shared" si="0"/>
        <v>10087.461159999999</v>
      </c>
      <c r="F19" s="180">
        <v>60.2</v>
      </c>
      <c r="G19" s="181">
        <v>1.1627906976744184</v>
      </c>
      <c r="H19" s="181">
        <v>4.8172757475083055</v>
      </c>
      <c r="I19" s="181">
        <v>11.627906976744185</v>
      </c>
      <c r="J19" s="181">
        <v>16.112956810631225</v>
      </c>
      <c r="K19" s="181">
        <v>16.112956810631225</v>
      </c>
      <c r="L19" s="181">
        <v>5.8139534883720927</v>
      </c>
      <c r="M19" s="182">
        <v>44.352159468438536</v>
      </c>
      <c r="N19" s="183">
        <v>83092.940199335542</v>
      </c>
      <c r="O19" s="302">
        <f t="shared" si="1"/>
        <v>838196806.93099988</v>
      </c>
      <c r="P19" s="177"/>
      <c r="Q19" s="185"/>
      <c r="S19" s="177"/>
    </row>
    <row r="20" spans="1:19" ht="27" customHeight="1" x14ac:dyDescent="0.25">
      <c r="A20" s="1092" t="s">
        <v>523</v>
      </c>
      <c r="B20" s="94" t="s">
        <v>524</v>
      </c>
      <c r="C20" s="168" t="s">
        <v>525</v>
      </c>
      <c r="D20" s="179">
        <f>+G86</f>
        <v>2817.22</v>
      </c>
      <c r="E20" s="179">
        <f t="shared" si="0"/>
        <v>1853.7307599999997</v>
      </c>
      <c r="F20" s="180">
        <v>65.8</v>
      </c>
      <c r="G20" s="181">
        <v>0.1519756838905775</v>
      </c>
      <c r="H20" s="181">
        <v>1.21580547112462</v>
      </c>
      <c r="I20" s="181">
        <v>0</v>
      </c>
      <c r="J20" s="181">
        <v>1.21580547112462</v>
      </c>
      <c r="K20" s="181">
        <v>1.21580547112462</v>
      </c>
      <c r="L20" s="181">
        <v>1.6717325227963529</v>
      </c>
      <c r="M20" s="182">
        <v>94.528875379939208</v>
      </c>
      <c r="N20" s="183">
        <v>67221.73389057751</v>
      </c>
      <c r="O20" s="302">
        <f t="shared" si="1"/>
        <v>124610995.85349798</v>
      </c>
      <c r="P20" s="177"/>
      <c r="Q20" s="185"/>
    </row>
    <row r="21" spans="1:19" ht="28.5" customHeight="1" x14ac:dyDescent="0.25">
      <c r="A21" s="1093"/>
      <c r="B21" s="94" t="s">
        <v>526</v>
      </c>
      <c r="C21" s="168" t="s">
        <v>527</v>
      </c>
      <c r="D21" s="179">
        <f>+G84+G87</f>
        <v>7117.99</v>
      </c>
      <c r="E21" s="179">
        <f t="shared" si="0"/>
        <v>4769.0532999999996</v>
      </c>
      <c r="F21" s="180">
        <v>67</v>
      </c>
      <c r="G21" s="181">
        <v>0.14925373134328357</v>
      </c>
      <c r="H21" s="181">
        <v>2.8358208955223883</v>
      </c>
      <c r="I21" s="181">
        <v>2.2388059701492535</v>
      </c>
      <c r="J21" s="181">
        <v>8.2089552238805972</v>
      </c>
      <c r="K21" s="181">
        <v>2.8358208955223883</v>
      </c>
      <c r="L21" s="181">
        <v>4.0298507462686564</v>
      </c>
      <c r="M21" s="182">
        <v>79.701492537313428</v>
      </c>
      <c r="N21" s="183">
        <v>85952.408955223873</v>
      </c>
      <c r="O21" s="302">
        <f t="shared" si="1"/>
        <v>409911619.57085991</v>
      </c>
      <c r="Q21" s="185"/>
    </row>
    <row r="22" spans="1:19" ht="33.75" customHeight="1" thickBot="1" x14ac:dyDescent="0.3">
      <c r="A22" s="1094"/>
      <c r="B22" s="94" t="s">
        <v>528</v>
      </c>
      <c r="C22" s="168" t="s">
        <v>529</v>
      </c>
      <c r="D22" s="179">
        <f>+G85+G88</f>
        <v>4534.21</v>
      </c>
      <c r="E22" s="179">
        <f t="shared" si="0"/>
        <v>2543.6918100000003</v>
      </c>
      <c r="F22" s="180">
        <v>56.1</v>
      </c>
      <c r="G22" s="181">
        <v>3.3868092691622103</v>
      </c>
      <c r="H22" s="181">
        <v>3.7433155080213902</v>
      </c>
      <c r="I22" s="181">
        <v>2.1390374331550803</v>
      </c>
      <c r="J22" s="181">
        <v>2.8520499108734403</v>
      </c>
      <c r="K22" s="181">
        <v>5.5258467023172901</v>
      </c>
      <c r="L22" s="181">
        <v>2.3172905525846703</v>
      </c>
      <c r="M22" s="182">
        <v>80.035650623885914</v>
      </c>
      <c r="N22" s="183">
        <v>71766.764705882364</v>
      </c>
      <c r="O22" s="302">
        <f t="shared" si="1"/>
        <v>182552531.61255005</v>
      </c>
      <c r="Q22" s="185"/>
    </row>
    <row r="23" spans="1:19" ht="33.75" customHeight="1" x14ac:dyDescent="0.25">
      <c r="A23" s="1095" t="s">
        <v>530</v>
      </c>
      <c r="B23" s="94" t="s">
        <v>531</v>
      </c>
      <c r="C23" s="88" t="s">
        <v>532</v>
      </c>
      <c r="D23" s="179">
        <f>+G90</f>
        <v>5157.53</v>
      </c>
      <c r="E23" s="179">
        <f t="shared" si="0"/>
        <v>2908.84692</v>
      </c>
      <c r="F23" s="180">
        <v>56.4</v>
      </c>
      <c r="G23" s="181">
        <v>0.1773049645390071</v>
      </c>
      <c r="H23" s="181">
        <v>11.170212765957448</v>
      </c>
      <c r="I23" s="181">
        <v>1.5957446808510638</v>
      </c>
      <c r="J23" s="181">
        <v>1.4184397163120568</v>
      </c>
      <c r="K23" s="181">
        <v>4.0780141843971629</v>
      </c>
      <c r="L23" s="181">
        <v>20.567375886524822</v>
      </c>
      <c r="M23" s="182">
        <v>60.99290780141844</v>
      </c>
      <c r="N23" s="183">
        <v>77970.144680851066</v>
      </c>
      <c r="O23" s="302">
        <f t="shared" si="1"/>
        <v>226803215.206848</v>
      </c>
      <c r="Q23" s="185"/>
    </row>
    <row r="24" spans="1:19" ht="43.5" customHeight="1" thickBot="1" x14ac:dyDescent="0.3">
      <c r="A24" s="1096"/>
      <c r="B24" s="94" t="s">
        <v>533</v>
      </c>
      <c r="C24" s="88" t="s">
        <v>534</v>
      </c>
      <c r="D24" s="179">
        <f>+G91+G92</f>
        <v>3050.01</v>
      </c>
      <c r="E24" s="179">
        <f t="shared" si="0"/>
        <v>2000.80656</v>
      </c>
      <c r="F24" s="180">
        <v>65.599999999999994</v>
      </c>
      <c r="G24" s="181">
        <v>0</v>
      </c>
      <c r="H24" s="181">
        <v>12.5</v>
      </c>
      <c r="I24" s="181">
        <v>1.524390243902439</v>
      </c>
      <c r="J24" s="181">
        <v>1.9817073170731709</v>
      </c>
      <c r="K24" s="181">
        <v>8.6890243902439028</v>
      </c>
      <c r="L24" s="181">
        <v>23.475609756097562</v>
      </c>
      <c r="M24" s="182">
        <v>51.829268292682933</v>
      </c>
      <c r="N24" s="183">
        <v>93401.595121951221</v>
      </c>
      <c r="O24" s="302">
        <f t="shared" si="1"/>
        <v>186878524.23446399</v>
      </c>
      <c r="Q24" s="185"/>
    </row>
    <row r="25" spans="1:19" ht="47.25" customHeight="1" x14ac:dyDescent="0.25">
      <c r="A25" s="1095" t="s">
        <v>535</v>
      </c>
      <c r="B25" s="94" t="s">
        <v>536</v>
      </c>
      <c r="C25" s="88" t="s">
        <v>537</v>
      </c>
      <c r="D25" s="179">
        <f>+G94+G97+G100</f>
        <v>1057.02</v>
      </c>
      <c r="E25" s="179">
        <f t="shared" si="0"/>
        <v>40.166759999999996</v>
      </c>
      <c r="F25" s="180">
        <v>3.8</v>
      </c>
      <c r="G25" s="182">
        <v>100</v>
      </c>
      <c r="H25" s="181">
        <v>0</v>
      </c>
      <c r="I25" s="181">
        <v>0</v>
      </c>
      <c r="J25" s="181">
        <v>0</v>
      </c>
      <c r="K25" s="181">
        <v>0</v>
      </c>
      <c r="L25" s="181">
        <v>0</v>
      </c>
      <c r="M25" s="181">
        <v>0</v>
      </c>
      <c r="N25" s="183">
        <v>56000</v>
      </c>
      <c r="O25" s="302">
        <f t="shared" si="1"/>
        <v>2249338.5599999996</v>
      </c>
      <c r="Q25" s="185"/>
    </row>
    <row r="26" spans="1:19" ht="27.75" customHeight="1" x14ac:dyDescent="0.25">
      <c r="A26" s="1097"/>
      <c r="B26" s="94" t="s">
        <v>538</v>
      </c>
      <c r="C26" s="88" t="s">
        <v>539</v>
      </c>
      <c r="D26" s="179">
        <f>+G95</f>
        <v>7436.61</v>
      </c>
      <c r="E26" s="179">
        <f t="shared" si="0"/>
        <v>580.05557999999996</v>
      </c>
      <c r="F26" s="180">
        <v>7.8</v>
      </c>
      <c r="G26" s="182">
        <v>100</v>
      </c>
      <c r="H26" s="181">
        <v>0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3">
        <v>56000</v>
      </c>
      <c r="O26" s="302">
        <f t="shared" si="1"/>
        <v>32483112.479999997</v>
      </c>
      <c r="Q26" s="185"/>
    </row>
    <row r="27" spans="1:19" ht="27.75" customHeight="1" x14ac:dyDescent="0.25">
      <c r="A27" s="1097"/>
      <c r="B27" s="94" t="s">
        <v>540</v>
      </c>
      <c r="C27" s="88" t="s">
        <v>541</v>
      </c>
      <c r="D27" s="179">
        <f>+G97</f>
        <v>246.11</v>
      </c>
      <c r="E27" s="179">
        <f>+D27</f>
        <v>246.11</v>
      </c>
      <c r="F27" s="180"/>
      <c r="G27" s="181"/>
      <c r="H27" s="181"/>
      <c r="I27" s="181"/>
      <c r="J27" s="181"/>
      <c r="K27" s="181"/>
      <c r="L27" s="181"/>
      <c r="M27" s="181"/>
      <c r="N27" s="183">
        <v>0</v>
      </c>
      <c r="O27" s="302">
        <f t="shared" si="1"/>
        <v>0</v>
      </c>
      <c r="Q27" s="185"/>
    </row>
    <row r="28" spans="1:19" ht="24" customHeight="1" x14ac:dyDescent="0.25">
      <c r="A28" s="1097"/>
      <c r="B28" s="94" t="s">
        <v>542</v>
      </c>
      <c r="C28" s="88" t="s">
        <v>541</v>
      </c>
      <c r="D28" s="179">
        <f>+D27</f>
        <v>246.11</v>
      </c>
      <c r="E28" s="179">
        <f>+D27</f>
        <v>246.11</v>
      </c>
      <c r="F28" s="180"/>
      <c r="G28" s="181"/>
      <c r="H28" s="181"/>
      <c r="I28" s="181"/>
      <c r="J28" s="181"/>
      <c r="K28" s="181"/>
      <c r="L28" s="181"/>
      <c r="M28" s="181"/>
      <c r="N28" s="183">
        <v>0</v>
      </c>
      <c r="O28" s="302">
        <f t="shared" si="1"/>
        <v>0</v>
      </c>
      <c r="Q28" s="177"/>
    </row>
    <row r="29" spans="1:19" ht="25.5" customHeight="1" thickBot="1" x14ac:dyDescent="0.3">
      <c r="A29" s="1096"/>
      <c r="B29" s="94" t="s">
        <v>543</v>
      </c>
      <c r="C29" s="88" t="s">
        <v>544</v>
      </c>
      <c r="D29" s="179">
        <f>+G96</f>
        <v>3512.57</v>
      </c>
      <c r="E29" s="179">
        <f t="shared" si="0"/>
        <v>1127.5349699999999</v>
      </c>
      <c r="F29" s="180">
        <v>32.1</v>
      </c>
      <c r="G29" s="181">
        <v>26.168224299065418</v>
      </c>
      <c r="H29" s="181">
        <v>0</v>
      </c>
      <c r="I29" s="181">
        <v>0</v>
      </c>
      <c r="J29" s="181">
        <v>0.93457943925233644</v>
      </c>
      <c r="K29" s="181">
        <v>21.495327102803738</v>
      </c>
      <c r="L29" s="182">
        <v>51.401869158878505</v>
      </c>
      <c r="M29" s="181">
        <v>0</v>
      </c>
      <c r="N29" s="183">
        <v>88112.616822429889</v>
      </c>
      <c r="O29" s="302">
        <f t="shared" si="1"/>
        <v>99350056.765499979</v>
      </c>
      <c r="Q29" s="177"/>
    </row>
    <row r="30" spans="1:19" ht="30" x14ac:dyDescent="0.25">
      <c r="A30" s="1095" t="s">
        <v>545</v>
      </c>
      <c r="B30" s="94" t="s">
        <v>546</v>
      </c>
      <c r="C30" s="88" t="s">
        <v>547</v>
      </c>
      <c r="D30" s="179">
        <f>+G101</f>
        <v>2853.55</v>
      </c>
      <c r="E30" s="179">
        <f t="shared" si="0"/>
        <v>1455.3105000000003</v>
      </c>
      <c r="F30" s="180">
        <v>51</v>
      </c>
      <c r="G30" s="182">
        <v>64.313725490196063</v>
      </c>
      <c r="H30" s="181">
        <v>0</v>
      </c>
      <c r="I30" s="181">
        <v>0</v>
      </c>
      <c r="J30" s="181">
        <v>35.686274509803923</v>
      </c>
      <c r="K30" s="181">
        <v>0</v>
      </c>
      <c r="L30" s="181">
        <v>0</v>
      </c>
      <c r="M30" s="181">
        <v>0</v>
      </c>
      <c r="N30" s="183">
        <v>74289.215686274489</v>
      </c>
      <c r="O30" s="302">
        <f t="shared" si="1"/>
        <v>108113875.62499999</v>
      </c>
    </row>
    <row r="31" spans="1:19" x14ac:dyDescent="0.25">
      <c r="A31" s="1097"/>
      <c r="B31" s="94" t="s">
        <v>548</v>
      </c>
      <c r="C31" s="88" t="s">
        <v>549</v>
      </c>
      <c r="D31" s="179">
        <f>+G104</f>
        <v>3500.81</v>
      </c>
      <c r="E31" s="179">
        <f t="shared" si="0"/>
        <v>2664.1164100000001</v>
      </c>
      <c r="F31" s="180">
        <v>76.099999999999994</v>
      </c>
      <c r="G31" s="181">
        <v>2.7595269382391594</v>
      </c>
      <c r="H31" s="181">
        <v>6.3074901445466498</v>
      </c>
      <c r="I31" s="181">
        <v>1.3140604467805519</v>
      </c>
      <c r="J31" s="181">
        <v>6.8331143232588705</v>
      </c>
      <c r="K31" s="181">
        <v>11.038107752956638</v>
      </c>
      <c r="L31" s="181">
        <v>22.207621550591327</v>
      </c>
      <c r="M31" s="182">
        <v>49.540078843626816</v>
      </c>
      <c r="N31" s="183">
        <v>62930.693166885685</v>
      </c>
      <c r="O31" s="302">
        <f t="shared" si="1"/>
        <v>167654692.35857502</v>
      </c>
    </row>
    <row r="32" spans="1:19" ht="30" x14ac:dyDescent="0.25">
      <c r="A32" s="1097"/>
      <c r="B32" s="94" t="s">
        <v>550</v>
      </c>
      <c r="C32" s="88" t="s">
        <v>551</v>
      </c>
      <c r="D32" s="179">
        <f>+G98+G99</f>
        <v>2046.97</v>
      </c>
      <c r="E32" s="179">
        <f t="shared" si="0"/>
        <v>960.02893000000006</v>
      </c>
      <c r="F32" s="180">
        <v>46.900000000000006</v>
      </c>
      <c r="G32" s="181">
        <v>7.4626865671641784</v>
      </c>
      <c r="H32" s="181">
        <v>1.2793176972281448</v>
      </c>
      <c r="I32" s="181">
        <v>0</v>
      </c>
      <c r="J32" s="181">
        <v>7.4626865671641784</v>
      </c>
      <c r="K32" s="181">
        <v>0</v>
      </c>
      <c r="L32" s="182">
        <v>76.119402985074629</v>
      </c>
      <c r="M32" s="181">
        <v>7.6759061833688689</v>
      </c>
      <c r="N32" s="183">
        <v>19618.204690831553</v>
      </c>
      <c r="O32" s="302">
        <f t="shared" si="1"/>
        <v>18834044.057859998</v>
      </c>
    </row>
    <row r="33" spans="1:15" ht="15.75" thickBot="1" x14ac:dyDescent="0.3">
      <c r="A33" s="1098"/>
      <c r="B33" s="94" t="s">
        <v>552</v>
      </c>
      <c r="C33" s="88" t="s">
        <v>553</v>
      </c>
      <c r="D33" s="179">
        <f>+G103</f>
        <v>1434.99</v>
      </c>
      <c r="E33" s="179">
        <f t="shared" si="0"/>
        <v>1069.06755</v>
      </c>
      <c r="F33" s="180">
        <v>74.5</v>
      </c>
      <c r="G33" s="181">
        <v>0.13422818791946309</v>
      </c>
      <c r="H33" s="181">
        <v>3.3557046979865772</v>
      </c>
      <c r="I33" s="181">
        <v>6.1744966442953011</v>
      </c>
      <c r="J33" s="181">
        <v>0.13422818791946309</v>
      </c>
      <c r="K33" s="181">
        <v>0.67114093959731547</v>
      </c>
      <c r="L33" s="181">
        <v>3.4899328859060401</v>
      </c>
      <c r="M33" s="182">
        <v>86.040268456375827</v>
      </c>
      <c r="N33" s="183">
        <v>76524.702013422808</v>
      </c>
      <c r="O33" s="302">
        <f t="shared" si="1"/>
        <v>81810075.695969984</v>
      </c>
    </row>
    <row r="35" spans="1:15" x14ac:dyDescent="0.25">
      <c r="D35" s="186">
        <f>SUM(D5:D34)</f>
        <v>122855.16000000002</v>
      </c>
      <c r="E35" s="186">
        <f>SUM(E5:E34)</f>
        <v>66208.198990000004</v>
      </c>
      <c r="N35" s="183">
        <f>(SUMPRODUCT(N5:N33,E5:E33))/E35</f>
        <v>97960.695640986713</v>
      </c>
      <c r="O35" s="174">
        <f>SUM(O5:O34)</f>
        <v>6485801230.1972742</v>
      </c>
    </row>
    <row r="36" spans="1:15" ht="15.75" thickBot="1" x14ac:dyDescent="0.3"/>
    <row r="37" spans="1:15" ht="15.75" thickBot="1" x14ac:dyDescent="0.3">
      <c r="D37" t="s">
        <v>967</v>
      </c>
      <c r="E37" s="186">
        <f>+E7+D32</f>
        <v>5957.0341600000002</v>
      </c>
      <c r="N37" s="187">
        <f>ROUND(N35/37,-1)</f>
        <v>2650</v>
      </c>
    </row>
    <row r="38" spans="1:15" x14ac:dyDescent="0.25">
      <c r="D38" t="s">
        <v>966</v>
      </c>
      <c r="E38" s="186">
        <f>+E35-E37-E39-E40</f>
        <v>10974.742940000007</v>
      </c>
    </row>
    <row r="39" spans="1:15" x14ac:dyDescent="0.25">
      <c r="D39" s="228" t="s">
        <v>964</v>
      </c>
      <c r="E39" s="186">
        <f>+E6+E8+E9+E10+E11+E12+E13+E19</f>
        <v>18967.305499999999</v>
      </c>
      <c r="M39" s="228" t="s">
        <v>964</v>
      </c>
      <c r="N39" s="230">
        <f>((N6*E6+N8*E8+N9*E9+N10*E10+N11*E11+N12*E12+N13*E13+N19*E19)/E39)</f>
        <v>98864.24170334579</v>
      </c>
      <c r="O39" s="229"/>
    </row>
    <row r="40" spans="1:15" x14ac:dyDescent="0.25">
      <c r="D40" s="228" t="s">
        <v>965</v>
      </c>
      <c r="E40" s="186">
        <f>+E14+E15+E16+E17+E20+E21+E22+E23+E24</f>
        <v>30309.116389999999</v>
      </c>
      <c r="M40" s="228" t="s">
        <v>965</v>
      </c>
      <c r="N40" s="230">
        <f>((N14*E14+N15*E15+N16*E16+N17*E17+N20*E20+N21*E21+N22*E22+N23*E23+N24*E24)/E40)</f>
        <v>106877.86195698693</v>
      </c>
      <c r="O40" s="229"/>
    </row>
    <row r="41" spans="1:15" x14ac:dyDescent="0.25">
      <c r="M41" s="228"/>
      <c r="N41" s="229"/>
      <c r="O41" s="229"/>
    </row>
    <row r="42" spans="1:15" x14ac:dyDescent="0.25">
      <c r="C42" s="188" t="s">
        <v>554</v>
      </c>
      <c r="D42" s="189">
        <v>9</v>
      </c>
      <c r="E42" s="160"/>
      <c r="F42" s="160"/>
      <c r="G42" s="160"/>
      <c r="H42" s="169"/>
      <c r="M42" s="228"/>
      <c r="N42" s="231"/>
      <c r="O42" s="229"/>
    </row>
    <row r="43" spans="1:15" x14ac:dyDescent="0.25">
      <c r="C43" s="160" t="s">
        <v>555</v>
      </c>
      <c r="D43" s="169">
        <v>1666</v>
      </c>
      <c r="E43">
        <v>3564.17</v>
      </c>
      <c r="F43" s="160">
        <v>337.02</v>
      </c>
      <c r="G43" s="160">
        <v>3901.19</v>
      </c>
      <c r="H43" s="190">
        <v>0.91</v>
      </c>
      <c r="M43" s="228"/>
      <c r="N43" s="229"/>
      <c r="O43" s="229"/>
    </row>
    <row r="44" spans="1:15" x14ac:dyDescent="0.25">
      <c r="C44" s="160" t="s">
        <v>556</v>
      </c>
      <c r="D44" s="169">
        <v>45</v>
      </c>
      <c r="E44" s="160">
        <v>2895.65</v>
      </c>
      <c r="F44" s="160">
        <v>945.98</v>
      </c>
      <c r="G44" s="160">
        <v>3841.63</v>
      </c>
      <c r="H44" s="190">
        <v>0.75</v>
      </c>
      <c r="M44" s="228"/>
      <c r="N44" s="229"/>
      <c r="O44" s="229"/>
    </row>
    <row r="45" spans="1:15" x14ac:dyDescent="0.25">
      <c r="C45" s="160" t="s">
        <v>557</v>
      </c>
      <c r="D45" s="169">
        <v>46</v>
      </c>
      <c r="E45" s="160">
        <v>438.52</v>
      </c>
      <c r="F45" s="160">
        <v>232.08</v>
      </c>
      <c r="G45" s="160">
        <v>670.6</v>
      </c>
      <c r="H45" s="190">
        <v>0.65</v>
      </c>
    </row>
    <row r="46" spans="1:15" x14ac:dyDescent="0.25">
      <c r="C46" s="160" t="s">
        <v>558</v>
      </c>
      <c r="D46" s="169">
        <v>47</v>
      </c>
      <c r="E46" s="160">
        <v>1056.1300000000001</v>
      </c>
      <c r="F46" s="160">
        <v>304.98</v>
      </c>
      <c r="G46" s="160">
        <v>1361.11</v>
      </c>
      <c r="H46" s="190">
        <v>0.78</v>
      </c>
    </row>
    <row r="47" spans="1:15" x14ac:dyDescent="0.25">
      <c r="C47" s="160" t="s">
        <v>559</v>
      </c>
      <c r="D47" s="169">
        <v>48</v>
      </c>
      <c r="E47" s="160">
        <v>608.32000000000005</v>
      </c>
      <c r="F47" s="160">
        <v>166.14</v>
      </c>
      <c r="G47" s="160">
        <v>774.46</v>
      </c>
      <c r="H47" s="190">
        <v>0.79</v>
      </c>
    </row>
    <row r="48" spans="1:15" x14ac:dyDescent="0.25">
      <c r="C48" s="160" t="s">
        <v>560</v>
      </c>
      <c r="D48" s="169">
        <v>49</v>
      </c>
      <c r="E48" s="160">
        <v>881.33</v>
      </c>
      <c r="F48" s="160">
        <v>86.99</v>
      </c>
      <c r="G48" s="160">
        <v>968.32</v>
      </c>
      <c r="H48" s="190">
        <v>0.91</v>
      </c>
    </row>
    <row r="49" spans="3:8" customFormat="1" x14ac:dyDescent="0.25">
      <c r="C49" s="160" t="s">
        <v>561</v>
      </c>
      <c r="D49" s="169">
        <v>50</v>
      </c>
      <c r="E49" s="160">
        <v>5505.18</v>
      </c>
      <c r="F49" s="160">
        <v>339.46</v>
      </c>
      <c r="G49" s="160">
        <v>5844.64</v>
      </c>
      <c r="H49" s="190">
        <v>0.94</v>
      </c>
    </row>
    <row r="50" spans="3:8" customFormat="1" x14ac:dyDescent="0.25">
      <c r="C50" s="188" t="s">
        <v>562</v>
      </c>
      <c r="D50" s="189">
        <v>10</v>
      </c>
      <c r="F50" s="160"/>
      <c r="G50" s="160"/>
      <c r="H50" s="169"/>
    </row>
    <row r="51" spans="3:8" customFormat="1" x14ac:dyDescent="0.25">
      <c r="C51" s="160" t="s">
        <v>563</v>
      </c>
      <c r="D51" s="169">
        <v>51</v>
      </c>
      <c r="E51" s="160">
        <v>1368.49</v>
      </c>
      <c r="F51" s="160">
        <v>332.68</v>
      </c>
      <c r="G51" s="160">
        <v>1701.17</v>
      </c>
      <c r="H51" s="190">
        <v>0.8</v>
      </c>
    </row>
    <row r="52" spans="3:8" customFormat="1" x14ac:dyDescent="0.25">
      <c r="C52" s="160" t="s">
        <v>564</v>
      </c>
      <c r="D52" s="169">
        <v>52</v>
      </c>
      <c r="E52" s="160">
        <v>737.01</v>
      </c>
      <c r="F52" s="160">
        <v>155.52000000000001</v>
      </c>
      <c r="G52" s="160">
        <v>892.53</v>
      </c>
      <c r="H52" s="190">
        <v>0.83</v>
      </c>
    </row>
    <row r="53" spans="3:8" customFormat="1" x14ac:dyDescent="0.25">
      <c r="C53" s="160" t="s">
        <v>565</v>
      </c>
      <c r="D53" s="169">
        <v>53</v>
      </c>
      <c r="E53" s="160">
        <v>480.56</v>
      </c>
      <c r="F53" s="160">
        <v>103.43</v>
      </c>
      <c r="G53" s="160">
        <v>583.99</v>
      </c>
      <c r="H53" s="190">
        <v>0.82</v>
      </c>
    </row>
    <row r="54" spans="3:8" customFormat="1" x14ac:dyDescent="0.25">
      <c r="C54" s="160" t="s">
        <v>566</v>
      </c>
      <c r="D54" s="169">
        <v>54</v>
      </c>
      <c r="E54" s="160">
        <v>2521.36</v>
      </c>
      <c r="F54" s="160">
        <v>548.89</v>
      </c>
      <c r="G54" s="160">
        <v>3070.25</v>
      </c>
      <c r="H54" s="190">
        <v>0.82</v>
      </c>
    </row>
    <row r="55" spans="3:8" customFormat="1" x14ac:dyDescent="0.25">
      <c r="C55" s="160" t="s">
        <v>567</v>
      </c>
      <c r="D55" s="169">
        <v>55</v>
      </c>
      <c r="E55" s="160">
        <v>1448.8</v>
      </c>
      <c r="F55" s="160">
        <v>388.34</v>
      </c>
      <c r="G55" s="160">
        <v>1837.14</v>
      </c>
      <c r="H55" s="190">
        <v>0.79</v>
      </c>
    </row>
    <row r="56" spans="3:8" customFormat="1" x14ac:dyDescent="0.25">
      <c r="C56" s="160" t="s">
        <v>568</v>
      </c>
      <c r="D56" s="169">
        <v>56</v>
      </c>
      <c r="E56" s="160">
        <v>2425.79</v>
      </c>
      <c r="F56" s="160">
        <v>1005.84</v>
      </c>
      <c r="G56" s="160">
        <v>3431.63</v>
      </c>
      <c r="H56" s="190">
        <v>0.71</v>
      </c>
    </row>
    <row r="57" spans="3:8" customFormat="1" x14ac:dyDescent="0.25">
      <c r="C57" s="160" t="s">
        <v>569</v>
      </c>
      <c r="D57" s="169">
        <v>1660</v>
      </c>
      <c r="E57" s="160">
        <v>1538.8</v>
      </c>
      <c r="F57" s="160">
        <v>575.5</v>
      </c>
      <c r="G57" s="160">
        <v>2114.3000000000002</v>
      </c>
      <c r="H57" s="190">
        <v>0.73</v>
      </c>
    </row>
    <row r="58" spans="3:8" customFormat="1" x14ac:dyDescent="0.25">
      <c r="C58" s="188" t="s">
        <v>570</v>
      </c>
      <c r="D58" s="189">
        <v>11</v>
      </c>
      <c r="E58" s="160"/>
      <c r="F58" s="160"/>
      <c r="G58" s="160"/>
      <c r="H58" s="169"/>
    </row>
    <row r="59" spans="3:8" customFormat="1" x14ac:dyDescent="0.25">
      <c r="C59" s="160" t="s">
        <v>571</v>
      </c>
      <c r="D59" s="169">
        <v>1663</v>
      </c>
      <c r="E59" s="160">
        <v>7641.33</v>
      </c>
      <c r="F59" s="160">
        <v>816.92</v>
      </c>
      <c r="G59" s="160">
        <v>8458.25</v>
      </c>
      <c r="H59" s="190">
        <v>0.9</v>
      </c>
    </row>
    <row r="60" spans="3:8" customFormat="1" x14ac:dyDescent="0.25">
      <c r="C60" s="160" t="s">
        <v>572</v>
      </c>
      <c r="D60" s="169">
        <v>83</v>
      </c>
      <c r="E60" s="160">
        <v>582.14</v>
      </c>
      <c r="F60" s="160">
        <v>95.84</v>
      </c>
      <c r="G60" s="160">
        <v>677.98</v>
      </c>
      <c r="H60" s="190">
        <v>0.86</v>
      </c>
    </row>
    <row r="61" spans="3:8" customFormat="1" x14ac:dyDescent="0.25">
      <c r="C61" s="160" t="s">
        <v>573</v>
      </c>
      <c r="D61" s="169">
        <v>1693</v>
      </c>
      <c r="E61" s="160">
        <v>1791.16</v>
      </c>
      <c r="F61" s="160">
        <v>308.32</v>
      </c>
      <c r="G61" s="160">
        <v>2099.48</v>
      </c>
      <c r="H61" s="190">
        <v>0.85</v>
      </c>
    </row>
    <row r="62" spans="3:8" customFormat="1" x14ac:dyDescent="0.25">
      <c r="C62" s="160" t="s">
        <v>574</v>
      </c>
      <c r="D62" s="169">
        <v>85</v>
      </c>
      <c r="E62" s="160">
        <v>845.38</v>
      </c>
      <c r="F62" s="160">
        <v>30.16</v>
      </c>
      <c r="G62" s="160">
        <v>875.54</v>
      </c>
      <c r="H62" s="190">
        <v>0.97</v>
      </c>
    </row>
    <row r="63" spans="3:8" customFormat="1" x14ac:dyDescent="0.25">
      <c r="C63" s="160" t="s">
        <v>575</v>
      </c>
      <c r="D63" s="169">
        <v>86</v>
      </c>
      <c r="E63" s="160">
        <v>1557.96</v>
      </c>
      <c r="F63" s="160">
        <v>81.06</v>
      </c>
      <c r="G63" s="160">
        <v>1639.02</v>
      </c>
      <c r="H63" s="190">
        <v>0.95</v>
      </c>
    </row>
    <row r="64" spans="3:8" customFormat="1" x14ac:dyDescent="0.25">
      <c r="C64" s="160" t="s">
        <v>576</v>
      </c>
      <c r="D64" s="169">
        <v>1684</v>
      </c>
      <c r="E64" s="160">
        <v>1001.62</v>
      </c>
      <c r="F64" s="160">
        <v>520.91</v>
      </c>
      <c r="G64" s="160">
        <v>1522.53</v>
      </c>
      <c r="H64" s="190">
        <v>0.66</v>
      </c>
    </row>
    <row r="65" spans="3:8" customFormat="1" x14ac:dyDescent="0.25">
      <c r="C65" s="160" t="s">
        <v>577</v>
      </c>
      <c r="D65" s="169">
        <v>89</v>
      </c>
      <c r="E65" s="160">
        <v>532.54</v>
      </c>
      <c r="F65" s="160">
        <v>272.16000000000003</v>
      </c>
      <c r="G65" s="160">
        <v>804.7</v>
      </c>
      <c r="H65" s="190">
        <v>0.66</v>
      </c>
    </row>
    <row r="66" spans="3:8" customFormat="1" x14ac:dyDescent="0.25">
      <c r="C66" s="160" t="s">
        <v>578</v>
      </c>
      <c r="D66" s="169">
        <v>91</v>
      </c>
      <c r="E66" s="160">
        <v>1646.25</v>
      </c>
      <c r="F66" s="160">
        <v>761.32</v>
      </c>
      <c r="G66" s="160">
        <v>2407.5700000000002</v>
      </c>
      <c r="H66" s="190">
        <v>0.68</v>
      </c>
    </row>
    <row r="67" spans="3:8" customFormat="1" x14ac:dyDescent="0.25">
      <c r="C67" s="160" t="s">
        <v>579</v>
      </c>
      <c r="D67" s="169">
        <v>92</v>
      </c>
      <c r="E67" s="160">
        <v>321.51</v>
      </c>
      <c r="F67" s="160">
        <v>14.78</v>
      </c>
      <c r="G67" s="160">
        <v>336.29</v>
      </c>
      <c r="H67" s="190">
        <v>0.96</v>
      </c>
    </row>
    <row r="68" spans="3:8" customFormat="1" x14ac:dyDescent="0.25">
      <c r="C68" s="160" t="s">
        <v>580</v>
      </c>
      <c r="D68" s="169">
        <v>93</v>
      </c>
      <c r="E68" s="160">
        <v>285.88</v>
      </c>
      <c r="F68" s="160">
        <v>67.180000000000007</v>
      </c>
      <c r="G68" s="160">
        <v>353.06</v>
      </c>
      <c r="H68" s="190">
        <v>0.81</v>
      </c>
    </row>
    <row r="69" spans="3:8" customFormat="1" x14ac:dyDescent="0.25">
      <c r="C69" s="188" t="s">
        <v>581</v>
      </c>
      <c r="D69" s="189">
        <v>12</v>
      </c>
      <c r="E69" s="160"/>
      <c r="F69" s="160"/>
      <c r="G69" s="160"/>
      <c r="H69" s="169"/>
    </row>
    <row r="70" spans="3:8" customFormat="1" x14ac:dyDescent="0.25">
      <c r="C70" s="160" t="s">
        <v>582</v>
      </c>
      <c r="D70" s="169">
        <v>97</v>
      </c>
      <c r="E70" s="160">
        <v>6226.2</v>
      </c>
      <c r="F70" s="160">
        <v>1328.57</v>
      </c>
      <c r="G70" s="160">
        <v>7554.77</v>
      </c>
      <c r="H70" s="190">
        <v>0.82</v>
      </c>
    </row>
    <row r="71" spans="3:8" customFormat="1" x14ac:dyDescent="0.25">
      <c r="C71" s="191" t="s">
        <v>583</v>
      </c>
      <c r="D71" s="169">
        <v>98</v>
      </c>
      <c r="E71" s="160">
        <v>1204.48</v>
      </c>
      <c r="F71" s="160">
        <v>192.89</v>
      </c>
      <c r="G71" s="160">
        <v>1397.37</v>
      </c>
      <c r="H71" s="190">
        <v>0.86</v>
      </c>
    </row>
    <row r="72" spans="3:8" customFormat="1" x14ac:dyDescent="0.25">
      <c r="C72" s="160" t="s">
        <v>584</v>
      </c>
      <c r="D72" s="169">
        <v>99</v>
      </c>
      <c r="E72" s="160">
        <v>1495.83</v>
      </c>
      <c r="F72" s="160">
        <v>222.98</v>
      </c>
      <c r="G72" s="160">
        <v>1718.81</v>
      </c>
      <c r="H72" s="190">
        <v>0.87</v>
      </c>
    </row>
    <row r="73" spans="3:8" customFormat="1" x14ac:dyDescent="0.25">
      <c r="C73" s="160" t="s">
        <v>585</v>
      </c>
      <c r="D73" s="169">
        <v>100</v>
      </c>
      <c r="E73" s="160">
        <v>1013.84</v>
      </c>
      <c r="F73" s="160">
        <v>220.45</v>
      </c>
      <c r="G73" s="160">
        <v>1234.29</v>
      </c>
      <c r="H73" s="190">
        <v>0.82</v>
      </c>
    </row>
    <row r="74" spans="3:8" customFormat="1" x14ac:dyDescent="0.25">
      <c r="C74" s="160" t="s">
        <v>586</v>
      </c>
      <c r="D74" s="169">
        <v>101</v>
      </c>
      <c r="E74" s="160">
        <v>962.82</v>
      </c>
      <c r="F74" s="160">
        <v>357.82</v>
      </c>
      <c r="G74" s="160">
        <v>1320.64</v>
      </c>
      <c r="H74" s="190">
        <v>0.73</v>
      </c>
    </row>
    <row r="75" spans="3:8" customFormat="1" x14ac:dyDescent="0.25">
      <c r="C75" s="160" t="s">
        <v>587</v>
      </c>
      <c r="D75" s="169">
        <v>1642</v>
      </c>
      <c r="E75" s="160">
        <v>453.53</v>
      </c>
      <c r="F75" s="160">
        <v>64.19</v>
      </c>
      <c r="G75" s="160">
        <v>517.76</v>
      </c>
      <c r="H75" s="190">
        <v>0.88</v>
      </c>
    </row>
    <row r="76" spans="3:8" customFormat="1" x14ac:dyDescent="0.25">
      <c r="C76" s="160" t="s">
        <v>588</v>
      </c>
      <c r="D76" s="169">
        <v>104</v>
      </c>
      <c r="E76" s="160">
        <v>405.27</v>
      </c>
      <c r="F76" s="160">
        <v>126.91</v>
      </c>
      <c r="G76" s="160">
        <v>532.17999999999995</v>
      </c>
      <c r="H76" s="190">
        <v>0.76</v>
      </c>
    </row>
    <row r="77" spans="3:8" customFormat="1" x14ac:dyDescent="0.25">
      <c r="C77" s="160" t="s">
        <v>589</v>
      </c>
      <c r="D77" s="169">
        <v>106</v>
      </c>
      <c r="E77" s="160">
        <v>96.02</v>
      </c>
      <c r="F77" s="160">
        <v>4.55</v>
      </c>
      <c r="G77" s="160">
        <v>100.57</v>
      </c>
      <c r="H77" s="190">
        <v>0.95</v>
      </c>
    </row>
    <row r="78" spans="3:8" customFormat="1" x14ac:dyDescent="0.25">
      <c r="C78" s="160" t="s">
        <v>590</v>
      </c>
      <c r="D78" s="169">
        <v>108</v>
      </c>
      <c r="E78" s="160">
        <v>246.44</v>
      </c>
      <c r="F78" s="160">
        <v>0.34</v>
      </c>
      <c r="G78" s="160">
        <v>246.78</v>
      </c>
      <c r="H78" s="190">
        <v>1</v>
      </c>
    </row>
    <row r="79" spans="3:8" customFormat="1" x14ac:dyDescent="0.25">
      <c r="C79" s="160" t="s">
        <v>591</v>
      </c>
      <c r="D79" s="169">
        <v>103</v>
      </c>
      <c r="E79" s="160">
        <v>886.56</v>
      </c>
      <c r="F79" s="160">
        <v>439.5</v>
      </c>
      <c r="G79" s="160">
        <v>1326.06</v>
      </c>
      <c r="H79" s="190">
        <v>0.67</v>
      </c>
    </row>
    <row r="80" spans="3:8" customFormat="1" x14ac:dyDescent="0.25">
      <c r="C80" s="160" t="s">
        <v>592</v>
      </c>
      <c r="D80" s="169">
        <v>109</v>
      </c>
      <c r="E80" s="160">
        <v>3996.35</v>
      </c>
      <c r="F80" s="160">
        <v>1194.95</v>
      </c>
      <c r="G80" s="160">
        <v>5191.3</v>
      </c>
      <c r="H80" s="190">
        <v>0.77</v>
      </c>
    </row>
    <row r="81" spans="3:8" customFormat="1" x14ac:dyDescent="0.25">
      <c r="C81" s="160" t="s">
        <v>593</v>
      </c>
      <c r="D81" s="169">
        <v>110</v>
      </c>
      <c r="E81" s="160">
        <v>752.82</v>
      </c>
      <c r="F81" s="160">
        <v>54.53</v>
      </c>
      <c r="G81" s="160">
        <v>807.35</v>
      </c>
      <c r="H81" s="190">
        <v>0.93</v>
      </c>
    </row>
    <row r="82" spans="3:8" customFormat="1" x14ac:dyDescent="0.25">
      <c r="C82" s="160" t="s">
        <v>594</v>
      </c>
      <c r="D82" s="169">
        <v>112</v>
      </c>
      <c r="E82" s="160">
        <v>1027.67</v>
      </c>
      <c r="F82" s="160">
        <v>191.36</v>
      </c>
      <c r="G82" s="160">
        <v>1219.03</v>
      </c>
      <c r="H82" s="190">
        <v>0.84</v>
      </c>
    </row>
    <row r="83" spans="3:8" customFormat="1" x14ac:dyDescent="0.25">
      <c r="C83" s="188" t="s">
        <v>595</v>
      </c>
      <c r="D83" s="189">
        <v>13</v>
      </c>
      <c r="E83" s="160"/>
      <c r="F83" s="160"/>
      <c r="G83" s="160"/>
      <c r="H83" s="169"/>
    </row>
    <row r="84" spans="3:8" customFormat="1" x14ac:dyDescent="0.25">
      <c r="C84" s="160" t="s">
        <v>596</v>
      </c>
      <c r="D84" s="169">
        <v>1694</v>
      </c>
      <c r="E84" s="160">
        <v>3619.97</v>
      </c>
      <c r="F84" s="160">
        <v>253.39</v>
      </c>
      <c r="G84" s="160">
        <v>3873.36</v>
      </c>
      <c r="H84" s="190">
        <v>0.93</v>
      </c>
    </row>
    <row r="85" spans="3:8" customFormat="1" x14ac:dyDescent="0.25">
      <c r="C85" s="160" t="s">
        <v>597</v>
      </c>
      <c r="D85" s="169">
        <v>71</v>
      </c>
      <c r="E85" s="160">
        <v>1611.71</v>
      </c>
      <c r="F85" s="160">
        <v>207.35</v>
      </c>
      <c r="G85" s="160">
        <v>1819.06</v>
      </c>
      <c r="H85" s="190">
        <v>0.89</v>
      </c>
    </row>
    <row r="86" spans="3:8" customFormat="1" x14ac:dyDescent="0.25">
      <c r="C86" s="160" t="s">
        <v>598</v>
      </c>
      <c r="D86" s="169">
        <v>72</v>
      </c>
      <c r="E86" s="160">
        <v>2634.45</v>
      </c>
      <c r="F86" s="160">
        <v>182.77</v>
      </c>
      <c r="G86" s="160">
        <v>2817.22</v>
      </c>
      <c r="H86" s="190">
        <v>0.94</v>
      </c>
    </row>
    <row r="87" spans="3:8" customFormat="1" x14ac:dyDescent="0.25">
      <c r="C87" s="160" t="s">
        <v>599</v>
      </c>
      <c r="D87" s="169">
        <v>73</v>
      </c>
      <c r="E87" s="160">
        <v>2365.27</v>
      </c>
      <c r="F87" s="160">
        <v>879.36</v>
      </c>
      <c r="G87" s="160">
        <v>3244.63</v>
      </c>
      <c r="H87" s="190">
        <v>0.73</v>
      </c>
    </row>
    <row r="88" spans="3:8" customFormat="1" x14ac:dyDescent="0.25">
      <c r="C88" s="160" t="s">
        <v>600</v>
      </c>
      <c r="D88" s="169">
        <v>74</v>
      </c>
      <c r="E88" s="160">
        <v>2322.66</v>
      </c>
      <c r="F88" s="160">
        <v>392.49</v>
      </c>
      <c r="G88" s="160">
        <v>2715.15</v>
      </c>
      <c r="H88" s="190">
        <v>0.86</v>
      </c>
    </row>
    <row r="89" spans="3:8" customFormat="1" x14ac:dyDescent="0.25">
      <c r="C89" s="188" t="s">
        <v>601</v>
      </c>
      <c r="D89" s="189">
        <v>14</v>
      </c>
      <c r="E89" s="160"/>
      <c r="F89" s="160"/>
      <c r="G89" s="160"/>
      <c r="H89" s="169"/>
    </row>
    <row r="90" spans="3:8" customFormat="1" x14ac:dyDescent="0.25">
      <c r="C90" s="160" t="s">
        <v>602</v>
      </c>
      <c r="D90" s="169">
        <v>1658</v>
      </c>
      <c r="E90" s="160">
        <v>4768.08</v>
      </c>
      <c r="F90" s="160">
        <v>389.45</v>
      </c>
      <c r="G90" s="160">
        <v>5157.53</v>
      </c>
      <c r="H90" s="190">
        <v>0.92</v>
      </c>
    </row>
    <row r="91" spans="3:8" customFormat="1" x14ac:dyDescent="0.25">
      <c r="C91" s="160" t="s">
        <v>603</v>
      </c>
      <c r="D91" s="169">
        <v>67</v>
      </c>
      <c r="E91" s="160">
        <v>1118.2</v>
      </c>
      <c r="F91" s="160">
        <v>1.36</v>
      </c>
      <c r="G91" s="160">
        <v>1119.56</v>
      </c>
      <c r="H91" s="190">
        <v>1</v>
      </c>
    </row>
    <row r="92" spans="3:8" customFormat="1" x14ac:dyDescent="0.25">
      <c r="C92" s="160" t="s">
        <v>604</v>
      </c>
      <c r="D92" s="169">
        <v>68</v>
      </c>
      <c r="E92" s="160">
        <v>1859.81</v>
      </c>
      <c r="F92" s="160">
        <v>70.64</v>
      </c>
      <c r="G92" s="160">
        <v>1930.45</v>
      </c>
      <c r="H92" s="190">
        <v>0.96</v>
      </c>
    </row>
    <row r="93" spans="3:8" customFormat="1" x14ac:dyDescent="0.25">
      <c r="C93" s="188" t="s">
        <v>605</v>
      </c>
      <c r="D93" s="189">
        <v>33</v>
      </c>
      <c r="E93" s="160"/>
      <c r="F93" s="160"/>
      <c r="G93" s="160"/>
      <c r="H93" s="169"/>
    </row>
    <row r="94" spans="3:8" customFormat="1" x14ac:dyDescent="0.25">
      <c r="C94" s="160" t="s">
        <v>606</v>
      </c>
      <c r="D94" s="169">
        <v>75</v>
      </c>
      <c r="E94" s="160">
        <v>701.47</v>
      </c>
      <c r="F94" s="160">
        <v>55.64</v>
      </c>
      <c r="G94" s="160">
        <v>757.11</v>
      </c>
      <c r="H94" s="190">
        <v>0.93</v>
      </c>
    </row>
    <row r="95" spans="3:8" customFormat="1" x14ac:dyDescent="0.25">
      <c r="C95" s="160" t="s">
        <v>607</v>
      </c>
      <c r="D95" s="169">
        <v>76</v>
      </c>
      <c r="E95" s="160">
        <v>692.61</v>
      </c>
      <c r="F95" s="160">
        <v>44</v>
      </c>
      <c r="G95" s="160">
        <v>7436.61</v>
      </c>
      <c r="H95" s="190">
        <v>0.94</v>
      </c>
    </row>
    <row r="96" spans="3:8" customFormat="1" x14ac:dyDescent="0.25">
      <c r="C96" s="160" t="s">
        <v>608</v>
      </c>
      <c r="D96" s="169">
        <v>77</v>
      </c>
      <c r="E96" s="160">
        <v>2758.68</v>
      </c>
      <c r="F96" s="160">
        <v>753.89</v>
      </c>
      <c r="G96" s="160">
        <v>3512.57</v>
      </c>
      <c r="H96" s="190">
        <v>0.79</v>
      </c>
    </row>
    <row r="97" spans="3:8" customFormat="1" x14ac:dyDescent="0.25">
      <c r="C97" s="160" t="s">
        <v>609</v>
      </c>
      <c r="D97" s="169">
        <v>78</v>
      </c>
      <c r="E97" s="160">
        <v>133.82</v>
      </c>
      <c r="F97" s="160">
        <v>112.29</v>
      </c>
      <c r="G97" s="160">
        <v>246.11</v>
      </c>
      <c r="H97" s="190">
        <v>0.54</v>
      </c>
    </row>
    <row r="98" spans="3:8" customFormat="1" x14ac:dyDescent="0.25">
      <c r="C98" s="160" t="s">
        <v>610</v>
      </c>
      <c r="D98" s="169">
        <v>169</v>
      </c>
      <c r="E98" s="160">
        <v>1593.85</v>
      </c>
      <c r="F98" s="160">
        <v>446.05</v>
      </c>
      <c r="G98" s="160">
        <v>2039.9</v>
      </c>
      <c r="H98" s="190">
        <v>0.78</v>
      </c>
    </row>
    <row r="99" spans="3:8" customFormat="1" x14ac:dyDescent="0.25">
      <c r="C99" s="160" t="s">
        <v>611</v>
      </c>
      <c r="D99" s="169">
        <v>170</v>
      </c>
      <c r="E99" s="160">
        <v>4.8600000000000003</v>
      </c>
      <c r="F99" s="160">
        <v>2.21</v>
      </c>
      <c r="G99" s="160">
        <v>7.07</v>
      </c>
      <c r="H99" s="190">
        <v>0.69</v>
      </c>
    </row>
    <row r="100" spans="3:8" customFormat="1" x14ac:dyDescent="0.25">
      <c r="C100" s="160" t="s">
        <v>612</v>
      </c>
      <c r="D100" s="169">
        <v>1641</v>
      </c>
      <c r="E100" s="160">
        <v>43.91</v>
      </c>
      <c r="F100" s="160">
        <v>9.89</v>
      </c>
      <c r="G100" s="160">
        <v>53.8</v>
      </c>
      <c r="H100" s="190">
        <v>0.82</v>
      </c>
    </row>
    <row r="101" spans="3:8" customFormat="1" x14ac:dyDescent="0.25">
      <c r="C101" s="160" t="s">
        <v>613</v>
      </c>
      <c r="D101" s="169">
        <v>1651</v>
      </c>
      <c r="E101" s="160">
        <v>2302.9299999999998</v>
      </c>
      <c r="F101" s="160">
        <v>550.62</v>
      </c>
      <c r="G101" s="160">
        <v>2853.55</v>
      </c>
      <c r="H101" s="190">
        <v>0.81</v>
      </c>
    </row>
    <row r="102" spans="3:8" customFormat="1" x14ac:dyDescent="0.25">
      <c r="C102" s="160" t="s">
        <v>614</v>
      </c>
      <c r="D102" s="169">
        <v>1650</v>
      </c>
      <c r="E102" s="160">
        <v>109.85</v>
      </c>
      <c r="F102" s="160">
        <v>70.61</v>
      </c>
      <c r="G102" s="160">
        <v>80.459999999999994</v>
      </c>
      <c r="H102" s="190">
        <v>0.61</v>
      </c>
    </row>
    <row r="103" spans="3:8" customFormat="1" x14ac:dyDescent="0.25">
      <c r="C103" s="160" t="s">
        <v>615</v>
      </c>
      <c r="D103" s="169">
        <v>80</v>
      </c>
      <c r="E103" s="160">
        <v>1331.12</v>
      </c>
      <c r="F103" s="160">
        <v>103.87</v>
      </c>
      <c r="G103" s="160">
        <v>1434.99</v>
      </c>
      <c r="H103" s="190">
        <v>0.93</v>
      </c>
    </row>
    <row r="104" spans="3:8" customFormat="1" x14ac:dyDescent="0.25">
      <c r="C104" s="160" t="s">
        <v>616</v>
      </c>
      <c r="D104" s="169">
        <v>1655</v>
      </c>
      <c r="E104" s="160">
        <v>2648.47</v>
      </c>
      <c r="F104" s="160">
        <v>852.34</v>
      </c>
      <c r="G104" s="160">
        <v>3500.81</v>
      </c>
      <c r="H104" s="190">
        <v>0.76</v>
      </c>
    </row>
    <row r="105" spans="3:8" customFormat="1" x14ac:dyDescent="0.25">
      <c r="C105" s="192" t="s">
        <v>617</v>
      </c>
      <c r="D105" s="192"/>
      <c r="E105" s="193">
        <v>93065.47</v>
      </c>
      <c r="F105" s="193">
        <v>18268.759999999998</v>
      </c>
      <c r="G105" s="193">
        <v>111334.23</v>
      </c>
      <c r="H105" s="194">
        <v>0.84</v>
      </c>
    </row>
  </sheetData>
  <mergeCells count="10">
    <mergeCell ref="A20:A22"/>
    <mergeCell ref="A23:A24"/>
    <mergeCell ref="A25:A29"/>
    <mergeCell ref="A30:A33"/>
    <mergeCell ref="B1:H1"/>
    <mergeCell ref="G3:M3"/>
    <mergeCell ref="A5:A8"/>
    <mergeCell ref="A9:A13"/>
    <mergeCell ref="A14:A17"/>
    <mergeCell ref="A18:A19"/>
  </mergeCell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9"/>
  <sheetViews>
    <sheetView topLeftCell="A25" workbookViewId="0">
      <selection activeCell="E36" sqref="E36"/>
    </sheetView>
  </sheetViews>
  <sheetFormatPr baseColWidth="10" defaultRowHeight="15" x14ac:dyDescent="0.25"/>
  <cols>
    <col min="1" max="1" width="52.5703125" customWidth="1"/>
    <col min="2" max="2" width="39.28515625" customWidth="1"/>
    <col min="3" max="3" width="20.7109375" customWidth="1"/>
    <col min="4" max="4" width="19.7109375" customWidth="1"/>
    <col min="5" max="5" width="28" bestFit="1" customWidth="1"/>
    <col min="13" max="13" width="16.28515625" customWidth="1"/>
    <col min="14" max="14" width="19.42578125" customWidth="1"/>
  </cols>
  <sheetData>
    <row r="1" spans="1:14" ht="21" x14ac:dyDescent="0.35">
      <c r="A1" s="1101" t="s">
        <v>657</v>
      </c>
      <c r="B1" s="1101"/>
      <c r="C1" s="1101"/>
      <c r="D1" s="1101"/>
      <c r="E1" s="1101"/>
    </row>
    <row r="3" spans="1:14" ht="15.75" thickBot="1" x14ac:dyDescent="0.3">
      <c r="E3" s="109"/>
      <c r="F3" s="1100" t="s">
        <v>658</v>
      </c>
      <c r="G3" s="1100"/>
      <c r="H3" s="1100"/>
      <c r="I3" s="1100"/>
      <c r="J3" s="1100"/>
      <c r="K3" s="1100"/>
      <c r="L3" s="1100"/>
    </row>
    <row r="4" spans="1:14" ht="60" x14ac:dyDescent="0.25">
      <c r="A4" s="203" t="s">
        <v>475</v>
      </c>
      <c r="B4" s="204" t="s">
        <v>659</v>
      </c>
      <c r="C4" s="175" t="s">
        <v>660</v>
      </c>
      <c r="D4" s="175" t="s">
        <v>661</v>
      </c>
      <c r="E4" s="175" t="s">
        <v>479</v>
      </c>
      <c r="F4" s="205" t="s">
        <v>662</v>
      </c>
      <c r="G4" s="205" t="s">
        <v>663</v>
      </c>
      <c r="H4" s="205" t="s">
        <v>664</v>
      </c>
      <c r="I4" s="205" t="s">
        <v>665</v>
      </c>
      <c r="J4" s="205" t="s">
        <v>666</v>
      </c>
      <c r="K4" s="205" t="s">
        <v>667</v>
      </c>
      <c r="L4" s="206" t="s">
        <v>668</v>
      </c>
      <c r="M4" s="175" t="s">
        <v>487</v>
      </c>
      <c r="N4" s="175" t="s">
        <v>669</v>
      </c>
    </row>
    <row r="5" spans="1:14" x14ac:dyDescent="0.25">
      <c r="A5" s="195" t="s">
        <v>670</v>
      </c>
      <c r="B5" s="207" t="s">
        <v>671</v>
      </c>
      <c r="C5" s="160">
        <v>2631.45</v>
      </c>
      <c r="D5" s="195">
        <f>+C5*E5</f>
        <v>1894.6439999999998</v>
      </c>
      <c r="E5" s="297">
        <v>0.72</v>
      </c>
      <c r="F5" s="208">
        <v>1.2385421249808739E-2</v>
      </c>
      <c r="G5" s="208">
        <v>0.12101527881705972</v>
      </c>
      <c r="H5" s="208">
        <v>7.1400136593304339E-2</v>
      </c>
      <c r="I5" s="208">
        <v>6.0532466331788021E-2</v>
      </c>
      <c r="J5" s="208">
        <v>0</v>
      </c>
      <c r="K5" s="208">
        <v>5.9951187840929839E-3</v>
      </c>
      <c r="L5" s="209">
        <v>0.72867157822394635</v>
      </c>
      <c r="M5" s="534">
        <v>110181.97340365741</v>
      </c>
      <c r="N5" s="210">
        <f>+M5*D5</f>
        <v>208755614.81739905</v>
      </c>
    </row>
    <row r="6" spans="1:14" x14ac:dyDescent="0.25">
      <c r="A6" s="195" t="s">
        <v>672</v>
      </c>
      <c r="B6" s="207" t="s">
        <v>673</v>
      </c>
      <c r="C6" s="160">
        <v>59.23</v>
      </c>
      <c r="D6" s="195">
        <f t="shared" ref="D6:D27" si="0">+C6*E6</f>
        <v>50.345499999999994</v>
      </c>
      <c r="E6" s="297">
        <v>0.85</v>
      </c>
      <c r="F6" s="208">
        <v>1.1564808667365692E-2</v>
      </c>
      <c r="G6" s="208">
        <v>6.2443868293315587E-2</v>
      </c>
      <c r="H6" s="208">
        <v>4.1369855550681268E-2</v>
      </c>
      <c r="I6" s="208">
        <v>4.0264398888119585E-2</v>
      </c>
      <c r="J6" s="208">
        <v>0</v>
      </c>
      <c r="K6" s="208">
        <v>3.4474066490839839E-2</v>
      </c>
      <c r="L6" s="209">
        <v>0.80988300210967801</v>
      </c>
      <c r="M6" s="534">
        <v>127287.72230046385</v>
      </c>
      <c r="N6" s="210">
        <f t="shared" ref="N6:N27" si="1">+M6*D6</f>
        <v>6408364.023078002</v>
      </c>
    </row>
    <row r="7" spans="1:14" x14ac:dyDescent="0.25">
      <c r="A7" s="195" t="s">
        <v>674</v>
      </c>
      <c r="B7" s="207" t="s">
        <v>675</v>
      </c>
      <c r="C7" s="160">
        <v>2321.7800000000002</v>
      </c>
      <c r="D7" s="195">
        <f t="shared" si="0"/>
        <v>1253.7612000000001</v>
      </c>
      <c r="E7" s="297">
        <v>0.54</v>
      </c>
      <c r="F7" s="208">
        <v>4.3534572079850786E-2</v>
      </c>
      <c r="G7" s="208">
        <v>0.20201414820262562</v>
      </c>
      <c r="H7" s="208">
        <v>0</v>
      </c>
      <c r="I7" s="208">
        <v>0.12058986059022628</v>
      </c>
      <c r="J7" s="208">
        <v>0</v>
      </c>
      <c r="K7" s="208">
        <v>0.26186466159303401</v>
      </c>
      <c r="L7" s="209">
        <v>0.37199675753426326</v>
      </c>
      <c r="M7" s="534">
        <v>55271.679743528272</v>
      </c>
      <c r="N7" s="210">
        <f t="shared" si="1"/>
        <v>69297487.521261707</v>
      </c>
    </row>
    <row r="8" spans="1:14" x14ac:dyDescent="0.25">
      <c r="A8" s="195" t="s">
        <v>676</v>
      </c>
      <c r="B8" s="207" t="s">
        <v>677</v>
      </c>
      <c r="C8" s="160">
        <v>686.09</v>
      </c>
      <c r="D8" s="195">
        <f t="shared" si="0"/>
        <v>507.70660000000004</v>
      </c>
      <c r="E8" s="297">
        <v>0.74</v>
      </c>
      <c r="F8" s="208">
        <v>4.4230728493655606E-3</v>
      </c>
      <c r="G8" s="208">
        <v>0.14953432047507073</v>
      </c>
      <c r="H8" s="208">
        <v>6.4623184414740742E-3</v>
      </c>
      <c r="I8" s="208">
        <v>2.3658920640300521E-2</v>
      </c>
      <c r="J8" s="208">
        <v>0</v>
      </c>
      <c r="K8" s="208">
        <v>2.5885991484313763E-2</v>
      </c>
      <c r="L8" s="209">
        <v>0.79003537610947527</v>
      </c>
      <c r="M8" s="534">
        <v>76106.260103233275</v>
      </c>
      <c r="N8" s="210">
        <f t="shared" si="1"/>
        <v>38639650.555728219</v>
      </c>
    </row>
    <row r="9" spans="1:14" x14ac:dyDescent="0.25">
      <c r="A9" s="195" t="s">
        <v>678</v>
      </c>
      <c r="B9" s="207" t="s">
        <v>679</v>
      </c>
      <c r="C9" s="195">
        <v>13725.17</v>
      </c>
      <c r="D9" s="195">
        <f t="shared" si="0"/>
        <v>10156.6258</v>
      </c>
      <c r="E9" s="297">
        <v>0.74</v>
      </c>
      <c r="F9" s="208">
        <v>1.0785615778045479E-2</v>
      </c>
      <c r="G9" s="208">
        <v>9.9623644747587822E-2</v>
      </c>
      <c r="H9" s="208">
        <v>2.2866034626189576E-2</v>
      </c>
      <c r="I9" s="208">
        <v>0.11242079708239389</v>
      </c>
      <c r="J9" s="208">
        <v>6.1142311694839437E-4</v>
      </c>
      <c r="K9" s="208">
        <v>6.9104461615031768E-2</v>
      </c>
      <c r="L9" s="209">
        <v>0.68458802303380295</v>
      </c>
      <c r="M9" s="534">
        <v>82707.458945720093</v>
      </c>
      <c r="N9" s="210">
        <f t="shared" si="1"/>
        <v>840028711.38054144</v>
      </c>
    </row>
    <row r="10" spans="1:14" x14ac:dyDescent="0.25">
      <c r="A10" s="195" t="s">
        <v>680</v>
      </c>
      <c r="B10" s="207" t="s">
        <v>681</v>
      </c>
      <c r="C10" s="195">
        <v>11226.9</v>
      </c>
      <c r="D10" s="195">
        <f t="shared" si="0"/>
        <v>8869.2510000000002</v>
      </c>
      <c r="E10" s="297">
        <v>0.79</v>
      </c>
      <c r="F10" s="208">
        <v>7.6244941702086361E-3</v>
      </c>
      <c r="G10" s="208">
        <v>0.15107297754211149</v>
      </c>
      <c r="H10" s="208">
        <v>2.4060830191634731E-2</v>
      </c>
      <c r="I10" s="208">
        <v>4.5811009324840682E-2</v>
      </c>
      <c r="J10" s="208">
        <v>0</v>
      </c>
      <c r="K10" s="208">
        <v>2.4399392570513795E-2</v>
      </c>
      <c r="L10" s="209">
        <v>0.74703129620069053</v>
      </c>
      <c r="M10" s="534">
        <v>93533.083631202957</v>
      </c>
      <c r="N10" s="210">
        <f t="shared" si="1"/>
        <v>829568395.52913046</v>
      </c>
    </row>
    <row r="11" spans="1:14" x14ac:dyDescent="0.25">
      <c r="A11" s="195" t="s">
        <v>682</v>
      </c>
      <c r="B11" s="207" t="s">
        <v>683</v>
      </c>
      <c r="C11" s="195">
        <v>1862.06</v>
      </c>
      <c r="D11" s="195">
        <f t="shared" si="0"/>
        <v>1303.4419999999998</v>
      </c>
      <c r="E11" s="297">
        <v>0.7</v>
      </c>
      <c r="F11" s="208">
        <v>5.882732145253422E-3</v>
      </c>
      <c r="G11" s="208">
        <v>0.13459339881542834</v>
      </c>
      <c r="H11" s="208">
        <v>0</v>
      </c>
      <c r="I11" s="208">
        <v>1.4274324896790709E-2</v>
      </c>
      <c r="J11" s="208">
        <v>0</v>
      </c>
      <c r="K11" s="208">
        <v>5.4608173070598023E-2</v>
      </c>
      <c r="L11" s="209">
        <v>0.79064137107192944</v>
      </c>
      <c r="M11" s="534">
        <v>79694.083941910736</v>
      </c>
      <c r="N11" s="210">
        <f t="shared" si="1"/>
        <v>103876616.161412</v>
      </c>
    </row>
    <row r="12" spans="1:14" x14ac:dyDescent="0.25">
      <c r="A12" s="195" t="s">
        <v>684</v>
      </c>
      <c r="B12" s="207" t="s">
        <v>685</v>
      </c>
      <c r="C12" s="195">
        <v>2653.68</v>
      </c>
      <c r="D12" s="195">
        <f t="shared" si="0"/>
        <v>1963.7231999999999</v>
      </c>
      <c r="E12" s="297">
        <v>0.74</v>
      </c>
      <c r="F12" s="208">
        <v>3.2892444936430662E-2</v>
      </c>
      <c r="G12" s="208">
        <v>7.5855255661006996E-2</v>
      </c>
      <c r="H12" s="208">
        <v>1.3879031076527366E-2</v>
      </c>
      <c r="I12" s="208">
        <v>5.0646274560875143E-2</v>
      </c>
      <c r="J12" s="208">
        <v>0</v>
      </c>
      <c r="K12" s="208">
        <v>2.1417001741848306E-2</v>
      </c>
      <c r="L12" s="209">
        <v>0.80530999202331144</v>
      </c>
      <c r="M12" s="534">
        <v>78432.128577911077</v>
      </c>
      <c r="N12" s="210">
        <f t="shared" si="1"/>
        <v>154018990.513827</v>
      </c>
    </row>
    <row r="13" spans="1:14" x14ac:dyDescent="0.25">
      <c r="A13" s="195" t="s">
        <v>686</v>
      </c>
      <c r="B13" s="211"/>
      <c r="C13" s="160">
        <v>77.290000000000006</v>
      </c>
      <c r="D13" s="195">
        <f t="shared" si="0"/>
        <v>64.150700000000001</v>
      </c>
      <c r="E13" s="297">
        <v>0.83</v>
      </c>
      <c r="F13" s="208">
        <v>0.18090333614110321</v>
      </c>
      <c r="G13" s="208">
        <v>0.20056410649105341</v>
      </c>
      <c r="H13" s="208">
        <v>2.3757561834749981E-2</v>
      </c>
      <c r="I13" s="209">
        <v>0.27024784950353525</v>
      </c>
      <c r="J13" s="208">
        <v>0</v>
      </c>
      <c r="K13" s="208">
        <v>0.23280879087219544</v>
      </c>
      <c r="L13" s="208">
        <v>9.1718355157362749E-2</v>
      </c>
      <c r="M13" s="534">
        <v>107007.26973734589</v>
      </c>
      <c r="N13" s="210">
        <f t="shared" si="1"/>
        <v>6864591.2587395553</v>
      </c>
    </row>
    <row r="14" spans="1:14" x14ac:dyDescent="0.25">
      <c r="A14" s="195" t="s">
        <v>687</v>
      </c>
      <c r="B14" s="207" t="s">
        <v>688</v>
      </c>
      <c r="C14" s="160">
        <v>3525.49</v>
      </c>
      <c r="D14" s="195">
        <f t="shared" si="0"/>
        <v>2467.8429999999998</v>
      </c>
      <c r="E14" s="297">
        <v>0.7</v>
      </c>
      <c r="F14" s="208">
        <v>3.1365113136114967E-2</v>
      </c>
      <c r="G14" s="208">
        <v>0.27836537908302034</v>
      </c>
      <c r="H14" s="208">
        <v>2.5974254293827874E-2</v>
      </c>
      <c r="I14" s="208">
        <v>7.8448583385222898E-2</v>
      </c>
      <c r="J14" s="208">
        <v>0</v>
      </c>
      <c r="K14" s="208">
        <v>2.4516980326321977E-3</v>
      </c>
      <c r="L14" s="209">
        <v>0.58339497206918178</v>
      </c>
      <c r="M14" s="534">
        <v>66031.340495466764</v>
      </c>
      <c r="N14" s="210">
        <f t="shared" si="1"/>
        <v>162954981.42235416</v>
      </c>
    </row>
    <row r="15" spans="1:14" x14ac:dyDescent="0.25">
      <c r="A15" s="195" t="s">
        <v>689</v>
      </c>
      <c r="B15" s="207" t="s">
        <v>690</v>
      </c>
      <c r="C15" s="160">
        <v>3233.11</v>
      </c>
      <c r="D15" s="195">
        <f t="shared" si="0"/>
        <v>1875.2038</v>
      </c>
      <c r="E15" s="297">
        <v>0.57999999999999996</v>
      </c>
      <c r="F15" s="208">
        <v>2.6237292683423757E-2</v>
      </c>
      <c r="G15" s="208">
        <v>0.16550647982145852</v>
      </c>
      <c r="H15" s="208">
        <v>1.2888868819017404E-2</v>
      </c>
      <c r="I15" s="208">
        <v>6.7952070446202092E-2</v>
      </c>
      <c r="J15" s="208">
        <v>0</v>
      </c>
      <c r="K15" s="208">
        <v>2.8208363234595519E-3</v>
      </c>
      <c r="L15" s="209">
        <v>0.72459445190643856</v>
      </c>
      <c r="M15" s="534">
        <v>70266.123650660229</v>
      </c>
      <c r="N15" s="210">
        <f t="shared" si="1"/>
        <v>131763302.08098793</v>
      </c>
    </row>
    <row r="16" spans="1:14" x14ac:dyDescent="0.25">
      <c r="A16" s="195" t="s">
        <v>691</v>
      </c>
      <c r="B16" s="211"/>
      <c r="C16" s="160">
        <v>600</v>
      </c>
      <c r="D16" s="195">
        <f t="shared" si="0"/>
        <v>576</v>
      </c>
      <c r="E16" s="297">
        <v>0.96</v>
      </c>
      <c r="F16" s="208">
        <v>1.3399963569838995E-3</v>
      </c>
      <c r="G16" s="208">
        <v>0</v>
      </c>
      <c r="H16" s="208">
        <v>0</v>
      </c>
      <c r="I16" s="208">
        <v>0.17437850937284685</v>
      </c>
      <c r="J16" s="208">
        <v>0</v>
      </c>
      <c r="K16" s="208">
        <v>0</v>
      </c>
      <c r="L16" s="209">
        <v>0.82428149427016928</v>
      </c>
      <c r="M16" s="534">
        <v>87442.194884967801</v>
      </c>
      <c r="N16" s="210">
        <f t="shared" si="1"/>
        <v>50366704.253741451</v>
      </c>
    </row>
    <row r="17" spans="1:14" ht="28.5" customHeight="1" x14ac:dyDescent="0.25">
      <c r="A17" s="195" t="s">
        <v>692</v>
      </c>
      <c r="B17" s="212" t="s">
        <v>693</v>
      </c>
      <c r="C17" s="160">
        <v>22180.49</v>
      </c>
      <c r="D17" s="195">
        <f t="shared" si="0"/>
        <v>14417.318500000001</v>
      </c>
      <c r="E17" s="297">
        <v>0.65</v>
      </c>
      <c r="F17" s="208">
        <v>8.8627107942296675E-3</v>
      </c>
      <c r="G17" s="208">
        <v>0.1547929925893051</v>
      </c>
      <c r="H17" s="208">
        <v>1.7660565948537849E-2</v>
      </c>
      <c r="I17" s="208">
        <v>8.63137447860889E-2</v>
      </c>
      <c r="J17" s="208">
        <v>0</v>
      </c>
      <c r="K17" s="208">
        <v>8.8113622793166216E-2</v>
      </c>
      <c r="L17" s="209">
        <v>0.64425636308867229</v>
      </c>
      <c r="M17" s="534">
        <v>87140.843356812664</v>
      </c>
      <c r="N17" s="210">
        <f t="shared" si="1"/>
        <v>1256337293.0337775</v>
      </c>
    </row>
    <row r="18" spans="1:14" x14ac:dyDescent="0.25">
      <c r="A18" s="195" t="s">
        <v>694</v>
      </c>
      <c r="B18" s="207" t="s">
        <v>695</v>
      </c>
      <c r="C18" s="160">
        <v>4386.51</v>
      </c>
      <c r="D18" s="195">
        <f t="shared" si="0"/>
        <v>2851.2315000000003</v>
      </c>
      <c r="E18" s="297">
        <v>0.65</v>
      </c>
      <c r="F18" s="208">
        <v>2.9750004385675731E-3</v>
      </c>
      <c r="G18" s="208">
        <v>7.1771129429456917E-2</v>
      </c>
      <c r="H18" s="208">
        <v>7.1172560309090388E-2</v>
      </c>
      <c r="I18" s="208">
        <v>9.1434382124832722E-2</v>
      </c>
      <c r="J18" s="208">
        <v>5.6519765685948947E-4</v>
      </c>
      <c r="K18" s="208">
        <v>0.10980784287868099</v>
      </c>
      <c r="L18" s="209">
        <v>0.652273887162512</v>
      </c>
      <c r="M18" s="534">
        <v>100908.10181237798</v>
      </c>
      <c r="N18" s="210">
        <f t="shared" si="1"/>
        <v>287712358.49265921</v>
      </c>
    </row>
    <row r="19" spans="1:14" x14ac:dyDescent="0.25">
      <c r="A19" s="195" t="s">
        <v>696</v>
      </c>
      <c r="B19" s="207" t="s">
        <v>697</v>
      </c>
      <c r="C19" s="160">
        <v>1051.03</v>
      </c>
      <c r="D19" s="195">
        <f t="shared" si="0"/>
        <v>578.06650000000002</v>
      </c>
      <c r="E19" s="297">
        <v>0.55000000000000004</v>
      </c>
      <c r="F19" s="208">
        <v>5.4531153200938331E-3</v>
      </c>
      <c r="G19" s="208">
        <v>6.9327792511537603E-2</v>
      </c>
      <c r="H19" s="208">
        <v>4.7605125956244214E-2</v>
      </c>
      <c r="I19" s="208">
        <v>0.17306715114053228</v>
      </c>
      <c r="J19" s="208">
        <v>0</v>
      </c>
      <c r="K19" s="208">
        <v>5.5987359130174524E-2</v>
      </c>
      <c r="L19" s="209">
        <v>0.64855945594141751</v>
      </c>
      <c r="M19" s="534">
        <v>105077.34586979068</v>
      </c>
      <c r="N19" s="210">
        <f t="shared" si="1"/>
        <v>60741693.556239352</v>
      </c>
    </row>
    <row r="20" spans="1:14" x14ac:dyDescent="0.25">
      <c r="A20" s="195" t="s">
        <v>698</v>
      </c>
      <c r="B20" s="207" t="s">
        <v>699</v>
      </c>
      <c r="C20" s="160">
        <v>4380.6400000000003</v>
      </c>
      <c r="D20" s="195">
        <f t="shared" si="0"/>
        <v>1883.6752000000001</v>
      </c>
      <c r="E20" s="297">
        <v>0.43</v>
      </c>
      <c r="F20" s="208">
        <v>5.4786307626787302E-2</v>
      </c>
      <c r="G20" s="208">
        <v>0.12038851321085497</v>
      </c>
      <c r="H20" s="208">
        <v>0.11732395136211171</v>
      </c>
      <c r="I20" s="208">
        <v>9.1369931045635566E-2</v>
      </c>
      <c r="J20" s="208">
        <v>0</v>
      </c>
      <c r="K20" s="208">
        <v>8.0067277481017926E-2</v>
      </c>
      <c r="L20" s="209">
        <v>0.53606401927359237</v>
      </c>
      <c r="M20" s="534">
        <v>71324.452865104598</v>
      </c>
      <c r="N20" s="210">
        <f t="shared" si="1"/>
        <v>134352103.0155665</v>
      </c>
    </row>
    <row r="21" spans="1:14" x14ac:dyDescent="0.25">
      <c r="A21" s="195" t="s">
        <v>700</v>
      </c>
      <c r="B21" s="207" t="s">
        <v>701</v>
      </c>
      <c r="C21" s="160">
        <v>1301.3</v>
      </c>
      <c r="D21" s="195">
        <f t="shared" si="0"/>
        <v>780.78</v>
      </c>
      <c r="E21" s="297">
        <v>0.6</v>
      </c>
      <c r="F21" s="208">
        <v>1.1411574122707597E-2</v>
      </c>
      <c r="G21" s="208">
        <v>6.8034737848940416E-2</v>
      </c>
      <c r="H21" s="208">
        <v>0.18845683892762172</v>
      </c>
      <c r="I21" s="208">
        <v>3.7893447743947289E-2</v>
      </c>
      <c r="J21" s="208">
        <v>0</v>
      </c>
      <c r="K21" s="208">
        <v>8.9600760771608196E-2</v>
      </c>
      <c r="L21" s="209">
        <v>0.60460264058517466</v>
      </c>
      <c r="M21" s="534">
        <v>118283.26236806749</v>
      </c>
      <c r="N21" s="210">
        <f t="shared" si="1"/>
        <v>92353205.591739729</v>
      </c>
    </row>
    <row r="22" spans="1:14" x14ac:dyDescent="0.25">
      <c r="A22" s="195" t="s">
        <v>702</v>
      </c>
      <c r="B22" s="207" t="s">
        <v>703</v>
      </c>
      <c r="C22" s="160">
        <v>488.33</v>
      </c>
      <c r="D22" s="195">
        <f t="shared" si="0"/>
        <v>327.18110000000001</v>
      </c>
      <c r="E22" s="297">
        <v>0.67</v>
      </c>
      <c r="F22" s="208">
        <v>7.0495161686059144E-3</v>
      </c>
      <c r="G22" s="208">
        <v>4.382309584270043E-2</v>
      </c>
      <c r="H22" s="208">
        <v>4.6184903183851933E-2</v>
      </c>
      <c r="I22" s="208">
        <v>4.5183528787519106E-2</v>
      </c>
      <c r="J22" s="208">
        <v>0</v>
      </c>
      <c r="K22" s="208">
        <v>0.14520327700768582</v>
      </c>
      <c r="L22" s="209">
        <v>0.7125556790096369</v>
      </c>
      <c r="M22" s="534">
        <v>116499.84428827614</v>
      </c>
      <c r="N22" s="210">
        <f t="shared" si="1"/>
        <v>38116547.20406691</v>
      </c>
    </row>
    <row r="23" spans="1:14" x14ac:dyDescent="0.25">
      <c r="A23" s="195" t="s">
        <v>704</v>
      </c>
      <c r="B23" s="207" t="s">
        <v>705</v>
      </c>
      <c r="C23" s="160">
        <v>8641.44</v>
      </c>
      <c r="D23" s="195">
        <f t="shared" si="0"/>
        <v>6135.4224000000004</v>
      </c>
      <c r="E23" s="297">
        <v>0.71</v>
      </c>
      <c r="F23" s="208">
        <v>2.872174870655986E-3</v>
      </c>
      <c r="G23" s="208">
        <v>0.17345319089019301</v>
      </c>
      <c r="H23" s="208">
        <v>1.6347416329153586E-2</v>
      </c>
      <c r="I23" s="208">
        <v>4.4674690475292114E-2</v>
      </c>
      <c r="J23" s="208">
        <v>3.6423111389340267E-3</v>
      </c>
      <c r="K23" s="208">
        <v>1.8706762364393132E-2</v>
      </c>
      <c r="L23" s="209">
        <v>0.7403034539313782</v>
      </c>
      <c r="M23" s="534">
        <v>88380.504737284646</v>
      </c>
      <c r="N23" s="210">
        <f t="shared" si="1"/>
        <v>542251728.48844242</v>
      </c>
    </row>
    <row r="24" spans="1:14" x14ac:dyDescent="0.25">
      <c r="A24" s="195" t="s">
        <v>706</v>
      </c>
      <c r="B24" s="207" t="s">
        <v>707</v>
      </c>
      <c r="C24" s="160">
        <v>5394.39</v>
      </c>
      <c r="D24" s="195">
        <f t="shared" si="0"/>
        <v>3722.1291000000001</v>
      </c>
      <c r="E24" s="297">
        <v>0.69</v>
      </c>
      <c r="F24" s="208">
        <v>1.1402308003769087E-2</v>
      </c>
      <c r="G24" s="208">
        <v>0.22158585011122889</v>
      </c>
      <c r="H24" s="208">
        <v>3.1264352675469684E-3</v>
      </c>
      <c r="I24" s="208">
        <v>2.7508988002441868E-2</v>
      </c>
      <c r="J24" s="208">
        <v>5.0793346670328975E-4</v>
      </c>
      <c r="K24" s="208">
        <v>8.3147910175608783E-3</v>
      </c>
      <c r="L24" s="209">
        <v>0.72755369413074911</v>
      </c>
      <c r="M24" s="534">
        <v>82060.547671900946</v>
      </c>
      <c r="N24" s="210">
        <f t="shared" si="1"/>
        <v>305439952.45151979</v>
      </c>
    </row>
    <row r="25" spans="1:14" x14ac:dyDescent="0.25">
      <c r="A25" s="195" t="s">
        <v>708</v>
      </c>
      <c r="B25" s="207" t="s">
        <v>709</v>
      </c>
      <c r="C25" s="160">
        <v>1801.3</v>
      </c>
      <c r="D25" s="195">
        <f t="shared" si="0"/>
        <v>828.59800000000007</v>
      </c>
      <c r="E25" s="297">
        <v>0.46</v>
      </c>
      <c r="F25" s="208">
        <v>1.0960953370752341E-2</v>
      </c>
      <c r="G25" s="208">
        <v>7.7242891402338879E-2</v>
      </c>
      <c r="H25" s="208">
        <v>5.591260025549568E-2</v>
      </c>
      <c r="I25" s="208">
        <v>0.1047215294098495</v>
      </c>
      <c r="J25" s="208">
        <v>0</v>
      </c>
      <c r="K25" s="208">
        <v>0.13246448807044209</v>
      </c>
      <c r="L25" s="209">
        <v>0.61869753749112155</v>
      </c>
      <c r="M25" s="534">
        <v>57088.158580396746</v>
      </c>
      <c r="N25" s="210">
        <f t="shared" si="1"/>
        <v>47303134.023399584</v>
      </c>
    </row>
    <row r="26" spans="1:14" x14ac:dyDescent="0.25">
      <c r="A26" s="195" t="s">
        <v>710</v>
      </c>
      <c r="B26" s="207" t="s">
        <v>711</v>
      </c>
      <c r="C26" s="160">
        <v>2303.59</v>
      </c>
      <c r="D26" s="195">
        <f t="shared" si="0"/>
        <v>1958.0515</v>
      </c>
      <c r="E26" s="297">
        <v>0.85</v>
      </c>
      <c r="F26" s="208">
        <v>4.0238728115097582E-3</v>
      </c>
      <c r="G26" s="208">
        <v>0.11835538038106425</v>
      </c>
      <c r="H26" s="208">
        <v>3.7866146042885539E-2</v>
      </c>
      <c r="I26" s="208">
        <v>9.4848632467438326E-2</v>
      </c>
      <c r="J26" s="208">
        <v>0</v>
      </c>
      <c r="K26" s="208">
        <v>2.1918587833120246E-2</v>
      </c>
      <c r="L26" s="209">
        <v>0.72298738046398192</v>
      </c>
      <c r="M26" s="534">
        <v>110992.08157800265</v>
      </c>
      <c r="N26" s="210">
        <f t="shared" si="1"/>
        <v>217328211.82193044</v>
      </c>
    </row>
    <row r="27" spans="1:14" x14ac:dyDescent="0.25">
      <c r="A27" s="195" t="s">
        <v>712</v>
      </c>
      <c r="B27" s="207" t="s">
        <v>713</v>
      </c>
      <c r="C27" s="160">
        <v>3562.92</v>
      </c>
      <c r="D27" s="195">
        <f t="shared" si="0"/>
        <v>2244.6396</v>
      </c>
      <c r="E27" s="297">
        <v>0.63</v>
      </c>
      <c r="F27" s="208">
        <v>7.160639643129886E-3</v>
      </c>
      <c r="G27" s="208">
        <v>0.12115820072901316</v>
      </c>
      <c r="H27" s="208">
        <v>9.317857018310326E-4</v>
      </c>
      <c r="I27" s="208">
        <v>6.898773538658956E-2</v>
      </c>
      <c r="J27" s="208">
        <v>0</v>
      </c>
      <c r="K27" s="208">
        <v>7.919119136662196E-3</v>
      </c>
      <c r="L27" s="209">
        <v>0.79384251940277417</v>
      </c>
      <c r="M27" s="534">
        <v>79619.603359928544</v>
      </c>
      <c r="N27" s="210">
        <f t="shared" si="1"/>
        <v>178717314.63798866</v>
      </c>
    </row>
    <row r="29" spans="1:14" x14ac:dyDescent="0.25">
      <c r="C29" s="298">
        <f>SUM(C5:C27)</f>
        <v>98094.19</v>
      </c>
      <c r="D29" s="298">
        <f>SUM(D5:D27)</f>
        <v>66709.790200000003</v>
      </c>
      <c r="M29" s="210">
        <f>(SUMPRODUCT(M5:M27,C5:C27))/C29</f>
        <v>85614.354451533873</v>
      </c>
      <c r="N29" s="213">
        <f>SUM(N5:N28)</f>
        <v>5763196951.8355312</v>
      </c>
    </row>
    <row r="30" spans="1:14" ht="15.75" thickBot="1" x14ac:dyDescent="0.3"/>
    <row r="31" spans="1:14" ht="15.75" thickBot="1" x14ac:dyDescent="0.3">
      <c r="M31" s="187">
        <f>ROUND(M29/37,-1)</f>
        <v>2310</v>
      </c>
    </row>
    <row r="32" spans="1:14" x14ac:dyDescent="0.25">
      <c r="A32" s="188" t="s">
        <v>714</v>
      </c>
      <c r="B32" s="189">
        <v>34</v>
      </c>
      <c r="C32" s="193"/>
      <c r="D32" s="160"/>
      <c r="E32" s="160"/>
    </row>
    <row r="33" spans="1:7" x14ac:dyDescent="0.25">
      <c r="A33" s="160" t="s">
        <v>715</v>
      </c>
      <c r="B33" s="169">
        <v>113</v>
      </c>
      <c r="C33" s="160">
        <v>2836.27</v>
      </c>
      <c r="D33" s="160">
        <v>689.22</v>
      </c>
      <c r="E33" s="160">
        <f>+C33+D33</f>
        <v>3525.49</v>
      </c>
    </row>
    <row r="34" spans="1:7" x14ac:dyDescent="0.25">
      <c r="A34" s="160" t="s">
        <v>716</v>
      </c>
      <c r="B34" s="169">
        <v>114</v>
      </c>
      <c r="C34" s="160">
        <v>3133.98</v>
      </c>
      <c r="D34" s="160">
        <v>1246.6600000000001</v>
      </c>
      <c r="E34" s="160">
        <f t="shared" ref="E34:E61" si="2">+C34+D34</f>
        <v>4380.6400000000003</v>
      </c>
    </row>
    <row r="35" spans="1:7" x14ac:dyDescent="0.25">
      <c r="A35" s="160" t="s">
        <v>717</v>
      </c>
      <c r="B35" s="169">
        <v>115</v>
      </c>
      <c r="C35" s="160">
        <v>1159.02</v>
      </c>
      <c r="D35" s="160">
        <v>642.28</v>
      </c>
      <c r="E35" s="160">
        <f t="shared" si="2"/>
        <v>1801.3</v>
      </c>
    </row>
    <row r="36" spans="1:7" x14ac:dyDescent="0.25">
      <c r="A36" s="160" t="s">
        <v>718</v>
      </c>
      <c r="B36" s="169">
        <v>180</v>
      </c>
      <c r="C36" s="160">
        <v>5612.32</v>
      </c>
      <c r="D36" s="160">
        <v>2947.68</v>
      </c>
      <c r="E36" s="160">
        <f t="shared" si="2"/>
        <v>8560</v>
      </c>
    </row>
    <row r="37" spans="1:7" x14ac:dyDescent="0.25">
      <c r="A37" s="188" t="s">
        <v>719</v>
      </c>
      <c r="B37" s="189">
        <v>35</v>
      </c>
      <c r="C37" s="193"/>
      <c r="D37" s="160"/>
      <c r="E37" s="160">
        <f t="shared" si="2"/>
        <v>0</v>
      </c>
    </row>
    <row r="38" spans="1:7" x14ac:dyDescent="0.25">
      <c r="A38" s="160" t="s">
        <v>720</v>
      </c>
      <c r="B38" s="169">
        <v>1661</v>
      </c>
      <c r="C38" s="160">
        <v>18894.419999999998</v>
      </c>
      <c r="D38" s="160">
        <v>3286.07</v>
      </c>
      <c r="E38" s="160">
        <f t="shared" si="2"/>
        <v>22180.489999999998</v>
      </c>
    </row>
    <row r="39" spans="1:7" x14ac:dyDescent="0.25">
      <c r="A39" s="160" t="s">
        <v>721</v>
      </c>
      <c r="B39" s="169">
        <v>117</v>
      </c>
      <c r="C39" s="160">
        <v>2298.12</v>
      </c>
      <c r="D39" s="160">
        <v>362.28</v>
      </c>
      <c r="E39" s="160">
        <f t="shared" si="2"/>
        <v>2660.3999999999996</v>
      </c>
    </row>
    <row r="40" spans="1:7" x14ac:dyDescent="0.25">
      <c r="A40" s="160" t="s">
        <v>722</v>
      </c>
      <c r="B40" s="169">
        <v>119</v>
      </c>
      <c r="C40" s="160">
        <v>2574.5</v>
      </c>
      <c r="D40" s="160">
        <v>988.42</v>
      </c>
      <c r="E40" s="160">
        <f t="shared" si="2"/>
        <v>3562.92</v>
      </c>
    </row>
    <row r="41" spans="1:7" x14ac:dyDescent="0.25">
      <c r="A41" s="160" t="s">
        <v>723</v>
      </c>
      <c r="B41" s="169">
        <v>120</v>
      </c>
      <c r="C41" s="160">
        <v>4779.45</v>
      </c>
      <c r="D41" s="160">
        <v>614.94000000000005</v>
      </c>
      <c r="E41" s="160">
        <f t="shared" si="2"/>
        <v>5394.3899999999994</v>
      </c>
    </row>
    <row r="42" spans="1:7" x14ac:dyDescent="0.25">
      <c r="A42" s="160" t="s">
        <v>724</v>
      </c>
      <c r="B42" s="169">
        <v>197</v>
      </c>
      <c r="C42" s="160">
        <v>1765.54</v>
      </c>
      <c r="D42" s="160">
        <v>96.52</v>
      </c>
      <c r="E42" s="160">
        <f t="shared" si="2"/>
        <v>1862.06</v>
      </c>
      <c r="G42">
        <f>SUM(E38:E42)</f>
        <v>35660.259999999995</v>
      </c>
    </row>
    <row r="43" spans="1:7" x14ac:dyDescent="0.25">
      <c r="A43" s="188" t="s">
        <v>725</v>
      </c>
      <c r="B43" s="189">
        <v>36</v>
      </c>
      <c r="C43" s="214"/>
      <c r="D43" s="160"/>
      <c r="E43" s="160">
        <f t="shared" si="2"/>
        <v>0</v>
      </c>
    </row>
    <row r="44" spans="1:7" x14ac:dyDescent="0.25">
      <c r="A44" s="160" t="s">
        <v>726</v>
      </c>
      <c r="B44" s="169">
        <v>121</v>
      </c>
      <c r="C44" s="160">
        <v>11493.44</v>
      </c>
      <c r="D44" s="160">
        <v>2231.73</v>
      </c>
      <c r="E44" s="160">
        <f t="shared" si="2"/>
        <v>13725.17</v>
      </c>
    </row>
    <row r="45" spans="1:7" x14ac:dyDescent="0.25">
      <c r="A45" s="160" t="s">
        <v>727</v>
      </c>
      <c r="B45" s="169">
        <v>122</v>
      </c>
      <c r="C45" s="160">
        <v>2189.31</v>
      </c>
      <c r="D45" s="160">
        <v>1043.8</v>
      </c>
      <c r="E45" s="160">
        <f t="shared" si="2"/>
        <v>3233.1099999999997</v>
      </c>
    </row>
    <row r="46" spans="1:7" x14ac:dyDescent="0.25">
      <c r="A46" s="160" t="s">
        <v>728</v>
      </c>
      <c r="B46" s="169">
        <v>123</v>
      </c>
      <c r="C46" s="160">
        <v>1794.62</v>
      </c>
      <c r="D46" s="160">
        <v>859.06</v>
      </c>
      <c r="E46" s="160">
        <f t="shared" si="2"/>
        <v>2653.68</v>
      </c>
    </row>
    <row r="47" spans="1:7" x14ac:dyDescent="0.25">
      <c r="A47" s="160" t="s">
        <v>729</v>
      </c>
      <c r="B47" s="169">
        <v>124</v>
      </c>
      <c r="C47" s="160">
        <v>615.47</v>
      </c>
      <c r="D47" s="160">
        <v>70.62</v>
      </c>
      <c r="E47" s="160">
        <f t="shared" si="2"/>
        <v>686.09</v>
      </c>
    </row>
    <row r="48" spans="1:7" x14ac:dyDescent="0.25">
      <c r="A48" s="188" t="s">
        <v>730</v>
      </c>
      <c r="B48" s="189">
        <v>171</v>
      </c>
      <c r="C48" s="193"/>
      <c r="D48" s="193"/>
      <c r="E48" s="160">
        <f t="shared" si="2"/>
        <v>0</v>
      </c>
    </row>
    <row r="49" spans="1:6" x14ac:dyDescent="0.25">
      <c r="A49" s="160" t="s">
        <v>731</v>
      </c>
      <c r="B49" s="169">
        <v>172</v>
      </c>
      <c r="C49" s="160">
        <v>7948.71</v>
      </c>
      <c r="D49" s="160">
        <v>1582.1</v>
      </c>
      <c r="E49" s="160">
        <f t="shared" si="2"/>
        <v>9530.81</v>
      </c>
    </row>
    <row r="50" spans="1:6" x14ac:dyDescent="0.25">
      <c r="A50" s="160" t="s">
        <v>732</v>
      </c>
      <c r="B50" s="169">
        <v>173</v>
      </c>
      <c r="C50" s="160">
        <v>1924.08</v>
      </c>
      <c r="D50" s="160">
        <v>379.51</v>
      </c>
      <c r="E50" s="160">
        <f t="shared" si="2"/>
        <v>2303.59</v>
      </c>
    </row>
    <row r="51" spans="1:6" x14ac:dyDescent="0.25">
      <c r="A51" s="160" t="s">
        <v>733</v>
      </c>
      <c r="B51" s="169">
        <v>174</v>
      </c>
      <c r="C51" s="160">
        <v>468.45</v>
      </c>
      <c r="D51" s="160">
        <v>19.88</v>
      </c>
      <c r="E51" s="160">
        <f t="shared" si="2"/>
        <v>488.33</v>
      </c>
    </row>
    <row r="52" spans="1:6" x14ac:dyDescent="0.25">
      <c r="A52" s="160" t="s">
        <v>734</v>
      </c>
      <c r="B52" s="169">
        <v>175</v>
      </c>
      <c r="C52" s="160">
        <v>752.45</v>
      </c>
      <c r="D52" s="160">
        <v>298.58</v>
      </c>
      <c r="E52" s="160">
        <f t="shared" si="2"/>
        <v>1051.03</v>
      </c>
    </row>
    <row r="53" spans="1:6" x14ac:dyDescent="0.25">
      <c r="A53" s="160" t="s">
        <v>735</v>
      </c>
      <c r="B53" s="169">
        <v>176</v>
      </c>
      <c r="C53" s="160">
        <v>912.38</v>
      </c>
      <c r="D53" s="160">
        <v>388.92</v>
      </c>
      <c r="E53" s="160">
        <f t="shared" si="2"/>
        <v>1301.3</v>
      </c>
    </row>
    <row r="54" spans="1:6" x14ac:dyDescent="0.25">
      <c r="A54" s="160" t="s">
        <v>736</v>
      </c>
      <c r="B54" s="169">
        <v>177</v>
      </c>
      <c r="C54" s="160">
        <v>3891.33</v>
      </c>
      <c r="D54" s="160">
        <v>495.18</v>
      </c>
      <c r="E54" s="160">
        <f t="shared" si="2"/>
        <v>4386.51</v>
      </c>
    </row>
    <row r="55" spans="1:6" x14ac:dyDescent="0.25">
      <c r="A55" s="160" t="s">
        <v>737</v>
      </c>
      <c r="B55" s="169">
        <v>178</v>
      </c>
      <c r="C55" s="160">
        <v>10219.91</v>
      </c>
      <c r="D55" s="160">
        <v>1006.99</v>
      </c>
      <c r="E55" s="160">
        <f t="shared" si="2"/>
        <v>11226.9</v>
      </c>
    </row>
    <row r="56" spans="1:6" x14ac:dyDescent="0.25">
      <c r="A56" s="160" t="s">
        <v>738</v>
      </c>
      <c r="B56" s="169">
        <v>179</v>
      </c>
      <c r="C56" s="160">
        <v>2646.64</v>
      </c>
      <c r="D56" s="160">
        <v>304.8</v>
      </c>
      <c r="E56" s="160">
        <f t="shared" si="2"/>
        <v>2951.44</v>
      </c>
    </row>
    <row r="57" spans="1:6" x14ac:dyDescent="0.25">
      <c r="A57" s="160" t="s">
        <v>739</v>
      </c>
      <c r="B57" s="169">
        <v>183</v>
      </c>
      <c r="C57" s="160">
        <v>59.23</v>
      </c>
      <c r="D57" s="160">
        <v>0</v>
      </c>
      <c r="E57" s="160">
        <f t="shared" si="2"/>
        <v>59.23</v>
      </c>
    </row>
    <row r="58" spans="1:6" x14ac:dyDescent="0.25">
      <c r="A58" s="160" t="s">
        <v>740</v>
      </c>
      <c r="B58" s="169">
        <v>118</v>
      </c>
      <c r="C58" s="160">
        <v>7417.55</v>
      </c>
      <c r="D58">
        <v>1223.8900000000001</v>
      </c>
      <c r="E58" s="160">
        <f t="shared" si="2"/>
        <v>8641.44</v>
      </c>
    </row>
    <row r="59" spans="1:6" x14ac:dyDescent="0.25">
      <c r="A59" s="160" t="s">
        <v>741</v>
      </c>
      <c r="B59" s="169">
        <v>202</v>
      </c>
      <c r="C59" s="160">
        <v>77.290000000000006</v>
      </c>
      <c r="D59" s="160">
        <v>0</v>
      </c>
      <c r="E59" s="160">
        <f t="shared" si="2"/>
        <v>77.290000000000006</v>
      </c>
    </row>
    <row r="60" spans="1:6" x14ac:dyDescent="0.25">
      <c r="A60" s="160" t="s">
        <v>742</v>
      </c>
      <c r="B60" s="169">
        <v>1647</v>
      </c>
      <c r="C60" s="160">
        <v>2384.2800000000002</v>
      </c>
      <c r="D60" s="160">
        <v>247.17</v>
      </c>
      <c r="E60" s="160">
        <f t="shared" si="2"/>
        <v>2631.4500000000003</v>
      </c>
    </row>
    <row r="61" spans="1:6" x14ac:dyDescent="0.25">
      <c r="A61" s="160" t="s">
        <v>743</v>
      </c>
      <c r="B61" s="169">
        <v>181</v>
      </c>
      <c r="C61" s="160">
        <v>1274.1199999999999</v>
      </c>
      <c r="D61" s="160">
        <v>1047.6600000000001</v>
      </c>
      <c r="E61" s="160">
        <f t="shared" si="2"/>
        <v>2321.7799999999997</v>
      </c>
    </row>
    <row r="62" spans="1:6" x14ac:dyDescent="0.25">
      <c r="A62" s="192" t="s">
        <v>744</v>
      </c>
      <c r="B62" s="192"/>
      <c r="C62" s="193">
        <v>99122.880000000005</v>
      </c>
      <c r="D62" s="193">
        <v>22073.96</v>
      </c>
      <c r="E62" s="193">
        <f>SUM(E33:E61)</f>
        <v>121196.83999999997</v>
      </c>
      <c r="F62">
        <f>+E62-E44</f>
        <v>107471.66999999997</v>
      </c>
    </row>
    <row r="65" spans="1:4" x14ac:dyDescent="0.25">
      <c r="A65" t="s">
        <v>475</v>
      </c>
      <c r="B65" t="s">
        <v>659</v>
      </c>
      <c r="C65" t="s">
        <v>745</v>
      </c>
    </row>
    <row r="66" spans="1:4" x14ac:dyDescent="0.25">
      <c r="A66" t="s">
        <v>670</v>
      </c>
      <c r="B66" t="s">
        <v>653</v>
      </c>
      <c r="C66">
        <v>113040.52308922907</v>
      </c>
      <c r="D66" t="s">
        <v>746</v>
      </c>
    </row>
    <row r="67" spans="1:4" x14ac:dyDescent="0.25">
      <c r="A67" t="s">
        <v>672</v>
      </c>
      <c r="B67" t="s">
        <v>673</v>
      </c>
      <c r="C67">
        <v>71586.297492658414</v>
      </c>
    </row>
    <row r="68" spans="1:4" x14ac:dyDescent="0.25">
      <c r="A68" t="s">
        <v>674</v>
      </c>
      <c r="B68" t="s">
        <v>633</v>
      </c>
      <c r="C68">
        <v>93495.17565387694</v>
      </c>
    </row>
    <row r="69" spans="1:4" x14ac:dyDescent="0.25">
      <c r="A69" t="s">
        <v>676</v>
      </c>
      <c r="B69" t="s">
        <v>642</v>
      </c>
      <c r="C69">
        <v>113758.56783951531</v>
      </c>
    </row>
    <row r="70" spans="1:4" x14ac:dyDescent="0.25">
      <c r="A70" t="s">
        <v>678</v>
      </c>
      <c r="B70" t="s">
        <v>639</v>
      </c>
      <c r="C70">
        <v>112964.96139340747</v>
      </c>
    </row>
    <row r="71" spans="1:4" x14ac:dyDescent="0.25">
      <c r="A71" t="s">
        <v>680</v>
      </c>
      <c r="B71" t="s">
        <v>650</v>
      </c>
      <c r="C71">
        <v>122692.33007353445</v>
      </c>
    </row>
    <row r="72" spans="1:4" x14ac:dyDescent="0.25">
      <c r="A72" t="s">
        <v>682</v>
      </c>
      <c r="B72" t="s">
        <v>635</v>
      </c>
      <c r="C72">
        <v>113520.54359030187</v>
      </c>
    </row>
    <row r="73" spans="1:4" x14ac:dyDescent="0.25">
      <c r="A73" t="s">
        <v>684</v>
      </c>
      <c r="B73" t="s">
        <v>641</v>
      </c>
      <c r="C73">
        <v>103053.07884101971</v>
      </c>
    </row>
    <row r="74" spans="1:4" x14ac:dyDescent="0.25">
      <c r="A74" t="s">
        <v>686</v>
      </c>
      <c r="C74">
        <v>137387.15368711235</v>
      </c>
    </row>
    <row r="75" spans="1:4" x14ac:dyDescent="0.25">
      <c r="A75" t="s">
        <v>687</v>
      </c>
      <c r="B75" t="s">
        <v>630</v>
      </c>
      <c r="C75">
        <v>100506.12228954714</v>
      </c>
    </row>
    <row r="76" spans="1:4" x14ac:dyDescent="0.25">
      <c r="A76" t="s">
        <v>689</v>
      </c>
      <c r="B76" t="s">
        <v>690</v>
      </c>
      <c r="C76">
        <v>127084.52395661522</v>
      </c>
    </row>
    <row r="77" spans="1:4" x14ac:dyDescent="0.25">
      <c r="A77" t="s">
        <v>691</v>
      </c>
      <c r="C77">
        <v>104398.152515661</v>
      </c>
    </row>
    <row r="78" spans="1:4" x14ac:dyDescent="0.25">
      <c r="A78" t="s">
        <v>692</v>
      </c>
      <c r="B78" t="s">
        <v>693</v>
      </c>
      <c r="C78">
        <v>119085.26806149173</v>
      </c>
    </row>
    <row r="79" spans="1:4" x14ac:dyDescent="0.25">
      <c r="A79" t="s">
        <v>694</v>
      </c>
      <c r="B79" t="s">
        <v>695</v>
      </c>
      <c r="C79">
        <v>117002.56357515852</v>
      </c>
    </row>
    <row r="80" spans="1:4" x14ac:dyDescent="0.25">
      <c r="A80" t="s">
        <v>696</v>
      </c>
      <c r="B80" t="s">
        <v>697</v>
      </c>
      <c r="C80">
        <v>103654.18505718323</v>
      </c>
    </row>
    <row r="81" spans="1:4" x14ac:dyDescent="0.25">
      <c r="A81" t="s">
        <v>698</v>
      </c>
      <c r="B81" t="s">
        <v>631</v>
      </c>
      <c r="C81">
        <v>99261.276627415325</v>
      </c>
    </row>
    <row r="82" spans="1:4" x14ac:dyDescent="0.25">
      <c r="A82" t="s">
        <v>700</v>
      </c>
      <c r="B82" t="s">
        <v>701</v>
      </c>
      <c r="C82">
        <v>127651.87244290065</v>
      </c>
    </row>
    <row r="83" spans="1:4" x14ac:dyDescent="0.25">
      <c r="A83" t="s">
        <v>702</v>
      </c>
      <c r="B83" t="s">
        <v>703</v>
      </c>
      <c r="C83">
        <v>126318.28290223035</v>
      </c>
    </row>
    <row r="84" spans="1:4" x14ac:dyDescent="0.25">
      <c r="A84" t="s">
        <v>704</v>
      </c>
      <c r="B84" t="s">
        <v>649</v>
      </c>
      <c r="C84">
        <v>113609.61985327238</v>
      </c>
    </row>
    <row r="85" spans="1:4" x14ac:dyDescent="0.25">
      <c r="A85" t="s">
        <v>706</v>
      </c>
      <c r="B85" t="s">
        <v>637</v>
      </c>
      <c r="C85">
        <v>117462.96755076028</v>
      </c>
    </row>
    <row r="86" spans="1:4" x14ac:dyDescent="0.25">
      <c r="A86" t="s">
        <v>708</v>
      </c>
      <c r="B86" t="s">
        <v>632</v>
      </c>
      <c r="C86">
        <v>73449.232707560252</v>
      </c>
    </row>
    <row r="87" spans="1:4" x14ac:dyDescent="0.25">
      <c r="A87" t="s">
        <v>710</v>
      </c>
      <c r="B87" t="s">
        <v>711</v>
      </c>
      <c r="C87">
        <v>116452.04343106652</v>
      </c>
    </row>
    <row r="88" spans="1:4" x14ac:dyDescent="0.25">
      <c r="A88" t="s">
        <v>712</v>
      </c>
      <c r="B88" t="s">
        <v>638</v>
      </c>
      <c r="C88">
        <v>103021.97316236838</v>
      </c>
    </row>
    <row r="89" spans="1:4" x14ac:dyDescent="0.25">
      <c r="A89" t="s">
        <v>747</v>
      </c>
      <c r="B89" t="s">
        <v>748</v>
      </c>
      <c r="C89">
        <v>154796.83651585347</v>
      </c>
      <c r="D89" t="s">
        <v>749</v>
      </c>
    </row>
    <row r="90" spans="1:4" x14ac:dyDescent="0.25">
      <c r="A90" t="s">
        <v>750</v>
      </c>
      <c r="B90" t="s">
        <v>751</v>
      </c>
      <c r="C90">
        <v>213171.63943680646</v>
      </c>
    </row>
    <row r="91" spans="1:4" x14ac:dyDescent="0.25">
      <c r="A91" t="s">
        <v>752</v>
      </c>
      <c r="B91" t="s">
        <v>753</v>
      </c>
      <c r="C91">
        <v>209734.0282422305</v>
      </c>
    </row>
    <row r="92" spans="1:4" x14ac:dyDescent="0.25">
      <c r="A92" t="s">
        <v>754</v>
      </c>
      <c r="B92" t="s">
        <v>755</v>
      </c>
      <c r="C92">
        <v>164850.11130984084</v>
      </c>
    </row>
    <row r="93" spans="1:4" x14ac:dyDescent="0.25">
      <c r="A93" t="s">
        <v>756</v>
      </c>
      <c r="B93" t="s">
        <v>757</v>
      </c>
      <c r="C93">
        <v>174242.50983026566</v>
      </c>
    </row>
    <row r="94" spans="1:4" x14ac:dyDescent="0.25">
      <c r="A94" t="s">
        <v>758</v>
      </c>
      <c r="B94" t="s">
        <v>759</v>
      </c>
      <c r="C94">
        <v>216907.71389314902</v>
      </c>
    </row>
    <row r="95" spans="1:4" x14ac:dyDescent="0.25">
      <c r="A95" t="s">
        <v>760</v>
      </c>
      <c r="B95" t="s">
        <v>761</v>
      </c>
      <c r="C95">
        <v>85067.166429842546</v>
      </c>
    </row>
    <row r="96" spans="1:4" x14ac:dyDescent="0.25">
      <c r="A96" t="s">
        <v>762</v>
      </c>
      <c r="B96" t="s">
        <v>763</v>
      </c>
      <c r="C96">
        <v>141244.49195824261</v>
      </c>
    </row>
    <row r="97" spans="1:5" x14ac:dyDescent="0.25">
      <c r="A97" t="s">
        <v>764</v>
      </c>
      <c r="B97" t="s">
        <v>765</v>
      </c>
      <c r="C97">
        <v>150740.50784253821</v>
      </c>
    </row>
    <row r="98" spans="1:5" x14ac:dyDescent="0.25">
      <c r="A98" t="s">
        <v>766</v>
      </c>
      <c r="B98" t="s">
        <v>767</v>
      </c>
      <c r="C98">
        <v>193903.24728406002</v>
      </c>
    </row>
    <row r="99" spans="1:5" x14ac:dyDescent="0.25">
      <c r="A99" t="s">
        <v>768</v>
      </c>
      <c r="B99" t="s">
        <v>769</v>
      </c>
      <c r="C99">
        <v>178377.99768197749</v>
      </c>
    </row>
    <row r="100" spans="1:5" x14ac:dyDescent="0.25">
      <c r="A100" t="s">
        <v>770</v>
      </c>
      <c r="B100" t="s">
        <v>771</v>
      </c>
      <c r="C100">
        <v>163549.90953140979</v>
      </c>
    </row>
    <row r="101" spans="1:5" x14ac:dyDescent="0.25">
      <c r="A101" t="s">
        <v>772</v>
      </c>
      <c r="B101" t="s">
        <v>773</v>
      </c>
      <c r="C101">
        <v>189487.97560169394</v>
      </c>
    </row>
    <row r="102" spans="1:5" x14ac:dyDescent="0.25">
      <c r="A102" t="s">
        <v>774</v>
      </c>
      <c r="B102" t="s">
        <v>775</v>
      </c>
      <c r="C102">
        <v>198546.14175492275</v>
      </c>
    </row>
    <row r="103" spans="1:5" x14ac:dyDescent="0.25">
      <c r="A103" t="s">
        <v>776</v>
      </c>
      <c r="B103" t="s">
        <v>777</v>
      </c>
      <c r="C103">
        <v>171859.36484915586</v>
      </c>
    </row>
    <row r="104" spans="1:5" x14ac:dyDescent="0.25">
      <c r="A104" t="s">
        <v>778</v>
      </c>
      <c r="B104" t="s">
        <v>779</v>
      </c>
      <c r="C104">
        <v>186023.28949470073</v>
      </c>
    </row>
    <row r="105" spans="1:5" x14ac:dyDescent="0.25">
      <c r="A105" t="s">
        <v>780</v>
      </c>
      <c r="B105" t="s">
        <v>781</v>
      </c>
      <c r="C105">
        <v>178818.73242622614</v>
      </c>
    </row>
    <row r="106" spans="1:5" x14ac:dyDescent="0.25">
      <c r="A106" t="s">
        <v>782</v>
      </c>
      <c r="B106" t="s">
        <v>783</v>
      </c>
      <c r="C106">
        <v>192185.56095593999</v>
      </c>
    </row>
    <row r="107" spans="1:5" x14ac:dyDescent="0.25">
      <c r="A107" t="s">
        <v>784</v>
      </c>
      <c r="B107" t="s">
        <v>785</v>
      </c>
      <c r="C107">
        <v>158599.17429800861</v>
      </c>
    </row>
    <row r="108" spans="1:5" x14ac:dyDescent="0.25">
      <c r="A108" t="s">
        <v>490</v>
      </c>
      <c r="B108" t="s">
        <v>491</v>
      </c>
      <c r="C108">
        <v>113632.24242424242</v>
      </c>
      <c r="D108" t="s">
        <v>425</v>
      </c>
      <c r="E108" t="s">
        <v>375</v>
      </c>
    </row>
    <row r="109" spans="1:5" x14ac:dyDescent="0.25">
      <c r="A109" t="s">
        <v>492</v>
      </c>
      <c r="B109" t="s">
        <v>375</v>
      </c>
      <c r="C109">
        <v>101040.48979591837</v>
      </c>
      <c r="E109" t="s">
        <v>373</v>
      </c>
    </row>
    <row r="110" spans="1:5" x14ac:dyDescent="0.25">
      <c r="A110" t="s">
        <v>494</v>
      </c>
      <c r="B110" t="s">
        <v>373</v>
      </c>
      <c r="C110">
        <v>98002.810164424518</v>
      </c>
      <c r="E110" t="s">
        <v>406</v>
      </c>
    </row>
    <row r="111" spans="1:5" x14ac:dyDescent="0.25">
      <c r="A111" t="s">
        <v>496</v>
      </c>
      <c r="B111" t="s">
        <v>497</v>
      </c>
      <c r="C111">
        <v>148420.70588235292</v>
      </c>
      <c r="E111" t="s">
        <v>408</v>
      </c>
    </row>
    <row r="112" spans="1:5" x14ac:dyDescent="0.25">
      <c r="A112" t="s">
        <v>499</v>
      </c>
      <c r="B112" t="s">
        <v>500</v>
      </c>
      <c r="C112">
        <v>102862.48085758041</v>
      </c>
      <c r="E112" t="s">
        <v>409</v>
      </c>
    </row>
    <row r="113" spans="1:5" x14ac:dyDescent="0.25">
      <c r="A113" t="s">
        <v>501</v>
      </c>
      <c r="B113" t="s">
        <v>502</v>
      </c>
      <c r="C113">
        <v>79200</v>
      </c>
      <c r="E113" t="s">
        <v>407</v>
      </c>
    </row>
    <row r="114" spans="1:5" x14ac:dyDescent="0.25">
      <c r="A114" t="s">
        <v>503</v>
      </c>
      <c r="B114" t="s">
        <v>504</v>
      </c>
      <c r="C114">
        <v>209862.67605633795</v>
      </c>
      <c r="E114" t="s">
        <v>410</v>
      </c>
    </row>
    <row r="115" spans="1:5" x14ac:dyDescent="0.25">
      <c r="A115" t="s">
        <v>505</v>
      </c>
      <c r="B115" t="s">
        <v>506</v>
      </c>
      <c r="C115">
        <v>146194.16666666666</v>
      </c>
      <c r="E115" t="s">
        <v>386</v>
      </c>
    </row>
    <row r="116" spans="1:5" x14ac:dyDescent="0.25">
      <c r="A116" t="s">
        <v>507</v>
      </c>
      <c r="B116" t="s">
        <v>508</v>
      </c>
      <c r="C116">
        <v>139308.18461538461</v>
      </c>
      <c r="E116" t="s">
        <v>386</v>
      </c>
    </row>
    <row r="117" spans="1:5" x14ac:dyDescent="0.25">
      <c r="A117" t="s">
        <v>510</v>
      </c>
      <c r="B117" t="s">
        <v>392</v>
      </c>
      <c r="C117">
        <v>126698.8537549407</v>
      </c>
      <c r="E117" t="s">
        <v>392</v>
      </c>
    </row>
    <row r="118" spans="1:5" x14ac:dyDescent="0.25">
      <c r="A118" t="s">
        <v>512</v>
      </c>
      <c r="B118" t="s">
        <v>386</v>
      </c>
      <c r="C118">
        <v>137259.92389649924</v>
      </c>
      <c r="E118" t="s">
        <v>393</v>
      </c>
    </row>
    <row r="119" spans="1:5" x14ac:dyDescent="0.25">
      <c r="A119" t="s">
        <v>514</v>
      </c>
      <c r="B119" t="s">
        <v>515</v>
      </c>
      <c r="C119">
        <v>139485.31578947371</v>
      </c>
      <c r="E119" t="s">
        <v>393</v>
      </c>
    </row>
    <row r="120" spans="1:5" x14ac:dyDescent="0.25">
      <c r="A120" t="s">
        <v>516</v>
      </c>
      <c r="B120" t="s">
        <v>390</v>
      </c>
      <c r="C120">
        <v>162874.43914081148</v>
      </c>
      <c r="E120" t="s">
        <v>390</v>
      </c>
    </row>
    <row r="121" spans="1:5" x14ac:dyDescent="0.25">
      <c r="A121" t="s">
        <v>519</v>
      </c>
      <c r="B121" t="s">
        <v>520</v>
      </c>
      <c r="C121">
        <v>98156.419753086404</v>
      </c>
      <c r="E121" t="s">
        <v>389</v>
      </c>
    </row>
    <row r="122" spans="1:5" x14ac:dyDescent="0.25">
      <c r="A122" t="s">
        <v>521</v>
      </c>
      <c r="B122" t="s">
        <v>522</v>
      </c>
      <c r="C122">
        <v>89019.182724252474</v>
      </c>
      <c r="E122" t="s">
        <v>786</v>
      </c>
    </row>
    <row r="123" spans="1:5" x14ac:dyDescent="0.25">
      <c r="A123" t="s">
        <v>524</v>
      </c>
      <c r="B123" t="s">
        <v>407</v>
      </c>
      <c r="C123">
        <v>84191.744680851072</v>
      </c>
    </row>
    <row r="124" spans="1:5" x14ac:dyDescent="0.25">
      <c r="A124" t="s">
        <v>526</v>
      </c>
      <c r="B124" t="s">
        <v>408</v>
      </c>
      <c r="C124">
        <v>90970.292537313406</v>
      </c>
    </row>
    <row r="125" spans="1:5" x14ac:dyDescent="0.25">
      <c r="A125" t="s">
        <v>528</v>
      </c>
      <c r="B125" t="s">
        <v>406</v>
      </c>
      <c r="C125">
        <v>85483.700534759351</v>
      </c>
    </row>
    <row r="126" spans="1:5" x14ac:dyDescent="0.25">
      <c r="A126" t="s">
        <v>531</v>
      </c>
      <c r="B126" t="s">
        <v>532</v>
      </c>
      <c r="C126">
        <v>125875.41843971632</v>
      </c>
    </row>
    <row r="127" spans="1:5" x14ac:dyDescent="0.25">
      <c r="A127" t="s">
        <v>533</v>
      </c>
      <c r="B127" t="s">
        <v>534</v>
      </c>
      <c r="C127">
        <v>130219.45121951221</v>
      </c>
    </row>
    <row r="128" spans="1:5" x14ac:dyDescent="0.25">
      <c r="A128" t="s">
        <v>536</v>
      </c>
      <c r="B128" t="s">
        <v>537</v>
      </c>
      <c r="C128">
        <v>42000</v>
      </c>
    </row>
    <row r="129" spans="1:4" x14ac:dyDescent="0.25">
      <c r="A129" t="s">
        <v>538</v>
      </c>
      <c r="B129" t="s">
        <v>539</v>
      </c>
      <c r="C129">
        <v>42000</v>
      </c>
    </row>
    <row r="130" spans="1:4" x14ac:dyDescent="0.25">
      <c r="A130" t="s">
        <v>540</v>
      </c>
      <c r="B130" t="s">
        <v>541</v>
      </c>
    </row>
    <row r="131" spans="1:4" x14ac:dyDescent="0.25">
      <c r="A131" t="s">
        <v>542</v>
      </c>
      <c r="B131" t="s">
        <v>541</v>
      </c>
    </row>
    <row r="132" spans="1:4" x14ac:dyDescent="0.25">
      <c r="A132" t="s">
        <v>543</v>
      </c>
      <c r="B132" t="s">
        <v>544</v>
      </c>
      <c r="C132">
        <v>117762.6168224299</v>
      </c>
    </row>
    <row r="133" spans="1:4" x14ac:dyDescent="0.25">
      <c r="A133" t="s">
        <v>546</v>
      </c>
      <c r="B133" t="s">
        <v>547</v>
      </c>
      <c r="C133">
        <v>64696.470588235286</v>
      </c>
    </row>
    <row r="134" spans="1:4" x14ac:dyDescent="0.25">
      <c r="A134" t="s">
        <v>548</v>
      </c>
      <c r="B134" t="s">
        <v>549</v>
      </c>
      <c r="C134">
        <v>67450.838370565063</v>
      </c>
    </row>
    <row r="135" spans="1:4" x14ac:dyDescent="0.25">
      <c r="A135" t="s">
        <v>550</v>
      </c>
      <c r="B135" t="s">
        <v>551</v>
      </c>
      <c r="C135">
        <v>20260.093816631132</v>
      </c>
    </row>
    <row r="136" spans="1:4" x14ac:dyDescent="0.25">
      <c r="A136" t="s">
        <v>552</v>
      </c>
      <c r="B136" t="s">
        <v>553</v>
      </c>
      <c r="C136">
        <v>79771.414765100679</v>
      </c>
    </row>
    <row r="137" spans="1:4" x14ac:dyDescent="0.25">
      <c r="A137" s="215" t="s">
        <v>787</v>
      </c>
      <c r="B137" t="s">
        <v>788</v>
      </c>
      <c r="C137" s="215">
        <v>119735.19756632794</v>
      </c>
      <c r="D137" s="215" t="s">
        <v>316</v>
      </c>
    </row>
    <row r="138" spans="1:4" x14ac:dyDescent="0.25">
      <c r="A138" s="215" t="s">
        <v>789</v>
      </c>
      <c r="B138" t="s">
        <v>249</v>
      </c>
      <c r="C138" s="215">
        <v>124727.88979676369</v>
      </c>
      <c r="D138" s="215"/>
    </row>
    <row r="139" spans="1:4" x14ac:dyDescent="0.25">
      <c r="A139" s="215" t="s">
        <v>790</v>
      </c>
      <c r="B139" t="s">
        <v>252</v>
      </c>
      <c r="C139" s="215">
        <v>125055.86438195469</v>
      </c>
      <c r="D139" s="215"/>
    </row>
    <row r="140" spans="1:4" x14ac:dyDescent="0.25">
      <c r="A140" s="215" t="s">
        <v>791</v>
      </c>
      <c r="B140" t="s">
        <v>792</v>
      </c>
      <c r="C140" s="215">
        <v>107968.386615276</v>
      </c>
      <c r="D140" s="215"/>
    </row>
    <row r="141" spans="1:4" x14ac:dyDescent="0.25">
      <c r="A141" s="215" t="s">
        <v>793</v>
      </c>
      <c r="B141" t="s">
        <v>794</v>
      </c>
      <c r="C141" s="215">
        <v>111795.17275307547</v>
      </c>
      <c r="D141" s="215"/>
    </row>
    <row r="142" spans="1:4" x14ac:dyDescent="0.25">
      <c r="A142" s="215" t="s">
        <v>795</v>
      </c>
      <c r="B142" t="s">
        <v>796</v>
      </c>
      <c r="C142" s="215">
        <v>164540.1664246713</v>
      </c>
      <c r="D142" s="215"/>
    </row>
    <row r="143" spans="1:4" x14ac:dyDescent="0.25">
      <c r="A143" s="215" t="s">
        <v>797</v>
      </c>
      <c r="B143" t="s">
        <v>256</v>
      </c>
      <c r="C143" s="215">
        <v>93303.619705143079</v>
      </c>
      <c r="D143" s="215"/>
    </row>
    <row r="144" spans="1:4" x14ac:dyDescent="0.25">
      <c r="A144" s="215" t="s">
        <v>798</v>
      </c>
      <c r="B144" t="s">
        <v>260</v>
      </c>
      <c r="C144" s="215">
        <v>127828.19598980286</v>
      </c>
      <c r="D144" s="215"/>
    </row>
    <row r="145" spans="1:5" x14ac:dyDescent="0.25">
      <c r="A145" s="215" t="s">
        <v>799</v>
      </c>
      <c r="B145" t="s">
        <v>250</v>
      </c>
      <c r="C145" s="215">
        <v>82523.765296576545</v>
      </c>
      <c r="D145" s="215"/>
    </row>
    <row r="146" spans="1:5" x14ac:dyDescent="0.25">
      <c r="A146" s="215" t="s">
        <v>800</v>
      </c>
      <c r="B146" t="s">
        <v>259</v>
      </c>
      <c r="C146" s="215">
        <v>169104.66618078676</v>
      </c>
      <c r="D146" s="215"/>
    </row>
    <row r="147" spans="1:5" x14ac:dyDescent="0.25">
      <c r="A147" s="215" t="s">
        <v>801</v>
      </c>
      <c r="B147" t="s">
        <v>261</v>
      </c>
      <c r="C147" s="215">
        <v>79203.992337134696</v>
      </c>
      <c r="D147" s="215"/>
    </row>
    <row r="148" spans="1:5" x14ac:dyDescent="0.25">
      <c r="A148" t="s">
        <v>802</v>
      </c>
      <c r="C148">
        <v>50250</v>
      </c>
      <c r="D148" t="s">
        <v>803</v>
      </c>
    </row>
    <row r="149" spans="1:5" x14ac:dyDescent="0.25">
      <c r="A149" t="s">
        <v>804</v>
      </c>
      <c r="C149">
        <v>117497.59</v>
      </c>
    </row>
    <row r="150" spans="1:5" x14ac:dyDescent="0.25">
      <c r="A150" t="s">
        <v>805</v>
      </c>
      <c r="B150" t="s">
        <v>806</v>
      </c>
      <c r="C150">
        <v>61794.04</v>
      </c>
    </row>
    <row r="151" spans="1:5" x14ac:dyDescent="0.25">
      <c r="A151" t="s">
        <v>807</v>
      </c>
      <c r="C151">
        <v>117435.82</v>
      </c>
    </row>
    <row r="152" spans="1:5" x14ac:dyDescent="0.25">
      <c r="A152" t="s">
        <v>808</v>
      </c>
      <c r="C152">
        <v>125222.4045942942</v>
      </c>
      <c r="D152" t="s">
        <v>809</v>
      </c>
      <c r="E152" t="s">
        <v>352</v>
      </c>
    </row>
    <row r="153" spans="1:5" x14ac:dyDescent="0.25">
      <c r="A153" t="s">
        <v>810</v>
      </c>
      <c r="C153">
        <v>106427.06776505639</v>
      </c>
      <c r="E153" t="s">
        <v>359</v>
      </c>
    </row>
    <row r="154" spans="1:5" x14ac:dyDescent="0.25">
      <c r="A154" t="s">
        <v>811</v>
      </c>
      <c r="B154" t="s">
        <v>348</v>
      </c>
      <c r="C154">
        <v>129337.28419527833</v>
      </c>
      <c r="E154" t="s">
        <v>345</v>
      </c>
    </row>
    <row r="155" spans="1:5" x14ac:dyDescent="0.25">
      <c r="A155" t="s">
        <v>812</v>
      </c>
      <c r="B155" t="s">
        <v>351</v>
      </c>
      <c r="C155">
        <v>122051.26235309691</v>
      </c>
      <c r="E155" t="s">
        <v>345</v>
      </c>
    </row>
    <row r="156" spans="1:5" x14ac:dyDescent="0.25">
      <c r="A156" t="s">
        <v>813</v>
      </c>
      <c r="B156" t="s">
        <v>349</v>
      </c>
      <c r="C156">
        <v>113301.07334339031</v>
      </c>
      <c r="E156" t="s">
        <v>344</v>
      </c>
    </row>
    <row r="157" spans="1:5" x14ac:dyDescent="0.25">
      <c r="A157" t="s">
        <v>814</v>
      </c>
      <c r="B157" t="s">
        <v>350</v>
      </c>
      <c r="C157">
        <v>136598.18429360745</v>
      </c>
      <c r="E157" t="s">
        <v>349</v>
      </c>
    </row>
    <row r="158" spans="1:5" x14ac:dyDescent="0.25">
      <c r="A158" t="s">
        <v>815</v>
      </c>
      <c r="C158">
        <v>197330.34673353453</v>
      </c>
      <c r="E158" t="s">
        <v>348</v>
      </c>
    </row>
    <row r="159" spans="1:5" x14ac:dyDescent="0.25">
      <c r="A159" t="s">
        <v>816</v>
      </c>
      <c r="C159">
        <v>129342.02873317026</v>
      </c>
      <c r="E159" t="s">
        <v>351</v>
      </c>
    </row>
    <row r="160" spans="1:5" x14ac:dyDescent="0.25">
      <c r="A160" t="s">
        <v>817</v>
      </c>
      <c r="C160">
        <v>190081.74895653766</v>
      </c>
      <c r="E160" t="s">
        <v>350</v>
      </c>
    </row>
    <row r="161" spans="1:5" x14ac:dyDescent="0.25">
      <c r="A161" t="s">
        <v>818</v>
      </c>
      <c r="C161">
        <v>50100.150698956102</v>
      </c>
      <c r="E161" t="s">
        <v>350</v>
      </c>
    </row>
    <row r="162" spans="1:5" x14ac:dyDescent="0.25">
      <c r="A162" t="s">
        <v>819</v>
      </c>
      <c r="C162">
        <v>46340.799532668563</v>
      </c>
      <c r="E162" t="s">
        <v>354</v>
      </c>
    </row>
    <row r="163" spans="1:5" x14ac:dyDescent="0.25">
      <c r="A163" t="s">
        <v>820</v>
      </c>
      <c r="C163">
        <v>110018.73012738406</v>
      </c>
      <c r="E163" t="s">
        <v>821</v>
      </c>
    </row>
    <row r="164" spans="1:5" x14ac:dyDescent="0.25">
      <c r="A164" t="s">
        <v>822</v>
      </c>
      <c r="B164" t="s">
        <v>352</v>
      </c>
      <c r="C164">
        <v>112816.06044412898</v>
      </c>
      <c r="E164" t="s">
        <v>821</v>
      </c>
    </row>
    <row r="165" spans="1:5" x14ac:dyDescent="0.25">
      <c r="A165" t="s">
        <v>823</v>
      </c>
      <c r="C165">
        <v>142987.56936975115</v>
      </c>
      <c r="E165" t="s">
        <v>821</v>
      </c>
    </row>
    <row r="166" spans="1:5" x14ac:dyDescent="0.25">
      <c r="A166" t="s">
        <v>824</v>
      </c>
      <c r="B166" t="s">
        <v>354</v>
      </c>
      <c r="C166">
        <v>149944.4173520694</v>
      </c>
    </row>
    <row r="167" spans="1:5" x14ac:dyDescent="0.25">
      <c r="A167" t="s">
        <v>825</v>
      </c>
      <c r="C167">
        <v>176920.30339784457</v>
      </c>
    </row>
    <row r="168" spans="1:5" x14ac:dyDescent="0.25">
      <c r="A168" t="s">
        <v>826</v>
      </c>
      <c r="B168" t="s">
        <v>344</v>
      </c>
      <c r="C168">
        <v>185641.20849410299</v>
      </c>
    </row>
    <row r="169" spans="1:5" x14ac:dyDescent="0.25">
      <c r="A169" t="s">
        <v>827</v>
      </c>
      <c r="C169">
        <v>218651.33293242331</v>
      </c>
    </row>
    <row r="170" spans="1:5" x14ac:dyDescent="0.25">
      <c r="A170" t="s">
        <v>828</v>
      </c>
      <c r="C170">
        <v>254610.04138811928</v>
      </c>
    </row>
    <row r="171" spans="1:5" x14ac:dyDescent="0.25">
      <c r="A171" t="s">
        <v>829</v>
      </c>
      <c r="C171">
        <v>158256.86329949787</v>
      </c>
    </row>
    <row r="172" spans="1:5" x14ac:dyDescent="0.25">
      <c r="A172" t="s">
        <v>830</v>
      </c>
      <c r="C172">
        <v>215703.08866000251</v>
      </c>
    </row>
    <row r="173" spans="1:5" x14ac:dyDescent="0.25">
      <c r="A173" t="s">
        <v>831</v>
      </c>
      <c r="B173" t="s">
        <v>345</v>
      </c>
      <c r="C173">
        <v>208614.78713413276</v>
      </c>
    </row>
    <row r="174" spans="1:5" x14ac:dyDescent="0.25">
      <c r="A174" t="s">
        <v>832</v>
      </c>
      <c r="C174">
        <v>174186.18156476092</v>
      </c>
    </row>
    <row r="175" spans="1:5" x14ac:dyDescent="0.25">
      <c r="A175" t="s">
        <v>833</v>
      </c>
      <c r="C175">
        <v>211630.38161429364</v>
      </c>
    </row>
    <row r="176" spans="1:5" x14ac:dyDescent="0.25">
      <c r="A176" t="s">
        <v>834</v>
      </c>
      <c r="C176">
        <v>166955.19892686725</v>
      </c>
    </row>
    <row r="177" spans="1:3" x14ac:dyDescent="0.25">
      <c r="A177" t="s">
        <v>835</v>
      </c>
      <c r="C177">
        <v>170262.7840221388</v>
      </c>
    </row>
    <row r="178" spans="1:3" x14ac:dyDescent="0.25">
      <c r="A178" t="s">
        <v>836</v>
      </c>
      <c r="C178">
        <v>154300.87414411589</v>
      </c>
    </row>
    <row r="179" spans="1:3" x14ac:dyDescent="0.25">
      <c r="A179" t="s">
        <v>837</v>
      </c>
      <c r="B179" t="s">
        <v>359</v>
      </c>
      <c r="C179">
        <v>208068.90244617191</v>
      </c>
    </row>
    <row r="180" spans="1:3" x14ac:dyDescent="0.25">
      <c r="A180" t="s">
        <v>838</v>
      </c>
      <c r="C180">
        <v>139336.56063240909</v>
      </c>
    </row>
    <row r="181" spans="1:3" x14ac:dyDescent="0.25">
      <c r="A181" t="s">
        <v>839</v>
      </c>
      <c r="C181">
        <v>90308.840864440077</v>
      </c>
    </row>
    <row r="182" spans="1:3" x14ac:dyDescent="0.25">
      <c r="A182" t="s">
        <v>840</v>
      </c>
      <c r="C182">
        <v>215302.68120873082</v>
      </c>
    </row>
    <row r="183" spans="1:3" x14ac:dyDescent="0.25">
      <c r="A183" t="s">
        <v>841</v>
      </c>
      <c r="C183">
        <v>113235.64982747941</v>
      </c>
    </row>
    <row r="184" spans="1:3" x14ac:dyDescent="0.25">
      <c r="A184" t="s">
        <v>842</v>
      </c>
      <c r="C184">
        <v>111486.2339433898</v>
      </c>
    </row>
    <row r="185" spans="1:3" x14ac:dyDescent="0.25">
      <c r="A185" t="s">
        <v>843</v>
      </c>
      <c r="C185">
        <v>115784.77564377559</v>
      </c>
    </row>
    <row r="186" spans="1:3" x14ac:dyDescent="0.25">
      <c r="A186" t="s">
        <v>844</v>
      </c>
      <c r="C186">
        <v>153732.57718966604</v>
      </c>
    </row>
    <row r="188" spans="1:3" x14ac:dyDescent="0.25">
      <c r="C188">
        <f>+MAX(C66:C186)</f>
        <v>254610.04138811928</v>
      </c>
    </row>
    <row r="189" spans="1:3" x14ac:dyDescent="0.25">
      <c r="C189">
        <f>+MIN(C65:C186)</f>
        <v>20260.093816631132</v>
      </c>
    </row>
  </sheetData>
  <mergeCells count="2">
    <mergeCell ref="A1:E1"/>
    <mergeCell ref="F3:L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zoomScale="55" zoomScaleNormal="55" workbookViewId="0">
      <selection activeCell="L40" sqref="L40"/>
    </sheetView>
  </sheetViews>
  <sheetFormatPr baseColWidth="10" defaultRowHeight="15" x14ac:dyDescent="0.25"/>
  <cols>
    <col min="1" max="1" width="61.7109375" customWidth="1"/>
    <col min="2" max="2" width="47.140625" customWidth="1"/>
    <col min="3" max="3" width="29.85546875" customWidth="1"/>
    <col min="4" max="4" width="24.140625" customWidth="1"/>
    <col min="5" max="5" width="17.7109375" customWidth="1"/>
    <col min="6" max="6" width="14.5703125" customWidth="1"/>
    <col min="7" max="7" width="13" customWidth="1"/>
    <col min="8" max="8" width="14.28515625" customWidth="1"/>
    <col min="9" max="9" width="14" customWidth="1"/>
    <col min="12" max="12" width="25.140625" customWidth="1"/>
    <col min="13" max="13" width="40.140625" customWidth="1"/>
  </cols>
  <sheetData>
    <row r="1" spans="1:13" ht="21" x14ac:dyDescent="0.35">
      <c r="A1" s="1101" t="s">
        <v>1045</v>
      </c>
      <c r="B1" s="1101"/>
      <c r="C1" s="1101"/>
      <c r="D1" s="1101"/>
      <c r="E1" s="1101"/>
    </row>
    <row r="3" spans="1:13" ht="15.75" thickBot="1" x14ac:dyDescent="0.3">
      <c r="E3" s="109"/>
      <c r="F3" s="1100" t="s">
        <v>658</v>
      </c>
      <c r="G3" s="1100"/>
      <c r="H3" s="1100"/>
      <c r="I3" s="1100"/>
      <c r="J3" s="1100"/>
      <c r="K3" s="1100"/>
    </row>
    <row r="4" spans="1:13" ht="49.5" customHeight="1" thickBot="1" x14ac:dyDescent="0.3">
      <c r="A4" s="203" t="s">
        <v>475</v>
      </c>
      <c r="B4" s="204" t="s">
        <v>659</v>
      </c>
      <c r="C4" s="175" t="s">
        <v>660</v>
      </c>
      <c r="D4" s="175" t="s">
        <v>661</v>
      </c>
      <c r="E4" s="438" t="s">
        <v>479</v>
      </c>
      <c r="F4" s="299" t="s">
        <v>1046</v>
      </c>
      <c r="G4" s="299" t="s">
        <v>194</v>
      </c>
      <c r="H4" s="299" t="s">
        <v>1047</v>
      </c>
      <c r="I4" s="299" t="s">
        <v>1048</v>
      </c>
      <c r="J4" s="299" t="s">
        <v>909</v>
      </c>
      <c r="K4" s="299" t="s">
        <v>187</v>
      </c>
      <c r="L4" s="299" t="s">
        <v>487</v>
      </c>
      <c r="M4" s="299" t="s">
        <v>669</v>
      </c>
    </row>
    <row r="5" spans="1:13" ht="15.75" x14ac:dyDescent="0.25">
      <c r="A5" s="410" t="s">
        <v>747</v>
      </c>
      <c r="B5" s="411" t="s">
        <v>748</v>
      </c>
      <c r="C5" s="436">
        <f>+E34</f>
        <v>2881.58</v>
      </c>
      <c r="D5" s="313">
        <f>+C5*E5</f>
        <v>732.23871259777593</v>
      </c>
      <c r="E5" s="439">
        <v>0.25411014533616139</v>
      </c>
      <c r="F5" s="440">
        <v>0.32341111267981432</v>
      </c>
      <c r="G5" s="440">
        <v>0.44828493400147651</v>
      </c>
      <c r="H5" s="440">
        <v>0.15986986259196351</v>
      </c>
      <c r="I5" s="440">
        <v>0</v>
      </c>
      <c r="J5" s="440">
        <v>1.1033443025079004E-2</v>
      </c>
      <c r="K5" s="440">
        <v>5.7400647701666641E-2</v>
      </c>
      <c r="L5" s="441">
        <v>105874.66755066894</v>
      </c>
      <c r="M5" s="437">
        <f t="shared" ref="M5:M23" si="0">+L5*D5</f>
        <v>77525530.26401934</v>
      </c>
    </row>
    <row r="6" spans="1:13" ht="15.75" x14ac:dyDescent="0.25">
      <c r="A6" s="412" t="s">
        <v>750</v>
      </c>
      <c r="B6" s="411" t="s">
        <v>751</v>
      </c>
      <c r="C6" s="436">
        <f>+E35</f>
        <v>1165.05</v>
      </c>
      <c r="D6" s="313">
        <f t="shared" ref="D6:D23" si="1">+C6*E6</f>
        <v>962.88039705324684</v>
      </c>
      <c r="E6" s="439">
        <v>0.82647130771490229</v>
      </c>
      <c r="F6" s="440">
        <v>6.406313612006645E-2</v>
      </c>
      <c r="G6" s="440">
        <v>0.47698909587051502</v>
      </c>
      <c r="H6" s="440">
        <v>1.411485096222616E-2</v>
      </c>
      <c r="I6" s="440">
        <v>0</v>
      </c>
      <c r="J6" s="440">
        <v>0.16457313248902433</v>
      </c>
      <c r="K6" s="440">
        <v>0.28025978455816819</v>
      </c>
      <c r="L6" s="441">
        <v>143062.23908761816</v>
      </c>
      <c r="M6" s="437">
        <f t="shared" si="0"/>
        <v>137751825.57601231</v>
      </c>
    </row>
    <row r="7" spans="1:13" ht="15.75" x14ac:dyDescent="0.25">
      <c r="A7" s="412" t="s">
        <v>752</v>
      </c>
      <c r="B7" s="411" t="s">
        <v>753</v>
      </c>
      <c r="C7" s="436">
        <f>+E38</f>
        <v>182.07</v>
      </c>
      <c r="D7" s="313">
        <f t="shared" si="1"/>
        <v>182.07</v>
      </c>
      <c r="E7" s="439">
        <v>1</v>
      </c>
      <c r="F7" s="440">
        <v>5.2238051296312683E-2</v>
      </c>
      <c r="G7" s="440">
        <v>0.42385822093567105</v>
      </c>
      <c r="H7" s="440">
        <v>0</v>
      </c>
      <c r="I7" s="440">
        <v>9.8598136748031182E-3</v>
      </c>
      <c r="J7" s="440">
        <v>0.14138298634373667</v>
      </c>
      <c r="K7" s="440">
        <v>0.3726609277494764</v>
      </c>
      <c r="L7" s="441">
        <v>159217.10361652909</v>
      </c>
      <c r="M7" s="437">
        <f t="shared" si="0"/>
        <v>28988658.055461451</v>
      </c>
    </row>
    <row r="8" spans="1:13" ht="15.75" x14ac:dyDescent="0.25">
      <c r="A8" s="412" t="s">
        <v>754</v>
      </c>
      <c r="B8" s="411" t="s">
        <v>1049</v>
      </c>
      <c r="C8" s="436">
        <f>+E50</f>
        <v>1117.79</v>
      </c>
      <c r="D8" s="313">
        <f t="shared" si="1"/>
        <v>349.83184982082201</v>
      </c>
      <c r="E8" s="439">
        <v>0.31296741769099923</v>
      </c>
      <c r="F8" s="440">
        <v>6.8548543125798056E-2</v>
      </c>
      <c r="G8" s="440">
        <v>0.35386582616006446</v>
      </c>
      <c r="H8" s="440">
        <v>0.36296799203582469</v>
      </c>
      <c r="I8" s="440">
        <v>0</v>
      </c>
      <c r="J8" s="440">
        <v>0.1403738659668699</v>
      </c>
      <c r="K8" s="440">
        <v>7.4243772711442876E-2</v>
      </c>
      <c r="L8" s="441">
        <v>122469.72691743501</v>
      </c>
      <c r="M8" s="437">
        <f t="shared" si="0"/>
        <v>42843811.114577204</v>
      </c>
    </row>
    <row r="9" spans="1:13" ht="15.75" x14ac:dyDescent="0.25">
      <c r="A9" s="412" t="s">
        <v>756</v>
      </c>
      <c r="B9" s="411" t="s">
        <v>757</v>
      </c>
      <c r="C9" s="436">
        <f>+E37</f>
        <v>2882.7</v>
      </c>
      <c r="D9" s="313">
        <f t="shared" si="1"/>
        <v>1260.3661613523277</v>
      </c>
      <c r="E9" s="439">
        <v>0.43721724818827068</v>
      </c>
      <c r="F9" s="440">
        <v>0.2200555732393478</v>
      </c>
      <c r="G9" s="440">
        <v>0.53193000908793142</v>
      </c>
      <c r="H9" s="440">
        <v>0.16076925008931603</v>
      </c>
      <c r="I9" s="440">
        <v>6.0673347552127454E-3</v>
      </c>
      <c r="J9" s="440">
        <v>4.0760372313024644E-2</v>
      </c>
      <c r="K9" s="440">
        <v>4.0417460515167307E-2</v>
      </c>
      <c r="L9" s="441">
        <v>109666.40976473379</v>
      </c>
      <c r="M9" s="437">
        <f t="shared" si="0"/>
        <v>138219831.90446895</v>
      </c>
    </row>
    <row r="10" spans="1:13" ht="15.75" x14ac:dyDescent="0.25">
      <c r="A10" s="412" t="s">
        <v>758</v>
      </c>
      <c r="B10" s="411" t="s">
        <v>759</v>
      </c>
      <c r="C10" s="436">
        <f>+E48</f>
        <v>1458.27</v>
      </c>
      <c r="D10" s="313">
        <f t="shared" si="1"/>
        <v>1233.7089380847281</v>
      </c>
      <c r="E10" s="439">
        <v>0.8460085842023275</v>
      </c>
      <c r="F10" s="440">
        <v>3.6080314611330378E-3</v>
      </c>
      <c r="G10" s="440">
        <v>0.29058243232300474</v>
      </c>
      <c r="H10" s="440">
        <v>2.8658641777539935E-3</v>
      </c>
      <c r="I10" s="440">
        <v>2.3463470793886627E-2</v>
      </c>
      <c r="J10" s="440">
        <v>0.29938493062425847</v>
      </c>
      <c r="K10" s="440">
        <v>0.38009527061996318</v>
      </c>
      <c r="L10" s="441">
        <v>175752.94166522904</v>
      </c>
      <c r="M10" s="437">
        <f t="shared" si="0"/>
        <v>216827975.02707687</v>
      </c>
    </row>
    <row r="11" spans="1:13" ht="15.75" x14ac:dyDescent="0.25">
      <c r="A11" s="412" t="s">
        <v>760</v>
      </c>
      <c r="B11" s="411" t="s">
        <v>761</v>
      </c>
      <c r="C11" s="436">
        <f>+E49</f>
        <v>476.31</v>
      </c>
      <c r="D11" s="313">
        <f t="shared" si="1"/>
        <v>199.33265210969856</v>
      </c>
      <c r="E11" s="439">
        <v>0.41849352755495067</v>
      </c>
      <c r="F11" s="440">
        <v>0.64810888025544455</v>
      </c>
      <c r="G11" s="440">
        <v>8.132160898405448E-2</v>
      </c>
      <c r="H11" s="440">
        <v>0.23466245539112465</v>
      </c>
      <c r="I11" s="440">
        <v>0</v>
      </c>
      <c r="J11" s="440">
        <v>1.4608479887699316E-2</v>
      </c>
      <c r="K11" s="440">
        <v>2.1298575481676997E-2</v>
      </c>
      <c r="L11" s="441">
        <v>90374.64485898157</v>
      </c>
      <c r="M11" s="437">
        <f t="shared" si="0"/>
        <v>18014617.643212929</v>
      </c>
    </row>
    <row r="12" spans="1:13" ht="15.75" x14ac:dyDescent="0.25">
      <c r="A12" s="412" t="s">
        <v>762</v>
      </c>
      <c r="B12" s="411" t="s">
        <v>763</v>
      </c>
      <c r="C12" s="436">
        <f>+E43</f>
        <v>369.6</v>
      </c>
      <c r="D12" s="313">
        <f t="shared" si="1"/>
        <v>282.43597447718446</v>
      </c>
      <c r="E12" s="439">
        <v>0.7641665976114298</v>
      </c>
      <c r="F12" s="440">
        <v>0</v>
      </c>
      <c r="G12" s="440">
        <v>0.30933457466363751</v>
      </c>
      <c r="H12" s="440">
        <v>2.1000346479268114E-3</v>
      </c>
      <c r="I12" s="440">
        <v>1.3621131532522768E-3</v>
      </c>
      <c r="J12" s="440">
        <v>4.9935332686219386E-3</v>
      </c>
      <c r="K12" s="440">
        <v>0.68220974426656145</v>
      </c>
      <c r="L12" s="441">
        <v>108353.74856184654</v>
      </c>
      <c r="M12" s="437">
        <f t="shared" si="0"/>
        <v>30602996.563320953</v>
      </c>
    </row>
    <row r="13" spans="1:13" ht="15.75" x14ac:dyDescent="0.25">
      <c r="A13" s="412" t="s">
        <v>764</v>
      </c>
      <c r="B13" s="411" t="s">
        <v>765</v>
      </c>
      <c r="C13" s="436">
        <f>+E42</f>
        <v>981.73</v>
      </c>
      <c r="D13" s="313">
        <f t="shared" si="1"/>
        <v>890.80378881710328</v>
      </c>
      <c r="E13" s="439">
        <v>0.90738165159168327</v>
      </c>
      <c r="F13" s="440">
        <v>0</v>
      </c>
      <c r="G13" s="440">
        <v>0.39462544047930365</v>
      </c>
      <c r="H13" s="440">
        <v>1.1713318851349078E-2</v>
      </c>
      <c r="I13" s="440">
        <v>2.2627884637790734E-2</v>
      </c>
      <c r="J13" s="440">
        <v>2.3284234401012873E-2</v>
      </c>
      <c r="K13" s="440">
        <v>0.54774912163054368</v>
      </c>
      <c r="L13" s="441">
        <v>106565.66137271604</v>
      </c>
      <c r="M13" s="437">
        <f t="shared" si="0"/>
        <v>94929094.908615887</v>
      </c>
    </row>
    <row r="14" spans="1:13" ht="15.75" x14ac:dyDescent="0.25">
      <c r="A14" s="412" t="s">
        <v>766</v>
      </c>
      <c r="B14" s="411" t="s">
        <v>767</v>
      </c>
      <c r="C14" s="436">
        <f>+E32</f>
        <v>2314.04</v>
      </c>
      <c r="D14" s="313">
        <f t="shared" si="1"/>
        <v>1372.1007633041274</v>
      </c>
      <c r="E14" s="439">
        <v>0.59294600063271485</v>
      </c>
      <c r="F14" s="440">
        <v>3.2619515348318098E-2</v>
      </c>
      <c r="G14" s="440">
        <v>0.42205099435388638</v>
      </c>
      <c r="H14" s="440">
        <v>0.14981563899624148</v>
      </c>
      <c r="I14" s="440">
        <v>0</v>
      </c>
      <c r="J14" s="440">
        <v>1.9518392845805437E-3</v>
      </c>
      <c r="K14" s="440">
        <v>0.39356201201697344</v>
      </c>
      <c r="L14" s="441">
        <v>147239.85624631267</v>
      </c>
      <c r="M14" s="437">
        <f t="shared" si="0"/>
        <v>202027919.14435562</v>
      </c>
    </row>
    <row r="15" spans="1:13" ht="15.75" x14ac:dyDescent="0.25">
      <c r="A15" s="412" t="s">
        <v>768</v>
      </c>
      <c r="B15" s="411" t="s">
        <v>769</v>
      </c>
      <c r="C15" s="436">
        <f>+E46</f>
        <v>850.24</v>
      </c>
      <c r="D15" s="313">
        <f t="shared" si="1"/>
        <v>289.52752054733327</v>
      </c>
      <c r="E15" s="439">
        <v>0.34052446432458278</v>
      </c>
      <c r="F15" s="440">
        <v>5.7569921286216704E-3</v>
      </c>
      <c r="G15" s="440">
        <v>0.24101350974152852</v>
      </c>
      <c r="H15" s="440">
        <v>0.21120973594596099</v>
      </c>
      <c r="I15" s="440">
        <v>0</v>
      </c>
      <c r="J15" s="440">
        <v>4.8089376430525299E-2</v>
      </c>
      <c r="K15" s="440">
        <v>0.49393038575336351</v>
      </c>
      <c r="L15" s="441">
        <v>162609.83709456821</v>
      </c>
      <c r="M15" s="437">
        <f t="shared" si="0"/>
        <v>47080022.950596116</v>
      </c>
    </row>
    <row r="16" spans="1:13" ht="15.75" x14ac:dyDescent="0.25">
      <c r="A16" s="412" t="s">
        <v>770</v>
      </c>
      <c r="B16" s="411" t="s">
        <v>771</v>
      </c>
      <c r="C16" s="436">
        <f>+E33</f>
        <v>2086.7600000000002</v>
      </c>
      <c r="D16" s="313">
        <f t="shared" si="1"/>
        <v>1017.4864023261375</v>
      </c>
      <c r="E16" s="439">
        <v>0.48759148264588997</v>
      </c>
      <c r="F16" s="440">
        <v>8.5981537208006081E-2</v>
      </c>
      <c r="G16" s="440">
        <v>0.31462899916978621</v>
      </c>
      <c r="H16" s="440">
        <v>0.40675794811562077</v>
      </c>
      <c r="I16" s="440">
        <v>0</v>
      </c>
      <c r="J16" s="440">
        <v>3.3945785229299211E-2</v>
      </c>
      <c r="K16" s="440">
        <v>0.15868573027728766</v>
      </c>
      <c r="L16" s="441">
        <v>130812.21189555472</v>
      </c>
      <c r="M16" s="437">
        <f t="shared" si="0"/>
        <v>133099646.86193234</v>
      </c>
    </row>
    <row r="17" spans="1:13" ht="16.5" customHeight="1" x14ac:dyDescent="0.25">
      <c r="A17" s="412" t="s">
        <v>772</v>
      </c>
      <c r="B17" s="411" t="s">
        <v>773</v>
      </c>
      <c r="C17" s="436">
        <f>+E44</f>
        <v>31.48</v>
      </c>
      <c r="D17" s="313">
        <f t="shared" si="1"/>
        <v>20.59154448870617</v>
      </c>
      <c r="E17" s="439">
        <v>0.65411513623590123</v>
      </c>
      <c r="F17" s="440">
        <v>7.3167640502018096E-3</v>
      </c>
      <c r="G17" s="440">
        <v>0.42412046094151135</v>
      </c>
      <c r="H17" s="440">
        <v>0</v>
      </c>
      <c r="I17" s="440">
        <v>0</v>
      </c>
      <c r="J17" s="440">
        <v>0</v>
      </c>
      <c r="K17" s="440">
        <v>0.56856277500828678</v>
      </c>
      <c r="L17" s="441">
        <v>178256.62512430214</v>
      </c>
      <c r="M17" s="437">
        <f t="shared" si="0"/>
        <v>3670579.2266536853</v>
      </c>
    </row>
    <row r="18" spans="1:13" ht="15.75" x14ac:dyDescent="0.25">
      <c r="A18" s="412" t="s">
        <v>774</v>
      </c>
      <c r="B18" s="411" t="s">
        <v>1050</v>
      </c>
      <c r="C18" s="436">
        <f>+E40</f>
        <v>525.54</v>
      </c>
      <c r="D18" s="313">
        <f t="shared" si="1"/>
        <v>485.97350500957708</v>
      </c>
      <c r="E18" s="439">
        <v>0.9247126860173861</v>
      </c>
      <c r="F18" s="440">
        <v>0</v>
      </c>
      <c r="G18" s="440">
        <v>0.18549957974992135</v>
      </c>
      <c r="H18" s="440">
        <v>0</v>
      </c>
      <c r="I18" s="440">
        <v>0</v>
      </c>
      <c r="J18" s="440">
        <v>2.1621966133022096E-2</v>
      </c>
      <c r="K18" s="440">
        <v>0.79287845411705649</v>
      </c>
      <c r="L18" s="441">
        <v>194470.91550782538</v>
      </c>
      <c r="M18" s="437">
        <f t="shared" si="0"/>
        <v>94507712.431759223</v>
      </c>
    </row>
    <row r="19" spans="1:13" ht="15.75" x14ac:dyDescent="0.25">
      <c r="A19" s="412" t="s">
        <v>776</v>
      </c>
      <c r="B19" s="411" t="s">
        <v>777</v>
      </c>
      <c r="C19" s="436">
        <f>+E36</f>
        <v>1718.55</v>
      </c>
      <c r="D19" s="313">
        <f t="shared" si="1"/>
        <v>758.32389720410765</v>
      </c>
      <c r="E19" s="439">
        <v>0.44125797748340617</v>
      </c>
      <c r="F19" s="440">
        <v>0.21435758447826944</v>
      </c>
      <c r="G19" s="440">
        <v>0.50572596854235274</v>
      </c>
      <c r="H19" s="440">
        <v>0.19023929578598972</v>
      </c>
      <c r="I19" s="440">
        <v>0</v>
      </c>
      <c r="J19" s="440">
        <v>2.9775524463579357E-2</v>
      </c>
      <c r="K19" s="440">
        <v>5.9901626729808637E-2</v>
      </c>
      <c r="L19" s="441">
        <v>109579.22468620844</v>
      </c>
      <c r="M19" s="437">
        <f t="shared" si="0"/>
        <v>83096544.716650143</v>
      </c>
    </row>
    <row r="20" spans="1:13" ht="15.75" x14ac:dyDescent="0.25">
      <c r="A20" s="412" t="s">
        <v>778</v>
      </c>
      <c r="B20" s="411" t="s">
        <v>1051</v>
      </c>
      <c r="C20" s="436">
        <f>+E41</f>
        <v>2955.77</v>
      </c>
      <c r="D20" s="313">
        <f t="shared" si="1"/>
        <v>2203.1761834030958</v>
      </c>
      <c r="E20" s="439">
        <v>0.74538146858622145</v>
      </c>
      <c r="F20" s="440">
        <v>5.7591004899662859E-3</v>
      </c>
      <c r="G20" s="440">
        <v>0.32364917812294208</v>
      </c>
      <c r="H20" s="440">
        <v>5.0645764679600504E-2</v>
      </c>
      <c r="I20" s="440">
        <v>4.0355951880750585E-3</v>
      </c>
      <c r="J20" s="440">
        <v>6.7737867460243101E-2</v>
      </c>
      <c r="K20" s="440">
        <v>0.54817249405917301</v>
      </c>
      <c r="L20" s="441">
        <v>139944.07098550012</v>
      </c>
      <c r="M20" s="437">
        <f t="shared" si="0"/>
        <v>308321444.20372605</v>
      </c>
    </row>
    <row r="21" spans="1:13" ht="15.75" x14ac:dyDescent="0.25">
      <c r="A21" s="412" t="s">
        <v>780</v>
      </c>
      <c r="B21" s="411" t="s">
        <v>1052</v>
      </c>
      <c r="C21" s="436">
        <f>+E51</f>
        <v>9799.75</v>
      </c>
      <c r="D21" s="313">
        <f t="shared" si="1"/>
        <v>4642.1670550175786</v>
      </c>
      <c r="E21" s="439">
        <v>0.47370260006812204</v>
      </c>
      <c r="F21" s="440">
        <v>6.0056205780486469E-2</v>
      </c>
      <c r="G21" s="440">
        <v>0.26379405746194229</v>
      </c>
      <c r="H21" s="440">
        <v>4.7152582854780092E-2</v>
      </c>
      <c r="I21" s="440">
        <v>2.7287404588831896E-3</v>
      </c>
      <c r="J21" s="440">
        <v>2.9328993834458011E-2</v>
      </c>
      <c r="K21" s="440">
        <v>0.59693941960944996</v>
      </c>
      <c r="L21" s="441">
        <v>165746.46826101077</v>
      </c>
      <c r="M21" s="437">
        <f t="shared" si="0"/>
        <v>769422794.44678092</v>
      </c>
    </row>
    <row r="22" spans="1:13" ht="15.75" x14ac:dyDescent="0.25">
      <c r="A22" s="412" t="s">
        <v>782</v>
      </c>
      <c r="B22" s="411" t="s">
        <v>783</v>
      </c>
      <c r="C22" s="436">
        <f>+E45</f>
        <v>927.85</v>
      </c>
      <c r="D22" s="313">
        <f t="shared" si="1"/>
        <v>716.99505419475975</v>
      </c>
      <c r="E22" s="439">
        <v>0.77274888634451666</v>
      </c>
      <c r="F22" s="440">
        <v>0</v>
      </c>
      <c r="G22" s="440">
        <v>0.23983872193877917</v>
      </c>
      <c r="H22" s="440">
        <v>0.17783760601622819</v>
      </c>
      <c r="I22" s="440">
        <v>0</v>
      </c>
      <c r="J22" s="440">
        <v>0.30378481341287272</v>
      </c>
      <c r="K22" s="440">
        <v>0.27853885863211991</v>
      </c>
      <c r="L22" s="441">
        <v>152246.19064489708</v>
      </c>
      <c r="M22" s="437">
        <f t="shared" si="0"/>
        <v>109159765.7123837</v>
      </c>
    </row>
    <row r="23" spans="1:13" ht="15.75" x14ac:dyDescent="0.25">
      <c r="A23" s="413" t="s">
        <v>784</v>
      </c>
      <c r="B23" s="411" t="s">
        <v>1053</v>
      </c>
      <c r="C23" s="436">
        <f>+E52</f>
        <v>7472.2</v>
      </c>
      <c r="D23" s="313">
        <f t="shared" si="1"/>
        <v>3271.9900909634507</v>
      </c>
      <c r="E23" s="439">
        <v>0.43788845199050491</v>
      </c>
      <c r="F23" s="440">
        <v>5.2208187207100985E-2</v>
      </c>
      <c r="G23" s="440">
        <v>0.29866463900354817</v>
      </c>
      <c r="H23" s="440">
        <v>0.38293824938187326</v>
      </c>
      <c r="I23" s="440">
        <v>3.1888726813775713E-2</v>
      </c>
      <c r="J23" s="440">
        <v>7.8985961536472152E-2</v>
      </c>
      <c r="K23" s="440">
        <v>0.15531423605722972</v>
      </c>
      <c r="L23" s="441">
        <v>125794.56967091856</v>
      </c>
      <c r="M23" s="437">
        <f t="shared" si="0"/>
        <v>411598585.46025693</v>
      </c>
    </row>
    <row r="25" spans="1:13" x14ac:dyDescent="0.25">
      <c r="C25">
        <f>SUM(C5:C24)</f>
        <v>40197.279999999999</v>
      </c>
      <c r="D25">
        <f>SUM(D5:D24)</f>
        <v>20872.000490771759</v>
      </c>
      <c r="E25" s="414">
        <f>+D25/C25</f>
        <v>0.51923912490526125</v>
      </c>
      <c r="L25" s="213">
        <f>(SUMPRODUCT(L5:L23,D5:D23))/D25</f>
        <v>141226.96851771045</v>
      </c>
      <c r="M25" s="213">
        <f>SUM(M5:M24)</f>
        <v>2947689356.2118607</v>
      </c>
    </row>
    <row r="26" spans="1:13" ht="15.75" thickBot="1" x14ac:dyDescent="0.3"/>
    <row r="27" spans="1:13" ht="15.75" thickBot="1" x14ac:dyDescent="0.3">
      <c r="L27" s="187">
        <f>ROUND(L25/40,-1)</f>
        <v>3530</v>
      </c>
    </row>
    <row r="28" spans="1:13" x14ac:dyDescent="0.25">
      <c r="B28" s="145" t="s">
        <v>1054</v>
      </c>
      <c r="C28" s="395">
        <f>+C21+C14+C15+C16</f>
        <v>15050.79</v>
      </c>
    </row>
    <row r="29" spans="1:13" x14ac:dyDescent="0.25">
      <c r="L29" s="213">
        <f>+L21+L14+L15+L16</f>
        <v>606408.3734974463</v>
      </c>
      <c r="M29" s="213">
        <f>+M21+M14+M15+M16</f>
        <v>1151630383.4036651</v>
      </c>
    </row>
    <row r="31" spans="1:13" x14ac:dyDescent="0.25">
      <c r="A31" s="188" t="s">
        <v>1055</v>
      </c>
      <c r="B31" s="189">
        <v>41</v>
      </c>
      <c r="C31" s="160"/>
      <c r="D31" s="160"/>
      <c r="E31" s="160"/>
      <c r="F31" s="169"/>
    </row>
    <row r="32" spans="1:13" x14ac:dyDescent="0.25">
      <c r="A32" s="160" t="s">
        <v>767</v>
      </c>
      <c r="B32" s="169">
        <v>145</v>
      </c>
      <c r="C32" s="160">
        <v>2201.02</v>
      </c>
      <c r="D32" s="160">
        <v>113.02</v>
      </c>
      <c r="E32" s="160">
        <v>2314.04</v>
      </c>
      <c r="F32" s="190">
        <v>0.95</v>
      </c>
    </row>
    <row r="33" spans="1:12" x14ac:dyDescent="0.25">
      <c r="A33" s="160" t="s">
        <v>771</v>
      </c>
      <c r="B33" s="169">
        <v>146</v>
      </c>
      <c r="C33" s="160">
        <v>1909.44</v>
      </c>
      <c r="D33" s="160">
        <v>177.32</v>
      </c>
      <c r="E33" s="160">
        <v>2086.7600000000002</v>
      </c>
      <c r="F33" s="190">
        <v>0.92</v>
      </c>
    </row>
    <row r="34" spans="1:12" x14ac:dyDescent="0.25">
      <c r="A34" s="160" t="s">
        <v>748</v>
      </c>
      <c r="B34" s="169">
        <v>149</v>
      </c>
      <c r="C34" s="160">
        <v>2083.84</v>
      </c>
      <c r="D34" s="160">
        <v>797.74</v>
      </c>
      <c r="E34" s="160">
        <v>2881.58</v>
      </c>
      <c r="F34" s="190">
        <v>0.72</v>
      </c>
    </row>
    <row r="35" spans="1:12" x14ac:dyDescent="0.25">
      <c r="A35" s="160" t="s">
        <v>751</v>
      </c>
      <c r="B35" s="169">
        <v>150</v>
      </c>
      <c r="C35" s="160">
        <v>980</v>
      </c>
      <c r="D35" s="160">
        <v>185.05</v>
      </c>
      <c r="E35" s="160">
        <v>1165.05</v>
      </c>
      <c r="F35" s="190">
        <v>0.84</v>
      </c>
    </row>
    <row r="36" spans="1:12" x14ac:dyDescent="0.25">
      <c r="A36" s="160" t="s">
        <v>777</v>
      </c>
      <c r="B36" s="169">
        <v>151</v>
      </c>
      <c r="C36" s="160">
        <v>1111.1199999999999</v>
      </c>
      <c r="D36" s="160">
        <v>607.42999999999995</v>
      </c>
      <c r="E36" s="160">
        <v>1718.55</v>
      </c>
      <c r="F36" s="190">
        <v>0.65</v>
      </c>
    </row>
    <row r="37" spans="1:12" x14ac:dyDescent="0.25">
      <c r="A37" s="160" t="s">
        <v>757</v>
      </c>
      <c r="B37" s="169">
        <v>152</v>
      </c>
      <c r="C37" s="160">
        <v>2148.14</v>
      </c>
      <c r="D37" s="160">
        <v>734.56</v>
      </c>
      <c r="E37" s="160">
        <v>2882.7</v>
      </c>
      <c r="F37" s="190">
        <v>0.75</v>
      </c>
    </row>
    <row r="38" spans="1:12" x14ac:dyDescent="0.25">
      <c r="A38" s="160" t="s">
        <v>753</v>
      </c>
      <c r="B38" s="169">
        <v>153</v>
      </c>
      <c r="C38" s="160">
        <v>45.33</v>
      </c>
      <c r="D38" s="160">
        <v>136.74</v>
      </c>
      <c r="E38" s="160">
        <v>182.07</v>
      </c>
      <c r="F38" s="190">
        <v>0.25</v>
      </c>
      <c r="L38" s="507">
        <f>SUM(E40:E44)</f>
        <v>4864.12</v>
      </c>
    </row>
    <row r="39" spans="1:12" x14ac:dyDescent="0.25">
      <c r="A39" s="188" t="s">
        <v>1056</v>
      </c>
      <c r="B39" s="189">
        <v>42</v>
      </c>
      <c r="C39" s="193"/>
      <c r="D39" s="160"/>
      <c r="E39" s="160"/>
      <c r="F39" s="169"/>
      <c r="K39" s="1102" t="s">
        <v>1101</v>
      </c>
      <c r="L39" s="506">
        <f>E40*L18++E41*L20+L13*E42+E44*L17+E43*L12</f>
        <v>666122502.39960229</v>
      </c>
    </row>
    <row r="40" spans="1:12" x14ac:dyDescent="0.25">
      <c r="A40" s="505" t="s">
        <v>1050</v>
      </c>
      <c r="B40" s="169">
        <v>154</v>
      </c>
      <c r="C40" s="160">
        <v>500.71</v>
      </c>
      <c r="D40" s="160">
        <v>24.83</v>
      </c>
      <c r="E40" s="160">
        <v>525.54</v>
      </c>
      <c r="F40" s="190">
        <v>0.95</v>
      </c>
      <c r="K40" s="1102"/>
      <c r="L40" s="506">
        <f>+L39/L38</f>
        <v>136946.14902584688</v>
      </c>
    </row>
    <row r="41" spans="1:12" x14ac:dyDescent="0.25">
      <c r="A41" s="505" t="s">
        <v>1051</v>
      </c>
      <c r="B41" s="169">
        <v>155</v>
      </c>
      <c r="C41" s="160">
        <v>2622.57</v>
      </c>
      <c r="D41" s="160">
        <v>333.2</v>
      </c>
      <c r="E41" s="160">
        <v>2955.77</v>
      </c>
      <c r="F41" s="190">
        <v>0.89</v>
      </c>
    </row>
    <row r="42" spans="1:12" x14ac:dyDescent="0.25">
      <c r="A42" s="505" t="s">
        <v>765</v>
      </c>
      <c r="B42" s="169">
        <v>156</v>
      </c>
      <c r="C42" s="160">
        <v>951.46</v>
      </c>
      <c r="D42" s="160">
        <v>30.27</v>
      </c>
      <c r="E42" s="160">
        <v>981.73</v>
      </c>
      <c r="F42" s="190">
        <v>0.97</v>
      </c>
    </row>
    <row r="43" spans="1:12" x14ac:dyDescent="0.25">
      <c r="A43" s="509" t="s">
        <v>763</v>
      </c>
      <c r="B43" s="169">
        <v>157</v>
      </c>
      <c r="C43" s="160">
        <v>339.84</v>
      </c>
      <c r="D43" s="160">
        <v>29.76</v>
      </c>
      <c r="E43" s="160">
        <v>369.6</v>
      </c>
      <c r="F43" s="190">
        <v>0.92</v>
      </c>
    </row>
    <row r="44" spans="1:12" x14ac:dyDescent="0.25">
      <c r="A44" s="505" t="s">
        <v>773</v>
      </c>
      <c r="B44" s="169">
        <v>158</v>
      </c>
      <c r="C44" s="160">
        <v>29.2</v>
      </c>
      <c r="D44">
        <v>2.2799999999999998</v>
      </c>
      <c r="E44" s="160">
        <v>31.48</v>
      </c>
      <c r="F44" s="190">
        <v>0.93</v>
      </c>
    </row>
    <row r="45" spans="1:12" x14ac:dyDescent="0.25">
      <c r="A45" s="160" t="s">
        <v>783</v>
      </c>
      <c r="B45" s="169">
        <v>160</v>
      </c>
      <c r="C45" s="160">
        <v>913.05</v>
      </c>
      <c r="D45" s="160">
        <v>14.8</v>
      </c>
      <c r="E45" s="160">
        <v>927.85</v>
      </c>
      <c r="F45" s="190">
        <v>0.98</v>
      </c>
    </row>
    <row r="46" spans="1:12" x14ac:dyDescent="0.25">
      <c r="A46" s="160" t="s">
        <v>769</v>
      </c>
      <c r="B46" s="169">
        <v>246</v>
      </c>
      <c r="C46" s="160">
        <v>777.76</v>
      </c>
      <c r="D46" s="160">
        <v>72.48</v>
      </c>
      <c r="E46" s="160">
        <v>850.24</v>
      </c>
      <c r="F46" s="190">
        <v>0.91</v>
      </c>
    </row>
    <row r="47" spans="1:12" x14ac:dyDescent="0.25">
      <c r="A47" s="160" t="s">
        <v>1057</v>
      </c>
      <c r="B47" s="169">
        <v>247</v>
      </c>
      <c r="C47" s="160">
        <v>2.83</v>
      </c>
      <c r="D47" s="160">
        <v>15.29</v>
      </c>
      <c r="E47" s="160">
        <v>18.12</v>
      </c>
      <c r="F47" s="190">
        <v>0.16</v>
      </c>
    </row>
    <row r="48" spans="1:12" x14ac:dyDescent="0.25">
      <c r="A48" s="160" t="s">
        <v>759</v>
      </c>
      <c r="B48" s="169">
        <v>248</v>
      </c>
      <c r="C48" s="160">
        <v>1437.99</v>
      </c>
      <c r="D48" s="160">
        <v>20.28</v>
      </c>
      <c r="E48" s="160">
        <v>1458.27</v>
      </c>
      <c r="F48" s="190">
        <v>0.99</v>
      </c>
    </row>
    <row r="49" spans="1:6" x14ac:dyDescent="0.25">
      <c r="A49" s="160" t="s">
        <v>761</v>
      </c>
      <c r="B49" s="169">
        <v>245</v>
      </c>
      <c r="C49" s="160">
        <v>440.52</v>
      </c>
      <c r="D49" s="160">
        <v>35.79</v>
      </c>
      <c r="E49" s="160">
        <v>476.31</v>
      </c>
      <c r="F49" s="190">
        <v>0.92</v>
      </c>
    </row>
    <row r="50" spans="1:6" x14ac:dyDescent="0.25">
      <c r="A50" s="160" t="s">
        <v>1049</v>
      </c>
      <c r="B50" s="169">
        <v>1654</v>
      </c>
      <c r="C50" s="160">
        <v>951.7</v>
      </c>
      <c r="D50" s="160">
        <v>166.09</v>
      </c>
      <c r="E50" s="160">
        <v>1117.79</v>
      </c>
      <c r="F50" s="190">
        <v>0.85</v>
      </c>
    </row>
    <row r="51" spans="1:6" x14ac:dyDescent="0.25">
      <c r="A51" s="160" t="s">
        <v>1052</v>
      </c>
      <c r="B51" s="169">
        <v>147</v>
      </c>
      <c r="C51" s="160">
        <v>8429.9</v>
      </c>
      <c r="D51" s="160">
        <v>1369.85</v>
      </c>
      <c r="E51" s="160">
        <v>9799.75</v>
      </c>
      <c r="F51" s="190">
        <v>0.86</v>
      </c>
    </row>
    <row r="52" spans="1:6" x14ac:dyDescent="0.25">
      <c r="A52" s="160" t="s">
        <v>1053</v>
      </c>
      <c r="B52" s="169">
        <v>148</v>
      </c>
      <c r="C52" s="160">
        <v>6662.11</v>
      </c>
      <c r="D52" s="160">
        <v>810.09</v>
      </c>
      <c r="E52" s="160">
        <v>7472.2</v>
      </c>
      <c r="F52" s="190">
        <v>0.89</v>
      </c>
    </row>
    <row r="53" spans="1:6" x14ac:dyDescent="0.25">
      <c r="A53" s="192" t="s">
        <v>744</v>
      </c>
      <c r="B53" s="192"/>
      <c r="C53" s="193">
        <v>34538.53</v>
      </c>
      <c r="D53" s="193">
        <v>5676.87</v>
      </c>
      <c r="E53" s="193">
        <v>40215.4</v>
      </c>
      <c r="F53" s="194">
        <v>0.86</v>
      </c>
    </row>
  </sheetData>
  <mergeCells count="3">
    <mergeCell ref="A1:E1"/>
    <mergeCell ref="F3:K3"/>
    <mergeCell ref="K39:K40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3"/>
  <sheetViews>
    <sheetView workbookViewId="0">
      <selection activeCell="J1" sqref="J1"/>
    </sheetView>
  </sheetViews>
  <sheetFormatPr baseColWidth="10" defaultRowHeight="15" x14ac:dyDescent="0.25"/>
  <cols>
    <col min="1" max="1" width="71.140625" customWidth="1"/>
    <col min="2" max="2" width="22.140625" customWidth="1"/>
    <col min="3" max="3" width="19.5703125" customWidth="1"/>
    <col min="4" max="4" width="18.140625" customWidth="1"/>
    <col min="5" max="5" width="14.5703125" customWidth="1"/>
    <col min="6" max="6" width="13.28515625" customWidth="1"/>
    <col min="7" max="7" width="15.28515625" customWidth="1"/>
    <col min="11" max="11" width="14.7109375" customWidth="1"/>
    <col min="12" max="12" width="22.42578125" customWidth="1"/>
    <col min="13" max="13" width="17.42578125" customWidth="1"/>
  </cols>
  <sheetData>
    <row r="1" spans="1:13" ht="21" x14ac:dyDescent="0.35">
      <c r="B1" s="1103" t="s">
        <v>1002</v>
      </c>
      <c r="C1" s="1103"/>
      <c r="D1" s="1103"/>
      <c r="E1" s="1103"/>
      <c r="F1" s="1103"/>
      <c r="G1" s="1103"/>
    </row>
    <row r="3" spans="1:13" ht="15.75" x14ac:dyDescent="0.25">
      <c r="B3" s="148"/>
      <c r="C3" s="148"/>
      <c r="D3" s="303"/>
      <c r="E3" s="1104" t="s">
        <v>658</v>
      </c>
      <c r="F3" s="1104"/>
      <c r="G3" s="1104"/>
      <c r="H3" s="1104"/>
      <c r="I3" s="1104"/>
      <c r="J3" s="1104"/>
      <c r="K3" s="1104"/>
      <c r="L3" s="391">
        <v>2018</v>
      </c>
      <c r="M3" s="148"/>
    </row>
    <row r="4" spans="1:13" ht="78.75" x14ac:dyDescent="0.25">
      <c r="A4" s="363" t="s">
        <v>475</v>
      </c>
      <c r="B4" s="363" t="s">
        <v>660</v>
      </c>
      <c r="C4" s="363" t="s">
        <v>661</v>
      </c>
      <c r="D4" s="363" t="s">
        <v>479</v>
      </c>
      <c r="E4" s="364" t="s">
        <v>981</v>
      </c>
      <c r="F4" s="364" t="s">
        <v>1003</v>
      </c>
      <c r="G4" s="364" t="s">
        <v>984</v>
      </c>
      <c r="H4" s="364" t="s">
        <v>1004</v>
      </c>
      <c r="I4" s="364" t="s">
        <v>982</v>
      </c>
      <c r="J4" s="364" t="s">
        <v>854</v>
      </c>
      <c r="K4" s="364" t="s">
        <v>1005</v>
      </c>
      <c r="L4" s="363" t="s">
        <v>487</v>
      </c>
      <c r="M4" s="363" t="s">
        <v>669</v>
      </c>
    </row>
    <row r="5" spans="1:13" x14ac:dyDescent="0.25">
      <c r="A5" s="396" t="s">
        <v>808</v>
      </c>
      <c r="B5" s="160">
        <f>+E52</f>
        <v>918.75</v>
      </c>
      <c r="C5" s="169">
        <f>+B5*D5</f>
        <v>560.41605880968609</v>
      </c>
      <c r="D5" s="368">
        <v>0.6099766626499985</v>
      </c>
      <c r="E5" s="397">
        <v>0.41496850685439057</v>
      </c>
      <c r="F5" s="397">
        <v>0.30826231937754728</v>
      </c>
      <c r="G5" s="397">
        <v>1.5857725083364211E-2</v>
      </c>
      <c r="H5" s="397">
        <v>0</v>
      </c>
      <c r="I5" s="397">
        <v>0.22823267876991482</v>
      </c>
      <c r="J5" s="397">
        <v>3.2678769914783259E-2</v>
      </c>
      <c r="K5" s="397">
        <v>0</v>
      </c>
      <c r="L5" s="369">
        <f>+[2]Forestal!H5+[2]Frutales!H5+[2]Hortalizas!H5+[2]Olivo!H5+[2]Pastura!G5+[2]Vid!H5+'[2]Veg. Espontanea '!G5</f>
        <v>137130.63690255655</v>
      </c>
      <c r="M5" s="369">
        <f>+L5*C5</f>
        <v>76850211.074992836</v>
      </c>
    </row>
    <row r="6" spans="1:13" x14ac:dyDescent="0.25">
      <c r="A6" s="398" t="s">
        <v>810</v>
      </c>
      <c r="B6" s="160">
        <f>+E53</f>
        <v>6288.29</v>
      </c>
      <c r="C6" s="169">
        <f t="shared" ref="C6:C39" si="0">+B6*D6</f>
        <v>2432.8511591354822</v>
      </c>
      <c r="D6" s="368">
        <v>0.38688596727178332</v>
      </c>
      <c r="E6" s="397">
        <v>1.0644824055428877E-3</v>
      </c>
      <c r="F6" s="397">
        <v>0.20136632703645863</v>
      </c>
      <c r="G6" s="397">
        <v>6.6205483212739905E-2</v>
      </c>
      <c r="H6" s="397">
        <v>6.4211068977714753E-2</v>
      </c>
      <c r="I6" s="397">
        <v>8.2736894970820929E-2</v>
      </c>
      <c r="J6" s="397">
        <v>0.58441574339672298</v>
      </c>
      <c r="K6" s="397">
        <v>0</v>
      </c>
      <c r="L6" s="369">
        <f>+[2]Forestal!H6+[2]Frutales!H6+[2]Hortalizas!H6+[2]Olivo!H6+[2]Pastura!G6+[2]Vid!H6+'[2]Veg. Espontanea '!G6</f>
        <v>119254.91736050518</v>
      </c>
      <c r="M6" s="369">
        <f t="shared" ref="M6:M39" si="1">+L6*C6</f>
        <v>290129463.93311119</v>
      </c>
    </row>
    <row r="7" spans="1:13" x14ac:dyDescent="0.25">
      <c r="A7" s="398" t="s">
        <v>811</v>
      </c>
      <c r="B7" s="160">
        <f>+E54</f>
        <v>3862.57</v>
      </c>
      <c r="C7" s="169">
        <f t="shared" si="0"/>
        <v>1694.9014093868645</v>
      </c>
      <c r="D7" s="368">
        <v>0.43880147398930364</v>
      </c>
      <c r="E7" s="397">
        <v>5.7555599860577311E-4</v>
      </c>
      <c r="F7" s="397">
        <v>0.29595672678387441</v>
      </c>
      <c r="G7" s="397">
        <v>2.4881669523726644E-2</v>
      </c>
      <c r="H7" s="397">
        <v>0.12840731069694625</v>
      </c>
      <c r="I7" s="397">
        <v>3.7273006469709873E-2</v>
      </c>
      <c r="J7" s="397">
        <v>0.51290573052713717</v>
      </c>
      <c r="K7" s="397">
        <v>0</v>
      </c>
      <c r="L7" s="369">
        <f>+[2]Forestal!H7+[2]Frutales!H7+[2]Hortalizas!H7+[2]Olivo!H7+[2]Pastura!G7+[2]Vid!H7+'[2]Veg. Espontanea '!G7</f>
        <v>139910.79192668368</v>
      </c>
      <c r="M7" s="369">
        <f t="shared" si="1"/>
        <v>237134998.42496851</v>
      </c>
    </row>
    <row r="8" spans="1:13" x14ac:dyDescent="0.25">
      <c r="A8" s="398" t="s">
        <v>812</v>
      </c>
      <c r="B8" s="160">
        <f>+E57</f>
        <v>3110.21</v>
      </c>
      <c r="C8" s="169">
        <f t="shared" si="0"/>
        <v>855.22467964260261</v>
      </c>
      <c r="D8" s="368">
        <v>0.27497329107764512</v>
      </c>
      <c r="E8" s="397">
        <v>0</v>
      </c>
      <c r="F8" s="397">
        <v>0.23419864536107607</v>
      </c>
      <c r="G8" s="397">
        <v>6.9032382761127234E-2</v>
      </c>
      <c r="H8" s="397">
        <v>0.34724072152169982</v>
      </c>
      <c r="I8" s="397">
        <v>0.14945566540754712</v>
      </c>
      <c r="J8" s="397">
        <v>0.20007258494854976</v>
      </c>
      <c r="K8" s="397">
        <v>0</v>
      </c>
      <c r="L8" s="369">
        <f>+[2]Forestal!H8+[2]Frutales!H8+[2]Hortalizas!H8+[2]Olivo!H8+[2]Pastura!G8+[2]Vid!H8+'[2]Veg. Espontanea '!G8</f>
        <v>143058.97329378102</v>
      </c>
      <c r="M8" s="369">
        <f t="shared" si="1"/>
        <v>122347564.60517351</v>
      </c>
    </row>
    <row r="9" spans="1:13" x14ac:dyDescent="0.25">
      <c r="A9" s="398" t="s">
        <v>813</v>
      </c>
      <c r="B9" s="160">
        <f>+E56</f>
        <v>5249.43</v>
      </c>
      <c r="C9" s="169">
        <f t="shared" si="0"/>
        <v>1889.7842636158259</v>
      </c>
      <c r="D9" s="368">
        <v>0.35999799285176215</v>
      </c>
      <c r="E9" s="397">
        <v>1.3641371203350621E-3</v>
      </c>
      <c r="F9" s="397">
        <v>0.22665485489270407</v>
      </c>
      <c r="G9" s="397">
        <v>4.6898414134791996E-2</v>
      </c>
      <c r="H9" s="397">
        <v>0.20648993195498019</v>
      </c>
      <c r="I9" s="397">
        <v>0.22523143981386723</v>
      </c>
      <c r="J9" s="397">
        <v>0.29336122208332138</v>
      </c>
      <c r="K9" s="397">
        <v>0</v>
      </c>
      <c r="L9" s="369">
        <f>+[2]Forestal!H9+[2]Frutales!H9+[2]Hortalizas!H9+[2]Olivo!H9+[2]Pastura!G9+[2]Vid!H9+'[2]Veg. Espontanea '!G9</f>
        <v>131500.20455701166</v>
      </c>
      <c r="M9" s="369">
        <f t="shared" si="1"/>
        <v>248507017.23410276</v>
      </c>
    </row>
    <row r="10" spans="1:13" x14ac:dyDescent="0.25">
      <c r="A10" s="398" t="s">
        <v>814</v>
      </c>
      <c r="B10" s="160">
        <v>3834.01</v>
      </c>
      <c r="C10" s="169">
        <f t="shared" si="0"/>
        <v>1599.8249213656075</v>
      </c>
      <c r="D10" s="368">
        <v>0.41727197408603717</v>
      </c>
      <c r="E10" s="397">
        <v>3.3793787201468221E-3</v>
      </c>
      <c r="F10" s="397">
        <v>0.2921182952872739</v>
      </c>
      <c r="G10" s="397">
        <v>5.5823957078105335E-2</v>
      </c>
      <c r="H10" s="397">
        <v>0.37559874987318875</v>
      </c>
      <c r="I10" s="397">
        <v>0.12888950438639979</v>
      </c>
      <c r="J10" s="397">
        <v>0.1441901146548854</v>
      </c>
      <c r="K10" s="397">
        <v>0</v>
      </c>
      <c r="L10" s="369">
        <f>+[2]Forestal!H10+[2]Frutales!H10+[2]Hortalizas!H10+[2]Olivo!H10+[2]Pastura!G10+[2]Vid!H10+'[2]Veg. Espontanea '!G10</f>
        <v>155643.52916562665</v>
      </c>
      <c r="M10" s="369">
        <f t="shared" si="1"/>
        <v>249002396.80846429</v>
      </c>
    </row>
    <row r="11" spans="1:13" x14ac:dyDescent="0.25">
      <c r="A11" s="398" t="s">
        <v>815</v>
      </c>
      <c r="B11" s="160">
        <v>1926.53</v>
      </c>
      <c r="C11" s="169">
        <f t="shared" si="0"/>
        <v>963.4653646031079</v>
      </c>
      <c r="D11" s="368">
        <v>0.50010400284610568</v>
      </c>
      <c r="E11" s="397">
        <v>0</v>
      </c>
      <c r="F11" s="397">
        <v>0.57111232581487392</v>
      </c>
      <c r="G11" s="397">
        <v>1.6429825536866869E-2</v>
      </c>
      <c r="H11" s="397">
        <v>0.11382000491798396</v>
      </c>
      <c r="I11" s="397">
        <v>1.0963658604200961E-2</v>
      </c>
      <c r="J11" s="397">
        <v>0.28767418512607434</v>
      </c>
      <c r="K11" s="397">
        <v>0</v>
      </c>
      <c r="L11" s="369">
        <f>+[2]Forestal!H11+[2]Frutales!H11+[2]Hortalizas!H11+[2]Olivo!H11+[2]Pastura!G11+[2]Vid!H11+'[2]Veg. Espontanea '!G11</f>
        <v>191201.75760917063</v>
      </c>
      <c r="M11" s="369">
        <f t="shared" si="1"/>
        <v>184216271.10767463</v>
      </c>
    </row>
    <row r="12" spans="1:13" x14ac:dyDescent="0.25">
      <c r="A12" s="398" t="s">
        <v>816</v>
      </c>
      <c r="B12" s="160">
        <v>1790.71</v>
      </c>
      <c r="C12" s="169">
        <f t="shared" si="0"/>
        <v>354.8209739297771</v>
      </c>
      <c r="D12" s="368">
        <v>0.19814541379105333</v>
      </c>
      <c r="E12" s="397">
        <v>0</v>
      </c>
      <c r="F12" s="397">
        <v>0.32418920226069892</v>
      </c>
      <c r="G12" s="397">
        <v>6.4963312006853943E-2</v>
      </c>
      <c r="H12" s="397">
        <v>1.1699623677458878E-2</v>
      </c>
      <c r="I12" s="397">
        <v>0.51036522171708099</v>
      </c>
      <c r="J12" s="397">
        <v>8.878264033790724E-2</v>
      </c>
      <c r="K12" s="397">
        <v>0</v>
      </c>
      <c r="L12" s="369">
        <f>+[2]Forestal!H12+[2]Frutales!H12+[2]Hortalizas!H12+[2]Olivo!H12+[2]Pastura!G12+[2]Vid!H12+'[2]Veg. Espontanea '!G12</f>
        <v>142784.74453825637</v>
      </c>
      <c r="M12" s="369">
        <f t="shared" si="1"/>
        <v>50663022.119378544</v>
      </c>
    </row>
    <row r="13" spans="1:13" x14ac:dyDescent="0.25">
      <c r="A13" s="398" t="s">
        <v>817</v>
      </c>
      <c r="B13" s="160">
        <v>1441.75</v>
      </c>
      <c r="C13" s="169">
        <f t="shared" si="0"/>
        <v>862.83744543019657</v>
      </c>
      <c r="D13" s="368">
        <v>0.59846536877419565</v>
      </c>
      <c r="E13" s="397">
        <v>0</v>
      </c>
      <c r="F13" s="397">
        <v>0.5496589461668564</v>
      </c>
      <c r="G13" s="397">
        <v>9.8603999378214773E-3</v>
      </c>
      <c r="H13" s="397">
        <v>6.0441351501216899E-2</v>
      </c>
      <c r="I13" s="397">
        <v>0</v>
      </c>
      <c r="J13" s="397">
        <v>0.38003930239410511</v>
      </c>
      <c r="K13" s="397">
        <v>0</v>
      </c>
      <c r="L13" s="369">
        <f>+[2]Forestal!H13+[2]Frutales!H13+[2]Hortalizas!H13+[2]Olivo!H13+[2]Pastura!G13+[2]Vid!H13+'[2]Veg. Espontanea '!G13</f>
        <v>181202.42674186861</v>
      </c>
      <c r="M13" s="369">
        <f t="shared" si="1"/>
        <v>156348238.99570623</v>
      </c>
    </row>
    <row r="14" spans="1:13" x14ac:dyDescent="0.25">
      <c r="A14" s="398" t="s">
        <v>818</v>
      </c>
      <c r="B14" s="160"/>
      <c r="C14" s="169">
        <f t="shared" si="0"/>
        <v>0</v>
      </c>
      <c r="D14" s="368">
        <v>0.2234816111558113</v>
      </c>
      <c r="E14" s="397">
        <v>0.35880703835886446</v>
      </c>
      <c r="F14" s="397">
        <v>2.8704563068709159E-2</v>
      </c>
      <c r="G14" s="397">
        <v>0</v>
      </c>
      <c r="H14" s="397">
        <v>0</v>
      </c>
      <c r="I14" s="397">
        <v>0.5142900883143724</v>
      </c>
      <c r="J14" s="397">
        <v>9.8198310258054047E-2</v>
      </c>
      <c r="K14" s="397">
        <v>0</v>
      </c>
      <c r="L14" s="369">
        <f>+[2]Forestal!H14+[2]Frutales!H14+[2]Hortalizas!H14+[2]Olivo!H14+[2]Pastura!G14+[2]Vid!H14+'[2]Veg. Espontanea '!G14</f>
        <v>75285.626572770867</v>
      </c>
      <c r="M14" s="369">
        <f t="shared" si="1"/>
        <v>0</v>
      </c>
    </row>
    <row r="15" spans="1:13" x14ac:dyDescent="0.25">
      <c r="A15" s="398" t="s">
        <v>819</v>
      </c>
      <c r="B15" s="160"/>
      <c r="C15" s="169">
        <f t="shared" si="0"/>
        <v>0</v>
      </c>
      <c r="D15" s="368">
        <v>0.41065520621488977</v>
      </c>
      <c r="E15" s="397">
        <v>2.2450724668410822E-2</v>
      </c>
      <c r="F15" s="397">
        <v>8.2506413156409733E-2</v>
      </c>
      <c r="G15" s="397">
        <v>8.5312753739961097E-2</v>
      </c>
      <c r="H15" s="397">
        <v>1.1225362334205409E-3</v>
      </c>
      <c r="I15" s="397">
        <v>0</v>
      </c>
      <c r="J15" s="397">
        <v>0.18772173431491704</v>
      </c>
      <c r="K15" s="397">
        <v>0.62088583788688079</v>
      </c>
      <c r="L15" s="369">
        <f>+[2]Forestal!H15+[2]Frutales!H15+[2]Hortalizas!H15+[2]Olivo!H15+[2]Pastura!G15+[2]Vid!H15+'[2]Veg. Espontanea '!G15</f>
        <v>69959.175365283096</v>
      </c>
      <c r="M15" s="369">
        <f t="shared" si="1"/>
        <v>0</v>
      </c>
    </row>
    <row r="16" spans="1:13" x14ac:dyDescent="0.25">
      <c r="A16" s="398" t="s">
        <v>820</v>
      </c>
      <c r="B16" s="160">
        <v>7705.78</v>
      </c>
      <c r="C16" s="169">
        <f t="shared" si="0"/>
        <v>3916.5463392534971</v>
      </c>
      <c r="D16" s="368">
        <v>0.50826085603968674</v>
      </c>
      <c r="E16" s="397">
        <v>1.0418025409672743E-3</v>
      </c>
      <c r="F16" s="397">
        <v>0.26158404577571032</v>
      </c>
      <c r="G16" s="397">
        <v>5.7851954319599698E-2</v>
      </c>
      <c r="H16" s="397">
        <v>4.7047802750082142E-2</v>
      </c>
      <c r="I16" s="397">
        <v>0.16918792040025679</v>
      </c>
      <c r="J16" s="397">
        <v>0.28339949457523012</v>
      </c>
      <c r="K16" s="397">
        <v>0.17988697963815364</v>
      </c>
      <c r="L16" s="369">
        <f>+[2]Forestal!H16+[2]Frutales!H16+[2]Hortalizas!H16+[2]Olivo!H16+[2]Pastura!G16+[2]Vid!H16+'[2]Veg. Espontanea '!G16</f>
        <v>120213.27536398376</v>
      </c>
      <c r="M16" s="369">
        <f t="shared" si="1"/>
        <v>470820863.55648321</v>
      </c>
    </row>
    <row r="17" spans="1:13" x14ac:dyDescent="0.25">
      <c r="A17" s="398" t="s">
        <v>822</v>
      </c>
      <c r="B17" s="160">
        <v>3898.29</v>
      </c>
      <c r="C17" s="169">
        <f t="shared" si="0"/>
        <v>2597.5482872815155</v>
      </c>
      <c r="D17" s="368">
        <v>0.66633018253683429</v>
      </c>
      <c r="E17" s="397">
        <v>0</v>
      </c>
      <c r="F17" s="397">
        <v>0.29320862412671395</v>
      </c>
      <c r="G17" s="397">
        <v>3.0980662276530856E-2</v>
      </c>
      <c r="H17" s="397">
        <v>3.2383575474268227E-2</v>
      </c>
      <c r="I17" s="397">
        <v>0.1257552396532704</v>
      </c>
      <c r="J17" s="397">
        <v>0.27400160138309954</v>
      </c>
      <c r="K17" s="397">
        <v>0.24367029708611707</v>
      </c>
      <c r="L17" s="369">
        <f>+[2]Forestal!H17+[2]Frutales!H17+[2]Hortalizas!H17+[2]Olivo!H17+[2]Pastura!G17+[2]Vid!H17+'[2]Veg. Espontanea '!G17</f>
        <v>120897.71070446211</v>
      </c>
      <c r="M17" s="369">
        <f t="shared" si="1"/>
        <v>314037641.37663168</v>
      </c>
    </row>
    <row r="18" spans="1:13" x14ac:dyDescent="0.25">
      <c r="A18" s="398" t="s">
        <v>823</v>
      </c>
      <c r="B18" s="160">
        <v>742.34</v>
      </c>
      <c r="C18" s="169">
        <f t="shared" si="0"/>
        <v>463.38427799049111</v>
      </c>
      <c r="D18" s="368">
        <v>0.6242210819711872</v>
      </c>
      <c r="E18" s="397">
        <v>0</v>
      </c>
      <c r="F18" s="397">
        <v>0.34741471108118904</v>
      </c>
      <c r="G18" s="397">
        <v>1.8051558254497467E-2</v>
      </c>
      <c r="H18" s="397">
        <v>0.15686079915026252</v>
      </c>
      <c r="I18" s="397">
        <v>1.5087669417763482E-3</v>
      </c>
      <c r="J18" s="397">
        <v>0.47616416457227467</v>
      </c>
      <c r="K18" s="397">
        <v>0</v>
      </c>
      <c r="L18" s="369">
        <f>+[2]Forestal!H18+[2]Frutales!H18+[2]Hortalizas!H18+[2]Olivo!H18+[2]Pastura!G18+[2]Vid!H18+'[2]Veg. Espontanea '!G18</f>
        <v>143894.06243210548</v>
      </c>
      <c r="M18" s="369">
        <f t="shared" si="1"/>
        <v>66678246.22721985</v>
      </c>
    </row>
    <row r="19" spans="1:13" x14ac:dyDescent="0.25">
      <c r="A19" s="398" t="s">
        <v>824</v>
      </c>
      <c r="B19" s="160">
        <v>7287.51</v>
      </c>
      <c r="C19" s="169">
        <f t="shared" si="0"/>
        <v>2688.7897633595339</v>
      </c>
      <c r="D19" s="368">
        <v>0.36895863791055294</v>
      </c>
      <c r="E19" s="397">
        <v>0</v>
      </c>
      <c r="F19" s="397">
        <v>0.38823076155462816</v>
      </c>
      <c r="G19" s="397">
        <v>1.6097770372186009E-2</v>
      </c>
      <c r="H19" s="397">
        <v>0.11515544121471778</v>
      </c>
      <c r="I19" s="397">
        <v>0.13237760407584431</v>
      </c>
      <c r="J19" s="397">
        <v>0.34813842278262364</v>
      </c>
      <c r="K19" s="397">
        <v>0</v>
      </c>
      <c r="L19" s="369">
        <f>+[2]Forestal!H19+[2]Frutales!H19+[2]Hortalizas!H19+[2]Olivo!H19+[2]Pastura!G19+[2]Vid!H19+'[2]Veg. Espontanea '!G19</f>
        <v>149196.59983270083</v>
      </c>
      <c r="M19" s="369">
        <f t="shared" si="1"/>
        <v>401158290.35821474</v>
      </c>
    </row>
    <row r="20" spans="1:13" x14ac:dyDescent="0.25">
      <c r="A20" s="398" t="s">
        <v>825</v>
      </c>
      <c r="B20" s="160">
        <v>1734.04</v>
      </c>
      <c r="C20" s="169">
        <f t="shared" si="0"/>
        <v>840.60232567191861</v>
      </c>
      <c r="D20" s="368">
        <v>0.48476524513386005</v>
      </c>
      <c r="E20" s="397">
        <v>3.4029234004494748E-3</v>
      </c>
      <c r="F20" s="397">
        <v>0.47754883003665211</v>
      </c>
      <c r="G20" s="397">
        <v>2.3820463803146317E-2</v>
      </c>
      <c r="H20" s="397">
        <v>0.19532780318579984</v>
      </c>
      <c r="I20" s="397">
        <v>9.3580393512360562E-3</v>
      </c>
      <c r="J20" s="397">
        <v>0.29054194022271623</v>
      </c>
      <c r="K20" s="397">
        <v>0</v>
      </c>
      <c r="L20" s="369">
        <f>+[2]Forestal!H20+[2]Frutales!H20+[2]Hortalizas!H20+[2]Olivo!H20+[2]Pastura!G20+[2]Vid!H20+'[2]Veg. Espontanea '!G20</f>
        <v>185616.30988177477</v>
      </c>
      <c r="M20" s="369">
        <f t="shared" si="1"/>
        <v>156029501.76925939</v>
      </c>
    </row>
    <row r="21" spans="1:13" x14ac:dyDescent="0.25">
      <c r="A21" s="398" t="s">
        <v>826</v>
      </c>
      <c r="B21" s="160">
        <v>1651.26</v>
      </c>
      <c r="C21" s="169">
        <f t="shared" si="0"/>
        <v>684.99078836767615</v>
      </c>
      <c r="D21" s="368">
        <v>0.4148291537175709</v>
      </c>
      <c r="E21" s="397">
        <v>0</v>
      </c>
      <c r="F21" s="397">
        <v>0.53177434152302705</v>
      </c>
      <c r="G21" s="397">
        <v>2.7605086157401135E-2</v>
      </c>
      <c r="H21" s="397">
        <v>1.8870176926279725E-2</v>
      </c>
      <c r="I21" s="397">
        <v>1.0745324847808074E-2</v>
      </c>
      <c r="J21" s="397">
        <v>0.41100507054548391</v>
      </c>
      <c r="K21" s="397">
        <v>0</v>
      </c>
      <c r="L21" s="369">
        <f>+[2]Forestal!H21+[2]Frutales!H21+[2]Hortalizas!H21+[2]Olivo!H21+[2]Pastura!G21+[2]Vid!H21+'[2]Veg. Espontanea '!G21</f>
        <v>188704.00636941259</v>
      </c>
      <c r="M21" s="369">
        <f t="shared" si="1"/>
        <v>129260506.09112291</v>
      </c>
    </row>
    <row r="22" spans="1:13" x14ac:dyDescent="0.25">
      <c r="A22" s="398" t="s">
        <v>827</v>
      </c>
      <c r="B22" s="160">
        <v>1430.95</v>
      </c>
      <c r="C22" s="169">
        <f t="shared" si="0"/>
        <v>958.21109463243863</v>
      </c>
      <c r="D22" s="368">
        <v>0.66963282758477838</v>
      </c>
      <c r="E22" s="397">
        <v>0</v>
      </c>
      <c r="F22" s="397">
        <v>0.65826248435444756</v>
      </c>
      <c r="G22" s="397">
        <v>4.9100811402903746E-2</v>
      </c>
      <c r="H22" s="397">
        <v>1.4267757493704793E-2</v>
      </c>
      <c r="I22" s="397">
        <v>1.799296834796961E-2</v>
      </c>
      <c r="J22" s="397">
        <v>0.26037597840097421</v>
      </c>
      <c r="K22" s="397">
        <v>0</v>
      </c>
      <c r="L22" s="369">
        <f>+[2]Forestal!H22+[2]Frutales!H22+[2]Hortalizas!H22+[2]Olivo!H22+[2]Pastura!G22+[2]Vid!H22+'[2]Veg. Espontanea '!G22</f>
        <v>215177.45527247951</v>
      </c>
      <c r="M22" s="369">
        <f t="shared" si="1"/>
        <v>206185424.95686519</v>
      </c>
    </row>
    <row r="23" spans="1:13" x14ac:dyDescent="0.25">
      <c r="A23" s="398" t="s">
        <v>828</v>
      </c>
      <c r="B23" s="160">
        <v>685.25</v>
      </c>
      <c r="C23" s="169">
        <f t="shared" si="0"/>
        <v>486.42604354004902</v>
      </c>
      <c r="D23" s="368">
        <v>0.70985194241524852</v>
      </c>
      <c r="E23" s="397">
        <v>8.762304466046443E-3</v>
      </c>
      <c r="F23" s="397">
        <v>0.80633805020700322</v>
      </c>
      <c r="G23" s="397">
        <v>2.4559487660547316E-2</v>
      </c>
      <c r="H23" s="397">
        <v>3.682345934278209E-2</v>
      </c>
      <c r="I23" s="397">
        <v>7.5105466851826659E-4</v>
      </c>
      <c r="J23" s="397">
        <v>0.12276564365510265</v>
      </c>
      <c r="K23" s="397">
        <v>0</v>
      </c>
      <c r="L23" s="369">
        <f>+[2]Forestal!H23+[2]Frutales!H23+[2]Hortalizas!H23+[2]Olivo!H23+[2]Pastura!G23+[2]Vid!H23+'[2]Veg. Espontanea '!G23</f>
        <v>244582.52967104057</v>
      </c>
      <c r="M23" s="369">
        <f t="shared" si="1"/>
        <v>118971312.22690091</v>
      </c>
    </row>
    <row r="24" spans="1:13" x14ac:dyDescent="0.25">
      <c r="A24" s="398" t="s">
        <v>829</v>
      </c>
      <c r="B24" s="160">
        <v>320.67</v>
      </c>
      <c r="C24" s="169">
        <f t="shared" si="0"/>
        <v>177.44953946227093</v>
      </c>
      <c r="D24" s="368">
        <v>0.55337118989076284</v>
      </c>
      <c r="E24" s="397">
        <v>0</v>
      </c>
      <c r="F24" s="397">
        <v>0.41287115279327052</v>
      </c>
      <c r="G24" s="397">
        <v>4.733448574195729E-2</v>
      </c>
      <c r="H24" s="397">
        <v>5.2514774923419931E-2</v>
      </c>
      <c r="I24" s="397">
        <v>2.4877635522354752E-2</v>
      </c>
      <c r="J24" s="397">
        <v>0.46240195101899745</v>
      </c>
      <c r="K24" s="397">
        <v>0</v>
      </c>
      <c r="L24" s="369">
        <f>+[2]Forestal!H24+[2]Frutales!H24+[2]Hortalizas!H24+[2]Olivo!H24+[2]Pastura!G24+[2]Vid!H24+'[2]Veg. Espontanea '!G24</f>
        <v>167394.02344181325</v>
      </c>
      <c r="M24" s="369">
        <f t="shared" si="1"/>
        <v>29703992.368486345</v>
      </c>
    </row>
    <row r="25" spans="1:13" x14ac:dyDescent="0.25">
      <c r="A25" s="398" t="s">
        <v>830</v>
      </c>
      <c r="B25" s="160">
        <v>535.5</v>
      </c>
      <c r="C25" s="169">
        <f t="shared" si="0"/>
        <v>378.84871941561755</v>
      </c>
      <c r="D25" s="368">
        <v>0.70746726314774522</v>
      </c>
      <c r="E25" s="397">
        <v>2.4632328625807951E-3</v>
      </c>
      <c r="F25" s="397">
        <v>0.63250794916035147</v>
      </c>
      <c r="G25" s="397">
        <v>5.2577705451787075E-2</v>
      </c>
      <c r="H25" s="397">
        <v>0.12653368575626978</v>
      </c>
      <c r="I25" s="397">
        <v>1.9890605365339927E-2</v>
      </c>
      <c r="J25" s="397">
        <v>0.16602682140367075</v>
      </c>
      <c r="K25" s="397">
        <v>0</v>
      </c>
      <c r="L25" s="369">
        <f>+[2]Forestal!H25+[2]Frutales!H25+[2]Hortalizas!H25+[2]Olivo!H25+[2]Pastura!G25+[2]Vid!H25+'[2]Veg. Espontanea '!G25</f>
        <v>214607.38642248802</v>
      </c>
      <c r="M25" s="369">
        <f t="shared" si="1"/>
        <v>81303733.523292184</v>
      </c>
    </row>
    <row r="26" spans="1:13" x14ac:dyDescent="0.25">
      <c r="A26" s="398" t="s">
        <v>831</v>
      </c>
      <c r="B26" s="160">
        <f>165.74+1043.77</f>
        <v>1209.51</v>
      </c>
      <c r="C26" s="169">
        <f t="shared" si="0"/>
        <v>839.44172967712166</v>
      </c>
      <c r="D26" s="368">
        <v>0.69403455091493382</v>
      </c>
      <c r="E26" s="397">
        <v>0</v>
      </c>
      <c r="F26" s="397">
        <v>0.61931046693915071</v>
      </c>
      <c r="G26" s="397">
        <v>2.9009827791035364E-2</v>
      </c>
      <c r="H26" s="397">
        <v>5.1791430210396311E-2</v>
      </c>
      <c r="I26" s="397">
        <v>6.4715558724796323E-3</v>
      </c>
      <c r="J26" s="397">
        <v>0.29341671918693796</v>
      </c>
      <c r="K26" s="397">
        <v>0</v>
      </c>
      <c r="L26" s="369">
        <f>+[2]Forestal!H26+[2]Frutales!H26+[2]Hortalizas!H26+[2]Olivo!H26+[2]Pastura!G26+[2]Vid!H26+'[2]Veg. Espontanea '!G26</f>
        <v>206710.66634504471</v>
      </c>
      <c r="M26" s="369">
        <f t="shared" si="1"/>
        <v>173521559.2993947</v>
      </c>
    </row>
    <row r="27" spans="1:13" x14ac:dyDescent="0.25">
      <c r="A27" s="398" t="s">
        <v>832</v>
      </c>
      <c r="B27" s="160">
        <v>1514.45</v>
      </c>
      <c r="C27" s="169">
        <f t="shared" si="0"/>
        <v>1029.3645566134564</v>
      </c>
      <c r="D27" s="368">
        <v>0.67969530629169428</v>
      </c>
      <c r="E27" s="397">
        <v>0</v>
      </c>
      <c r="F27" s="397">
        <v>0.48183494721130649</v>
      </c>
      <c r="G27" s="397">
        <v>5.2273143297378491E-2</v>
      </c>
      <c r="H27" s="397">
        <v>5.0457674538846684E-2</v>
      </c>
      <c r="I27" s="397">
        <v>0.13718651526333783</v>
      </c>
      <c r="J27" s="397">
        <v>0.27824771968913059</v>
      </c>
      <c r="K27" s="397">
        <v>0</v>
      </c>
      <c r="L27" s="369">
        <f>+[2]Forestal!H27+[2]Frutales!H27+[2]Hortalizas!H27+[2]Olivo!H27+[2]Pastura!G27+[2]Vid!H27+'[2]Veg. Espontanea '!G27</f>
        <v>179583.59553797642</v>
      </c>
      <c r="M27" s="369">
        <f t="shared" si="1"/>
        <v>184856988.19599938</v>
      </c>
    </row>
    <row r="28" spans="1:13" x14ac:dyDescent="0.25">
      <c r="A28" s="398" t="s">
        <v>833</v>
      </c>
      <c r="B28" s="160">
        <v>751.48</v>
      </c>
      <c r="C28" s="169">
        <f t="shared" si="0"/>
        <v>496.49553787822657</v>
      </c>
      <c r="D28" s="368">
        <v>0.6606902883353204</v>
      </c>
      <c r="E28" s="397">
        <v>0</v>
      </c>
      <c r="F28" s="397">
        <v>0.61679116156379166</v>
      </c>
      <c r="G28" s="397">
        <v>7.5607596573782049E-2</v>
      </c>
      <c r="H28" s="397">
        <v>5.1384595998052153E-2</v>
      </c>
      <c r="I28" s="397">
        <v>3.8262953731671087E-3</v>
      </c>
      <c r="J28" s="397">
        <v>0.25239035049120706</v>
      </c>
      <c r="K28" s="397">
        <v>0</v>
      </c>
      <c r="L28" s="369">
        <f>+[2]Forestal!H28+[2]Frutales!H28+[2]Hortalizas!H28+[2]Olivo!H28+[2]Pastura!G28+[2]Vid!H28+'[2]Veg. Espontanea '!G28</f>
        <v>209138.9680698202</v>
      </c>
      <c r="M28" s="369">
        <f t="shared" si="1"/>
        <v>103836564.44312263</v>
      </c>
    </row>
    <row r="29" spans="1:13" x14ac:dyDescent="0.25">
      <c r="A29" s="398" t="s">
        <v>834</v>
      </c>
      <c r="B29" s="160">
        <v>1601.64</v>
      </c>
      <c r="C29" s="169">
        <f t="shared" si="0"/>
        <v>1022.4779163745294</v>
      </c>
      <c r="D29" s="368">
        <v>0.63839434353196056</v>
      </c>
      <c r="E29" s="397">
        <v>0</v>
      </c>
      <c r="F29" s="397">
        <v>0.45176833478836098</v>
      </c>
      <c r="G29" s="397">
        <v>3.8366666090856621E-2</v>
      </c>
      <c r="H29" s="397">
        <v>0.11550660874903494</v>
      </c>
      <c r="I29" s="397">
        <v>0.17354028832137641</v>
      </c>
      <c r="J29" s="397">
        <v>0.22081810205037103</v>
      </c>
      <c r="K29" s="397">
        <v>0</v>
      </c>
      <c r="L29" s="369">
        <f>+[2]Forestal!H29+[2]Frutales!H29+[2]Hortalizas!H29+[2]Olivo!H29+[2]Pastura!G29+[2]Vid!H29+'[2]Veg. Espontanea '!G29</f>
        <v>170332.67285795341</v>
      </c>
      <c r="M29" s="369">
        <f t="shared" si="1"/>
        <v>174161396.43430457</v>
      </c>
    </row>
    <row r="30" spans="1:13" x14ac:dyDescent="0.25">
      <c r="A30" s="398" t="s">
        <v>835</v>
      </c>
      <c r="B30" s="160">
        <v>1880.27</v>
      </c>
      <c r="C30" s="169">
        <f t="shared" si="0"/>
        <v>1061.740065886733</v>
      </c>
      <c r="D30" s="368">
        <v>0.56467425736023713</v>
      </c>
      <c r="E30" s="397">
        <v>0</v>
      </c>
      <c r="F30" s="397">
        <v>0.47864873083720638</v>
      </c>
      <c r="G30" s="397">
        <v>7.6310868325252992E-3</v>
      </c>
      <c r="H30" s="397">
        <v>6.1205288534143115E-2</v>
      </c>
      <c r="I30" s="397">
        <v>0.13520544237807586</v>
      </c>
      <c r="J30" s="397">
        <v>0.31730945141804934</v>
      </c>
      <c r="K30" s="397">
        <v>0</v>
      </c>
      <c r="L30" s="369">
        <f>+[2]Forestal!H30+[2]Frutales!H30+[2]Hortalizas!H30+[2]Olivo!H30+[2]Pastura!G30+[2]Vid!H30+'[2]Veg. Espontanea '!G30</f>
        <v>168937.92122778148</v>
      </c>
      <c r="M30" s="369">
        <f t="shared" si="1"/>
        <v>179368159.61515242</v>
      </c>
    </row>
    <row r="31" spans="1:13" x14ac:dyDescent="0.25">
      <c r="A31" s="398" t="s">
        <v>836</v>
      </c>
      <c r="B31" s="160">
        <v>626.47</v>
      </c>
      <c r="C31" s="169">
        <f t="shared" si="0"/>
        <v>338.8739507487486</v>
      </c>
      <c r="D31" s="368">
        <v>0.54092606309759217</v>
      </c>
      <c r="E31" s="397">
        <v>1.6354732847074411E-3</v>
      </c>
      <c r="F31" s="397">
        <v>0.39333459591870906</v>
      </c>
      <c r="G31" s="397">
        <v>2.8457235153909473E-2</v>
      </c>
      <c r="H31" s="397">
        <v>0.12532958875370065</v>
      </c>
      <c r="I31" s="397">
        <v>4.9064198541223236E-3</v>
      </c>
      <c r="J31" s="397">
        <v>0.44633668703485091</v>
      </c>
      <c r="K31" s="397">
        <v>0</v>
      </c>
      <c r="L31" s="369">
        <f>+[2]Forestal!H31+[2]Frutales!H31+[2]Hortalizas!H31+[2]Olivo!H31+[2]Pastura!G31+[2]Vid!H31+'[2]Veg. Espontanea '!G31</f>
        <v>153095.22647216305</v>
      </c>
      <c r="M31" s="369">
        <f t="shared" si="1"/>
        <v>51879984.235396296</v>
      </c>
    </row>
    <row r="32" spans="1:13" x14ac:dyDescent="0.25">
      <c r="A32" s="398" t="s">
        <v>837</v>
      </c>
      <c r="B32" s="160">
        <v>630</v>
      </c>
      <c r="C32" s="169">
        <f t="shared" si="0"/>
        <v>306.60352719931541</v>
      </c>
      <c r="D32" s="368">
        <v>0.48667226539573871</v>
      </c>
      <c r="E32" s="397">
        <v>0</v>
      </c>
      <c r="F32" s="397">
        <v>0.63471855004883815</v>
      </c>
      <c r="G32" s="397">
        <v>3.3628450206930273E-3</v>
      </c>
      <c r="H32" s="397">
        <v>1.2183107103539309E-2</v>
      </c>
      <c r="I32" s="397">
        <v>9.4159660579404766E-2</v>
      </c>
      <c r="J32" s="397">
        <v>0.25557583724752475</v>
      </c>
      <c r="K32" s="397">
        <v>0</v>
      </c>
      <c r="L32" s="369">
        <f>+[2]Forestal!H32+[2]Frutales!H32+[2]Hortalizas!H32+[2]Olivo!H32+[2]Pastura!G32+[2]Vid!H32+'[2]Veg. Espontanea '!G32</f>
        <v>199055.43241478986</v>
      </c>
      <c r="M32" s="369">
        <f t="shared" si="1"/>
        <v>61031097.686559513</v>
      </c>
    </row>
    <row r="33" spans="1:13" x14ac:dyDescent="0.25">
      <c r="A33" s="398" t="s">
        <v>838</v>
      </c>
      <c r="B33" s="160">
        <v>870</v>
      </c>
      <c r="C33" s="169">
        <f t="shared" si="0"/>
        <v>550.05460937357634</v>
      </c>
      <c r="D33" s="368">
        <v>0.63224667744089236</v>
      </c>
      <c r="E33" s="397">
        <v>8.4366204164104917E-3</v>
      </c>
      <c r="F33" s="397">
        <v>0.3516408699421143</v>
      </c>
      <c r="G33" s="397">
        <v>0</v>
      </c>
      <c r="H33" s="397">
        <v>4.3701693757006353E-2</v>
      </c>
      <c r="I33" s="397">
        <v>4.2183102082052459E-3</v>
      </c>
      <c r="J33" s="397">
        <v>0.59200250567626345</v>
      </c>
      <c r="K33" s="397">
        <v>0</v>
      </c>
      <c r="L33" s="369">
        <f>+[2]Forestal!H33+[2]Frutales!H33+[2]Hortalizas!H33+[2]Olivo!H33+[2]Pastura!G33+[2]Vid!H33+'[2]Veg. Espontanea '!G33</f>
        <v>133192.71149605536</v>
      </c>
      <c r="M33" s="369">
        <f t="shared" si="1"/>
        <v>73263264.893370181</v>
      </c>
    </row>
    <row r="34" spans="1:13" x14ac:dyDescent="0.25">
      <c r="A34" s="398" t="s">
        <v>839</v>
      </c>
      <c r="B34" s="160">
        <v>414.31</v>
      </c>
      <c r="C34" s="169">
        <f t="shared" si="0"/>
        <v>210.64428552835602</v>
      </c>
      <c r="D34" s="368">
        <v>0.50842191964556982</v>
      </c>
      <c r="E34" s="397">
        <v>6.286836935166995E-2</v>
      </c>
      <c r="F34" s="397">
        <v>0.13359528487229863</v>
      </c>
      <c r="G34" s="397">
        <v>9.8231827111984291E-2</v>
      </c>
      <c r="H34" s="397">
        <v>1.964636542239686E-3</v>
      </c>
      <c r="I34" s="397">
        <v>7.4656188605108059E-2</v>
      </c>
      <c r="J34" s="397">
        <v>0.62868369351669939</v>
      </c>
      <c r="K34" s="397">
        <v>0</v>
      </c>
      <c r="L34" s="369">
        <f>+[2]Forestal!H34+[2]Frutales!H34+[2]Hortalizas!H34+[2]Olivo!H34+[2]Pastura!G34+[2]Vid!H34+'[2]Veg. Espontanea '!G34</f>
        <v>91113.948919449904</v>
      </c>
      <c r="M34" s="369">
        <f t="shared" si="1"/>
        <v>19192632.671804652</v>
      </c>
    </row>
    <row r="35" spans="1:13" x14ac:dyDescent="0.25">
      <c r="A35" s="398" t="s">
        <v>840</v>
      </c>
      <c r="B35" s="160">
        <v>1492.21</v>
      </c>
      <c r="C35" s="169">
        <f t="shared" si="0"/>
        <v>678.0074537257467</v>
      </c>
      <c r="D35" s="368">
        <v>0.4543646361609604</v>
      </c>
      <c r="E35" s="397">
        <v>3.6337799087339823E-3</v>
      </c>
      <c r="F35" s="397">
        <v>0.61078220019559426</v>
      </c>
      <c r="G35" s="397">
        <v>0.10537961735328549</v>
      </c>
      <c r="H35" s="397">
        <v>0.14937257944835822</v>
      </c>
      <c r="I35" s="397">
        <v>1.4535119634935931E-3</v>
      </c>
      <c r="J35" s="397">
        <v>0.12937831113053436</v>
      </c>
      <c r="K35" s="397">
        <v>0</v>
      </c>
      <c r="L35" s="369">
        <f>+[2]Forestal!H35+[2]Frutales!H35+[2]Hortalizas!H35+[2]Olivo!H35+[2]Pastura!G35+[2]Vid!H35+'[2]Veg. Espontanea '!G35</f>
        <v>214674.85152375291</v>
      </c>
      <c r="M35" s="369">
        <f t="shared" si="1"/>
        <v>145551149.46057245</v>
      </c>
    </row>
    <row r="36" spans="1:13" x14ac:dyDescent="0.25">
      <c r="A36" s="398" t="s">
        <v>841</v>
      </c>
      <c r="B36" s="160">
        <v>989.27</v>
      </c>
      <c r="C36" s="169">
        <f t="shared" si="0"/>
        <v>487.69569556963523</v>
      </c>
      <c r="D36" s="368">
        <v>0.49298542922522187</v>
      </c>
      <c r="E36" s="397">
        <v>0</v>
      </c>
      <c r="F36" s="397">
        <v>0.26950367159161281</v>
      </c>
      <c r="G36" s="397">
        <v>2.3781297000796252E-2</v>
      </c>
      <c r="H36" s="397">
        <v>8.0509599221445655E-3</v>
      </c>
      <c r="I36" s="397">
        <v>0.45120764398832169</v>
      </c>
      <c r="J36" s="397">
        <v>0.24745642749712471</v>
      </c>
      <c r="K36" s="397">
        <v>0</v>
      </c>
      <c r="L36" s="369">
        <f>+[2]Forestal!H36+[2]Frutales!H36+[2]Hortalizas!H36+[2]Olivo!H36+[2]Pastura!G36+[2]Vid!H36+'[2]Veg. Espontanea '!G36</f>
        <v>125321.88976377953</v>
      </c>
      <c r="M36" s="369">
        <f t="shared" si="1"/>
        <v>61118946.198447607</v>
      </c>
    </row>
    <row r="37" spans="1:13" x14ac:dyDescent="0.25">
      <c r="A37" s="398" t="s">
        <v>842</v>
      </c>
      <c r="B37" s="160"/>
      <c r="C37" s="169">
        <f t="shared" si="0"/>
        <v>0</v>
      </c>
      <c r="D37" s="368">
        <v>0.48152020349197189</v>
      </c>
      <c r="E37" s="397">
        <v>0</v>
      </c>
      <c r="F37" s="397">
        <v>0.28593270433102197</v>
      </c>
      <c r="G37" s="397">
        <v>0</v>
      </c>
      <c r="H37" s="397">
        <v>0</v>
      </c>
      <c r="I37" s="397">
        <v>0.71406729566897809</v>
      </c>
      <c r="J37" s="397">
        <v>0</v>
      </c>
      <c r="K37" s="397">
        <v>0</v>
      </c>
      <c r="L37" s="369">
        <f>+[2]Forestal!H37+[2]Frutales!H37+[2]Hortalizas!H37+[2]Olivo!H37+[2]Pastura!G37+[2]Vid!H37+'[2]Veg. Espontanea '!G37</f>
        <v>132188.22268955328</v>
      </c>
      <c r="M37" s="369">
        <f t="shared" si="1"/>
        <v>0</v>
      </c>
    </row>
    <row r="38" spans="1:13" x14ac:dyDescent="0.25">
      <c r="A38" s="398" t="s">
        <v>843</v>
      </c>
      <c r="B38" s="160">
        <v>2497.5300000000002</v>
      </c>
      <c r="C38" s="169">
        <f t="shared" si="0"/>
        <v>1664.9926272966904</v>
      </c>
      <c r="D38" s="368">
        <v>0.66665570675695196</v>
      </c>
      <c r="E38" s="397">
        <v>2.5720574480721445E-3</v>
      </c>
      <c r="F38" s="397">
        <v>0.29042611911575794</v>
      </c>
      <c r="G38" s="397">
        <v>2.2744544167923843E-2</v>
      </c>
      <c r="H38" s="397">
        <v>3.6523215762624449E-3</v>
      </c>
      <c r="I38" s="397">
        <v>0.1596358167994541</v>
      </c>
      <c r="J38" s="397">
        <v>0.38888260367761623</v>
      </c>
      <c r="K38" s="397">
        <v>0.13208653721491326</v>
      </c>
      <c r="L38" s="369">
        <f>+[2]Forestal!H38+[2]Frutales!H38+[2]Hortalizas!H38+[2]Olivo!H38+[2]Pastura!G38+[2]Vid!H38+'[2]Veg. Espontanea '!G38</f>
        <v>123163.27631450645</v>
      </c>
      <c r="M38" s="369">
        <f t="shared" si="1"/>
        <v>205065947.01735833</v>
      </c>
    </row>
    <row r="39" spans="1:13" x14ac:dyDescent="0.25">
      <c r="A39" s="398" t="s">
        <v>844</v>
      </c>
      <c r="B39" s="160"/>
      <c r="C39" s="169">
        <f t="shared" si="0"/>
        <v>0</v>
      </c>
      <c r="D39" s="368">
        <v>0.444324</v>
      </c>
      <c r="E39" s="397">
        <v>0</v>
      </c>
      <c r="F39" s="397">
        <v>0.27347195967233773</v>
      </c>
      <c r="G39" s="397">
        <v>0.31505986137366099</v>
      </c>
      <c r="H39" s="397">
        <v>0.3831127914303718</v>
      </c>
      <c r="I39" s="397">
        <v>2.8355387523629493E-2</v>
      </c>
      <c r="J39" s="397">
        <v>0</v>
      </c>
      <c r="K39" s="397">
        <v>0</v>
      </c>
      <c r="L39" s="369">
        <f>+[2]Forestal!H39+[2]Frutales!H39+[2]Hortalizas!H39+[2]Olivo!H39+[2]Pastura!G39+[2]Vid!H39+'[2]Veg. Espontanea '!G39</f>
        <v>170329.55261499685</v>
      </c>
      <c r="M39" s="369">
        <f t="shared" si="1"/>
        <v>0</v>
      </c>
    </row>
    <row r="40" spans="1:13" x14ac:dyDescent="0.25">
      <c r="L40" s="213"/>
    </row>
    <row r="41" spans="1:13" x14ac:dyDescent="0.25">
      <c r="B41" s="407">
        <f>+B6+B7+B8+B9+B10+B11+B12+B13+B16+B17+B18+B19+B20+B21+B22+B23+B24+B25+B26+B27+B28+B29+B30+B31</f>
        <v>61078.909999999996</v>
      </c>
      <c r="C41" s="407">
        <f>+C6+C7+C8+C9+C10+C11+C12+C13+C16+C17+C18+C19+C20+C21+C22+C23+C24+C25+C26+C27+C28+C29+C30+C31</f>
        <v>28634.90115326329</v>
      </c>
      <c r="L41" s="356">
        <f>((C6*L6+C7*L7+C8*L8+C9*L9+C10*L10+C11*L11+C12*L12+C13*L13+C16*L16+C17*L17+C18*L18+C19*L19+C20*L20+C21*L21+C22*L22+C23*L23+C24*L24+C25*L25+C26*L26+C27*L27+C28*L28+C29*L29+C30*L30+C31*L31)/C41)</f>
        <v>152964.49303116451</v>
      </c>
      <c r="M41" s="369">
        <f>SUM(M5:M40)</f>
        <v>5022196386.9095335</v>
      </c>
    </row>
    <row r="42" spans="1:13" ht="15.75" thickBot="1" x14ac:dyDescent="0.3"/>
    <row r="43" spans="1:13" ht="15.75" thickBot="1" x14ac:dyDescent="0.3">
      <c r="E43">
        <f>+C6+C7+C8+C9+C10+C11+C12+C13+C16+C19</f>
        <v>17259.046319722493</v>
      </c>
      <c r="F43" t="s">
        <v>1030</v>
      </c>
      <c r="G43" s="356">
        <f>((C6*L6+C7*L7+C8*L8+C9*L9+C10*L1+C11*L11+C12*L12+C13*L13+C16*L16+C19*L19)/E43)</f>
        <v>125228.5723264439</v>
      </c>
      <c r="L43" s="187">
        <f>+L41/37</f>
        <v>4134.1754873287709</v>
      </c>
    </row>
    <row r="47" spans="1:13" ht="15.75" x14ac:dyDescent="0.25">
      <c r="B47" s="399" t="s">
        <v>1006</v>
      </c>
      <c r="C47" s="399"/>
      <c r="D47" s="399"/>
    </row>
    <row r="48" spans="1:13" x14ac:dyDescent="0.25">
      <c r="A48" t="s">
        <v>1007</v>
      </c>
    </row>
    <row r="50" spans="1:12" ht="15.75" thickBot="1" x14ac:dyDescent="0.3">
      <c r="A50" s="400" t="s">
        <v>1008</v>
      </c>
      <c r="B50" s="192" t="s">
        <v>1009</v>
      </c>
      <c r="C50" s="401" t="s">
        <v>1010</v>
      </c>
      <c r="D50" s="401"/>
      <c r="E50" s="401" t="s">
        <v>926</v>
      </c>
      <c r="F50" s="401" t="s">
        <v>927</v>
      </c>
    </row>
    <row r="51" spans="1:12" x14ac:dyDescent="0.25">
      <c r="A51" s="402"/>
      <c r="B51" s="169"/>
      <c r="C51" s="401" t="s">
        <v>928</v>
      </c>
      <c r="D51" s="401" t="s">
        <v>929</v>
      </c>
      <c r="E51" s="401"/>
      <c r="F51" s="401"/>
    </row>
    <row r="52" spans="1:12" x14ac:dyDescent="0.25">
      <c r="A52" s="403" t="s">
        <v>1011</v>
      </c>
      <c r="B52" s="169">
        <v>225</v>
      </c>
      <c r="C52" s="238">
        <v>658.69</v>
      </c>
      <c r="D52" s="238">
        <v>260.06</v>
      </c>
      <c r="E52" s="238">
        <v>918.75</v>
      </c>
      <c r="F52" s="242">
        <v>0.72</v>
      </c>
    </row>
    <row r="53" spans="1:12" x14ac:dyDescent="0.25">
      <c r="A53" s="403" t="s">
        <v>1012</v>
      </c>
      <c r="B53" s="361">
        <v>226</v>
      </c>
      <c r="C53" s="404">
        <v>3636.65</v>
      </c>
      <c r="D53" s="404">
        <v>2651.64</v>
      </c>
      <c r="E53" s="404">
        <v>6288.29</v>
      </c>
      <c r="F53" s="405">
        <v>0.56999999999999995</v>
      </c>
    </row>
    <row r="54" spans="1:12" x14ac:dyDescent="0.25">
      <c r="A54" s="403" t="s">
        <v>1013</v>
      </c>
      <c r="B54" s="169">
        <v>227</v>
      </c>
      <c r="C54" s="238">
        <v>2275.33</v>
      </c>
      <c r="D54" s="238">
        <v>1587.24</v>
      </c>
      <c r="E54" s="238">
        <v>3862.57</v>
      </c>
      <c r="F54" s="242">
        <v>0.59</v>
      </c>
    </row>
    <row r="55" spans="1:12" x14ac:dyDescent="0.25">
      <c r="A55" s="403" t="s">
        <v>1014</v>
      </c>
      <c r="B55" s="169">
        <v>228</v>
      </c>
      <c r="C55" s="238">
        <v>5980.14</v>
      </c>
      <c r="D55" s="238">
        <v>2885.4</v>
      </c>
      <c r="E55" s="238">
        <v>8865.5400000000009</v>
      </c>
      <c r="F55" s="242">
        <v>0.67</v>
      </c>
    </row>
    <row r="56" spans="1:12" x14ac:dyDescent="0.25">
      <c r="A56" s="403" t="s">
        <v>1015</v>
      </c>
      <c r="B56" s="169">
        <v>230</v>
      </c>
      <c r="C56" s="238">
        <v>3053.52</v>
      </c>
      <c r="D56" s="238">
        <v>2195.91</v>
      </c>
      <c r="E56" s="238">
        <v>5249.43</v>
      </c>
      <c r="F56" s="242">
        <v>0.57999999999999996</v>
      </c>
    </row>
    <row r="57" spans="1:12" x14ac:dyDescent="0.25">
      <c r="A57" s="403" t="s">
        <v>1016</v>
      </c>
      <c r="B57" s="169">
        <v>232</v>
      </c>
      <c r="C57" s="238">
        <v>2036.07</v>
      </c>
      <c r="D57" s="238">
        <v>1074.1400000000001</v>
      </c>
      <c r="E57" s="238">
        <v>3110.21</v>
      </c>
      <c r="F57" s="242">
        <v>0.65</v>
      </c>
    </row>
    <row r="58" spans="1:12" x14ac:dyDescent="0.25">
      <c r="A58" s="403" t="s">
        <v>1017</v>
      </c>
      <c r="B58" s="361">
        <v>233</v>
      </c>
      <c r="C58" s="404">
        <v>1862.01</v>
      </c>
      <c r="D58" s="404">
        <v>1575.24</v>
      </c>
      <c r="E58" s="404">
        <v>3437.25</v>
      </c>
      <c r="F58" s="405">
        <v>0.54</v>
      </c>
    </row>
    <row r="59" spans="1:12" x14ac:dyDescent="0.25">
      <c r="A59" s="403" t="s">
        <v>1018</v>
      </c>
      <c r="B59" s="169">
        <v>1662</v>
      </c>
      <c r="C59" s="238">
        <v>1250.43</v>
      </c>
      <c r="D59" s="238">
        <v>1004.7</v>
      </c>
      <c r="E59" s="238">
        <v>2255.13</v>
      </c>
      <c r="F59" s="242">
        <v>0.55000000000000004</v>
      </c>
    </row>
    <row r="60" spans="1:12" x14ac:dyDescent="0.25">
      <c r="A60" s="403" t="s">
        <v>1029</v>
      </c>
      <c r="B60" s="169">
        <v>236</v>
      </c>
      <c r="C60" s="238">
        <v>621.77</v>
      </c>
      <c r="D60" s="238">
        <v>749.39</v>
      </c>
      <c r="E60" s="238">
        <v>1371.16</v>
      </c>
      <c r="F60" s="242">
        <v>0.45</v>
      </c>
      <c r="G60">
        <f>+B20+B21+B22+B23+B24</f>
        <v>5822.17</v>
      </c>
      <c r="L60" s="356">
        <f>((L20*B20+B21*L21+L22*B22+B23*L23+L24*B24)/G60)</f>
        <v>199693.94282909471</v>
      </c>
    </row>
    <row r="61" spans="1:12" x14ac:dyDescent="0.25">
      <c r="A61" s="403" t="s">
        <v>1019</v>
      </c>
      <c r="B61" s="361">
        <v>237</v>
      </c>
      <c r="C61" s="404">
        <v>120.5</v>
      </c>
      <c r="D61" s="404">
        <v>0</v>
      </c>
      <c r="E61" s="404">
        <v>120.5</v>
      </c>
      <c r="F61" s="405">
        <v>1</v>
      </c>
    </row>
    <row r="62" spans="1:12" x14ac:dyDescent="0.25">
      <c r="A62" s="403" t="s">
        <v>1020</v>
      </c>
      <c r="B62" s="361">
        <v>238</v>
      </c>
      <c r="C62" s="404">
        <v>3991.83</v>
      </c>
      <c r="D62" s="404">
        <v>3186.5</v>
      </c>
      <c r="E62" s="404">
        <v>7178.33</v>
      </c>
      <c r="F62" s="405">
        <v>0.56000000000000005</v>
      </c>
    </row>
    <row r="63" spans="1:12" x14ac:dyDescent="0.25">
      <c r="A63" s="403" t="s">
        <v>1021</v>
      </c>
      <c r="B63" s="169">
        <v>239</v>
      </c>
      <c r="C63" s="238">
        <v>474.38</v>
      </c>
      <c r="D63" s="238">
        <v>2023.15</v>
      </c>
      <c r="E63" s="238">
        <v>2497.5300000000002</v>
      </c>
      <c r="F63" s="242">
        <v>0.19</v>
      </c>
    </row>
    <row r="64" spans="1:12" x14ac:dyDescent="0.25">
      <c r="A64" s="403" t="s">
        <v>1022</v>
      </c>
      <c r="B64" s="361">
        <v>240</v>
      </c>
      <c r="C64" s="404">
        <v>3494.1</v>
      </c>
      <c r="D64" s="404">
        <v>2576.5100000000002</v>
      </c>
      <c r="E64" s="404">
        <v>6070.61</v>
      </c>
      <c r="F64" s="405">
        <v>0.57999999999999996</v>
      </c>
    </row>
    <row r="65" spans="1:6" x14ac:dyDescent="0.25">
      <c r="A65" s="403" t="s">
        <v>1023</v>
      </c>
      <c r="B65" s="169">
        <v>241</v>
      </c>
      <c r="C65" s="238">
        <v>414.89</v>
      </c>
      <c r="D65" s="238">
        <v>574.38</v>
      </c>
      <c r="E65" s="238">
        <v>989.27</v>
      </c>
      <c r="F65" s="242">
        <v>0.42</v>
      </c>
    </row>
    <row r="66" spans="1:6" x14ac:dyDescent="0.25">
      <c r="A66" s="403" t="s">
        <v>1024</v>
      </c>
      <c r="B66" s="361">
        <v>242</v>
      </c>
      <c r="C66" s="404">
        <v>0</v>
      </c>
      <c r="D66" s="404">
        <v>0</v>
      </c>
      <c r="E66" s="404">
        <v>870</v>
      </c>
      <c r="F66" s="405">
        <v>0</v>
      </c>
    </row>
    <row r="67" spans="1:6" x14ac:dyDescent="0.25">
      <c r="A67" s="403" t="s">
        <v>1025</v>
      </c>
      <c r="B67" s="169">
        <v>243</v>
      </c>
      <c r="C67" s="238">
        <v>580</v>
      </c>
      <c r="D67" s="238">
        <v>50</v>
      </c>
      <c r="E67" s="238">
        <v>630</v>
      </c>
      <c r="F67" s="242">
        <v>0.92</v>
      </c>
    </row>
    <row r="68" spans="1:6" x14ac:dyDescent="0.25">
      <c r="A68" s="403" t="s">
        <v>1026</v>
      </c>
      <c r="B68" s="169">
        <v>1686</v>
      </c>
      <c r="C68" s="238">
        <v>954.04</v>
      </c>
      <c r="D68" s="238">
        <v>538.16999999999996</v>
      </c>
      <c r="E68" s="238">
        <v>1492.21</v>
      </c>
      <c r="F68" s="242">
        <v>0.64</v>
      </c>
    </row>
    <row r="69" spans="1:6" x14ac:dyDescent="0.25">
      <c r="A69" s="403" t="s">
        <v>1027</v>
      </c>
      <c r="B69" s="169">
        <v>139</v>
      </c>
      <c r="C69" s="238">
        <v>5065.17</v>
      </c>
      <c r="D69" s="238">
        <v>2178.5100000000002</v>
      </c>
      <c r="E69" s="238">
        <v>7243.68</v>
      </c>
      <c r="F69" s="242">
        <v>0.7</v>
      </c>
    </row>
    <row r="70" spans="1:6" x14ac:dyDescent="0.25">
      <c r="A70" s="403" t="s">
        <v>1028</v>
      </c>
      <c r="B70" s="361">
        <v>1687</v>
      </c>
      <c r="C70" s="404">
        <v>2873.24</v>
      </c>
      <c r="D70" s="404">
        <v>1380.05</v>
      </c>
      <c r="E70" s="404">
        <v>4253.29</v>
      </c>
      <c r="F70" s="405">
        <v>0.68</v>
      </c>
    </row>
    <row r="71" spans="1:6" x14ac:dyDescent="0.25">
      <c r="A71" s="403" t="s">
        <v>935</v>
      </c>
      <c r="B71" s="169">
        <v>144</v>
      </c>
      <c r="C71" s="238">
        <v>390.69</v>
      </c>
      <c r="D71" s="238">
        <v>230.6</v>
      </c>
      <c r="E71" s="238">
        <v>621.29</v>
      </c>
      <c r="F71" s="242">
        <v>0.63</v>
      </c>
    </row>
    <row r="72" spans="1:6" x14ac:dyDescent="0.25">
      <c r="A72" s="192" t="s">
        <v>744</v>
      </c>
      <c r="B72" s="192"/>
      <c r="C72" s="401">
        <f>SUM(C52:C71)</f>
        <v>39733.450000000004</v>
      </c>
      <c r="D72" s="401">
        <f>SUM(D52:D71)</f>
        <v>26721.59</v>
      </c>
      <c r="E72" s="401">
        <f>SUM(E52:E71)</f>
        <v>67325.039999999994</v>
      </c>
      <c r="F72" s="406">
        <v>0.6</v>
      </c>
    </row>
    <row r="73" spans="1:6" x14ac:dyDescent="0.25">
      <c r="A73" s="160"/>
      <c r="B73" s="160"/>
      <c r="C73" s="238"/>
      <c r="D73" s="238"/>
      <c r="E73" s="238"/>
      <c r="F73" s="238"/>
    </row>
  </sheetData>
  <mergeCells count="2">
    <mergeCell ref="B1:G1"/>
    <mergeCell ref="E3:K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2"/>
  <sheetViews>
    <sheetView zoomScale="85" zoomScaleNormal="85" workbookViewId="0">
      <selection activeCell="L33" sqref="L33"/>
    </sheetView>
  </sheetViews>
  <sheetFormatPr baseColWidth="10" defaultRowHeight="15" x14ac:dyDescent="0.25"/>
  <cols>
    <col min="1" max="1" width="5" customWidth="1"/>
    <col min="2" max="2" width="33.7109375" customWidth="1"/>
    <col min="3" max="3" width="84.28515625" customWidth="1"/>
    <col min="4" max="4" width="18.140625" customWidth="1"/>
    <col min="5" max="5" width="16.85546875" customWidth="1"/>
    <col min="6" max="6" width="12.42578125" customWidth="1"/>
    <col min="13" max="13" width="13.140625" customWidth="1"/>
    <col min="14" max="14" width="17.42578125" customWidth="1"/>
    <col min="15" max="15" width="16" customWidth="1"/>
    <col min="16" max="16" width="24.28515625" customWidth="1"/>
  </cols>
  <sheetData>
    <row r="1" spans="1:16" ht="21" x14ac:dyDescent="0.25">
      <c r="B1" s="1105" t="s">
        <v>904</v>
      </c>
      <c r="C1" s="1105"/>
      <c r="D1" s="1105"/>
      <c r="E1" s="1105"/>
      <c r="F1" s="1105"/>
      <c r="G1" s="148"/>
      <c r="H1" s="148"/>
      <c r="I1" s="148"/>
      <c r="J1" s="148"/>
      <c r="K1" s="148"/>
      <c r="L1" s="148"/>
      <c r="M1" s="148"/>
      <c r="N1" s="148"/>
    </row>
    <row r="2" spans="1:16" ht="16.5" thickBot="1" x14ac:dyDescent="0.3"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16" ht="15.75" x14ac:dyDescent="0.25">
      <c r="B3" s="148"/>
      <c r="C3" s="148"/>
      <c r="D3" s="148"/>
      <c r="E3" s="148"/>
      <c r="F3" s="303"/>
      <c r="G3" s="1106" t="s">
        <v>658</v>
      </c>
      <c r="H3" s="1107"/>
      <c r="I3" s="1107"/>
      <c r="J3" s="1107"/>
      <c r="K3" s="1107"/>
      <c r="L3" s="1107"/>
      <c r="M3" s="1107"/>
      <c r="N3" s="1108"/>
    </row>
    <row r="4" spans="1:16" ht="63" x14ac:dyDescent="0.25">
      <c r="B4" s="304" t="s">
        <v>475</v>
      </c>
      <c r="C4" s="304" t="s">
        <v>659</v>
      </c>
      <c r="D4" s="304" t="s">
        <v>660</v>
      </c>
      <c r="E4" s="304" t="s">
        <v>661</v>
      </c>
      <c r="F4" s="305" t="s">
        <v>479</v>
      </c>
      <c r="G4" s="306" t="s">
        <v>905</v>
      </c>
      <c r="H4" s="307" t="s">
        <v>906</v>
      </c>
      <c r="I4" s="307" t="s">
        <v>907</v>
      </c>
      <c r="J4" s="307" t="s">
        <v>211</v>
      </c>
      <c r="K4" s="307" t="s">
        <v>908</v>
      </c>
      <c r="L4" s="307" t="s">
        <v>909</v>
      </c>
      <c r="M4" s="308" t="s">
        <v>910</v>
      </c>
      <c r="N4" s="309" t="s">
        <v>187</v>
      </c>
      <c r="O4" s="310" t="s">
        <v>487</v>
      </c>
      <c r="P4" s="304" t="s">
        <v>669</v>
      </c>
    </row>
    <row r="5" spans="1:16" ht="15.75" x14ac:dyDescent="0.25">
      <c r="A5" s="238">
        <v>1</v>
      </c>
      <c r="B5" s="311" t="s">
        <v>787</v>
      </c>
      <c r="C5" s="312" t="s">
        <v>911</v>
      </c>
      <c r="D5" s="353">
        <f>+G60</f>
        <v>5864.69</v>
      </c>
      <c r="E5" s="313">
        <f>+D5*F5</f>
        <v>3055.9764367878615</v>
      </c>
      <c r="F5" s="314">
        <v>0.52108064310097579</v>
      </c>
      <c r="G5" s="315">
        <v>1.3075237206091942E-2</v>
      </c>
      <c r="H5" s="316">
        <v>0.29352520234604101</v>
      </c>
      <c r="I5" s="316">
        <v>1.5624938739501699E-2</v>
      </c>
      <c r="J5" s="316">
        <v>3.3691403183564038E-3</v>
      </c>
      <c r="K5" s="317">
        <v>0.38645446794614779</v>
      </c>
      <c r="L5" s="316">
        <v>2.4032512796204001E-2</v>
      </c>
      <c r="M5" s="297">
        <v>7.6548055844632909E-2</v>
      </c>
      <c r="N5" s="318">
        <v>0.18737044480302426</v>
      </c>
      <c r="O5" s="319">
        <v>83401.946099223351</v>
      </c>
      <c r="P5" s="320">
        <f>+O5*E5</f>
        <v>254874382.06147787</v>
      </c>
    </row>
    <row r="6" spans="1:16" ht="45" x14ac:dyDescent="0.25">
      <c r="A6" s="238">
        <v>2</v>
      </c>
      <c r="B6" s="311" t="s">
        <v>789</v>
      </c>
      <c r="C6" s="312" t="s">
        <v>912</v>
      </c>
      <c r="D6" s="353">
        <f>+G51+G52+G50+G53+G54</f>
        <v>14952.82</v>
      </c>
      <c r="E6" s="313">
        <f t="shared" ref="E6:E16" si="0">+D6*F6</f>
        <v>9440.8174907947305</v>
      </c>
      <c r="F6" s="321">
        <v>0.63137371350653126</v>
      </c>
      <c r="G6" s="315">
        <v>2.0051476067297708E-2</v>
      </c>
      <c r="H6" s="317">
        <v>0.39207094313868218</v>
      </c>
      <c r="I6" s="316">
        <v>2.4803370792043583E-3</v>
      </c>
      <c r="J6" s="316">
        <v>9.1390683783672689E-4</v>
      </c>
      <c r="K6" s="316">
        <v>0.30094938875178917</v>
      </c>
      <c r="L6" s="316">
        <v>7.4918150124562266E-2</v>
      </c>
      <c r="M6" s="297">
        <v>1.1621063255117216E-2</v>
      </c>
      <c r="N6" s="318">
        <v>0.19699473474551027</v>
      </c>
      <c r="O6" s="319">
        <v>77760.751470849791</v>
      </c>
      <c r="P6" s="320">
        <f t="shared" ref="P6:P16" si="1">+O6*E6</f>
        <v>734125062.58334076</v>
      </c>
    </row>
    <row r="7" spans="1:16" ht="45" x14ac:dyDescent="0.25">
      <c r="A7" s="238">
        <v>3</v>
      </c>
      <c r="B7" s="311" t="s">
        <v>790</v>
      </c>
      <c r="C7" s="312" t="s">
        <v>913</v>
      </c>
      <c r="D7" s="353">
        <f>+G46+G48+G47+G45+G43+G44</f>
        <v>14402.69</v>
      </c>
      <c r="E7" s="313">
        <f t="shared" si="0"/>
        <v>8861.8006043171226</v>
      </c>
      <c r="F7" s="321">
        <v>0.61528788054989192</v>
      </c>
      <c r="G7" s="315">
        <v>1.2945756403825767E-2</v>
      </c>
      <c r="H7" s="317">
        <v>0.40955160347721464</v>
      </c>
      <c r="I7" s="316">
        <v>2.3703030641467907E-2</v>
      </c>
      <c r="J7" s="316">
        <v>3.5534639464323199E-3</v>
      </c>
      <c r="K7" s="316">
        <v>0.14376586569164371</v>
      </c>
      <c r="L7" s="316">
        <v>5.7389755454401482E-2</v>
      </c>
      <c r="M7" s="297">
        <v>6.7084475069299654E-2</v>
      </c>
      <c r="N7" s="318">
        <v>0.2820060493157146</v>
      </c>
      <c r="O7" s="319">
        <v>78165.581143090036</v>
      </c>
      <c r="P7" s="320">
        <f t="shared" si="1"/>
        <v>692687794.21063435</v>
      </c>
    </row>
    <row r="8" spans="1:16" ht="15.75" x14ac:dyDescent="0.25">
      <c r="A8" s="238">
        <v>4</v>
      </c>
      <c r="B8" s="311" t="s">
        <v>791</v>
      </c>
      <c r="C8" s="322" t="s">
        <v>914</v>
      </c>
      <c r="D8" s="353">
        <f>+G39</f>
        <v>384.55</v>
      </c>
      <c r="E8" s="313">
        <f t="shared" si="0"/>
        <v>384.55</v>
      </c>
      <c r="F8" s="321">
        <v>1</v>
      </c>
      <c r="G8" s="315">
        <v>0.14639499180408905</v>
      </c>
      <c r="H8" s="316">
        <v>0.19827630274094402</v>
      </c>
      <c r="I8" s="316">
        <v>2.0535784268621408E-2</v>
      </c>
      <c r="J8" s="316">
        <v>0.10153387927303505</v>
      </c>
      <c r="K8" s="316">
        <v>4.8838089006573812E-2</v>
      </c>
      <c r="L8" s="316">
        <v>2.4679746046026605E-2</v>
      </c>
      <c r="M8" s="297">
        <v>0</v>
      </c>
      <c r="N8" s="323">
        <v>0.45974120686071007</v>
      </c>
      <c r="O8" s="319">
        <v>91798.836453232187</v>
      </c>
      <c r="P8" s="320">
        <f t="shared" si="1"/>
        <v>35301242.558090441</v>
      </c>
    </row>
    <row r="9" spans="1:16" ht="15.75" x14ac:dyDescent="0.25">
      <c r="A9" s="238">
        <v>5</v>
      </c>
      <c r="B9" s="311" t="s">
        <v>793</v>
      </c>
      <c r="C9" s="322" t="s">
        <v>915</v>
      </c>
      <c r="D9" s="353">
        <f>+G40</f>
        <v>6718.94</v>
      </c>
      <c r="E9" s="313">
        <f t="shared" si="0"/>
        <v>3004.9302119480653</v>
      </c>
      <c r="F9" s="321">
        <v>0.44723277956762014</v>
      </c>
      <c r="G9" s="315">
        <v>2.6445161685592484E-2</v>
      </c>
      <c r="H9" s="316">
        <v>0.24752426120335877</v>
      </c>
      <c r="I9" s="316">
        <v>2.7780370312685487E-2</v>
      </c>
      <c r="J9" s="316">
        <v>4.9031521395410782E-2</v>
      </c>
      <c r="K9" s="317">
        <v>0.28368749884744082</v>
      </c>
      <c r="L9" s="316">
        <v>2.9714828909008503E-2</v>
      </c>
      <c r="M9" s="297">
        <v>0.10004168714418396</v>
      </c>
      <c r="N9" s="318">
        <v>0.23577467050231915</v>
      </c>
      <c r="O9" s="319">
        <v>81360.309273003324</v>
      </c>
      <c r="P9" s="320">
        <f t="shared" si="1"/>
        <v>244482051.38788602</v>
      </c>
    </row>
    <row r="10" spans="1:16" ht="15.75" x14ac:dyDescent="0.25">
      <c r="A10" s="238">
        <v>6</v>
      </c>
      <c r="B10" s="311" t="s">
        <v>795</v>
      </c>
      <c r="C10" s="322" t="s">
        <v>916</v>
      </c>
      <c r="D10" s="353">
        <f>+G37</f>
        <v>2555.2800000000002</v>
      </c>
      <c r="E10" s="313">
        <f t="shared" si="0"/>
        <v>1200.7838749378689</v>
      </c>
      <c r="F10" s="321">
        <v>0.46992262098003695</v>
      </c>
      <c r="G10" s="315">
        <v>1.2524743303907546E-2</v>
      </c>
      <c r="H10" s="316">
        <v>0.37170214765945914</v>
      </c>
      <c r="I10" s="316">
        <v>2.3906891255403847E-2</v>
      </c>
      <c r="J10" s="316">
        <v>1.7873586243590013E-2</v>
      </c>
      <c r="K10" s="316">
        <v>4.3096469909678428E-2</v>
      </c>
      <c r="L10" s="316">
        <v>0.11246715722823891</v>
      </c>
      <c r="M10" s="297">
        <v>0</v>
      </c>
      <c r="N10" s="323">
        <v>0.41842900439972208</v>
      </c>
      <c r="O10" s="319">
        <v>95793.560261409773</v>
      </c>
      <c r="P10" s="320">
        <f t="shared" si="1"/>
        <v>115027362.48478988</v>
      </c>
    </row>
    <row r="11" spans="1:16" ht="15.75" x14ac:dyDescent="0.25">
      <c r="A11" s="238">
        <v>7</v>
      </c>
      <c r="B11" s="311" t="s">
        <v>797</v>
      </c>
      <c r="C11" s="322" t="s">
        <v>917</v>
      </c>
      <c r="D11" s="353">
        <f>+G36</f>
        <v>5333.52</v>
      </c>
      <c r="E11" s="313">
        <f t="shared" si="0"/>
        <v>3453.7600728330249</v>
      </c>
      <c r="F11" s="314">
        <v>0.64755734914897189</v>
      </c>
      <c r="G11" s="315">
        <v>2.4406978771190593E-2</v>
      </c>
      <c r="H11" s="316">
        <v>3.341745416039836E-2</v>
      </c>
      <c r="I11" s="316">
        <v>6.3662905184205818E-3</v>
      </c>
      <c r="J11" s="316">
        <v>1.2956696874673351E-4</v>
      </c>
      <c r="K11" s="317">
        <v>0.55814010286891924</v>
      </c>
      <c r="L11" s="316">
        <v>0.27060936875246894</v>
      </c>
      <c r="M11" s="297">
        <v>0.10203184250996372</v>
      </c>
      <c r="N11" s="318">
        <v>4.8983954498918693E-3</v>
      </c>
      <c r="O11" s="319">
        <v>84838.142058954982</v>
      </c>
      <c r="P11" s="320">
        <f t="shared" si="1"/>
        <v>293010587.69655484</v>
      </c>
    </row>
    <row r="12" spans="1:16" ht="15.75" x14ac:dyDescent="0.25">
      <c r="A12" s="238">
        <v>8</v>
      </c>
      <c r="B12" s="311" t="s">
        <v>798</v>
      </c>
      <c r="C12" s="322" t="s">
        <v>918</v>
      </c>
      <c r="D12" s="353">
        <f>+G38</f>
        <v>4919.21</v>
      </c>
      <c r="E12" s="313">
        <f t="shared" si="0"/>
        <v>3086.7376727228429</v>
      </c>
      <c r="F12" s="314">
        <v>0.62748646077781656</v>
      </c>
      <c r="G12" s="315">
        <v>4.4954610608541369E-3</v>
      </c>
      <c r="H12" s="316">
        <v>0.29989616643120376</v>
      </c>
      <c r="I12" s="316">
        <v>2.1834079184308287E-2</v>
      </c>
      <c r="J12" s="316">
        <v>9.641561366052688E-2</v>
      </c>
      <c r="K12" s="316">
        <v>5.1341875114317606E-2</v>
      </c>
      <c r="L12" s="316">
        <v>4.6288325562866941E-3</v>
      </c>
      <c r="M12" s="297">
        <v>3.851258817227065E-2</v>
      </c>
      <c r="N12" s="323">
        <v>0.48287538382023193</v>
      </c>
      <c r="O12" s="319">
        <v>84987.277765747058</v>
      </c>
      <c r="P12" s="320">
        <f t="shared" si="1"/>
        <v>262333431.9816919</v>
      </c>
    </row>
    <row r="13" spans="1:16" ht="15.75" x14ac:dyDescent="0.25">
      <c r="A13" s="238">
        <v>9</v>
      </c>
      <c r="B13" s="311" t="s">
        <v>799</v>
      </c>
      <c r="C13" s="322" t="s">
        <v>919</v>
      </c>
      <c r="D13" s="353">
        <f>+G56</f>
        <v>8159.62</v>
      </c>
      <c r="E13" s="313">
        <f t="shared" si="0"/>
        <v>4085.3686026593523</v>
      </c>
      <c r="F13" s="314">
        <v>0.50068123303038037</v>
      </c>
      <c r="G13" s="315">
        <v>1.8283308508144441E-2</v>
      </c>
      <c r="H13" s="316">
        <v>9.1196869418628021E-2</v>
      </c>
      <c r="I13" s="316">
        <v>3.4464149544100727E-3</v>
      </c>
      <c r="J13" s="317">
        <v>0.45033293216789888</v>
      </c>
      <c r="K13" s="316">
        <v>0.19672734114764823</v>
      </c>
      <c r="L13" s="316">
        <v>1.0079881741661153E-2</v>
      </c>
      <c r="M13" s="297">
        <v>5.5389037495517573E-2</v>
      </c>
      <c r="N13" s="318">
        <v>0.17454421456609154</v>
      </c>
      <c r="O13" s="319">
        <v>92622.442809230241</v>
      </c>
      <c r="P13" s="320">
        <f t="shared" si="1"/>
        <v>378396819.75444072</v>
      </c>
    </row>
    <row r="14" spans="1:16" ht="15.75" x14ac:dyDescent="0.25">
      <c r="A14" s="238">
        <v>10</v>
      </c>
      <c r="B14" s="311" t="s">
        <v>800</v>
      </c>
      <c r="C14" s="322" t="s">
        <v>920</v>
      </c>
      <c r="D14" s="353">
        <f>+G58</f>
        <v>9188.94</v>
      </c>
      <c r="E14" s="313">
        <f t="shared" si="0"/>
        <v>5307.8378288744379</v>
      </c>
      <c r="F14" s="314">
        <v>0.57763331013962849</v>
      </c>
      <c r="G14" s="315">
        <v>2.4273557962444063E-2</v>
      </c>
      <c r="H14" s="317">
        <v>0.46391262157166641</v>
      </c>
      <c r="I14" s="316">
        <v>7.7685625687082607E-3</v>
      </c>
      <c r="J14" s="316">
        <v>1.1667180143228303E-2</v>
      </c>
      <c r="K14" s="316">
        <v>9.0408039935201148E-2</v>
      </c>
      <c r="L14" s="316">
        <v>3.9134658750490096E-2</v>
      </c>
      <c r="M14" s="297">
        <v>6.4389658539611191E-2</v>
      </c>
      <c r="N14" s="318">
        <v>0.29844572052865065</v>
      </c>
      <c r="O14" s="319">
        <v>94000.478893014748</v>
      </c>
      <c r="P14" s="320">
        <f t="shared" si="1"/>
        <v>498939297.80065686</v>
      </c>
    </row>
    <row r="15" spans="1:16" ht="15.75" x14ac:dyDescent="0.25">
      <c r="A15" s="238">
        <v>11</v>
      </c>
      <c r="B15" s="311" t="s">
        <v>801</v>
      </c>
      <c r="C15" s="322" t="s">
        <v>921</v>
      </c>
      <c r="D15" s="353">
        <f>+G57</f>
        <v>10272.01</v>
      </c>
      <c r="E15" s="313">
        <f t="shared" si="0"/>
        <v>4502.0216871956763</v>
      </c>
      <c r="F15" s="314">
        <v>0.4382805008168485</v>
      </c>
      <c r="G15" s="315">
        <v>5.1257608027837846E-2</v>
      </c>
      <c r="H15" s="316">
        <v>6.7250446998344787E-2</v>
      </c>
      <c r="I15" s="316">
        <v>2.1498334826827933E-3</v>
      </c>
      <c r="J15" s="316">
        <v>0</v>
      </c>
      <c r="K15" s="317">
        <v>0.47700043465638042</v>
      </c>
      <c r="L15" s="316">
        <v>0.21933421243795378</v>
      </c>
      <c r="M15" s="297">
        <v>0.12150345448382591</v>
      </c>
      <c r="N15" s="318">
        <v>6.1504009912974507E-2</v>
      </c>
      <c r="O15" s="319">
        <v>70484.019205983728</v>
      </c>
      <c r="P15" s="320">
        <f t="shared" si="1"/>
        <v>317320583.0660553</v>
      </c>
    </row>
    <row r="16" spans="1:16" ht="15.75" x14ac:dyDescent="0.25">
      <c r="A16" s="238">
        <v>12</v>
      </c>
      <c r="B16" s="311" t="s">
        <v>802</v>
      </c>
      <c r="C16" s="322"/>
      <c r="D16" s="353">
        <f>+G55</f>
        <v>234.62</v>
      </c>
      <c r="E16" s="313">
        <f t="shared" si="0"/>
        <v>234.62</v>
      </c>
      <c r="F16" s="316">
        <v>1</v>
      </c>
      <c r="G16" s="317">
        <v>1</v>
      </c>
      <c r="H16" s="316">
        <v>0</v>
      </c>
      <c r="I16" s="316">
        <v>0</v>
      </c>
      <c r="J16" s="316">
        <v>0</v>
      </c>
      <c r="K16" s="316">
        <v>0</v>
      </c>
      <c r="L16" s="316">
        <v>0</v>
      </c>
      <c r="M16" s="297">
        <v>0</v>
      </c>
      <c r="N16" s="297">
        <v>0</v>
      </c>
      <c r="O16" s="319">
        <v>67000</v>
      </c>
      <c r="P16" s="320">
        <f t="shared" si="1"/>
        <v>15719540</v>
      </c>
    </row>
    <row r="17" spans="3:16" x14ac:dyDescent="0.25">
      <c r="G17" s="324"/>
      <c r="H17" s="324"/>
      <c r="I17" s="324"/>
      <c r="J17" s="324"/>
      <c r="K17" s="324"/>
      <c r="L17" s="324"/>
      <c r="M17" s="325"/>
      <c r="N17" s="324"/>
      <c r="O17" s="326"/>
    </row>
    <row r="18" spans="3:16" x14ac:dyDescent="0.25">
      <c r="E18" s="357">
        <f>SUM(E5:E17)</f>
        <v>46619.204483070986</v>
      </c>
      <c r="F18" s="327">
        <f>SUM(G5:N5)</f>
        <v>0.99999999999999989</v>
      </c>
      <c r="G18" s="326"/>
      <c r="H18" s="326"/>
      <c r="I18" s="326"/>
      <c r="J18" s="326"/>
      <c r="K18" s="326"/>
      <c r="L18" s="326"/>
      <c r="M18" s="326"/>
      <c r="N18" s="326"/>
      <c r="O18" s="356">
        <f>+P18/E18</f>
        <v>82417.068205890537</v>
      </c>
      <c r="P18" s="356">
        <f>SUM(P5:P17)</f>
        <v>3842218155.585619</v>
      </c>
    </row>
    <row r="19" spans="3:16" ht="15.75" thickBot="1" x14ac:dyDescent="0.3"/>
    <row r="20" spans="3:16" ht="15.75" thickBot="1" x14ac:dyDescent="0.3">
      <c r="O20" s="187">
        <f>+O18/37</f>
        <v>2227.4883298889335</v>
      </c>
    </row>
    <row r="30" spans="3:16" ht="15.75" thickBot="1" x14ac:dyDescent="0.3"/>
    <row r="31" spans="3:16" ht="15.75" thickBot="1" x14ac:dyDescent="0.3">
      <c r="C31" s="328"/>
      <c r="D31" s="329"/>
      <c r="E31" s="329"/>
      <c r="F31" s="329"/>
      <c r="G31" s="329"/>
      <c r="H31" s="330"/>
    </row>
    <row r="32" spans="3:16" ht="15.75" thickBot="1" x14ac:dyDescent="0.3">
      <c r="C32" s="331" t="s">
        <v>922</v>
      </c>
      <c r="D32" s="332" t="s">
        <v>923</v>
      </c>
      <c r="E32" s="333" t="s">
        <v>924</v>
      </c>
      <c r="F32" s="333" t="s">
        <v>925</v>
      </c>
      <c r="G32" s="334" t="s">
        <v>926</v>
      </c>
      <c r="H32" s="335" t="s">
        <v>927</v>
      </c>
    </row>
    <row r="33" spans="3:8" ht="15.75" thickBot="1" x14ac:dyDescent="0.3">
      <c r="C33" s="336"/>
      <c r="D33" s="337"/>
      <c r="E33" s="334" t="s">
        <v>928</v>
      </c>
      <c r="F33" s="334" t="s">
        <v>929</v>
      </c>
      <c r="G33" s="334"/>
      <c r="H33" s="338"/>
    </row>
    <row r="34" spans="3:8" x14ac:dyDescent="0.25">
      <c r="C34" s="354" t="s">
        <v>930</v>
      </c>
      <c r="D34" s="339">
        <v>32</v>
      </c>
      <c r="E34" s="340">
        <v>1052.29</v>
      </c>
      <c r="F34" s="340">
        <v>854.02</v>
      </c>
      <c r="G34" s="340">
        <v>1906.31</v>
      </c>
      <c r="H34" s="341">
        <v>0.55000000000000004</v>
      </c>
    </row>
    <row r="35" spans="3:8" x14ac:dyDescent="0.25">
      <c r="C35" s="355" t="s">
        <v>931</v>
      </c>
      <c r="D35" s="343"/>
      <c r="E35" s="160"/>
      <c r="F35" s="160"/>
      <c r="G35" s="160"/>
      <c r="H35" s="344"/>
    </row>
    <row r="36" spans="3:8" x14ac:dyDescent="0.25">
      <c r="C36" s="342" t="s">
        <v>917</v>
      </c>
      <c r="D36" s="343">
        <v>125</v>
      </c>
      <c r="E36" s="160">
        <v>3428.32</v>
      </c>
      <c r="F36" s="160">
        <v>1905.52</v>
      </c>
      <c r="G36" s="160">
        <v>5333.52</v>
      </c>
      <c r="H36" s="345">
        <v>0.64</v>
      </c>
    </row>
    <row r="37" spans="3:8" x14ac:dyDescent="0.25">
      <c r="C37" s="342" t="s">
        <v>916</v>
      </c>
      <c r="D37" s="343">
        <v>126</v>
      </c>
      <c r="E37" s="160">
        <v>1319.23</v>
      </c>
      <c r="F37" s="160">
        <v>1236.05</v>
      </c>
      <c r="G37" s="160">
        <v>2555.2800000000002</v>
      </c>
      <c r="H37" s="345">
        <v>0.52</v>
      </c>
    </row>
    <row r="38" spans="3:8" x14ac:dyDescent="0.25">
      <c r="C38" s="342" t="s">
        <v>932</v>
      </c>
      <c r="D38" s="343">
        <v>127</v>
      </c>
      <c r="E38" s="160">
        <v>3377.44</v>
      </c>
      <c r="F38" s="160">
        <v>1541.77</v>
      </c>
      <c r="G38" s="160">
        <v>4919.21</v>
      </c>
      <c r="H38" s="345">
        <v>0.69</v>
      </c>
    </row>
    <row r="39" spans="3:8" x14ac:dyDescent="0.25">
      <c r="C39" s="342" t="s">
        <v>933</v>
      </c>
      <c r="D39" s="343">
        <v>128</v>
      </c>
      <c r="E39" s="160">
        <v>131.97</v>
      </c>
      <c r="F39" s="160">
        <v>252.58</v>
      </c>
      <c r="G39" s="160">
        <v>384.55</v>
      </c>
      <c r="H39" s="345">
        <v>0.34</v>
      </c>
    </row>
    <row r="40" spans="3:8" x14ac:dyDescent="0.25">
      <c r="C40" s="342" t="s">
        <v>934</v>
      </c>
      <c r="D40" s="343">
        <v>219</v>
      </c>
      <c r="E40" s="160">
        <v>3165.44</v>
      </c>
      <c r="F40" s="160">
        <v>3553.5</v>
      </c>
      <c r="G40" s="160">
        <v>6718.94</v>
      </c>
      <c r="H40" s="345">
        <v>0.47</v>
      </c>
    </row>
    <row r="41" spans="3:8" x14ac:dyDescent="0.25">
      <c r="C41" s="342" t="s">
        <v>935</v>
      </c>
      <c r="D41" s="343">
        <v>144</v>
      </c>
      <c r="E41" s="160">
        <v>390.69</v>
      </c>
      <c r="F41" s="160">
        <v>230.6</v>
      </c>
      <c r="G41" s="160">
        <v>621.29</v>
      </c>
      <c r="H41" s="345">
        <v>0.63</v>
      </c>
    </row>
    <row r="42" spans="3:8" x14ac:dyDescent="0.25">
      <c r="C42" s="355" t="s">
        <v>936</v>
      </c>
      <c r="D42" s="343"/>
      <c r="E42" s="160"/>
      <c r="F42" s="160"/>
      <c r="G42" s="160"/>
      <c r="H42" s="344"/>
    </row>
    <row r="43" spans="3:8" x14ac:dyDescent="0.25">
      <c r="C43" s="342" t="s">
        <v>937</v>
      </c>
      <c r="D43" s="343">
        <v>129</v>
      </c>
      <c r="E43" s="160">
        <v>445.55</v>
      </c>
      <c r="F43" s="160">
        <v>324.77999999999997</v>
      </c>
      <c r="G43" s="160">
        <v>770.33</v>
      </c>
      <c r="H43" s="345">
        <v>0.57999999999999996</v>
      </c>
    </row>
    <row r="44" spans="3:8" x14ac:dyDescent="0.25">
      <c r="C44" s="342" t="s">
        <v>938</v>
      </c>
      <c r="D44" s="343">
        <v>130</v>
      </c>
      <c r="E44" s="160">
        <v>769.8</v>
      </c>
      <c r="F44" s="160">
        <v>642.04999999999995</v>
      </c>
      <c r="G44" s="160">
        <v>1411.85</v>
      </c>
      <c r="H44" s="345">
        <v>0.55000000000000004</v>
      </c>
    </row>
    <row r="45" spans="3:8" x14ac:dyDescent="0.25">
      <c r="C45" s="342" t="s">
        <v>939</v>
      </c>
      <c r="D45" s="343">
        <v>1692</v>
      </c>
      <c r="E45" s="160">
        <v>1980.53</v>
      </c>
      <c r="F45" s="160">
        <v>1571.03</v>
      </c>
      <c r="G45" s="160">
        <v>3551.56</v>
      </c>
      <c r="H45" s="345">
        <v>0.56000000000000005</v>
      </c>
    </row>
    <row r="46" spans="3:8" x14ac:dyDescent="0.25">
      <c r="C46" s="342" t="s">
        <v>940</v>
      </c>
      <c r="D46" s="343">
        <v>132</v>
      </c>
      <c r="E46" s="160">
        <v>755.44</v>
      </c>
      <c r="F46" s="160">
        <v>721.8</v>
      </c>
      <c r="G46" s="160">
        <v>1477.24</v>
      </c>
      <c r="H46" s="345">
        <v>0.51</v>
      </c>
    </row>
    <row r="47" spans="3:8" x14ac:dyDescent="0.25">
      <c r="C47" s="342" t="s">
        <v>941</v>
      </c>
      <c r="D47" s="343">
        <v>134</v>
      </c>
      <c r="E47" s="160">
        <v>2371.9699999999998</v>
      </c>
      <c r="F47" s="160">
        <v>2179.69</v>
      </c>
      <c r="G47" s="160">
        <v>4551.66</v>
      </c>
      <c r="H47" s="345">
        <v>0.52</v>
      </c>
    </row>
    <row r="48" spans="3:8" x14ac:dyDescent="0.25">
      <c r="C48" s="342" t="s">
        <v>942</v>
      </c>
      <c r="D48" s="343">
        <v>224</v>
      </c>
      <c r="E48" s="160">
        <v>1310.83</v>
      </c>
      <c r="F48" s="160">
        <v>1329.22</v>
      </c>
      <c r="G48" s="160">
        <v>2640.05</v>
      </c>
      <c r="H48" s="345">
        <v>0.5</v>
      </c>
    </row>
    <row r="49" spans="3:8" x14ac:dyDescent="0.25">
      <c r="C49" s="355" t="s">
        <v>943</v>
      </c>
      <c r="D49" s="343"/>
      <c r="E49" s="160"/>
      <c r="F49" s="160"/>
      <c r="G49" s="160"/>
      <c r="H49" s="344"/>
    </row>
    <row r="50" spans="3:8" x14ac:dyDescent="0.25">
      <c r="C50" s="342" t="s">
        <v>944</v>
      </c>
      <c r="D50" s="343">
        <v>135</v>
      </c>
      <c r="E50" s="160">
        <v>1434.1</v>
      </c>
      <c r="F50" s="160">
        <v>2362.9899999999998</v>
      </c>
      <c r="G50" s="160">
        <v>3797.09</v>
      </c>
      <c r="H50" s="345">
        <v>0.38</v>
      </c>
    </row>
    <row r="51" spans="3:8" x14ac:dyDescent="0.25">
      <c r="C51" s="342" t="s">
        <v>945</v>
      </c>
      <c r="D51" s="343">
        <v>136</v>
      </c>
      <c r="E51" s="160">
        <v>465.5</v>
      </c>
      <c r="F51" s="160">
        <v>639.92999999999995</v>
      </c>
      <c r="G51" s="160">
        <v>1105.43</v>
      </c>
      <c r="H51" s="345">
        <v>0.42</v>
      </c>
    </row>
    <row r="52" spans="3:8" x14ac:dyDescent="0.25">
      <c r="C52" s="342" t="s">
        <v>946</v>
      </c>
      <c r="D52" s="343">
        <v>137</v>
      </c>
      <c r="E52" s="160">
        <v>1604.59</v>
      </c>
      <c r="F52" s="160">
        <v>2626.84</v>
      </c>
      <c r="G52" s="160">
        <v>4228.43</v>
      </c>
      <c r="H52" s="345">
        <v>0.38</v>
      </c>
    </row>
    <row r="53" spans="3:8" x14ac:dyDescent="0.25">
      <c r="C53" s="342" t="s">
        <v>947</v>
      </c>
      <c r="D53" s="343">
        <v>138</v>
      </c>
      <c r="E53" s="160">
        <v>686.51</v>
      </c>
      <c r="F53" s="160">
        <v>1851.49</v>
      </c>
      <c r="G53" s="160">
        <v>2538</v>
      </c>
      <c r="H53" s="345">
        <v>0.27</v>
      </c>
    </row>
    <row r="54" spans="3:8" x14ac:dyDescent="0.25">
      <c r="C54" s="342" t="s">
        <v>948</v>
      </c>
      <c r="D54" s="343">
        <v>218</v>
      </c>
      <c r="E54" s="160">
        <v>966.47</v>
      </c>
      <c r="F54" s="160">
        <v>2317.4</v>
      </c>
      <c r="G54" s="160">
        <v>3283.87</v>
      </c>
      <c r="H54" s="345">
        <v>0.28999999999999998</v>
      </c>
    </row>
    <row r="55" spans="3:8" x14ac:dyDescent="0.25">
      <c r="C55" s="342" t="s">
        <v>949</v>
      </c>
      <c r="D55" s="343">
        <v>216</v>
      </c>
      <c r="E55" s="160">
        <v>77.459999999999994</v>
      </c>
      <c r="F55" s="160">
        <v>157.16</v>
      </c>
      <c r="G55" s="160">
        <v>234.62</v>
      </c>
      <c r="H55" s="345">
        <v>0.33</v>
      </c>
    </row>
    <row r="56" spans="3:8" x14ac:dyDescent="0.25">
      <c r="C56" s="342" t="s">
        <v>950</v>
      </c>
      <c r="D56" s="343">
        <v>221</v>
      </c>
      <c r="E56" s="160">
        <v>4648.43</v>
      </c>
      <c r="F56" s="160">
        <v>3511.19</v>
      </c>
      <c r="G56" s="160">
        <v>8159.62</v>
      </c>
      <c r="H56" s="345">
        <v>0.56999999999999995</v>
      </c>
    </row>
    <row r="57" spans="3:8" x14ac:dyDescent="0.25">
      <c r="C57" s="342" t="s">
        <v>951</v>
      </c>
      <c r="D57" s="343">
        <v>222</v>
      </c>
      <c r="E57" s="160">
        <v>1905.02</v>
      </c>
      <c r="F57" s="160">
        <v>8366.99</v>
      </c>
      <c r="G57" s="160">
        <v>10272.01</v>
      </c>
      <c r="H57" s="345">
        <v>0.19</v>
      </c>
    </row>
    <row r="58" spans="3:8" x14ac:dyDescent="0.25">
      <c r="C58" s="342" t="s">
        <v>952</v>
      </c>
      <c r="D58" s="343">
        <v>223</v>
      </c>
      <c r="E58" s="160">
        <v>4854.68</v>
      </c>
      <c r="F58" s="160">
        <v>4334.26</v>
      </c>
      <c r="G58" s="160">
        <v>9188.94</v>
      </c>
      <c r="H58" s="345">
        <v>0.53</v>
      </c>
    </row>
    <row r="59" spans="3:8" x14ac:dyDescent="0.25">
      <c r="C59" s="355" t="s">
        <v>953</v>
      </c>
      <c r="D59" s="343"/>
      <c r="E59" s="160"/>
      <c r="F59" s="160"/>
      <c r="G59" s="160"/>
      <c r="H59" s="344"/>
    </row>
    <row r="60" spans="3:8" x14ac:dyDescent="0.25">
      <c r="C60" s="342" t="s">
        <v>954</v>
      </c>
      <c r="D60" s="343">
        <v>220</v>
      </c>
      <c r="E60" s="160">
        <v>2477.08</v>
      </c>
      <c r="F60" s="160">
        <v>3387.61</v>
      </c>
      <c r="G60" s="160">
        <v>5864.69</v>
      </c>
      <c r="H60" s="345">
        <v>0.42</v>
      </c>
    </row>
    <row r="61" spans="3:8" ht="15.75" thickBot="1" x14ac:dyDescent="0.3">
      <c r="C61" s="346" t="s">
        <v>955</v>
      </c>
      <c r="D61" s="347">
        <v>217</v>
      </c>
      <c r="E61" s="348">
        <v>4087.04</v>
      </c>
      <c r="F61" s="348">
        <v>5458.03</v>
      </c>
      <c r="G61" s="348">
        <v>9545.07</v>
      </c>
      <c r="H61" s="349">
        <v>0.43</v>
      </c>
    </row>
    <row r="62" spans="3:8" ht="15.75" thickBot="1" x14ac:dyDescent="0.3">
      <c r="C62" s="331" t="s">
        <v>744</v>
      </c>
      <c r="D62" s="350"/>
      <c r="E62" s="351">
        <v>43703.38</v>
      </c>
      <c r="F62" s="351">
        <v>51356.18</v>
      </c>
      <c r="G62" s="351">
        <v>95059.56</v>
      </c>
      <c r="H62" s="352">
        <v>0.46</v>
      </c>
    </row>
  </sheetData>
  <mergeCells count="2">
    <mergeCell ref="B1:F1"/>
    <mergeCell ref="G3:N3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workbookViewId="0">
      <selection activeCell="J9" sqref="J9"/>
    </sheetView>
  </sheetViews>
  <sheetFormatPr baseColWidth="10" defaultRowHeight="15" x14ac:dyDescent="0.25"/>
  <cols>
    <col min="1" max="1" width="36.5703125" customWidth="1"/>
    <col min="2" max="2" width="25" customWidth="1"/>
    <col min="3" max="3" width="18" customWidth="1"/>
    <col min="4" max="4" width="15" customWidth="1"/>
    <col min="7" max="7" width="14.140625" customWidth="1"/>
    <col min="8" max="8" width="14" customWidth="1"/>
    <col min="9" max="9" width="13.42578125" customWidth="1"/>
    <col min="10" max="10" width="16.85546875" customWidth="1"/>
    <col min="11" max="11" width="19.7109375" customWidth="1"/>
  </cols>
  <sheetData>
    <row r="1" spans="1:11" ht="21" x14ac:dyDescent="0.35">
      <c r="B1" s="1103" t="s">
        <v>979</v>
      </c>
      <c r="C1" s="1103"/>
      <c r="D1" s="1103"/>
      <c r="E1" s="1103"/>
      <c r="F1" s="1103"/>
      <c r="G1" s="1103"/>
    </row>
    <row r="3" spans="1:11" ht="15.75" x14ac:dyDescent="0.25">
      <c r="B3" s="148"/>
      <c r="C3" s="148"/>
      <c r="D3" s="303"/>
      <c r="E3" s="1104" t="s">
        <v>658</v>
      </c>
      <c r="F3" s="1104"/>
      <c r="G3" s="1104"/>
      <c r="H3" s="1104"/>
      <c r="I3" s="1104"/>
      <c r="J3" s="148"/>
      <c r="K3" s="148"/>
    </row>
    <row r="4" spans="1:11" ht="63" x14ac:dyDescent="0.25">
      <c r="A4" s="362" t="s">
        <v>980</v>
      </c>
      <c r="B4" s="363" t="s">
        <v>660</v>
      </c>
      <c r="C4" s="363" t="s">
        <v>661</v>
      </c>
      <c r="D4" s="363" t="s">
        <v>479</v>
      </c>
      <c r="E4" s="364" t="s">
        <v>981</v>
      </c>
      <c r="F4" s="364" t="s">
        <v>982</v>
      </c>
      <c r="G4" s="364" t="s">
        <v>983</v>
      </c>
      <c r="H4" s="364" t="s">
        <v>984</v>
      </c>
      <c r="I4" s="365" t="s">
        <v>985</v>
      </c>
      <c r="J4" s="363" t="s">
        <v>487</v>
      </c>
      <c r="K4" s="363" t="s">
        <v>669</v>
      </c>
    </row>
    <row r="5" spans="1:11" ht="15.75" x14ac:dyDescent="0.25">
      <c r="A5" s="366" t="s">
        <v>804</v>
      </c>
      <c r="B5" s="367">
        <v>780</v>
      </c>
      <c r="C5" s="169">
        <f>+B5*D5</f>
        <v>70.2</v>
      </c>
      <c r="D5" s="368">
        <v>0.09</v>
      </c>
      <c r="E5" s="235">
        <v>8.4860173577627776E-2</v>
      </c>
      <c r="F5" s="235">
        <v>0.23432979749276761</v>
      </c>
      <c r="G5" s="235">
        <v>0.22565091610414659</v>
      </c>
      <c r="H5" s="235">
        <v>0.15332690453230471</v>
      </c>
      <c r="I5" s="235">
        <v>0.30183220829315333</v>
      </c>
      <c r="J5" s="369">
        <v>173497.10703953711</v>
      </c>
      <c r="K5" s="369">
        <f>+J5*C5</f>
        <v>12179496.914175505</v>
      </c>
    </row>
    <row r="6" spans="1:11" ht="15.75" x14ac:dyDescent="0.25">
      <c r="A6" s="366" t="s">
        <v>805</v>
      </c>
      <c r="B6" s="370">
        <v>3503.13</v>
      </c>
      <c r="C6" s="169">
        <f t="shared" ref="C6:C7" si="0">+B6*D6</f>
        <v>2031.8154</v>
      </c>
      <c r="D6" s="368">
        <v>0.57999999999999996</v>
      </c>
      <c r="E6" s="235">
        <v>0.2411194833153929</v>
      </c>
      <c r="F6" s="235">
        <v>0.52852529601722287</v>
      </c>
      <c r="G6" s="235">
        <v>5.5974165769644778E-2</v>
      </c>
      <c r="H6" s="235">
        <v>7.0685324721923209E-2</v>
      </c>
      <c r="I6" s="235">
        <v>0.10369573017581629</v>
      </c>
      <c r="J6" s="369">
        <v>98060.459275206318</v>
      </c>
      <c r="K6" s="369">
        <f>+J6*C6</f>
        <v>199240751.28643703</v>
      </c>
    </row>
    <row r="7" spans="1:11" ht="15.75" x14ac:dyDescent="0.25">
      <c r="A7" s="366" t="s">
        <v>807</v>
      </c>
      <c r="B7" s="367">
        <f>334+15</f>
        <v>349</v>
      </c>
      <c r="C7" s="169">
        <f t="shared" si="0"/>
        <v>349</v>
      </c>
      <c r="D7" s="368">
        <v>1</v>
      </c>
      <c r="E7" s="235">
        <v>8.557046979865772E-2</v>
      </c>
      <c r="F7" s="235">
        <v>0.2348993288590604</v>
      </c>
      <c r="G7" s="235">
        <v>0.22651006711409397</v>
      </c>
      <c r="H7" s="235">
        <v>0.15268456375838926</v>
      </c>
      <c r="I7" s="235">
        <v>0.30033557046979864</v>
      </c>
      <c r="J7" s="369">
        <v>173062.08053691275</v>
      </c>
      <c r="K7" s="369">
        <f>+J7*C7</f>
        <v>60398666.107382551</v>
      </c>
    </row>
    <row r="8" spans="1:11" ht="15.75" x14ac:dyDescent="0.25">
      <c r="A8" s="366" t="s">
        <v>986</v>
      </c>
      <c r="B8" s="370">
        <v>2400</v>
      </c>
    </row>
    <row r="9" spans="1:11" x14ac:dyDescent="0.25">
      <c r="J9" s="369">
        <f>(J5*B5+J6*B6+J7*B7)/B10</f>
        <v>116414.03550828129</v>
      </c>
    </row>
    <row r="10" spans="1:11" x14ac:dyDescent="0.25">
      <c r="B10" s="376">
        <f>+B5+B6+B7</f>
        <v>4632.13</v>
      </c>
    </row>
    <row r="11" spans="1:11" x14ac:dyDescent="0.25">
      <c r="J11" s="467">
        <f>+J9/37</f>
        <v>3146.3252840076025</v>
      </c>
    </row>
    <row r="16" spans="1:11" x14ac:dyDescent="0.25">
      <c r="A16" s="192" t="s">
        <v>987</v>
      </c>
      <c r="B16" s="192" t="s">
        <v>923</v>
      </c>
      <c r="C16" s="193" t="s">
        <v>988</v>
      </c>
      <c r="D16" s="193"/>
      <c r="E16" s="192" t="s">
        <v>926</v>
      </c>
      <c r="F16" s="192" t="s">
        <v>927</v>
      </c>
    </row>
    <row r="17" spans="1:6" x14ac:dyDescent="0.25">
      <c r="A17" s="160"/>
      <c r="B17" s="160"/>
      <c r="C17" s="192" t="s">
        <v>928</v>
      </c>
      <c r="D17" s="192" t="s">
        <v>929</v>
      </c>
      <c r="E17" s="160"/>
      <c r="F17" s="160"/>
    </row>
    <row r="18" spans="1:6" x14ac:dyDescent="0.25">
      <c r="A18" s="371" t="s">
        <v>989</v>
      </c>
      <c r="B18" s="169">
        <v>159</v>
      </c>
      <c r="C18" s="238">
        <v>2919.9</v>
      </c>
      <c r="D18" s="238">
        <v>583.23</v>
      </c>
      <c r="E18" s="238">
        <v>3503.13</v>
      </c>
      <c r="F18" s="242">
        <v>0.83</v>
      </c>
    </row>
    <row r="19" spans="1:6" x14ac:dyDescent="0.25">
      <c r="A19" s="371" t="s">
        <v>804</v>
      </c>
      <c r="B19" s="169"/>
      <c r="C19" s="238"/>
      <c r="D19" s="238"/>
      <c r="E19" s="372">
        <v>780</v>
      </c>
      <c r="F19" s="242"/>
    </row>
    <row r="20" spans="1:6" x14ac:dyDescent="0.25">
      <c r="A20" s="371" t="s">
        <v>807</v>
      </c>
      <c r="B20" s="169"/>
      <c r="C20" s="238"/>
      <c r="D20" s="238"/>
      <c r="E20" s="372">
        <f>334+15</f>
        <v>349</v>
      </c>
      <c r="F20" s="242"/>
    </row>
    <row r="21" spans="1:6" x14ac:dyDescent="0.25">
      <c r="A21" s="371" t="s">
        <v>986</v>
      </c>
      <c r="B21" s="169"/>
      <c r="C21" s="238"/>
      <c r="D21" s="238"/>
      <c r="E21" s="373">
        <v>2400</v>
      </c>
      <c r="F21" s="242"/>
    </row>
  </sheetData>
  <mergeCells count="2">
    <mergeCell ref="B1:G1"/>
    <mergeCell ref="E3:I3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H33" sqref="H33"/>
    </sheetView>
  </sheetViews>
  <sheetFormatPr baseColWidth="10" defaultRowHeight="15" x14ac:dyDescent="0.25"/>
  <cols>
    <col min="1" max="1" width="11.42578125" style="670"/>
    <col min="2" max="2" width="15.28515625" style="670" bestFit="1" customWidth="1"/>
    <col min="3" max="6" width="11.42578125" style="670"/>
    <col min="7" max="7" width="19.85546875" style="670" customWidth="1"/>
    <col min="8" max="8" width="16.7109375" style="671" customWidth="1"/>
    <col min="9" max="14" width="11.42578125" style="670"/>
    <col min="15" max="18" width="11.42578125" style="672"/>
    <col min="19" max="257" width="11.42578125" style="670"/>
    <col min="258" max="258" width="15.28515625" style="670" bestFit="1" customWidth="1"/>
    <col min="259" max="262" width="11.42578125" style="670"/>
    <col min="263" max="263" width="19.85546875" style="670" customWidth="1"/>
    <col min="264" max="264" width="16.7109375" style="670" customWidth="1"/>
    <col min="265" max="513" width="11.42578125" style="670"/>
    <col min="514" max="514" width="15.28515625" style="670" bestFit="1" customWidth="1"/>
    <col min="515" max="518" width="11.42578125" style="670"/>
    <col min="519" max="519" width="19.85546875" style="670" customWidth="1"/>
    <col min="520" max="520" width="16.7109375" style="670" customWidth="1"/>
    <col min="521" max="769" width="11.42578125" style="670"/>
    <col min="770" max="770" width="15.28515625" style="670" bestFit="1" customWidth="1"/>
    <col min="771" max="774" width="11.42578125" style="670"/>
    <col min="775" max="775" width="19.85546875" style="670" customWidth="1"/>
    <col min="776" max="776" width="16.7109375" style="670" customWidth="1"/>
    <col min="777" max="1025" width="11.42578125" style="670"/>
    <col min="1026" max="1026" width="15.28515625" style="670" bestFit="1" customWidth="1"/>
    <col min="1027" max="1030" width="11.42578125" style="670"/>
    <col min="1031" max="1031" width="19.85546875" style="670" customWidth="1"/>
    <col min="1032" max="1032" width="16.7109375" style="670" customWidth="1"/>
    <col min="1033" max="1281" width="11.42578125" style="670"/>
    <col min="1282" max="1282" width="15.28515625" style="670" bestFit="1" customWidth="1"/>
    <col min="1283" max="1286" width="11.42578125" style="670"/>
    <col min="1287" max="1287" width="19.85546875" style="670" customWidth="1"/>
    <col min="1288" max="1288" width="16.7109375" style="670" customWidth="1"/>
    <col min="1289" max="1537" width="11.42578125" style="670"/>
    <col min="1538" max="1538" width="15.28515625" style="670" bestFit="1" customWidth="1"/>
    <col min="1539" max="1542" width="11.42578125" style="670"/>
    <col min="1543" max="1543" width="19.85546875" style="670" customWidth="1"/>
    <col min="1544" max="1544" width="16.7109375" style="670" customWidth="1"/>
    <col min="1545" max="1793" width="11.42578125" style="670"/>
    <col min="1794" max="1794" width="15.28515625" style="670" bestFit="1" customWidth="1"/>
    <col min="1795" max="1798" width="11.42578125" style="670"/>
    <col min="1799" max="1799" width="19.85546875" style="670" customWidth="1"/>
    <col min="1800" max="1800" width="16.7109375" style="670" customWidth="1"/>
    <col min="1801" max="2049" width="11.42578125" style="670"/>
    <col min="2050" max="2050" width="15.28515625" style="670" bestFit="1" customWidth="1"/>
    <col min="2051" max="2054" width="11.42578125" style="670"/>
    <col min="2055" max="2055" width="19.85546875" style="670" customWidth="1"/>
    <col min="2056" max="2056" width="16.7109375" style="670" customWidth="1"/>
    <col min="2057" max="2305" width="11.42578125" style="670"/>
    <col min="2306" max="2306" width="15.28515625" style="670" bestFit="1" customWidth="1"/>
    <col min="2307" max="2310" width="11.42578125" style="670"/>
    <col min="2311" max="2311" width="19.85546875" style="670" customWidth="1"/>
    <col min="2312" max="2312" width="16.7109375" style="670" customWidth="1"/>
    <col min="2313" max="2561" width="11.42578125" style="670"/>
    <col min="2562" max="2562" width="15.28515625" style="670" bestFit="1" customWidth="1"/>
    <col min="2563" max="2566" width="11.42578125" style="670"/>
    <col min="2567" max="2567" width="19.85546875" style="670" customWidth="1"/>
    <col min="2568" max="2568" width="16.7109375" style="670" customWidth="1"/>
    <col min="2569" max="2817" width="11.42578125" style="670"/>
    <col min="2818" max="2818" width="15.28515625" style="670" bestFit="1" customWidth="1"/>
    <col min="2819" max="2822" width="11.42578125" style="670"/>
    <col min="2823" max="2823" width="19.85546875" style="670" customWidth="1"/>
    <col min="2824" max="2824" width="16.7109375" style="670" customWidth="1"/>
    <col min="2825" max="3073" width="11.42578125" style="670"/>
    <col min="3074" max="3074" width="15.28515625" style="670" bestFit="1" customWidth="1"/>
    <col min="3075" max="3078" width="11.42578125" style="670"/>
    <col min="3079" max="3079" width="19.85546875" style="670" customWidth="1"/>
    <col min="3080" max="3080" width="16.7109375" style="670" customWidth="1"/>
    <col min="3081" max="3329" width="11.42578125" style="670"/>
    <col min="3330" max="3330" width="15.28515625" style="670" bestFit="1" customWidth="1"/>
    <col min="3331" max="3334" width="11.42578125" style="670"/>
    <col min="3335" max="3335" width="19.85546875" style="670" customWidth="1"/>
    <col min="3336" max="3336" width="16.7109375" style="670" customWidth="1"/>
    <col min="3337" max="3585" width="11.42578125" style="670"/>
    <col min="3586" max="3586" width="15.28515625" style="670" bestFit="1" customWidth="1"/>
    <col min="3587" max="3590" width="11.42578125" style="670"/>
    <col min="3591" max="3591" width="19.85546875" style="670" customWidth="1"/>
    <col min="3592" max="3592" width="16.7109375" style="670" customWidth="1"/>
    <col min="3593" max="3841" width="11.42578125" style="670"/>
    <col min="3842" max="3842" width="15.28515625" style="670" bestFit="1" customWidth="1"/>
    <col min="3843" max="3846" width="11.42578125" style="670"/>
    <col min="3847" max="3847" width="19.85546875" style="670" customWidth="1"/>
    <col min="3848" max="3848" width="16.7109375" style="670" customWidth="1"/>
    <col min="3849" max="4097" width="11.42578125" style="670"/>
    <col min="4098" max="4098" width="15.28515625" style="670" bestFit="1" customWidth="1"/>
    <col min="4099" max="4102" width="11.42578125" style="670"/>
    <col min="4103" max="4103" width="19.85546875" style="670" customWidth="1"/>
    <col min="4104" max="4104" width="16.7109375" style="670" customWidth="1"/>
    <col min="4105" max="4353" width="11.42578125" style="670"/>
    <col min="4354" max="4354" width="15.28515625" style="670" bestFit="1" customWidth="1"/>
    <col min="4355" max="4358" width="11.42578125" style="670"/>
    <col min="4359" max="4359" width="19.85546875" style="670" customWidth="1"/>
    <col min="4360" max="4360" width="16.7109375" style="670" customWidth="1"/>
    <col min="4361" max="4609" width="11.42578125" style="670"/>
    <col min="4610" max="4610" width="15.28515625" style="670" bestFit="1" customWidth="1"/>
    <col min="4611" max="4614" width="11.42578125" style="670"/>
    <col min="4615" max="4615" width="19.85546875" style="670" customWidth="1"/>
    <col min="4616" max="4616" width="16.7109375" style="670" customWidth="1"/>
    <col min="4617" max="4865" width="11.42578125" style="670"/>
    <col min="4866" max="4866" width="15.28515625" style="670" bestFit="1" customWidth="1"/>
    <col min="4867" max="4870" width="11.42578125" style="670"/>
    <col min="4871" max="4871" width="19.85546875" style="670" customWidth="1"/>
    <col min="4872" max="4872" width="16.7109375" style="670" customWidth="1"/>
    <col min="4873" max="5121" width="11.42578125" style="670"/>
    <col min="5122" max="5122" width="15.28515625" style="670" bestFit="1" customWidth="1"/>
    <col min="5123" max="5126" width="11.42578125" style="670"/>
    <col min="5127" max="5127" width="19.85546875" style="670" customWidth="1"/>
    <col min="5128" max="5128" width="16.7109375" style="670" customWidth="1"/>
    <col min="5129" max="5377" width="11.42578125" style="670"/>
    <col min="5378" max="5378" width="15.28515625" style="670" bestFit="1" customWidth="1"/>
    <col min="5379" max="5382" width="11.42578125" style="670"/>
    <col min="5383" max="5383" width="19.85546875" style="670" customWidth="1"/>
    <col min="5384" max="5384" width="16.7109375" style="670" customWidth="1"/>
    <col min="5385" max="5633" width="11.42578125" style="670"/>
    <col min="5634" max="5634" width="15.28515625" style="670" bestFit="1" customWidth="1"/>
    <col min="5635" max="5638" width="11.42578125" style="670"/>
    <col min="5639" max="5639" width="19.85546875" style="670" customWidth="1"/>
    <col min="5640" max="5640" width="16.7109375" style="670" customWidth="1"/>
    <col min="5641" max="5889" width="11.42578125" style="670"/>
    <col min="5890" max="5890" width="15.28515625" style="670" bestFit="1" customWidth="1"/>
    <col min="5891" max="5894" width="11.42578125" style="670"/>
    <col min="5895" max="5895" width="19.85546875" style="670" customWidth="1"/>
    <col min="5896" max="5896" width="16.7109375" style="670" customWidth="1"/>
    <col min="5897" max="6145" width="11.42578125" style="670"/>
    <col min="6146" max="6146" width="15.28515625" style="670" bestFit="1" customWidth="1"/>
    <col min="6147" max="6150" width="11.42578125" style="670"/>
    <col min="6151" max="6151" width="19.85546875" style="670" customWidth="1"/>
    <col min="6152" max="6152" width="16.7109375" style="670" customWidth="1"/>
    <col min="6153" max="6401" width="11.42578125" style="670"/>
    <col min="6402" max="6402" width="15.28515625" style="670" bestFit="1" customWidth="1"/>
    <col min="6403" max="6406" width="11.42578125" style="670"/>
    <col min="6407" max="6407" width="19.85546875" style="670" customWidth="1"/>
    <col min="6408" max="6408" width="16.7109375" style="670" customWidth="1"/>
    <col min="6409" max="6657" width="11.42578125" style="670"/>
    <col min="6658" max="6658" width="15.28515625" style="670" bestFit="1" customWidth="1"/>
    <col min="6659" max="6662" width="11.42578125" style="670"/>
    <col min="6663" max="6663" width="19.85546875" style="670" customWidth="1"/>
    <col min="6664" max="6664" width="16.7109375" style="670" customWidth="1"/>
    <col min="6665" max="6913" width="11.42578125" style="670"/>
    <col min="6914" max="6914" width="15.28515625" style="670" bestFit="1" customWidth="1"/>
    <col min="6915" max="6918" width="11.42578125" style="670"/>
    <col min="6919" max="6919" width="19.85546875" style="670" customWidth="1"/>
    <col min="6920" max="6920" width="16.7109375" style="670" customWidth="1"/>
    <col min="6921" max="7169" width="11.42578125" style="670"/>
    <col min="7170" max="7170" width="15.28515625" style="670" bestFit="1" customWidth="1"/>
    <col min="7171" max="7174" width="11.42578125" style="670"/>
    <col min="7175" max="7175" width="19.85546875" style="670" customWidth="1"/>
    <col min="7176" max="7176" width="16.7109375" style="670" customWidth="1"/>
    <col min="7177" max="7425" width="11.42578125" style="670"/>
    <col min="7426" max="7426" width="15.28515625" style="670" bestFit="1" customWidth="1"/>
    <col min="7427" max="7430" width="11.42578125" style="670"/>
    <col min="7431" max="7431" width="19.85546875" style="670" customWidth="1"/>
    <col min="7432" max="7432" width="16.7109375" style="670" customWidth="1"/>
    <col min="7433" max="7681" width="11.42578125" style="670"/>
    <col min="7682" max="7682" width="15.28515625" style="670" bestFit="1" customWidth="1"/>
    <col min="7683" max="7686" width="11.42578125" style="670"/>
    <col min="7687" max="7687" width="19.85546875" style="670" customWidth="1"/>
    <col min="7688" max="7688" width="16.7109375" style="670" customWidth="1"/>
    <col min="7689" max="7937" width="11.42578125" style="670"/>
    <col min="7938" max="7938" width="15.28515625" style="670" bestFit="1" customWidth="1"/>
    <col min="7939" max="7942" width="11.42578125" style="670"/>
    <col min="7943" max="7943" width="19.85546875" style="670" customWidth="1"/>
    <col min="7944" max="7944" width="16.7109375" style="670" customWidth="1"/>
    <col min="7945" max="8193" width="11.42578125" style="670"/>
    <col min="8194" max="8194" width="15.28515625" style="670" bestFit="1" customWidth="1"/>
    <col min="8195" max="8198" width="11.42578125" style="670"/>
    <col min="8199" max="8199" width="19.85546875" style="670" customWidth="1"/>
    <col min="8200" max="8200" width="16.7109375" style="670" customWidth="1"/>
    <col min="8201" max="8449" width="11.42578125" style="670"/>
    <col min="8450" max="8450" width="15.28515625" style="670" bestFit="1" customWidth="1"/>
    <col min="8451" max="8454" width="11.42578125" style="670"/>
    <col min="8455" max="8455" width="19.85546875" style="670" customWidth="1"/>
    <col min="8456" max="8456" width="16.7109375" style="670" customWidth="1"/>
    <col min="8457" max="8705" width="11.42578125" style="670"/>
    <col min="8706" max="8706" width="15.28515625" style="670" bestFit="1" customWidth="1"/>
    <col min="8707" max="8710" width="11.42578125" style="670"/>
    <col min="8711" max="8711" width="19.85546875" style="670" customWidth="1"/>
    <col min="8712" max="8712" width="16.7109375" style="670" customWidth="1"/>
    <col min="8713" max="8961" width="11.42578125" style="670"/>
    <col min="8962" max="8962" width="15.28515625" style="670" bestFit="1" customWidth="1"/>
    <col min="8963" max="8966" width="11.42578125" style="670"/>
    <col min="8967" max="8967" width="19.85546875" style="670" customWidth="1"/>
    <col min="8968" max="8968" width="16.7109375" style="670" customWidth="1"/>
    <col min="8969" max="9217" width="11.42578125" style="670"/>
    <col min="9218" max="9218" width="15.28515625" style="670" bestFit="1" customWidth="1"/>
    <col min="9219" max="9222" width="11.42578125" style="670"/>
    <col min="9223" max="9223" width="19.85546875" style="670" customWidth="1"/>
    <col min="9224" max="9224" width="16.7109375" style="670" customWidth="1"/>
    <col min="9225" max="9473" width="11.42578125" style="670"/>
    <col min="9474" max="9474" width="15.28515625" style="670" bestFit="1" customWidth="1"/>
    <col min="9475" max="9478" width="11.42578125" style="670"/>
    <col min="9479" max="9479" width="19.85546875" style="670" customWidth="1"/>
    <col min="9480" max="9480" width="16.7109375" style="670" customWidth="1"/>
    <col min="9481" max="9729" width="11.42578125" style="670"/>
    <col min="9730" max="9730" width="15.28515625" style="670" bestFit="1" customWidth="1"/>
    <col min="9731" max="9734" width="11.42578125" style="670"/>
    <col min="9735" max="9735" width="19.85546875" style="670" customWidth="1"/>
    <col min="9736" max="9736" width="16.7109375" style="670" customWidth="1"/>
    <col min="9737" max="9985" width="11.42578125" style="670"/>
    <col min="9986" max="9986" width="15.28515625" style="670" bestFit="1" customWidth="1"/>
    <col min="9987" max="9990" width="11.42578125" style="670"/>
    <col min="9991" max="9991" width="19.85546875" style="670" customWidth="1"/>
    <col min="9992" max="9992" width="16.7109375" style="670" customWidth="1"/>
    <col min="9993" max="10241" width="11.42578125" style="670"/>
    <col min="10242" max="10242" width="15.28515625" style="670" bestFit="1" customWidth="1"/>
    <col min="10243" max="10246" width="11.42578125" style="670"/>
    <col min="10247" max="10247" width="19.85546875" style="670" customWidth="1"/>
    <col min="10248" max="10248" width="16.7109375" style="670" customWidth="1"/>
    <col min="10249" max="10497" width="11.42578125" style="670"/>
    <col min="10498" max="10498" width="15.28515625" style="670" bestFit="1" customWidth="1"/>
    <col min="10499" max="10502" width="11.42578125" style="670"/>
    <col min="10503" max="10503" width="19.85546875" style="670" customWidth="1"/>
    <col min="10504" max="10504" width="16.7109375" style="670" customWidth="1"/>
    <col min="10505" max="10753" width="11.42578125" style="670"/>
    <col min="10754" max="10754" width="15.28515625" style="670" bestFit="1" customWidth="1"/>
    <col min="10755" max="10758" width="11.42578125" style="670"/>
    <col min="10759" max="10759" width="19.85546875" style="670" customWidth="1"/>
    <col min="10760" max="10760" width="16.7109375" style="670" customWidth="1"/>
    <col min="10761" max="11009" width="11.42578125" style="670"/>
    <col min="11010" max="11010" width="15.28515625" style="670" bestFit="1" customWidth="1"/>
    <col min="11011" max="11014" width="11.42578125" style="670"/>
    <col min="11015" max="11015" width="19.85546875" style="670" customWidth="1"/>
    <col min="11016" max="11016" width="16.7109375" style="670" customWidth="1"/>
    <col min="11017" max="11265" width="11.42578125" style="670"/>
    <col min="11266" max="11266" width="15.28515625" style="670" bestFit="1" customWidth="1"/>
    <col min="11267" max="11270" width="11.42578125" style="670"/>
    <col min="11271" max="11271" width="19.85546875" style="670" customWidth="1"/>
    <col min="11272" max="11272" width="16.7109375" style="670" customWidth="1"/>
    <col min="11273" max="11521" width="11.42578125" style="670"/>
    <col min="11522" max="11522" width="15.28515625" style="670" bestFit="1" customWidth="1"/>
    <col min="11523" max="11526" width="11.42578125" style="670"/>
    <col min="11527" max="11527" width="19.85546875" style="670" customWidth="1"/>
    <col min="11528" max="11528" width="16.7109375" style="670" customWidth="1"/>
    <col min="11529" max="11777" width="11.42578125" style="670"/>
    <col min="11778" max="11778" width="15.28515625" style="670" bestFit="1" customWidth="1"/>
    <col min="11779" max="11782" width="11.42578125" style="670"/>
    <col min="11783" max="11783" width="19.85546875" style="670" customWidth="1"/>
    <col min="11784" max="11784" width="16.7109375" style="670" customWidth="1"/>
    <col min="11785" max="12033" width="11.42578125" style="670"/>
    <col min="12034" max="12034" width="15.28515625" style="670" bestFit="1" customWidth="1"/>
    <col min="12035" max="12038" width="11.42578125" style="670"/>
    <col min="12039" max="12039" width="19.85546875" style="670" customWidth="1"/>
    <col min="12040" max="12040" width="16.7109375" style="670" customWidth="1"/>
    <col min="12041" max="12289" width="11.42578125" style="670"/>
    <col min="12290" max="12290" width="15.28515625" style="670" bestFit="1" customWidth="1"/>
    <col min="12291" max="12294" width="11.42578125" style="670"/>
    <col min="12295" max="12295" width="19.85546875" style="670" customWidth="1"/>
    <col min="12296" max="12296" width="16.7109375" style="670" customWidth="1"/>
    <col min="12297" max="12545" width="11.42578125" style="670"/>
    <col min="12546" max="12546" width="15.28515625" style="670" bestFit="1" customWidth="1"/>
    <col min="12547" max="12550" width="11.42578125" style="670"/>
    <col min="12551" max="12551" width="19.85546875" style="670" customWidth="1"/>
    <col min="12552" max="12552" width="16.7109375" style="670" customWidth="1"/>
    <col min="12553" max="12801" width="11.42578125" style="670"/>
    <col min="12802" max="12802" width="15.28515625" style="670" bestFit="1" customWidth="1"/>
    <col min="12803" max="12806" width="11.42578125" style="670"/>
    <col min="12807" max="12807" width="19.85546875" style="670" customWidth="1"/>
    <col min="12808" max="12808" width="16.7109375" style="670" customWidth="1"/>
    <col min="12809" max="13057" width="11.42578125" style="670"/>
    <col min="13058" max="13058" width="15.28515625" style="670" bestFit="1" customWidth="1"/>
    <col min="13059" max="13062" width="11.42578125" style="670"/>
    <col min="13063" max="13063" width="19.85546875" style="670" customWidth="1"/>
    <col min="13064" max="13064" width="16.7109375" style="670" customWidth="1"/>
    <col min="13065" max="13313" width="11.42578125" style="670"/>
    <col min="13314" max="13314" width="15.28515625" style="670" bestFit="1" customWidth="1"/>
    <col min="13315" max="13318" width="11.42578125" style="670"/>
    <col min="13319" max="13319" width="19.85546875" style="670" customWidth="1"/>
    <col min="13320" max="13320" width="16.7109375" style="670" customWidth="1"/>
    <col min="13321" max="13569" width="11.42578125" style="670"/>
    <col min="13570" max="13570" width="15.28515625" style="670" bestFit="1" customWidth="1"/>
    <col min="13571" max="13574" width="11.42578125" style="670"/>
    <col min="13575" max="13575" width="19.85546875" style="670" customWidth="1"/>
    <col min="13576" max="13576" width="16.7109375" style="670" customWidth="1"/>
    <col min="13577" max="13825" width="11.42578125" style="670"/>
    <col min="13826" max="13826" width="15.28515625" style="670" bestFit="1" customWidth="1"/>
    <col min="13827" max="13830" width="11.42578125" style="670"/>
    <col min="13831" max="13831" width="19.85546875" style="670" customWidth="1"/>
    <col min="13832" max="13832" width="16.7109375" style="670" customWidth="1"/>
    <col min="13833" max="14081" width="11.42578125" style="670"/>
    <col min="14082" max="14082" width="15.28515625" style="670" bestFit="1" customWidth="1"/>
    <col min="14083" max="14086" width="11.42578125" style="670"/>
    <col min="14087" max="14087" width="19.85546875" style="670" customWidth="1"/>
    <col min="14088" max="14088" width="16.7109375" style="670" customWidth="1"/>
    <col min="14089" max="14337" width="11.42578125" style="670"/>
    <col min="14338" max="14338" width="15.28515625" style="670" bestFit="1" customWidth="1"/>
    <col min="14339" max="14342" width="11.42578125" style="670"/>
    <col min="14343" max="14343" width="19.85546875" style="670" customWidth="1"/>
    <col min="14344" max="14344" width="16.7109375" style="670" customWidth="1"/>
    <col min="14345" max="14593" width="11.42578125" style="670"/>
    <col min="14594" max="14594" width="15.28515625" style="670" bestFit="1" customWidth="1"/>
    <col min="14595" max="14598" width="11.42578125" style="670"/>
    <col min="14599" max="14599" width="19.85546875" style="670" customWidth="1"/>
    <col min="14600" max="14600" width="16.7109375" style="670" customWidth="1"/>
    <col min="14601" max="14849" width="11.42578125" style="670"/>
    <col min="14850" max="14850" width="15.28515625" style="670" bestFit="1" customWidth="1"/>
    <col min="14851" max="14854" width="11.42578125" style="670"/>
    <col min="14855" max="14855" width="19.85546875" style="670" customWidth="1"/>
    <col min="14856" max="14856" width="16.7109375" style="670" customWidth="1"/>
    <col min="14857" max="15105" width="11.42578125" style="670"/>
    <col min="15106" max="15106" width="15.28515625" style="670" bestFit="1" customWidth="1"/>
    <col min="15107" max="15110" width="11.42578125" style="670"/>
    <col min="15111" max="15111" width="19.85546875" style="670" customWidth="1"/>
    <col min="15112" max="15112" width="16.7109375" style="670" customWidth="1"/>
    <col min="15113" max="15361" width="11.42578125" style="670"/>
    <col min="15362" max="15362" width="15.28515625" style="670" bestFit="1" customWidth="1"/>
    <col min="15363" max="15366" width="11.42578125" style="670"/>
    <col min="15367" max="15367" width="19.85546875" style="670" customWidth="1"/>
    <col min="15368" max="15368" width="16.7109375" style="670" customWidth="1"/>
    <col min="15369" max="15617" width="11.42578125" style="670"/>
    <col min="15618" max="15618" width="15.28515625" style="670" bestFit="1" customWidth="1"/>
    <col min="15619" max="15622" width="11.42578125" style="670"/>
    <col min="15623" max="15623" width="19.85546875" style="670" customWidth="1"/>
    <col min="15624" max="15624" width="16.7109375" style="670" customWidth="1"/>
    <col min="15625" max="15873" width="11.42578125" style="670"/>
    <col min="15874" max="15874" width="15.28515625" style="670" bestFit="1" customWidth="1"/>
    <col min="15875" max="15878" width="11.42578125" style="670"/>
    <col min="15879" max="15879" width="19.85546875" style="670" customWidth="1"/>
    <col min="15880" max="15880" width="16.7109375" style="670" customWidth="1"/>
    <col min="15881" max="16129" width="11.42578125" style="670"/>
    <col min="16130" max="16130" width="15.28515625" style="670" bestFit="1" customWidth="1"/>
    <col min="16131" max="16134" width="11.42578125" style="670"/>
    <col min="16135" max="16135" width="19.85546875" style="670" customWidth="1"/>
    <col min="16136" max="16136" width="16.7109375" style="670" customWidth="1"/>
    <col min="16137" max="16384" width="11.42578125" style="670"/>
  </cols>
  <sheetData>
    <row r="1" spans="1:23" x14ac:dyDescent="0.25">
      <c r="A1" s="669">
        <v>641</v>
      </c>
    </row>
    <row r="2" spans="1:23" x14ac:dyDescent="0.25">
      <c r="A2" s="669">
        <v>635</v>
      </c>
    </row>
    <row r="3" spans="1:23" ht="15.75" customHeight="1" x14ac:dyDescent="0.25"/>
    <row r="4" spans="1:23" ht="15.75" thickBot="1" x14ac:dyDescent="0.3"/>
    <row r="5" spans="1:23" ht="18" x14ac:dyDescent="0.35">
      <c r="C5" s="673" t="s">
        <v>1177</v>
      </c>
      <c r="D5" s="674">
        <f>+MENDOZA!R18/1000</f>
        <v>2.2000000000000002</v>
      </c>
      <c r="E5" s="675" t="s">
        <v>1178</v>
      </c>
      <c r="F5" s="676"/>
      <c r="G5" s="673" t="s">
        <v>1179</v>
      </c>
      <c r="H5" s="677">
        <f ca="1">(((D5*D9/(D8^0.5))^0.6)*(D6+2*H5*(1+D7^2)^0.5)^0.4)/(D6+H5*D7)</f>
        <v>0.98290200669603323</v>
      </c>
      <c r="I5" s="675" t="s">
        <v>1180</v>
      </c>
      <c r="J5" s="673" t="s">
        <v>1181</v>
      </c>
      <c r="K5" s="677">
        <f ca="1">+((D5^2/9.80665*(D6+2*K5*D7))^(1/3))/(D6+K5*D7)</f>
        <v>0.42902396892287331</v>
      </c>
      <c r="L5" s="675" t="s">
        <v>1180</v>
      </c>
    </row>
    <row r="6" spans="1:23" ht="18" x14ac:dyDescent="0.35">
      <c r="C6" s="678" t="s">
        <v>1182</v>
      </c>
      <c r="D6" s="679">
        <f>+MENDOZA!R32</f>
        <v>2.5</v>
      </c>
      <c r="E6" s="680" t="s">
        <v>1180</v>
      </c>
      <c r="F6" s="676"/>
      <c r="G6" s="678" t="s">
        <v>1183</v>
      </c>
      <c r="H6" s="681">
        <f ca="1">+D5/(H5*(D6+H5*D7))</f>
        <v>0.89530796967041293</v>
      </c>
      <c r="I6" s="680" t="s">
        <v>1184</v>
      </c>
      <c r="J6" s="678" t="s">
        <v>1185</v>
      </c>
      <c r="K6" s="681">
        <f ca="1">+D5/(K5*(D6+K5*D7))</f>
        <v>2.0511674492438434</v>
      </c>
      <c r="L6" s="680" t="s">
        <v>1184</v>
      </c>
    </row>
    <row r="7" spans="1:23" ht="18" x14ac:dyDescent="0.35">
      <c r="C7" s="678" t="s">
        <v>1186</v>
      </c>
      <c r="D7" s="679">
        <v>0</v>
      </c>
      <c r="E7" s="682"/>
      <c r="F7" s="683"/>
      <c r="G7" s="678" t="s">
        <v>1187</v>
      </c>
      <c r="H7" s="681">
        <f ca="1">+H6^2/19.62</f>
        <v>4.0855064248489142E-2</v>
      </c>
      <c r="I7" s="680" t="s">
        <v>1180</v>
      </c>
      <c r="J7" s="678" t="s">
        <v>1188</v>
      </c>
      <c r="K7" s="681">
        <f ca="1">+K6^2/19.62</f>
        <v>0.2144387311334095</v>
      </c>
      <c r="L7" s="680" t="s">
        <v>1180</v>
      </c>
      <c r="O7" s="672">
        <v>0</v>
      </c>
      <c r="P7" s="672">
        <v>0</v>
      </c>
      <c r="R7" s="672">
        <v>0</v>
      </c>
    </row>
    <row r="8" spans="1:23" ht="20.25" thickBot="1" x14ac:dyDescent="0.4">
      <c r="C8" s="678" t="s">
        <v>1189</v>
      </c>
      <c r="D8" s="684">
        <v>4.0000000000000002E-4</v>
      </c>
      <c r="E8" s="682"/>
      <c r="F8" s="683"/>
      <c r="G8" s="685" t="s">
        <v>1190</v>
      </c>
      <c r="H8" s="686">
        <f ca="1">+H7+H5</f>
        <v>1.0237570709445223</v>
      </c>
      <c r="I8" s="687" t="s">
        <v>1180</v>
      </c>
      <c r="J8" s="685" t="s">
        <v>1191</v>
      </c>
      <c r="K8" s="686">
        <f ca="1">+K7+K5</f>
        <v>0.64346270005628281</v>
      </c>
      <c r="L8" s="687" t="s">
        <v>1180</v>
      </c>
      <c r="O8" s="688">
        <f>+D6/2</f>
        <v>1.25</v>
      </c>
      <c r="P8" s="672">
        <f>+P7</f>
        <v>0</v>
      </c>
      <c r="Q8" s="672">
        <f>+((O8-O7)^2+(P8-P7)^2)^0.5</f>
        <v>1.25</v>
      </c>
      <c r="R8" s="672">
        <f>+R7+Q8</f>
        <v>1.25</v>
      </c>
    </row>
    <row r="9" spans="1:23" ht="18" thickBot="1" x14ac:dyDescent="0.3">
      <c r="C9" s="685" t="s">
        <v>1192</v>
      </c>
      <c r="D9" s="689">
        <v>1.4999999999999999E-2</v>
      </c>
      <c r="E9" s="690" t="s">
        <v>1193</v>
      </c>
      <c r="F9" s="691"/>
      <c r="O9" s="688">
        <f ca="1">+O8+H15*D7</f>
        <v>1.25</v>
      </c>
      <c r="P9" s="688">
        <f ca="1">+H15</f>
        <v>1.2</v>
      </c>
      <c r="Q9" s="672">
        <f t="shared" ref="Q9:Q18" ca="1" si="0">+((O9-O8)^2+(P9-P8)^2)^0.5</f>
        <v>1.2</v>
      </c>
      <c r="R9" s="672">
        <f t="shared" ref="R9:R18" ca="1" si="1">+R8+Q9</f>
        <v>2.4500000000000002</v>
      </c>
    </row>
    <row r="10" spans="1:23" ht="15.75" thickBot="1" x14ac:dyDescent="0.3">
      <c r="E10" s="683"/>
      <c r="F10" s="683"/>
      <c r="O10" s="672">
        <f ca="1">+O9+H21</f>
        <v>1.37</v>
      </c>
      <c r="P10" s="688">
        <f ca="1">+P9</f>
        <v>1.2</v>
      </c>
      <c r="Q10" s="672">
        <f t="shared" ca="1" si="0"/>
        <v>0.12000000000000011</v>
      </c>
      <c r="R10" s="672">
        <f t="shared" ca="1" si="1"/>
        <v>2.5700000000000003</v>
      </c>
    </row>
    <row r="11" spans="1:23" x14ac:dyDescent="0.25">
      <c r="C11" s="692" t="s">
        <v>1194</v>
      </c>
      <c r="D11" s="693">
        <v>3.5</v>
      </c>
      <c r="E11" s="675" t="s">
        <v>1195</v>
      </c>
      <c r="F11" s="676"/>
      <c r="G11" s="673" t="s">
        <v>1196</v>
      </c>
      <c r="H11" s="677">
        <f ca="1">+D6+2*H5*D7</f>
        <v>2.5</v>
      </c>
      <c r="I11" s="675" t="s">
        <v>1180</v>
      </c>
      <c r="O11" s="694">
        <f ca="1">+O10-((H15+H20)*D7)</f>
        <v>1.37</v>
      </c>
      <c r="P11" s="688">
        <f ca="1">+P10-H15-H20</f>
        <v>-0.12</v>
      </c>
      <c r="Q11" s="672">
        <f t="shared" ca="1" si="0"/>
        <v>1.3199999999999998</v>
      </c>
      <c r="R11" s="672">
        <f t="shared" ca="1" si="1"/>
        <v>3.89</v>
      </c>
    </row>
    <row r="12" spans="1:23" x14ac:dyDescent="0.25">
      <c r="C12" s="695" t="s">
        <v>1192</v>
      </c>
      <c r="D12" s="696">
        <f>1.16*10^-6</f>
        <v>1.1599999999999999E-6</v>
      </c>
      <c r="E12" s="680" t="s">
        <v>1197</v>
      </c>
      <c r="F12" s="676"/>
      <c r="G12" s="678" t="s">
        <v>1198</v>
      </c>
      <c r="H12" s="681">
        <f ca="1">+H5*(D6+H5*D7)/H11</f>
        <v>0.98290200669603323</v>
      </c>
      <c r="I12" s="680" t="s">
        <v>1180</v>
      </c>
      <c r="O12" s="688">
        <f ca="1">+O11-(H21-D7*H20)</f>
        <v>1.25</v>
      </c>
      <c r="P12" s="688">
        <f ca="1">+P11</f>
        <v>-0.12</v>
      </c>
      <c r="Q12" s="672">
        <f t="shared" ca="1" si="0"/>
        <v>0.12000000000000011</v>
      </c>
      <c r="R12" s="672">
        <f t="shared" ca="1" si="1"/>
        <v>4.01</v>
      </c>
    </row>
    <row r="13" spans="1:23" x14ac:dyDescent="0.25">
      <c r="C13" s="678" t="s">
        <v>1199</v>
      </c>
      <c r="D13" s="681">
        <f ca="1">+((H5*(D6+H5*D7)/((D6+2*H5*(1+D7^2)^0.5))))</f>
        <v>0.55023798836027271</v>
      </c>
      <c r="E13" s="680" t="s">
        <v>1200</v>
      </c>
      <c r="F13" s="676"/>
      <c r="G13" s="678" t="s">
        <v>1201</v>
      </c>
      <c r="H13" s="681">
        <f ca="1">+H6/((H12*9.80665)^0.5)</f>
        <v>0.28837459777330382</v>
      </c>
      <c r="I13" s="697"/>
      <c r="O13" s="688">
        <f ca="1">+O12-D6</f>
        <v>-1.25</v>
      </c>
      <c r="P13" s="688">
        <f ca="1">+P12</f>
        <v>-0.12</v>
      </c>
      <c r="Q13" s="672">
        <f t="shared" ca="1" si="0"/>
        <v>2.5</v>
      </c>
      <c r="R13" s="672">
        <f t="shared" ca="1" si="1"/>
        <v>6.51</v>
      </c>
    </row>
    <row r="14" spans="1:23" x14ac:dyDescent="0.25">
      <c r="C14" s="678" t="s">
        <v>1202</v>
      </c>
      <c r="D14" s="681">
        <f ca="1">4*D13</f>
        <v>2.2009519534410908</v>
      </c>
      <c r="E14" s="680" t="s">
        <v>1200</v>
      </c>
      <c r="F14" s="676"/>
      <c r="G14" s="678" t="s">
        <v>1203</v>
      </c>
      <c r="H14" s="681">
        <f ca="1">IF(H13&gt;1,IF(D5&lt;0.5,(0.25+0.037*H6*H5^(1/3)),IF(D5&lt;1,(0.3+0.037*H6*H5^(1/3)),IF(D5&lt;5,(0.5+0.037*H6*H5^(1/3)),(0.6+0.037*H6*H5^(1/3))))),IF(H13&gt;0.5,IF(D5&lt;0.5,IF(H13&lt;0.9,0.2,0.25),IF(D5&lt;10,0.3,0.3+0.00333*(D5-10))),IF(D5&lt;0.5,0.15,IF(D5&gt;1,IF(D5&lt;10,IF(H13&gt;0.2,0.2+0.0011*(D5-1),0.2),0.3+0.0033*(D5-10)),0.2))))</f>
        <v>0.20132</v>
      </c>
      <c r="I14" s="680" t="s">
        <v>1180</v>
      </c>
      <c r="O14" s="694">
        <f ca="1">+O13-(H21-H20*D7)</f>
        <v>-1.37</v>
      </c>
      <c r="P14" s="688">
        <f ca="1">+P13</f>
        <v>-0.12</v>
      </c>
      <c r="Q14" s="672">
        <f t="shared" ca="1" si="0"/>
        <v>0.12000000000000011</v>
      </c>
      <c r="R14" s="672">
        <f t="shared" ca="1" si="1"/>
        <v>6.63</v>
      </c>
    </row>
    <row r="15" spans="1:23" ht="15.75" thickBot="1" x14ac:dyDescent="0.3">
      <c r="C15" s="678" t="s">
        <v>1204</v>
      </c>
      <c r="D15" s="698">
        <f ca="1">+D14*H6/D12</f>
        <v>1698732.6075667867</v>
      </c>
      <c r="E15" s="697"/>
      <c r="F15" s="698"/>
      <c r="G15" s="685" t="s">
        <v>1205</v>
      </c>
      <c r="H15" s="686">
        <f ca="1">ROUND(H14+H5,1)</f>
        <v>1.2</v>
      </c>
      <c r="I15" s="687" t="s">
        <v>1180</v>
      </c>
      <c r="O15" s="672">
        <f ca="1">+O14-(H15+H20)*D7</f>
        <v>-1.37</v>
      </c>
      <c r="P15" s="688">
        <f ca="1">+P14+H15+H20</f>
        <v>1.2000000000000002</v>
      </c>
      <c r="Q15" s="672">
        <f t="shared" ca="1" si="0"/>
        <v>1.3200000000000003</v>
      </c>
      <c r="R15" s="672">
        <f t="shared" ca="1" si="1"/>
        <v>7.95</v>
      </c>
    </row>
    <row r="16" spans="1:23" x14ac:dyDescent="0.25">
      <c r="C16" s="678" t="s">
        <v>1206</v>
      </c>
      <c r="D16" s="698">
        <f ca="1">+((1.14-2*LOG10((D11/1000)/D14+21.25/D15^0.9))^-2)</f>
        <v>2.2217831004706975E-2</v>
      </c>
      <c r="E16" s="697"/>
      <c r="F16" s="698"/>
      <c r="O16" s="699">
        <f ca="1">+O15+H21</f>
        <v>-1.25</v>
      </c>
      <c r="P16" s="688">
        <f ca="1">+P15</f>
        <v>1.2000000000000002</v>
      </c>
      <c r="Q16" s="672">
        <f t="shared" ca="1" si="0"/>
        <v>0.12000000000000011</v>
      </c>
      <c r="R16" s="672">
        <f t="shared" ca="1" si="1"/>
        <v>8.07</v>
      </c>
      <c r="W16" s="700"/>
    </row>
    <row r="17" spans="3:23" ht="15.75" thickBot="1" x14ac:dyDescent="0.3">
      <c r="C17" s="701" t="s">
        <v>1192</v>
      </c>
      <c r="D17" s="702">
        <f ca="1">+((D16*D13^(1/3))/(8*9.80665))^0.5</f>
        <v>1.5233648367081066E-2</v>
      </c>
      <c r="E17" s="690" t="s">
        <v>1207</v>
      </c>
      <c r="F17" s="691"/>
      <c r="O17" s="672">
        <f ca="1">+O16+H15*D7</f>
        <v>-1.25</v>
      </c>
      <c r="P17" s="688">
        <f ca="1">+P16-H15</f>
        <v>0</v>
      </c>
      <c r="Q17" s="672">
        <f t="shared" ca="1" si="0"/>
        <v>1.2000000000000002</v>
      </c>
      <c r="R17" s="672">
        <f t="shared" ca="1" si="1"/>
        <v>9.27</v>
      </c>
    </row>
    <row r="18" spans="3:23" x14ac:dyDescent="0.25">
      <c r="C18" s="703"/>
      <c r="D18" s="704"/>
      <c r="E18" s="691"/>
      <c r="F18" s="691"/>
      <c r="O18" s="672">
        <f ca="1">+O17+D6/2</f>
        <v>0</v>
      </c>
      <c r="P18" s="688">
        <f ca="1">+P17</f>
        <v>0</v>
      </c>
      <c r="Q18" s="672">
        <f t="shared" ca="1" si="0"/>
        <v>1.25</v>
      </c>
      <c r="R18" s="672">
        <f t="shared" ca="1" si="1"/>
        <v>10.52</v>
      </c>
    </row>
    <row r="19" spans="3:23" ht="15.75" thickBot="1" x14ac:dyDescent="0.3"/>
    <row r="20" spans="3:23" ht="15.75" thickBot="1" x14ac:dyDescent="0.3">
      <c r="C20" s="705" t="s">
        <v>1208</v>
      </c>
      <c r="D20" s="706">
        <f>ROUND(D25*D21,1)</f>
        <v>2.2000000000000002</v>
      </c>
      <c r="E20" s="675" t="s">
        <v>1200</v>
      </c>
      <c r="G20" s="673" t="s">
        <v>1194</v>
      </c>
      <c r="H20" s="674">
        <f>+MENDOZA!O35</f>
        <v>0.12</v>
      </c>
      <c r="I20" s="707" t="s">
        <v>1209</v>
      </c>
    </row>
    <row r="21" spans="3:23" ht="18.75" thickBot="1" x14ac:dyDescent="0.4">
      <c r="C21" s="708" t="s">
        <v>1210</v>
      </c>
      <c r="D21" s="709">
        <f>+(((D5*D9/D8^0.5)^0.6)*((2/(1+D7^2)^0.5+2*(1+D7^2)^0.5)^0.4)/(2/(1+D7^2)^0.5+D7))^(1/1.6)</f>
        <v>1.1064396474798013</v>
      </c>
      <c r="E21" s="680" t="s">
        <v>1200</v>
      </c>
      <c r="G21" s="710" t="s">
        <v>1211</v>
      </c>
      <c r="H21" s="711">
        <f>H20/(1/(1+D7^2)^0.5)</f>
        <v>0.12</v>
      </c>
      <c r="I21" s="712" t="s">
        <v>1209</v>
      </c>
      <c r="M21" s="713"/>
      <c r="N21" s="709"/>
    </row>
    <row r="22" spans="3:23" ht="18.75" thickBot="1" x14ac:dyDescent="0.4">
      <c r="C22" s="708" t="s">
        <v>1212</v>
      </c>
      <c r="D22" s="681">
        <f>IF(D29&gt;1,IF(D5&lt;0.5,(0.25+0.037*D26*D21^(1/3)),IF(D5&lt;1,(0.3+0.037*D26*D21^(1/3)),IF(D5&lt;5,(0.5+0.037*D26*D21^(1/3)),(0.6+0.037*D26*N109^(1/3))))),IF(D29&gt;0.5,IF(D5&lt;0.5,IF(D29&lt;0.9,0.2,0.25),IF(D5&lt;10,0.3,0.3+0.00333*(D5-10))),IF(D5&lt;0.5,0.15,IF(D5&gt;1,IF(D5&lt;10,IF(D29&gt;0.2,0.2+0.0011*(D5-1),0.2),0.3+0.0033*(D5-10)),0.2))))</f>
        <v>0.20132</v>
      </c>
      <c r="E22" s="680" t="s">
        <v>1180</v>
      </c>
      <c r="G22" s="685" t="s">
        <v>1213</v>
      </c>
      <c r="H22" s="686">
        <f>+((H21^2-H20^2)^0.5)</f>
        <v>0</v>
      </c>
      <c r="I22" s="714" t="s">
        <v>1209</v>
      </c>
      <c r="M22" s="698"/>
      <c r="N22" s="698"/>
    </row>
    <row r="23" spans="3:23" ht="18.75" thickBot="1" x14ac:dyDescent="0.4">
      <c r="C23" s="715" t="s">
        <v>1214</v>
      </c>
      <c r="D23" s="716">
        <f>ROUND(D22+D21,1)</f>
        <v>1.3</v>
      </c>
      <c r="E23" s="687" t="s">
        <v>1200</v>
      </c>
      <c r="G23" s="717" t="s">
        <v>1215</v>
      </c>
      <c r="H23" s="718">
        <f ca="1">2*H20*H22/2+4*H20*(H21-H22)/2+2*H15*((1+D7^2)^0.5)*H20+H20*D6</f>
        <v>0.61680000000000001</v>
      </c>
      <c r="I23" s="719" t="s">
        <v>1216</v>
      </c>
      <c r="M23" s="713"/>
      <c r="N23" s="720"/>
    </row>
    <row r="24" spans="3:23" ht="18" thickBot="1" x14ac:dyDescent="0.3">
      <c r="G24" s="717" t="s">
        <v>1217</v>
      </c>
      <c r="H24" s="711">
        <f ca="1">ROUNDUP(S32,0)</f>
        <v>26</v>
      </c>
      <c r="I24" s="719" t="s">
        <v>1218</v>
      </c>
      <c r="M24" s="721"/>
      <c r="N24" s="722"/>
    </row>
    <row r="25" spans="3:23" ht="18" thickBot="1" x14ac:dyDescent="0.3">
      <c r="C25" s="705" t="s">
        <v>1219</v>
      </c>
      <c r="D25" s="706">
        <f>2/(1+D7^2)^0.5</f>
        <v>2</v>
      </c>
      <c r="E25" s="723"/>
      <c r="G25" s="724" t="s">
        <v>1220</v>
      </c>
      <c r="H25" s="725">
        <v>9500</v>
      </c>
      <c r="I25" s="726" t="s">
        <v>1221</v>
      </c>
      <c r="M25" s="721"/>
      <c r="N25" s="727"/>
    </row>
    <row r="26" spans="3:23" ht="15.75" thickBot="1" x14ac:dyDescent="0.3">
      <c r="C26" s="708" t="s">
        <v>1222</v>
      </c>
      <c r="D26" s="709">
        <f>+D5/(D21*(D20+D21*D7))</f>
        <v>0.90379986136411083</v>
      </c>
      <c r="E26" s="680" t="s">
        <v>1223</v>
      </c>
      <c r="G26" s="728" t="s">
        <v>1224</v>
      </c>
      <c r="H26" s="729">
        <v>100</v>
      </c>
      <c r="I26" s="730" t="s">
        <v>1225</v>
      </c>
      <c r="M26" s="731" t="s">
        <v>1226</v>
      </c>
      <c r="N26" s="732" t="s">
        <v>1227</v>
      </c>
      <c r="O26" s="731" t="s">
        <v>298</v>
      </c>
      <c r="P26" s="733" t="s">
        <v>1228</v>
      </c>
    </row>
    <row r="27" spans="3:23" ht="15.75" thickBot="1" x14ac:dyDescent="0.3">
      <c r="C27" s="708" t="s">
        <v>1196</v>
      </c>
      <c r="D27" s="709">
        <f>+D20+2*D21*D7</f>
        <v>2.2000000000000002</v>
      </c>
      <c r="E27" s="680" t="s">
        <v>1200</v>
      </c>
      <c r="G27" s="724" t="s">
        <v>1229</v>
      </c>
      <c r="H27" s="734">
        <v>0.05</v>
      </c>
      <c r="I27" s="735"/>
      <c r="M27" s="736" t="s">
        <v>1230</v>
      </c>
      <c r="N27" s="737">
        <f>+H25/25</f>
        <v>380</v>
      </c>
      <c r="O27" s="738">
        <f>+N27</f>
        <v>380</v>
      </c>
      <c r="P27" s="739">
        <f ca="1">+N27/$O$31</f>
        <v>3.6350587441946483E-2</v>
      </c>
      <c r="S27" s="1109" t="s">
        <v>1231</v>
      </c>
      <c r="T27" s="1110"/>
      <c r="U27" s="1110"/>
      <c r="V27" s="1110"/>
      <c r="W27" s="1111"/>
    </row>
    <row r="28" spans="3:23" x14ac:dyDescent="0.25">
      <c r="C28" s="708" t="s">
        <v>1198</v>
      </c>
      <c r="D28" s="709">
        <f>+D21*(D20+D21*D7)/(D27)</f>
        <v>1.1064396474798013</v>
      </c>
      <c r="E28" s="680" t="s">
        <v>1200</v>
      </c>
      <c r="G28" s="740" t="s">
        <v>1232</v>
      </c>
      <c r="H28" s="741">
        <v>0.1</v>
      </c>
      <c r="I28" s="742"/>
      <c r="M28" s="743" t="s">
        <v>1233</v>
      </c>
      <c r="N28" s="744">
        <f ca="1">+H25*H23*(1+H27)</f>
        <v>6152.5800000000008</v>
      </c>
      <c r="O28" s="745">
        <f ca="1">+O27+N28</f>
        <v>6532.5800000000008</v>
      </c>
      <c r="P28" s="746">
        <f ca="1">+N28/$O$31</f>
        <v>0.58855236127255561</v>
      </c>
      <c r="S28" s="747" t="s">
        <v>1234</v>
      </c>
      <c r="T28" s="748">
        <v>6</v>
      </c>
      <c r="U28" s="749">
        <f>T28/1000</f>
        <v>6.0000000000000001E-3</v>
      </c>
      <c r="V28" s="750">
        <f>1/T29</f>
        <v>6.666666666666667</v>
      </c>
      <c r="W28" s="751">
        <f ca="1">+V28*R18/2*U30</f>
        <v>7.7831883360000012</v>
      </c>
    </row>
    <row r="29" spans="3:23" ht="15.75" thickBot="1" x14ac:dyDescent="0.3">
      <c r="C29" s="715" t="s">
        <v>1201</v>
      </c>
      <c r="D29" s="752">
        <f>+D26/(9.81*D28)^0.5</f>
        <v>0.27433037798060084</v>
      </c>
      <c r="E29" s="753"/>
      <c r="G29" s="740" t="s">
        <v>1235</v>
      </c>
      <c r="H29" s="741">
        <v>0.2</v>
      </c>
      <c r="I29" s="742"/>
      <c r="M29" s="754" t="s">
        <v>1236</v>
      </c>
      <c r="N29" s="755">
        <f ca="1">+H23*H24*(1+H28)*H26</f>
        <v>1764.048</v>
      </c>
      <c r="O29" s="756">
        <f ca="1">+O28+N29</f>
        <v>8296.6280000000006</v>
      </c>
      <c r="P29" s="746">
        <f ca="1">+N29/$O$31</f>
        <v>0.16874784493629161</v>
      </c>
      <c r="S29" s="757" t="s">
        <v>1237</v>
      </c>
      <c r="T29" s="758">
        <v>0.15</v>
      </c>
      <c r="U29" s="759">
        <f>+(U28^2)*3.1416/4</f>
        <v>2.8274400000000002E-5</v>
      </c>
      <c r="V29" s="760">
        <f ca="1">+R18/2/T29</f>
        <v>35.06666666666667</v>
      </c>
      <c r="W29" s="761">
        <f ca="1">+V29*U30</f>
        <v>7.7831883360000012</v>
      </c>
    </row>
    <row r="30" spans="3:23" ht="15.75" thickBot="1" x14ac:dyDescent="0.3">
      <c r="G30" s="728" t="s">
        <v>1238</v>
      </c>
      <c r="H30" s="762">
        <v>0.05</v>
      </c>
      <c r="I30" s="763"/>
      <c r="M30" s="754" t="s">
        <v>1239</v>
      </c>
      <c r="N30" s="755">
        <f ca="1">+O29*(H29)</f>
        <v>1659.3256000000001</v>
      </c>
      <c r="O30" s="764">
        <f ca="1">+O29+N30</f>
        <v>9955.9536000000007</v>
      </c>
      <c r="P30" s="746">
        <f ca="1">+N30/$O$31</f>
        <v>0.15873015873015875</v>
      </c>
      <c r="S30" s="757" t="s">
        <v>1240</v>
      </c>
      <c r="T30" s="758">
        <v>1</v>
      </c>
      <c r="U30" s="765">
        <f>7850*U29</f>
        <v>0.22195404000000002</v>
      </c>
      <c r="V30" s="760"/>
      <c r="W30" s="761">
        <f ca="1">SUM(W28:W29)</f>
        <v>15.566376672000002</v>
      </c>
    </row>
    <row r="31" spans="3:23" ht="15.75" thickBot="1" x14ac:dyDescent="0.3">
      <c r="G31" s="717" t="s">
        <v>1241</v>
      </c>
      <c r="H31" s="718">
        <f ca="1">+ROUNDUP((O31),-1)</f>
        <v>10460</v>
      </c>
      <c r="I31" s="719" t="s">
        <v>1242</v>
      </c>
      <c r="M31" s="766" t="s">
        <v>1243</v>
      </c>
      <c r="N31" s="767">
        <f ca="1">+O30*H30</f>
        <v>497.79768000000007</v>
      </c>
      <c r="O31" s="768">
        <f ca="1">+O30+N31</f>
        <v>10453.75128</v>
      </c>
      <c r="P31" s="769">
        <f ca="1">+N31/$O$31</f>
        <v>4.7619047619047623E-2</v>
      </c>
      <c r="S31" s="770"/>
      <c r="T31" s="771"/>
      <c r="U31" s="772">
        <f>+U30*V28</f>
        <v>1.4796936000000003</v>
      </c>
      <c r="V31" s="773"/>
      <c r="W31" s="774">
        <f ca="1">T30*W30</f>
        <v>15.566376672000002</v>
      </c>
    </row>
    <row r="32" spans="3:23" ht="15.75" thickBot="1" x14ac:dyDescent="0.3">
      <c r="G32" s="717" t="s">
        <v>1244</v>
      </c>
      <c r="H32" s="725">
        <v>385</v>
      </c>
      <c r="I32" s="719" t="s">
        <v>1209</v>
      </c>
      <c r="S32" s="1112">
        <f ca="1">+W31/H23</f>
        <v>25.237316264591442</v>
      </c>
      <c r="T32" s="1113"/>
      <c r="U32" s="1113"/>
      <c r="V32" s="1113"/>
      <c r="W32" s="1114"/>
    </row>
    <row r="33" spans="1:16" ht="15.75" thickBot="1" x14ac:dyDescent="0.3">
      <c r="D33" s="670">
        <f>1/500</f>
        <v>2E-3</v>
      </c>
      <c r="G33" s="717" t="s">
        <v>1245</v>
      </c>
      <c r="H33" s="775">
        <f ca="1">+H32*H31</f>
        <v>4027100</v>
      </c>
      <c r="I33" s="719" t="s">
        <v>1246</v>
      </c>
      <c r="P33" s="776"/>
    </row>
    <row r="35" spans="1:16" x14ac:dyDescent="0.25">
      <c r="H35" s="777">
        <f ca="1">0.65*H33</f>
        <v>2617615</v>
      </c>
      <c r="I35" s="778"/>
      <c r="J35" s="778"/>
    </row>
    <row r="36" spans="1:16" x14ac:dyDescent="0.25">
      <c r="A36" s="779"/>
      <c r="G36" s="778"/>
      <c r="H36" s="778"/>
      <c r="I36" s="778"/>
      <c r="J36" s="778"/>
    </row>
    <row r="37" spans="1:16" x14ac:dyDescent="0.25">
      <c r="A37" s="779"/>
      <c r="G37" s="778"/>
      <c r="H37" s="780"/>
      <c r="I37" s="778"/>
      <c r="J37" s="778"/>
    </row>
    <row r="38" spans="1:16" x14ac:dyDescent="0.25">
      <c r="A38" s="779"/>
      <c r="G38" s="778"/>
      <c r="H38" s="778"/>
      <c r="I38" s="778"/>
      <c r="J38" s="778"/>
    </row>
    <row r="39" spans="1:16" x14ac:dyDescent="0.25">
      <c r="A39" s="779"/>
      <c r="B39" s="781"/>
      <c r="G39" s="778"/>
      <c r="H39" s="778"/>
      <c r="I39" s="778"/>
      <c r="J39" s="778"/>
    </row>
    <row r="40" spans="1:16" x14ac:dyDescent="0.25">
      <c r="G40" s="778"/>
      <c r="H40" s="778"/>
      <c r="I40" s="778"/>
      <c r="J40" s="778"/>
    </row>
    <row r="41" spans="1:16" x14ac:dyDescent="0.25">
      <c r="A41" s="779"/>
      <c r="B41" s="782"/>
      <c r="G41" s="778"/>
      <c r="H41" s="778"/>
      <c r="I41" s="778"/>
      <c r="J41" s="778"/>
    </row>
    <row r="42" spans="1:16" x14ac:dyDescent="0.25">
      <c r="A42" s="779"/>
      <c r="G42" s="778"/>
      <c r="H42" s="778"/>
      <c r="I42" s="778"/>
      <c r="J42" s="778"/>
    </row>
    <row r="43" spans="1:16" x14ac:dyDescent="0.25">
      <c r="A43" s="779"/>
    </row>
    <row r="44" spans="1:16" x14ac:dyDescent="0.25">
      <c r="A44" s="779"/>
    </row>
    <row r="45" spans="1:16" x14ac:dyDescent="0.25">
      <c r="A45" s="779"/>
      <c r="B45" s="781"/>
    </row>
  </sheetData>
  <mergeCells count="2">
    <mergeCell ref="S27:W27"/>
    <mergeCell ref="S32:W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C1:AA120"/>
  <sheetViews>
    <sheetView topLeftCell="A91" zoomScale="55" zoomScaleNormal="55" workbookViewId="0">
      <pane xSplit="6" topLeftCell="G1" activePane="topRight" state="frozen"/>
      <selection pane="topRight" activeCell="G113" sqref="G113"/>
    </sheetView>
  </sheetViews>
  <sheetFormatPr baseColWidth="10" defaultRowHeight="15" x14ac:dyDescent="0.25"/>
  <cols>
    <col min="2" max="2" width="3.7109375" customWidth="1"/>
    <col min="3" max="3" width="12.28515625" customWidth="1"/>
    <col min="4" max="4" width="15.5703125" customWidth="1"/>
    <col min="5" max="5" width="70" customWidth="1"/>
    <col min="6" max="6" width="65.85546875" style="19" customWidth="1"/>
    <col min="7" max="7" width="42.140625" style="459" customWidth="1"/>
    <col min="8" max="8" width="34" style="459" customWidth="1"/>
    <col min="9" max="9" width="46.7109375" style="459" customWidth="1"/>
    <col min="10" max="10" width="115.7109375" style="459" customWidth="1"/>
    <col min="11" max="11" width="47.85546875" style="459" customWidth="1"/>
    <col min="12" max="12" width="27.140625" style="459" customWidth="1"/>
    <col min="13" max="13" width="26.42578125" style="459" customWidth="1"/>
    <col min="14" max="14" width="28.28515625" style="796" customWidth="1"/>
    <col min="15" max="15" width="36.42578125" style="459" customWidth="1"/>
    <col min="16" max="17" width="31.7109375" style="459" customWidth="1"/>
    <col min="18" max="20" width="28.7109375" style="459" customWidth="1"/>
    <col min="21" max="24" width="31.7109375" style="535" customWidth="1"/>
    <col min="25" max="26" width="35.42578125" style="535" customWidth="1"/>
    <col min="27" max="27" width="44" style="409" customWidth="1"/>
    <col min="28" max="28" width="49.5703125" customWidth="1"/>
    <col min="31" max="31" width="25.5703125" customWidth="1"/>
    <col min="32" max="32" width="17.42578125" customWidth="1"/>
  </cols>
  <sheetData>
    <row r="1" spans="3:27" x14ac:dyDescent="0.25">
      <c r="G1" s="459">
        <f t="shared" ref="G1:O1" si="0">+G18/1000</f>
        <v>30</v>
      </c>
      <c r="H1" s="459">
        <f t="shared" si="0"/>
        <v>21</v>
      </c>
      <c r="I1" s="459">
        <f t="shared" si="0"/>
        <v>30</v>
      </c>
      <c r="J1" s="459">
        <f t="shared" si="0"/>
        <v>2.1</v>
      </c>
      <c r="K1" s="796">
        <f t="shared" ref="K1" si="1">+K18/1000</f>
        <v>3</v>
      </c>
      <c r="L1" s="459">
        <f t="shared" si="0"/>
        <v>0.29799999999999999</v>
      </c>
      <c r="M1" s="459">
        <f t="shared" si="0"/>
        <v>2</v>
      </c>
      <c r="N1" s="459">
        <f t="shared" si="0"/>
        <v>21</v>
      </c>
      <c r="O1" s="459">
        <f t="shared" si="0"/>
        <v>0.6</v>
      </c>
      <c r="P1" s="459">
        <f t="shared" ref="P1:Q1" si="2">+P18/1000</f>
        <v>18</v>
      </c>
      <c r="Q1" s="459">
        <f t="shared" si="2"/>
        <v>0.06</v>
      </c>
      <c r="R1" s="459">
        <f t="shared" ref="R1:S1" si="3">+R18/1000</f>
        <v>2.2000000000000002</v>
      </c>
      <c r="S1" s="459">
        <f t="shared" si="3"/>
        <v>0.52</v>
      </c>
      <c r="T1" s="409"/>
      <c r="U1" s="409"/>
      <c r="V1" s="409"/>
      <c r="W1" s="409"/>
      <c r="X1" s="409"/>
      <c r="Y1" s="409"/>
      <c r="Z1" s="409"/>
      <c r="AA1"/>
    </row>
    <row r="2" spans="3:27" x14ac:dyDescent="0.25">
      <c r="G2" s="459">
        <v>0.2</v>
      </c>
      <c r="H2" s="459">
        <v>0.2</v>
      </c>
      <c r="I2" s="459">
        <v>0.2</v>
      </c>
      <c r="J2" s="459">
        <v>0.2</v>
      </c>
      <c r="K2" s="796">
        <v>0.2</v>
      </c>
      <c r="L2" s="459">
        <v>0.2</v>
      </c>
      <c r="M2" s="459">
        <v>0.67</v>
      </c>
      <c r="N2" s="459">
        <v>0</v>
      </c>
      <c r="O2" s="459">
        <v>0.2</v>
      </c>
      <c r="P2" s="459">
        <v>0.2</v>
      </c>
      <c r="Q2" s="459">
        <v>0.2</v>
      </c>
      <c r="R2" s="459">
        <v>0.2</v>
      </c>
      <c r="S2" s="459">
        <v>0.2</v>
      </c>
      <c r="T2" s="409"/>
      <c r="U2" s="409"/>
      <c r="V2" s="409"/>
      <c r="W2" s="409"/>
      <c r="X2" s="409"/>
      <c r="Y2" s="409"/>
      <c r="Z2" s="409"/>
      <c r="AA2"/>
    </row>
    <row r="3" spans="3:27" x14ac:dyDescent="0.25">
      <c r="J3" s="459">
        <f t="shared" ref="J3:O3" si="4">+J1/(J23*(J21+J22*J23))</f>
        <v>1.8260869565217392</v>
      </c>
      <c r="K3" s="796">
        <f t="shared" ref="K3" si="5">+K1/(K23*(K21+K22*K23))</f>
        <v>0.7109004739336493</v>
      </c>
      <c r="L3" s="459">
        <f t="shared" si="4"/>
        <v>2.1285714285714286</v>
      </c>
      <c r="M3" s="459">
        <f t="shared" si="4"/>
        <v>2.0833333333333335</v>
      </c>
      <c r="N3" s="459">
        <f t="shared" si="4"/>
        <v>1.8733273862622657</v>
      </c>
      <c r="O3" s="459">
        <f t="shared" si="4"/>
        <v>0.92307692307692302</v>
      </c>
      <c r="P3" s="459">
        <f t="shared" ref="P3" si="6">+P1/(P23*(P21+P22*P23))</f>
        <v>2.995357196345664</v>
      </c>
      <c r="R3" s="459">
        <f t="shared" ref="R3:S3" si="7">+R1/(R23*(R21+R22*R23))</f>
        <v>0.69206329233382624</v>
      </c>
      <c r="S3" s="459">
        <f t="shared" si="7"/>
        <v>1.540740740740741</v>
      </c>
      <c r="T3" s="409"/>
      <c r="U3" s="409"/>
      <c r="V3" s="409"/>
      <c r="W3" s="409"/>
      <c r="X3" s="409"/>
      <c r="Y3" s="409"/>
      <c r="Z3" s="409"/>
      <c r="AA3"/>
    </row>
    <row r="4" spans="3:27" x14ac:dyDescent="0.25">
      <c r="F4" s="459"/>
      <c r="I4" s="796"/>
      <c r="J4" s="797">
        <f t="shared" ref="J4:O4" si="8">0.0375*J2*((J1/J3)^0.5)*1000*J29/1000/J18</f>
        <v>1.3404756618454509E-3</v>
      </c>
      <c r="K4" s="798">
        <f t="shared" si="8"/>
        <v>3.5949617522304743E-3</v>
      </c>
      <c r="L4" s="797">
        <f t="shared" si="8"/>
        <v>7.0626922149675904E-3</v>
      </c>
      <c r="M4" s="797">
        <f t="shared" si="8"/>
        <v>2.4617371914970942E-2</v>
      </c>
      <c r="N4" s="797">
        <f t="shared" si="8"/>
        <v>0</v>
      </c>
      <c r="O4" s="797">
        <f t="shared" si="8"/>
        <v>1.0077822185373187E-2</v>
      </c>
      <c r="P4" s="797">
        <f t="shared" ref="P4" si="9">0.0375*P2*((P1/P3)^0.5)*1000*P29/1000/P18</f>
        <v>2.2368909680905321E-2</v>
      </c>
      <c r="Q4" s="797"/>
      <c r="R4" s="797">
        <f t="shared" ref="R4:S4" si="10">0.0375*R2*((R1/R3)^0.5)*1000*R29/1000/R18</f>
        <v>3.039114202246688E-3</v>
      </c>
      <c r="S4" s="797">
        <f t="shared" si="10"/>
        <v>5.0274303051730885E-3</v>
      </c>
      <c r="T4" s="409"/>
      <c r="U4" s="409"/>
      <c r="V4" s="409"/>
      <c r="W4" s="409"/>
      <c r="X4" s="409"/>
      <c r="Y4" s="409"/>
      <c r="Z4" s="409"/>
      <c r="AA4"/>
    </row>
    <row r="5" spans="3:27" ht="15.75" thickBot="1" x14ac:dyDescent="0.3">
      <c r="C5" s="1"/>
      <c r="D5" s="1"/>
      <c r="E5" s="1"/>
      <c r="F5" s="18"/>
      <c r="N5" s="459"/>
      <c r="T5" s="409"/>
      <c r="U5" s="409"/>
      <c r="V5" s="409"/>
      <c r="W5" s="409"/>
      <c r="X5" s="409"/>
      <c r="Y5" s="409"/>
      <c r="Z5" s="409"/>
      <c r="AA5"/>
    </row>
    <row r="6" spans="3:27" ht="19.5" thickBot="1" x14ac:dyDescent="0.3">
      <c r="C6" s="1033" t="s">
        <v>154</v>
      </c>
      <c r="D6" s="1034"/>
      <c r="E6" s="1035"/>
      <c r="F6" s="24"/>
      <c r="K6" s="796"/>
      <c r="N6" s="459"/>
      <c r="T6" s="409"/>
      <c r="U6" s="409"/>
      <c r="V6" s="409"/>
      <c r="W6" s="409"/>
      <c r="X6" s="409"/>
      <c r="Y6" s="409"/>
      <c r="Z6" s="409"/>
      <c r="AA6"/>
    </row>
    <row r="7" spans="3:27" ht="24" thickBot="1" x14ac:dyDescent="0.4">
      <c r="C7" s="1060" t="s">
        <v>59</v>
      </c>
      <c r="D7" s="1061"/>
      <c r="E7" s="1061"/>
      <c r="F7" s="1061"/>
      <c r="K7" s="796"/>
      <c r="N7" s="459"/>
      <c r="T7" s="409"/>
      <c r="U7" s="409"/>
      <c r="V7" s="409"/>
      <c r="W7" s="409"/>
      <c r="X7" s="409"/>
      <c r="Y7" s="409"/>
      <c r="Z7" s="409"/>
      <c r="AA7"/>
    </row>
    <row r="8" spans="3:27" ht="21.75" thickBot="1" x14ac:dyDescent="0.3">
      <c r="C8" s="1017" t="s">
        <v>60</v>
      </c>
      <c r="D8" s="1018"/>
      <c r="E8" s="1018"/>
      <c r="F8" s="1019"/>
      <c r="K8" s="796"/>
      <c r="N8" s="459"/>
      <c r="T8" s="409"/>
      <c r="U8" s="409"/>
      <c r="V8" s="409"/>
      <c r="W8" s="409"/>
      <c r="X8" s="409"/>
      <c r="Y8" s="409"/>
      <c r="Z8" s="409"/>
      <c r="AA8"/>
    </row>
    <row r="9" spans="3:27" ht="16.5" thickBot="1" x14ac:dyDescent="0.3">
      <c r="C9" s="1030" t="s">
        <v>58</v>
      </c>
      <c r="D9" s="1031"/>
      <c r="E9" s="1031"/>
      <c r="F9" s="1031"/>
      <c r="G9" s="828">
        <v>1</v>
      </c>
      <c r="H9" s="783">
        <v>2</v>
      </c>
      <c r="I9" s="783">
        <v>3</v>
      </c>
      <c r="J9" s="783">
        <v>4</v>
      </c>
      <c r="K9" s="828">
        <v>5</v>
      </c>
      <c r="L9" s="783">
        <v>6</v>
      </c>
      <c r="M9" s="783">
        <v>7</v>
      </c>
      <c r="N9" s="783">
        <v>8</v>
      </c>
      <c r="O9" s="828">
        <v>9</v>
      </c>
      <c r="P9" s="783">
        <v>10</v>
      </c>
      <c r="Q9" s="783">
        <v>11</v>
      </c>
      <c r="R9" s="783">
        <v>12</v>
      </c>
      <c r="S9" s="828">
        <v>13</v>
      </c>
      <c r="T9" s="409"/>
      <c r="U9" s="409"/>
      <c r="V9" s="409"/>
      <c r="W9" s="409"/>
      <c r="X9" s="409"/>
      <c r="Y9" s="409"/>
      <c r="Z9" s="409"/>
      <c r="AA9"/>
    </row>
    <row r="10" spans="3:27" s="89" customFormat="1" ht="120.75" customHeight="1" thickBot="1" x14ac:dyDescent="0.3">
      <c r="C10" s="1062" t="s">
        <v>89</v>
      </c>
      <c r="D10" s="1063"/>
      <c r="E10" s="1063"/>
      <c r="F10" s="1063"/>
      <c r="G10" s="829" t="s">
        <v>1176</v>
      </c>
      <c r="H10" s="799" t="s">
        <v>624</v>
      </c>
      <c r="I10" s="799" t="s">
        <v>623</v>
      </c>
      <c r="J10" s="799" t="s">
        <v>426</v>
      </c>
      <c r="K10" s="799" t="s">
        <v>625</v>
      </c>
      <c r="L10" s="799" t="s">
        <v>435</v>
      </c>
      <c r="M10" s="799" t="s">
        <v>441</v>
      </c>
      <c r="N10" s="799" t="s">
        <v>451</v>
      </c>
      <c r="O10" s="799" t="s">
        <v>460</v>
      </c>
      <c r="P10" s="799" t="s">
        <v>463</v>
      </c>
      <c r="Q10" s="799" t="s">
        <v>618</v>
      </c>
      <c r="R10" s="799" t="s">
        <v>1247</v>
      </c>
      <c r="S10" s="800" t="s">
        <v>1251</v>
      </c>
      <c r="T10" s="845"/>
      <c r="U10" s="845"/>
      <c r="V10" s="845"/>
      <c r="W10" s="845"/>
      <c r="X10" s="845"/>
      <c r="Y10" s="845"/>
      <c r="Z10" s="845"/>
    </row>
    <row r="11" spans="3:27" s="89" customFormat="1" ht="54.75" customHeight="1" thickBot="1" x14ac:dyDescent="0.3">
      <c r="C11" s="1058" t="s">
        <v>28</v>
      </c>
      <c r="D11" s="1059"/>
      <c r="E11" s="1059"/>
      <c r="F11" s="1059"/>
      <c r="G11" s="830" t="s">
        <v>365</v>
      </c>
      <c r="H11" s="801" t="s">
        <v>365</v>
      </c>
      <c r="I11" s="801" t="s">
        <v>365</v>
      </c>
      <c r="J11" s="802" t="s">
        <v>968</v>
      </c>
      <c r="K11" s="802" t="s">
        <v>968</v>
      </c>
      <c r="L11" s="801" t="s">
        <v>436</v>
      </c>
      <c r="M11" s="802" t="s">
        <v>442</v>
      </c>
      <c r="N11" s="802" t="s">
        <v>452</v>
      </c>
      <c r="O11" s="802" t="s">
        <v>968</v>
      </c>
      <c r="P11" s="802" t="s">
        <v>464</v>
      </c>
      <c r="Q11" s="802" t="s">
        <v>467</v>
      </c>
      <c r="R11" s="802" t="s">
        <v>1248</v>
      </c>
      <c r="S11" s="803" t="s">
        <v>1248</v>
      </c>
      <c r="T11" s="845"/>
      <c r="U11" s="845"/>
      <c r="V11" s="845"/>
      <c r="W11" s="845"/>
      <c r="X11" s="845"/>
      <c r="Y11" s="845"/>
      <c r="Z11" s="845"/>
    </row>
    <row r="12" spans="3:27" ht="34.5" customHeight="1" thickBot="1" x14ac:dyDescent="0.3">
      <c r="C12" s="1030" t="s">
        <v>269</v>
      </c>
      <c r="D12" s="1031"/>
      <c r="E12" s="1031"/>
      <c r="F12" s="1031"/>
      <c r="G12" s="831" t="s">
        <v>424</v>
      </c>
      <c r="H12" s="450" t="s">
        <v>424</v>
      </c>
      <c r="I12" s="450" t="s">
        <v>424</v>
      </c>
      <c r="J12" s="450" t="s">
        <v>380</v>
      </c>
      <c r="K12" s="804" t="s">
        <v>373</v>
      </c>
      <c r="L12" s="450" t="s">
        <v>375</v>
      </c>
      <c r="M12" s="450" t="s">
        <v>417</v>
      </c>
      <c r="N12" s="450" t="s">
        <v>424</v>
      </c>
      <c r="O12" s="450" t="s">
        <v>386</v>
      </c>
      <c r="P12" s="450" t="s">
        <v>424</v>
      </c>
      <c r="Q12" s="804" t="s">
        <v>391</v>
      </c>
      <c r="R12" s="804" t="s">
        <v>405</v>
      </c>
      <c r="S12" s="805" t="s">
        <v>383</v>
      </c>
      <c r="T12" s="409"/>
      <c r="U12" s="409"/>
      <c r="V12" s="409"/>
      <c r="W12" s="409"/>
      <c r="X12" s="409"/>
      <c r="Y12" s="409"/>
      <c r="Z12" s="409"/>
      <c r="AA12"/>
    </row>
    <row r="13" spans="3:27" ht="50.25" customHeight="1" thickBot="1" x14ac:dyDescent="0.3">
      <c r="C13" s="1030" t="s">
        <v>55</v>
      </c>
      <c r="D13" s="1031"/>
      <c r="E13" s="1031"/>
      <c r="F13" s="1031"/>
      <c r="G13" s="831" t="s">
        <v>366</v>
      </c>
      <c r="H13" s="450" t="s">
        <v>366</v>
      </c>
      <c r="I13" s="450" t="s">
        <v>366</v>
      </c>
      <c r="J13" s="450" t="s">
        <v>427</v>
      </c>
      <c r="K13" s="804" t="s">
        <v>432</v>
      </c>
      <c r="L13" s="450" t="s">
        <v>437</v>
      </c>
      <c r="M13" s="450" t="s">
        <v>443</v>
      </c>
      <c r="N13" s="450" t="s">
        <v>453</v>
      </c>
      <c r="O13" s="450" t="s">
        <v>457</v>
      </c>
      <c r="P13" s="804" t="s">
        <v>453</v>
      </c>
      <c r="Q13" s="804" t="s">
        <v>468</v>
      </c>
      <c r="R13" s="804" t="s">
        <v>1249</v>
      </c>
      <c r="S13" s="805"/>
      <c r="T13" s="409"/>
      <c r="U13" s="409"/>
      <c r="V13" s="409"/>
      <c r="W13" s="409"/>
      <c r="X13" s="409"/>
      <c r="Y13" s="409"/>
      <c r="Z13" s="409"/>
      <c r="AA13"/>
    </row>
    <row r="14" spans="3:27" ht="16.5" thickBot="1" x14ac:dyDescent="0.3">
      <c r="C14" s="1030" t="s">
        <v>38</v>
      </c>
      <c r="D14" s="1031"/>
      <c r="E14" s="1031"/>
      <c r="F14" s="1031"/>
      <c r="G14" s="832" t="s">
        <v>425</v>
      </c>
      <c r="H14" s="806" t="s">
        <v>425</v>
      </c>
      <c r="I14" s="806" t="s">
        <v>425</v>
      </c>
      <c r="J14" s="806" t="s">
        <v>425</v>
      </c>
      <c r="K14" s="806" t="s">
        <v>425</v>
      </c>
      <c r="L14" s="806" t="s">
        <v>425</v>
      </c>
      <c r="M14" s="806" t="s">
        <v>425</v>
      </c>
      <c r="N14" s="806" t="s">
        <v>425</v>
      </c>
      <c r="O14" s="806" t="s">
        <v>425</v>
      </c>
      <c r="P14" s="806" t="s">
        <v>425</v>
      </c>
      <c r="Q14" s="806" t="s">
        <v>425</v>
      </c>
      <c r="R14" s="806" t="s">
        <v>425</v>
      </c>
      <c r="S14" s="807" t="s">
        <v>425</v>
      </c>
      <c r="T14" s="409"/>
      <c r="U14" s="409"/>
      <c r="V14" s="409"/>
      <c r="W14" s="409"/>
      <c r="X14" s="409"/>
      <c r="Y14" s="409"/>
      <c r="Z14" s="409"/>
      <c r="AA14"/>
    </row>
    <row r="15" spans="3:27" x14ac:dyDescent="0.25">
      <c r="C15" s="1020" t="s">
        <v>0</v>
      </c>
      <c r="D15" s="1021"/>
      <c r="E15" s="1022"/>
      <c r="F15" s="424"/>
      <c r="G15" s="828"/>
      <c r="H15" s="783"/>
      <c r="I15" s="783"/>
      <c r="J15" s="783"/>
      <c r="K15" s="808"/>
      <c r="L15" s="783"/>
      <c r="M15" s="783"/>
      <c r="N15" s="783"/>
      <c r="O15" s="783"/>
      <c r="P15" s="783"/>
      <c r="Q15" s="783"/>
      <c r="R15" s="783"/>
      <c r="S15" s="786"/>
      <c r="T15" s="409"/>
      <c r="U15" s="409"/>
      <c r="V15" s="409"/>
      <c r="W15" s="409"/>
      <c r="X15" s="409"/>
      <c r="Y15" s="409"/>
      <c r="Z15" s="409"/>
      <c r="AA15"/>
    </row>
    <row r="16" spans="3:27" s="10" customFormat="1" x14ac:dyDescent="0.25">
      <c r="C16" s="141">
        <v>1</v>
      </c>
      <c r="D16" s="141"/>
      <c r="E16" s="29" t="s">
        <v>23</v>
      </c>
      <c r="F16" s="425" t="s">
        <v>39</v>
      </c>
      <c r="G16" s="833">
        <v>59000</v>
      </c>
      <c r="H16" s="453">
        <v>21000</v>
      </c>
      <c r="I16" s="453">
        <v>59000</v>
      </c>
      <c r="J16" s="450">
        <v>2100</v>
      </c>
      <c r="K16" s="804">
        <v>2914</v>
      </c>
      <c r="L16" s="450">
        <f>2444/4</f>
        <v>611</v>
      </c>
      <c r="M16" s="450">
        <v>3557</v>
      </c>
      <c r="N16" s="453">
        <v>26000</v>
      </c>
      <c r="O16" s="450">
        <v>700</v>
      </c>
      <c r="P16" s="453">
        <v>22000</v>
      </c>
      <c r="Q16" s="450">
        <v>800</v>
      </c>
      <c r="R16" s="450">
        <v>2500</v>
      </c>
      <c r="S16" s="787">
        <v>410</v>
      </c>
      <c r="T16" s="846"/>
      <c r="U16" s="846"/>
      <c r="V16" s="846"/>
      <c r="W16" s="846"/>
      <c r="X16" s="846"/>
      <c r="Y16" s="846"/>
      <c r="Z16" s="846"/>
    </row>
    <row r="17" spans="3:26" s="10" customFormat="1" x14ac:dyDescent="0.25">
      <c r="C17" s="141">
        <v>2</v>
      </c>
      <c r="D17" s="141"/>
      <c r="E17" s="29" t="s">
        <v>19</v>
      </c>
      <c r="F17" s="425" t="s">
        <v>41</v>
      </c>
      <c r="G17" s="833">
        <v>6000</v>
      </c>
      <c r="H17" s="453">
        <v>2600</v>
      </c>
      <c r="I17" s="453">
        <v>6000</v>
      </c>
      <c r="J17" s="450">
        <v>786</v>
      </c>
      <c r="K17" s="804">
        <v>348</v>
      </c>
      <c r="L17" s="788">
        <f>5941/4</f>
        <v>1485.25</v>
      </c>
      <c r="M17" s="450">
        <v>734</v>
      </c>
      <c r="N17" s="453">
        <v>3000</v>
      </c>
      <c r="O17" s="450">
        <v>350</v>
      </c>
      <c r="P17" s="453">
        <v>3000</v>
      </c>
      <c r="Q17" s="450">
        <v>250</v>
      </c>
      <c r="R17" s="450">
        <v>280</v>
      </c>
      <c r="S17" s="787">
        <v>420</v>
      </c>
      <c r="T17" s="846"/>
      <c r="U17" s="846"/>
      <c r="V17" s="846"/>
      <c r="W17" s="846"/>
      <c r="X17" s="846"/>
      <c r="Y17" s="846"/>
      <c r="Z17" s="846"/>
    </row>
    <row r="18" spans="3:26" s="10" customFormat="1" x14ac:dyDescent="0.25">
      <c r="C18" s="141">
        <v>3</v>
      </c>
      <c r="D18" s="141"/>
      <c r="E18" s="29" t="s">
        <v>24</v>
      </c>
      <c r="F18" s="425" t="s">
        <v>42</v>
      </c>
      <c r="G18" s="833">
        <v>30000</v>
      </c>
      <c r="H18" s="453">
        <v>21000</v>
      </c>
      <c r="I18" s="453">
        <v>30000</v>
      </c>
      <c r="J18" s="450">
        <v>2100</v>
      </c>
      <c r="K18" s="804">
        <v>3000</v>
      </c>
      <c r="L18" s="450">
        <v>298</v>
      </c>
      <c r="M18" s="450">
        <v>2000</v>
      </c>
      <c r="N18" s="453">
        <v>21000</v>
      </c>
      <c r="O18" s="450">
        <v>600</v>
      </c>
      <c r="P18" s="453">
        <v>18000</v>
      </c>
      <c r="Q18" s="450">
        <v>60</v>
      </c>
      <c r="R18" s="450">
        <v>2200</v>
      </c>
      <c r="S18" s="787">
        <v>520</v>
      </c>
      <c r="T18" s="846"/>
      <c r="U18" s="846"/>
      <c r="V18" s="846"/>
      <c r="W18" s="846"/>
      <c r="X18" s="846"/>
      <c r="Y18" s="846"/>
      <c r="Z18" s="846"/>
    </row>
    <row r="19" spans="3:26" s="10" customFormat="1" x14ac:dyDescent="0.25">
      <c r="C19" s="48">
        <v>4</v>
      </c>
      <c r="D19" s="48"/>
      <c r="E19" s="49" t="s">
        <v>62</v>
      </c>
      <c r="F19" s="426" t="s">
        <v>67</v>
      </c>
      <c r="G19" s="833" t="s">
        <v>367</v>
      </c>
      <c r="H19" s="453" t="s">
        <v>367</v>
      </c>
      <c r="I19" s="453" t="s">
        <v>367</v>
      </c>
      <c r="J19" s="450">
        <v>6.0000000000000001E-3</v>
      </c>
      <c r="K19" s="804">
        <v>6.9999999999999999E-4</v>
      </c>
      <c r="L19" s="450">
        <v>3.0000000000000001E-3</v>
      </c>
      <c r="M19" s="450">
        <v>2.5000000000000001E-2</v>
      </c>
      <c r="N19" s="453">
        <v>0.02</v>
      </c>
      <c r="O19" s="450">
        <v>6.0000000000000001E-3</v>
      </c>
      <c r="P19" s="453">
        <v>1E-3</v>
      </c>
      <c r="Q19" s="450"/>
      <c r="R19" s="450">
        <v>3.0000000000000001E-3</v>
      </c>
      <c r="S19" s="787">
        <v>0.8</v>
      </c>
      <c r="T19" s="846"/>
      <c r="U19" s="846"/>
      <c r="V19" s="846"/>
      <c r="W19" s="846"/>
      <c r="X19" s="846"/>
      <c r="Y19" s="846"/>
      <c r="Z19" s="846"/>
    </row>
    <row r="20" spans="3:26" s="10" customFormat="1" x14ac:dyDescent="0.25">
      <c r="C20" s="141">
        <v>5</v>
      </c>
      <c r="D20" s="141"/>
      <c r="E20" s="29" t="s">
        <v>63</v>
      </c>
      <c r="F20" s="425"/>
      <c r="G20" s="831" t="s">
        <v>368</v>
      </c>
      <c r="H20" s="450" t="s">
        <v>368</v>
      </c>
      <c r="I20" s="450" t="s">
        <v>368</v>
      </c>
      <c r="J20" s="450"/>
      <c r="K20" s="804"/>
      <c r="L20" s="450"/>
      <c r="M20" s="450" t="s">
        <v>444</v>
      </c>
      <c r="N20" s="450" t="s">
        <v>454</v>
      </c>
      <c r="O20" s="450" t="s">
        <v>461</v>
      </c>
      <c r="P20" s="450"/>
      <c r="Q20" s="450"/>
      <c r="R20" s="450"/>
      <c r="S20" s="787"/>
      <c r="T20" s="846"/>
      <c r="U20" s="846"/>
      <c r="V20" s="846"/>
      <c r="W20" s="846"/>
      <c r="X20" s="846"/>
      <c r="Y20" s="846"/>
      <c r="Z20" s="846"/>
    </row>
    <row r="21" spans="3:26" s="10" customFormat="1" x14ac:dyDescent="0.25">
      <c r="C21" s="48"/>
      <c r="D21" s="48" t="s">
        <v>64</v>
      </c>
      <c r="E21" s="49" t="s">
        <v>68</v>
      </c>
      <c r="F21" s="426" t="s">
        <v>71</v>
      </c>
      <c r="G21" s="833" t="s">
        <v>367</v>
      </c>
      <c r="H21" s="453" t="s">
        <v>367</v>
      </c>
      <c r="I21" s="453" t="s">
        <v>367</v>
      </c>
      <c r="J21" s="450">
        <v>1.8</v>
      </c>
      <c r="K21" s="804">
        <v>4</v>
      </c>
      <c r="L21" s="450">
        <v>0.6</v>
      </c>
      <c r="M21" s="450">
        <v>2</v>
      </c>
      <c r="N21" s="453">
        <v>4</v>
      </c>
      <c r="O21" s="450">
        <v>0.8</v>
      </c>
      <c r="P21" s="453">
        <v>4</v>
      </c>
      <c r="Q21" s="450"/>
      <c r="R21" s="450">
        <v>3</v>
      </c>
      <c r="S21" s="787">
        <v>2.1</v>
      </c>
      <c r="T21" s="846"/>
      <c r="U21" s="846"/>
      <c r="V21" s="846"/>
      <c r="W21" s="846"/>
      <c r="X21" s="846"/>
      <c r="Y21" s="846"/>
      <c r="Z21" s="846"/>
    </row>
    <row r="22" spans="3:26" s="10" customFormat="1" x14ac:dyDescent="0.25">
      <c r="C22" s="48"/>
      <c r="D22" s="48" t="s">
        <v>65</v>
      </c>
      <c r="E22" s="49" t="s">
        <v>69</v>
      </c>
      <c r="F22" s="426" t="s">
        <v>72</v>
      </c>
      <c r="G22" s="833" t="s">
        <v>367</v>
      </c>
      <c r="H22" s="453" t="s">
        <v>367</v>
      </c>
      <c r="I22" s="453" t="s">
        <v>367</v>
      </c>
      <c r="J22" s="450">
        <v>1</v>
      </c>
      <c r="K22" s="804">
        <v>0.22</v>
      </c>
      <c r="L22" s="450">
        <v>0.5</v>
      </c>
      <c r="M22" s="450">
        <v>1</v>
      </c>
      <c r="N22" s="453">
        <v>1</v>
      </c>
      <c r="O22" s="450">
        <v>1</v>
      </c>
      <c r="P22" s="453">
        <v>1.33</v>
      </c>
      <c r="Q22" s="450"/>
      <c r="R22" s="450">
        <v>1</v>
      </c>
      <c r="S22" s="787">
        <v>1</v>
      </c>
      <c r="T22" s="846"/>
      <c r="U22" s="846"/>
      <c r="V22" s="846"/>
      <c r="W22" s="846"/>
      <c r="X22" s="846"/>
      <c r="Y22" s="846"/>
      <c r="Z22" s="846"/>
    </row>
    <row r="23" spans="3:26" s="10" customFormat="1" x14ac:dyDescent="0.25">
      <c r="C23" s="48"/>
      <c r="D23" s="48" t="s">
        <v>66</v>
      </c>
      <c r="E23" s="49" t="s">
        <v>70</v>
      </c>
      <c r="F23" s="426" t="s">
        <v>167</v>
      </c>
      <c r="G23" s="833" t="s">
        <v>367</v>
      </c>
      <c r="H23" s="453" t="s">
        <v>367</v>
      </c>
      <c r="I23" s="453" t="s">
        <v>367</v>
      </c>
      <c r="J23" s="450">
        <v>0.5</v>
      </c>
      <c r="K23" s="804">
        <v>1</v>
      </c>
      <c r="L23" s="450">
        <v>0.2</v>
      </c>
      <c r="M23" s="450">
        <v>0.4</v>
      </c>
      <c r="N23" s="453">
        <v>1.9</v>
      </c>
      <c r="O23" s="450">
        <v>0.5</v>
      </c>
      <c r="P23" s="453">
        <v>1.1000000000000001</v>
      </c>
      <c r="Q23" s="450"/>
      <c r="R23" s="450">
        <v>0.83</v>
      </c>
      <c r="S23" s="787">
        <v>0.15</v>
      </c>
      <c r="T23" s="846"/>
      <c r="U23" s="846"/>
      <c r="V23" s="846"/>
      <c r="W23" s="846"/>
      <c r="X23" s="846"/>
      <c r="Y23" s="846"/>
      <c r="Z23" s="846"/>
    </row>
    <row r="24" spans="3:26" s="10" customFormat="1" x14ac:dyDescent="0.25">
      <c r="C24" s="141">
        <v>6</v>
      </c>
      <c r="D24" s="141"/>
      <c r="E24" s="29" t="s">
        <v>73</v>
      </c>
      <c r="F24" s="425" t="s">
        <v>74</v>
      </c>
      <c r="G24" s="831" t="s">
        <v>367</v>
      </c>
      <c r="H24" s="450" t="s">
        <v>367</v>
      </c>
      <c r="I24" s="450" t="s">
        <v>367</v>
      </c>
      <c r="J24" s="450" t="s">
        <v>428</v>
      </c>
      <c r="K24" s="804" t="s">
        <v>433</v>
      </c>
      <c r="L24" s="450" t="s">
        <v>438</v>
      </c>
      <c r="M24" s="450" t="s">
        <v>445</v>
      </c>
      <c r="N24" s="450" t="s">
        <v>455</v>
      </c>
      <c r="O24" s="450" t="s">
        <v>458</v>
      </c>
      <c r="P24" s="450" t="s">
        <v>465</v>
      </c>
      <c r="Q24" s="450"/>
      <c r="R24" s="450" t="s">
        <v>332</v>
      </c>
      <c r="S24" s="787" t="s">
        <v>336</v>
      </c>
      <c r="T24" s="846"/>
      <c r="U24" s="846"/>
      <c r="V24" s="846"/>
      <c r="W24" s="846"/>
      <c r="X24" s="846"/>
      <c r="Y24" s="846"/>
      <c r="Z24" s="846"/>
    </row>
    <row r="25" spans="3:26" s="167" customFormat="1" x14ac:dyDescent="0.25">
      <c r="C25" s="164">
        <v>7</v>
      </c>
      <c r="D25" s="164"/>
      <c r="E25" s="165" t="s">
        <v>2</v>
      </c>
      <c r="F25" s="427" t="s">
        <v>44</v>
      </c>
      <c r="G25" s="834">
        <v>0</v>
      </c>
      <c r="H25" s="454">
        <v>0</v>
      </c>
      <c r="I25" s="454">
        <v>0</v>
      </c>
      <c r="J25" s="454">
        <v>0.02</v>
      </c>
      <c r="K25" s="809">
        <v>0.05</v>
      </c>
      <c r="L25" s="454">
        <v>2.5000000000000001E-2</v>
      </c>
      <c r="M25" s="457">
        <v>0.2</v>
      </c>
      <c r="N25" s="457">
        <v>0</v>
      </c>
      <c r="O25" s="457">
        <v>0.09</v>
      </c>
      <c r="P25" s="457">
        <v>0</v>
      </c>
      <c r="Q25" s="457"/>
      <c r="R25" s="457">
        <v>0.1</v>
      </c>
      <c r="S25" s="789">
        <v>0.1</v>
      </c>
      <c r="T25" s="847"/>
      <c r="U25" s="847"/>
      <c r="V25" s="847"/>
      <c r="W25" s="847"/>
      <c r="X25" s="847"/>
      <c r="Y25" s="847"/>
      <c r="Z25" s="847"/>
    </row>
    <row r="26" spans="3:26" s="167" customFormat="1" x14ac:dyDescent="0.25">
      <c r="C26" s="164"/>
      <c r="D26" s="164"/>
      <c r="E26" s="165"/>
      <c r="F26" s="427"/>
      <c r="G26" s="834"/>
      <c r="H26" s="454"/>
      <c r="I26" s="454"/>
      <c r="J26" s="454">
        <f>+J4*(1+J25)</f>
        <v>1.3672851750823598E-3</v>
      </c>
      <c r="K26" s="454">
        <f t="shared" ref="K26:S26" si="11">+K4*(1+K25)</f>
        <v>3.7747098398419983E-3</v>
      </c>
      <c r="L26" s="454">
        <f t="shared" si="11"/>
        <v>7.2392595203417797E-3</v>
      </c>
      <c r="M26" s="454">
        <f t="shared" si="11"/>
        <v>2.9540846297965127E-2</v>
      </c>
      <c r="N26" s="454">
        <f t="shared" si="11"/>
        <v>0</v>
      </c>
      <c r="O26" s="454">
        <f t="shared" si="11"/>
        <v>1.0984826182056776E-2</v>
      </c>
      <c r="P26" s="454">
        <f t="shared" si="11"/>
        <v>2.2368909680905321E-2</v>
      </c>
      <c r="Q26" s="457"/>
      <c r="R26" s="454">
        <f t="shared" si="11"/>
        <v>3.3430256224713569E-3</v>
      </c>
      <c r="S26" s="454">
        <f t="shared" si="11"/>
        <v>5.5301733356903976E-3</v>
      </c>
      <c r="T26" s="847"/>
      <c r="U26" s="847"/>
      <c r="V26" s="847"/>
      <c r="W26" s="847"/>
      <c r="X26" s="847"/>
      <c r="Y26" s="847"/>
      <c r="Z26" s="847"/>
    </row>
    <row r="27" spans="3:26" s="10" customFormat="1" x14ac:dyDescent="0.25">
      <c r="C27" s="27" t="s">
        <v>3</v>
      </c>
      <c r="D27" s="27"/>
      <c r="E27" s="30"/>
      <c r="F27" s="425"/>
      <c r="G27" s="831"/>
      <c r="H27" s="450"/>
      <c r="I27" s="450"/>
      <c r="J27" s="450"/>
      <c r="K27" s="804"/>
      <c r="L27" s="450"/>
      <c r="M27" s="450"/>
      <c r="N27" s="450"/>
      <c r="O27" s="450"/>
      <c r="P27" s="450"/>
      <c r="Q27" s="450"/>
      <c r="R27" s="450"/>
      <c r="S27" s="787"/>
      <c r="T27" s="846"/>
      <c r="U27" s="846"/>
      <c r="V27" s="846"/>
      <c r="W27" s="846"/>
      <c r="X27" s="846"/>
      <c r="Y27" s="846"/>
      <c r="Z27" s="846"/>
    </row>
    <row r="28" spans="3:26" s="10" customFormat="1" x14ac:dyDescent="0.25">
      <c r="C28" s="141">
        <v>8</v>
      </c>
      <c r="D28" s="141"/>
      <c r="E28" s="29" t="s">
        <v>4</v>
      </c>
      <c r="F28" s="425"/>
      <c r="G28" s="831" t="s">
        <v>369</v>
      </c>
      <c r="H28" s="450" t="s">
        <v>369</v>
      </c>
      <c r="I28" s="450" t="s">
        <v>369</v>
      </c>
      <c r="J28" s="450" t="s">
        <v>321</v>
      </c>
      <c r="K28" s="804" t="s">
        <v>434</v>
      </c>
      <c r="L28" s="450" t="s">
        <v>439</v>
      </c>
      <c r="M28" s="450" t="s">
        <v>446</v>
      </c>
      <c r="N28" s="450" t="s">
        <v>369</v>
      </c>
      <c r="O28" s="450" t="s">
        <v>446</v>
      </c>
      <c r="P28" s="450" t="s">
        <v>369</v>
      </c>
      <c r="Q28" s="450" t="s">
        <v>446</v>
      </c>
      <c r="R28" s="450" t="s">
        <v>446</v>
      </c>
      <c r="S28" s="787" t="s">
        <v>321</v>
      </c>
      <c r="T28" s="846"/>
      <c r="U28" s="846"/>
      <c r="V28" s="846"/>
      <c r="W28" s="846"/>
      <c r="X28" s="846"/>
      <c r="Y28" s="846"/>
      <c r="Z28" s="846"/>
    </row>
    <row r="29" spans="3:26" s="10" customFormat="1" x14ac:dyDescent="0.25">
      <c r="C29" s="141">
        <v>9</v>
      </c>
      <c r="D29" s="141"/>
      <c r="E29" s="29" t="s">
        <v>25</v>
      </c>
      <c r="F29" s="425"/>
      <c r="G29" s="833"/>
      <c r="H29" s="453"/>
      <c r="I29" s="453"/>
      <c r="J29" s="450">
        <v>350</v>
      </c>
      <c r="K29" s="804">
        <v>700</v>
      </c>
      <c r="L29" s="450">
        <v>750</v>
      </c>
      <c r="M29" s="450">
        <v>2000</v>
      </c>
      <c r="N29" s="453">
        <v>38200</v>
      </c>
      <c r="O29" s="450">
        <v>1000</v>
      </c>
      <c r="P29" s="453">
        <v>21900</v>
      </c>
      <c r="Q29" s="450" t="s">
        <v>469</v>
      </c>
      <c r="R29" s="450">
        <v>500</v>
      </c>
      <c r="S29" s="787">
        <v>600</v>
      </c>
      <c r="T29" s="846"/>
      <c r="U29" s="846"/>
      <c r="V29" s="846"/>
      <c r="W29" s="846"/>
      <c r="X29" s="846"/>
      <c r="Y29" s="846"/>
      <c r="Z29" s="846"/>
    </row>
    <row r="30" spans="3:26" s="10" customFormat="1" x14ac:dyDescent="0.25">
      <c r="C30" s="141">
        <v>10</v>
      </c>
      <c r="D30" s="141"/>
      <c r="E30" s="29" t="s">
        <v>77</v>
      </c>
      <c r="F30" s="425"/>
      <c r="G30" s="833"/>
      <c r="H30" s="453"/>
      <c r="I30" s="453"/>
      <c r="J30" s="450"/>
      <c r="K30" s="804"/>
      <c r="L30" s="450"/>
      <c r="M30" s="450"/>
      <c r="N30" s="453"/>
      <c r="O30" s="450"/>
      <c r="P30" s="453"/>
      <c r="Q30" s="450" t="s">
        <v>469</v>
      </c>
      <c r="R30" s="450"/>
      <c r="S30" s="787"/>
      <c r="T30" s="846"/>
      <c r="U30" s="846"/>
      <c r="V30" s="846"/>
      <c r="W30" s="846"/>
      <c r="X30" s="846"/>
      <c r="Y30" s="846"/>
      <c r="Z30" s="846"/>
    </row>
    <row r="31" spans="3:26" s="10" customFormat="1" x14ac:dyDescent="0.25">
      <c r="C31" s="48"/>
      <c r="D31" s="48" t="s">
        <v>78</v>
      </c>
      <c r="E31" s="49" t="s">
        <v>79</v>
      </c>
      <c r="F31" s="426"/>
      <c r="G31" s="833" t="s">
        <v>370</v>
      </c>
      <c r="H31" s="453" t="s">
        <v>370</v>
      </c>
      <c r="I31" s="453" t="s">
        <v>370</v>
      </c>
      <c r="J31" s="450" t="s">
        <v>429</v>
      </c>
      <c r="K31" s="804" t="s">
        <v>333</v>
      </c>
      <c r="L31" s="450" t="s">
        <v>440</v>
      </c>
      <c r="M31" s="450" t="s">
        <v>447</v>
      </c>
      <c r="N31" s="453" t="s">
        <v>456</v>
      </c>
      <c r="O31" s="450" t="s">
        <v>459</v>
      </c>
      <c r="P31" s="453" t="s">
        <v>466</v>
      </c>
      <c r="Q31" s="450"/>
      <c r="R31" s="450" t="s">
        <v>459</v>
      </c>
      <c r="S31" s="787" t="s">
        <v>333</v>
      </c>
      <c r="T31" s="846"/>
      <c r="U31" s="846"/>
      <c r="V31" s="846"/>
      <c r="W31" s="846"/>
      <c r="X31" s="846"/>
      <c r="Y31" s="846"/>
      <c r="Z31" s="846"/>
    </row>
    <row r="32" spans="3:26" s="10" customFormat="1" x14ac:dyDescent="0.25">
      <c r="C32" s="48"/>
      <c r="D32" s="48" t="s">
        <v>80</v>
      </c>
      <c r="E32" s="49" t="s">
        <v>81</v>
      </c>
      <c r="F32" s="426" t="s">
        <v>71</v>
      </c>
      <c r="G32" s="831" t="s">
        <v>367</v>
      </c>
      <c r="H32" s="450" t="s">
        <v>367</v>
      </c>
      <c r="I32" s="450" t="s">
        <v>367</v>
      </c>
      <c r="J32" s="450">
        <v>1.5</v>
      </c>
      <c r="K32" s="804">
        <v>2.6</v>
      </c>
      <c r="L32" s="790">
        <v>0.5</v>
      </c>
      <c r="M32" s="450">
        <v>1.3</v>
      </c>
      <c r="N32" s="450" t="s">
        <v>367</v>
      </c>
      <c r="O32" s="450">
        <v>0.8</v>
      </c>
      <c r="P32" s="450" t="s">
        <v>367</v>
      </c>
      <c r="Q32" s="450"/>
      <c r="R32" s="450">
        <v>2.5</v>
      </c>
      <c r="S32" s="787">
        <v>0.9</v>
      </c>
      <c r="T32" s="846"/>
      <c r="U32" s="846"/>
      <c r="V32" s="846"/>
      <c r="W32" s="846"/>
      <c r="X32" s="846"/>
      <c r="Y32" s="846"/>
      <c r="Z32" s="846"/>
    </row>
    <row r="33" spans="3:26" s="10" customFormat="1" x14ac:dyDescent="0.25">
      <c r="C33" s="48"/>
      <c r="D33" s="48" t="s">
        <v>82</v>
      </c>
      <c r="E33" s="49" t="s">
        <v>85</v>
      </c>
      <c r="F33" s="426" t="s">
        <v>178</v>
      </c>
      <c r="G33" s="831" t="s">
        <v>367</v>
      </c>
      <c r="H33" s="450" t="s">
        <v>367</v>
      </c>
      <c r="I33" s="450" t="s">
        <v>367</v>
      </c>
      <c r="J33" s="450">
        <v>1</v>
      </c>
      <c r="K33" s="804">
        <v>1.2</v>
      </c>
      <c r="L33" s="790">
        <v>0.5</v>
      </c>
      <c r="M33" s="835">
        <v>0.6</v>
      </c>
      <c r="N33" s="450" t="s">
        <v>367</v>
      </c>
      <c r="O33" s="450">
        <v>0.6</v>
      </c>
      <c r="P33" s="450" t="s">
        <v>367</v>
      </c>
      <c r="Q33" s="450"/>
      <c r="R33" s="450">
        <v>1.2</v>
      </c>
      <c r="S33" s="787">
        <v>0.9</v>
      </c>
      <c r="T33" s="846"/>
      <c r="U33" s="846"/>
      <c r="V33" s="846"/>
      <c r="W33" s="846"/>
      <c r="X33" s="846"/>
      <c r="Y33" s="846"/>
      <c r="Z33" s="846"/>
    </row>
    <row r="34" spans="3:26" s="10" customFormat="1" x14ac:dyDescent="0.25">
      <c r="C34" s="48"/>
      <c r="D34" s="48" t="s">
        <v>83</v>
      </c>
      <c r="E34" s="49" t="s">
        <v>86</v>
      </c>
      <c r="F34" s="426" t="s">
        <v>179</v>
      </c>
      <c r="G34" s="831" t="s">
        <v>367</v>
      </c>
      <c r="H34" s="450" t="s">
        <v>367</v>
      </c>
      <c r="I34" s="450" t="s">
        <v>367</v>
      </c>
      <c r="J34" s="450"/>
      <c r="K34" s="810">
        <v>1</v>
      </c>
      <c r="L34" s="450"/>
      <c r="M34" s="450">
        <v>1</v>
      </c>
      <c r="N34" s="450" t="s">
        <v>367</v>
      </c>
      <c r="O34" s="450">
        <v>0</v>
      </c>
      <c r="P34" s="450" t="s">
        <v>367</v>
      </c>
      <c r="Q34" s="450"/>
      <c r="R34" s="450">
        <v>0</v>
      </c>
      <c r="S34" s="787"/>
      <c r="T34" s="846"/>
      <c r="U34" s="846"/>
      <c r="V34" s="846"/>
      <c r="W34" s="846"/>
      <c r="X34" s="846"/>
      <c r="Y34" s="846"/>
      <c r="Z34" s="846"/>
    </row>
    <row r="35" spans="3:26" s="10" customFormat="1" x14ac:dyDescent="0.25">
      <c r="C35" s="48"/>
      <c r="D35" s="48" t="s">
        <v>84</v>
      </c>
      <c r="E35" s="49" t="s">
        <v>87</v>
      </c>
      <c r="F35" s="426" t="s">
        <v>180</v>
      </c>
      <c r="G35" s="831" t="s">
        <v>367</v>
      </c>
      <c r="H35" s="450" t="s">
        <v>367</v>
      </c>
      <c r="I35" s="450" t="s">
        <v>367</v>
      </c>
      <c r="J35" s="450">
        <v>0.12</v>
      </c>
      <c r="K35" s="804">
        <v>0.12</v>
      </c>
      <c r="L35" s="450"/>
      <c r="M35" s="450" t="s">
        <v>448</v>
      </c>
      <c r="N35" s="450" t="s">
        <v>367</v>
      </c>
      <c r="O35" s="450">
        <v>0.12</v>
      </c>
      <c r="P35" s="450" t="s">
        <v>367</v>
      </c>
      <c r="Q35" s="450"/>
      <c r="R35" s="450">
        <v>0.12</v>
      </c>
      <c r="S35" s="787">
        <v>1.2E-2</v>
      </c>
      <c r="T35" s="846"/>
      <c r="U35" s="846"/>
      <c r="V35" s="846"/>
      <c r="W35" s="846"/>
      <c r="X35" s="846"/>
      <c r="Y35" s="846"/>
      <c r="Z35" s="846"/>
    </row>
    <row r="36" spans="3:26" s="10" customFormat="1" x14ac:dyDescent="0.25">
      <c r="C36" s="1036">
        <v>11</v>
      </c>
      <c r="D36" s="141" t="s">
        <v>142</v>
      </c>
      <c r="E36" s="29" t="s">
        <v>29</v>
      </c>
      <c r="F36" s="425" t="s">
        <v>43</v>
      </c>
      <c r="G36" s="836">
        <v>6725000</v>
      </c>
      <c r="H36" s="452">
        <v>4000000</v>
      </c>
      <c r="I36" s="452">
        <v>5000000</v>
      </c>
      <c r="J36" s="452">
        <v>1925000</v>
      </c>
      <c r="K36" s="811">
        <v>5363039</v>
      </c>
      <c r="L36" s="452">
        <v>1813208</v>
      </c>
      <c r="M36" s="452">
        <f>3000000*1.6</f>
        <v>4800000</v>
      </c>
      <c r="N36" s="452">
        <v>2000000</v>
      </c>
      <c r="O36" s="452">
        <v>4000000</v>
      </c>
      <c r="P36" s="452">
        <v>2500000</v>
      </c>
      <c r="Q36" s="452">
        <v>3000000</v>
      </c>
      <c r="R36" s="452">
        <v>4000000</v>
      </c>
      <c r="S36" s="791">
        <v>2400000</v>
      </c>
      <c r="T36" s="846"/>
      <c r="U36" s="846"/>
      <c r="V36" s="846"/>
      <c r="W36" s="846"/>
      <c r="X36" s="846"/>
      <c r="Y36" s="846"/>
      <c r="Z36" s="846"/>
    </row>
    <row r="37" spans="3:26" s="10" customFormat="1" x14ac:dyDescent="0.25">
      <c r="C37" s="1036"/>
      <c r="D37" s="141" t="s">
        <v>143</v>
      </c>
      <c r="E37" s="29" t="s">
        <v>30</v>
      </c>
      <c r="F37" s="425" t="s">
        <v>40</v>
      </c>
      <c r="G37" s="836">
        <f>+G36</f>
        <v>6725000</v>
      </c>
      <c r="H37" s="452">
        <f>+H36</f>
        <v>4000000</v>
      </c>
      <c r="I37" s="452">
        <f>+I36</f>
        <v>5000000</v>
      </c>
      <c r="J37" s="812">
        <v>2500000</v>
      </c>
      <c r="K37" s="813">
        <v>8211000</v>
      </c>
      <c r="L37" s="452">
        <v>3600000</v>
      </c>
      <c r="M37" s="452">
        <f>+M36</f>
        <v>4800000</v>
      </c>
      <c r="N37" s="452">
        <f>+N36</f>
        <v>2000000</v>
      </c>
      <c r="O37" s="452">
        <f>+O36</f>
        <v>4000000</v>
      </c>
      <c r="P37" s="452">
        <f>+P36</f>
        <v>2500000</v>
      </c>
      <c r="Q37" s="452">
        <v>3000000</v>
      </c>
      <c r="R37" s="452">
        <v>4000000</v>
      </c>
      <c r="S37" s="791">
        <v>2400000</v>
      </c>
      <c r="T37" s="848">
        <f>SUM(G37:S37)</f>
        <v>52736000</v>
      </c>
      <c r="U37" s="846"/>
      <c r="V37" s="846"/>
      <c r="W37" s="846"/>
      <c r="X37" s="846"/>
      <c r="Y37" s="846"/>
      <c r="Z37" s="846"/>
    </row>
    <row r="38" spans="3:26" s="10" customFormat="1" x14ac:dyDescent="0.25">
      <c r="C38" s="27" t="s">
        <v>5</v>
      </c>
      <c r="D38" s="27"/>
      <c r="E38" s="30"/>
      <c r="F38" s="428"/>
      <c r="G38" s="837"/>
      <c r="H38" s="455"/>
      <c r="I38" s="455"/>
      <c r="J38" s="455"/>
      <c r="K38" s="814"/>
      <c r="L38" s="455"/>
      <c r="M38" s="455"/>
      <c r="N38" s="455"/>
      <c r="O38" s="455"/>
      <c r="P38" s="455"/>
      <c r="Q38" s="455"/>
      <c r="R38" s="455"/>
      <c r="S38" s="792"/>
      <c r="T38" s="846"/>
      <c r="U38" s="846"/>
      <c r="V38" s="846"/>
      <c r="W38" s="846"/>
      <c r="X38" s="846"/>
      <c r="Y38" s="846"/>
      <c r="Z38" s="846"/>
    </row>
    <row r="39" spans="3:26" s="10" customFormat="1" x14ac:dyDescent="0.25">
      <c r="C39" s="141">
        <v>12</v>
      </c>
      <c r="D39" s="141"/>
      <c r="E39" s="29" t="s">
        <v>21</v>
      </c>
      <c r="F39" s="425" t="s">
        <v>45</v>
      </c>
      <c r="G39" s="838">
        <v>0.83399999999999996</v>
      </c>
      <c r="H39" s="815">
        <v>0.83399999999999996</v>
      </c>
      <c r="I39" s="815">
        <v>0.83399999999999996</v>
      </c>
      <c r="J39" s="457">
        <v>0.6</v>
      </c>
      <c r="K39" s="816">
        <v>0.74</v>
      </c>
      <c r="L39" s="457">
        <v>0.69</v>
      </c>
      <c r="M39" s="457">
        <v>0.56000000000000005</v>
      </c>
      <c r="N39" s="815">
        <v>0.83399999999999996</v>
      </c>
      <c r="O39" s="457">
        <v>0.76</v>
      </c>
      <c r="P39" s="815">
        <v>0.83399999999999996</v>
      </c>
      <c r="Q39" s="457">
        <v>0.6</v>
      </c>
      <c r="R39" s="457">
        <v>0.51</v>
      </c>
      <c r="S39" s="789">
        <v>0.65</v>
      </c>
      <c r="T39" s="846"/>
      <c r="U39" s="846"/>
      <c r="V39" s="846"/>
      <c r="W39" s="846"/>
      <c r="X39" s="846"/>
      <c r="Y39" s="846"/>
      <c r="Z39" s="846"/>
    </row>
    <row r="40" spans="3:26" s="10" customFormat="1" x14ac:dyDescent="0.25">
      <c r="C40" s="141">
        <v>13</v>
      </c>
      <c r="D40" s="141"/>
      <c r="E40" s="29" t="s">
        <v>88</v>
      </c>
      <c r="F40" s="425" t="s">
        <v>48</v>
      </c>
      <c r="G40" s="838">
        <v>0.83399999999999996</v>
      </c>
      <c r="H40" s="815">
        <v>0.83399999999999996</v>
      </c>
      <c r="I40" s="815">
        <v>0.83399999999999996</v>
      </c>
      <c r="J40" s="457">
        <v>0.6</v>
      </c>
      <c r="K40" s="816">
        <v>0.70499999999999996</v>
      </c>
      <c r="L40" s="457">
        <v>0.68</v>
      </c>
      <c r="M40" s="457">
        <v>0.7</v>
      </c>
      <c r="N40" s="815">
        <v>0.83399999999999996</v>
      </c>
      <c r="O40" s="457">
        <v>0.77</v>
      </c>
      <c r="P40" s="815">
        <v>0.83399999999999996</v>
      </c>
      <c r="Q40" s="457">
        <v>0.6</v>
      </c>
      <c r="R40" s="457">
        <v>0.52</v>
      </c>
      <c r="S40" s="789">
        <v>0.65</v>
      </c>
      <c r="T40" s="846"/>
      <c r="U40" s="846"/>
      <c r="V40" s="846"/>
      <c r="W40" s="846"/>
      <c r="X40" s="846"/>
      <c r="Y40" s="846"/>
      <c r="Z40" s="846"/>
    </row>
    <row r="41" spans="3:26" s="10" customFormat="1" x14ac:dyDescent="0.25">
      <c r="C41" s="141">
        <v>14</v>
      </c>
      <c r="D41" s="141"/>
      <c r="E41" s="30" t="s">
        <v>22</v>
      </c>
      <c r="F41" s="425" t="s">
        <v>46</v>
      </c>
      <c r="G41" s="836">
        <v>96000000</v>
      </c>
      <c r="H41" s="452">
        <v>96000000</v>
      </c>
      <c r="I41" s="452">
        <v>96000000</v>
      </c>
      <c r="J41" s="452">
        <v>2400381</v>
      </c>
      <c r="K41" s="811">
        <v>6045000</v>
      </c>
      <c r="L41" s="452">
        <v>18439000</v>
      </c>
      <c r="M41" s="452">
        <v>4295000</v>
      </c>
      <c r="N41" s="452">
        <v>96000000</v>
      </c>
      <c r="O41" s="452">
        <v>3891440</v>
      </c>
      <c r="P41" s="452">
        <v>96000000</v>
      </c>
      <c r="Q41" s="452">
        <v>3154600</v>
      </c>
      <c r="R41" s="452">
        <v>4800000</v>
      </c>
      <c r="S41" s="791">
        <v>3493539</v>
      </c>
      <c r="T41" s="846"/>
      <c r="U41" s="846"/>
      <c r="V41" s="846"/>
      <c r="W41" s="846"/>
      <c r="X41" s="846"/>
      <c r="Y41" s="846"/>
      <c r="Z41" s="846"/>
    </row>
    <row r="42" spans="3:26" s="10" customFormat="1" ht="18" x14ac:dyDescent="0.25">
      <c r="C42" s="28" t="s">
        <v>6</v>
      </c>
      <c r="D42" s="28"/>
      <c r="E42" s="31"/>
      <c r="F42" s="32" t="s">
        <v>54</v>
      </c>
      <c r="G42" s="831"/>
      <c r="H42" s="450"/>
      <c r="I42" s="450"/>
      <c r="J42" s="450"/>
      <c r="K42" s="804"/>
      <c r="L42" s="450"/>
      <c r="M42" s="450"/>
      <c r="N42" s="450"/>
      <c r="O42" s="450"/>
      <c r="P42" s="450"/>
      <c r="Q42" s="450"/>
      <c r="R42" s="450"/>
      <c r="S42" s="787"/>
      <c r="T42" s="846"/>
      <c r="U42" s="846"/>
      <c r="V42" s="846"/>
      <c r="W42" s="846"/>
      <c r="X42" s="846"/>
      <c r="Y42" s="846"/>
      <c r="Z42" s="846"/>
    </row>
    <row r="43" spans="3:26" s="10" customFormat="1" x14ac:dyDescent="0.25">
      <c r="C43" s="1036">
        <v>15</v>
      </c>
      <c r="D43" s="141"/>
      <c r="E43" s="33" t="s">
        <v>7</v>
      </c>
      <c r="F43" s="425">
        <v>40</v>
      </c>
      <c r="G43" s="831">
        <v>1</v>
      </c>
      <c r="H43" s="450"/>
      <c r="I43" s="450"/>
      <c r="J43" s="450"/>
      <c r="K43" s="804">
        <v>0</v>
      </c>
      <c r="L43" s="450">
        <v>0</v>
      </c>
      <c r="M43" s="450">
        <v>0</v>
      </c>
      <c r="N43" s="450"/>
      <c r="O43" s="450"/>
      <c r="P43" s="450"/>
      <c r="Q43" s="450"/>
      <c r="R43" s="450"/>
      <c r="S43" s="787">
        <v>1</v>
      </c>
      <c r="T43" s="846"/>
      <c r="U43" s="846"/>
      <c r="V43" s="846"/>
      <c r="W43" s="846"/>
      <c r="X43" s="846"/>
      <c r="Y43" s="846"/>
      <c r="Z43" s="846"/>
    </row>
    <row r="44" spans="3:26" s="10" customFormat="1" x14ac:dyDescent="0.25">
      <c r="C44" s="1036"/>
      <c r="D44" s="141"/>
      <c r="E44" s="33" t="s">
        <v>8</v>
      </c>
      <c r="F44" s="425">
        <v>26</v>
      </c>
      <c r="G44" s="831"/>
      <c r="H44" s="450">
        <v>1</v>
      </c>
      <c r="I44" s="450">
        <v>1</v>
      </c>
      <c r="J44" s="450">
        <v>1</v>
      </c>
      <c r="K44" s="804">
        <v>0.6</v>
      </c>
      <c r="L44" s="450">
        <v>1</v>
      </c>
      <c r="M44" s="450">
        <v>1</v>
      </c>
      <c r="N44" s="450">
        <v>1</v>
      </c>
      <c r="O44" s="450"/>
      <c r="P44" s="450">
        <v>1</v>
      </c>
      <c r="Q44" s="450"/>
      <c r="R44" s="450">
        <v>1</v>
      </c>
      <c r="S44" s="787"/>
      <c r="T44" s="846"/>
      <c r="U44" s="846"/>
      <c r="V44" s="846"/>
      <c r="W44" s="846"/>
      <c r="X44" s="846"/>
      <c r="Y44" s="846"/>
      <c r="Z44" s="846"/>
    </row>
    <row r="45" spans="3:26" s="10" customFormat="1" x14ac:dyDescent="0.25">
      <c r="C45" s="1036"/>
      <c r="D45" s="141"/>
      <c r="E45" s="33" t="s">
        <v>9</v>
      </c>
      <c r="F45" s="425">
        <v>13</v>
      </c>
      <c r="G45" s="831"/>
      <c r="H45" s="450"/>
      <c r="I45" s="450"/>
      <c r="J45" s="450"/>
      <c r="K45" s="804">
        <v>0.4</v>
      </c>
      <c r="L45" s="450">
        <v>0</v>
      </c>
      <c r="M45" s="450">
        <v>0</v>
      </c>
      <c r="N45" s="450"/>
      <c r="O45" s="450">
        <v>1</v>
      </c>
      <c r="P45" s="450"/>
      <c r="Q45" s="450">
        <v>1</v>
      </c>
      <c r="R45" s="450"/>
      <c r="S45" s="787"/>
      <c r="T45" s="846"/>
      <c r="U45" s="846"/>
      <c r="V45" s="846"/>
      <c r="W45" s="846"/>
      <c r="X45" s="846"/>
      <c r="Y45" s="846"/>
      <c r="Z45" s="846"/>
    </row>
    <row r="46" spans="3:26" s="10" customFormat="1" x14ac:dyDescent="0.25">
      <c r="C46" s="1036"/>
      <c r="D46" s="141"/>
      <c r="E46" s="33" t="s">
        <v>10</v>
      </c>
      <c r="F46" s="425">
        <v>0</v>
      </c>
      <c r="G46" s="831"/>
      <c r="H46" s="450"/>
      <c r="I46" s="450"/>
      <c r="J46" s="450"/>
      <c r="K46" s="804">
        <v>0</v>
      </c>
      <c r="L46" s="450">
        <v>0</v>
      </c>
      <c r="M46" s="450">
        <v>0</v>
      </c>
      <c r="N46" s="450"/>
      <c r="O46" s="450"/>
      <c r="P46" s="450"/>
      <c r="Q46" s="450"/>
      <c r="R46" s="450"/>
      <c r="S46" s="787"/>
      <c r="T46" s="846"/>
      <c r="U46" s="846"/>
      <c r="V46" s="846"/>
      <c r="W46" s="846"/>
      <c r="X46" s="846"/>
      <c r="Y46" s="846"/>
      <c r="Z46" s="846"/>
    </row>
    <row r="47" spans="3:26" s="10" customFormat="1" ht="18" x14ac:dyDescent="0.25">
      <c r="C47" s="28" t="s">
        <v>11</v>
      </c>
      <c r="D47" s="28"/>
      <c r="E47" s="31"/>
      <c r="F47" s="32" t="s">
        <v>50</v>
      </c>
      <c r="G47" s="831"/>
      <c r="H47" s="450"/>
      <c r="I47" s="450"/>
      <c r="J47" s="450"/>
      <c r="K47" s="804"/>
      <c r="L47" s="450"/>
      <c r="M47" s="450"/>
      <c r="N47" s="450"/>
      <c r="O47" s="450"/>
      <c r="P47" s="450"/>
      <c r="Q47" s="450"/>
      <c r="R47" s="450"/>
      <c r="S47" s="787"/>
      <c r="T47" s="846"/>
      <c r="U47" s="846"/>
      <c r="V47" s="846"/>
      <c r="W47" s="846"/>
      <c r="X47" s="846"/>
      <c r="Y47" s="846"/>
      <c r="Z47" s="846"/>
    </row>
    <row r="48" spans="3:26" s="10" customFormat="1" x14ac:dyDescent="0.25">
      <c r="C48" s="1036">
        <v>16</v>
      </c>
      <c r="D48" s="141"/>
      <c r="E48" s="33" t="s">
        <v>12</v>
      </c>
      <c r="F48" s="425">
        <v>40</v>
      </c>
      <c r="G48" s="831">
        <v>1</v>
      </c>
      <c r="H48" s="450">
        <v>1</v>
      </c>
      <c r="I48" s="450">
        <v>1</v>
      </c>
      <c r="J48" s="450"/>
      <c r="K48" s="804">
        <v>0</v>
      </c>
      <c r="L48" s="450">
        <v>0</v>
      </c>
      <c r="M48" s="450">
        <v>1</v>
      </c>
      <c r="N48" s="450">
        <v>1</v>
      </c>
      <c r="O48" s="450"/>
      <c r="P48" s="450">
        <v>1</v>
      </c>
      <c r="Q48" s="450"/>
      <c r="R48" s="450"/>
      <c r="S48" s="787"/>
      <c r="T48" s="846"/>
      <c r="U48" s="846"/>
      <c r="V48" s="846"/>
      <c r="W48" s="846"/>
      <c r="X48" s="846"/>
      <c r="Y48" s="846"/>
      <c r="Z48" s="846"/>
    </row>
    <row r="49" spans="3:27" s="10" customFormat="1" x14ac:dyDescent="0.25">
      <c r="C49" s="1036"/>
      <c r="D49" s="141"/>
      <c r="E49" s="33" t="s">
        <v>13</v>
      </c>
      <c r="F49" s="425">
        <v>26</v>
      </c>
      <c r="G49" s="831"/>
      <c r="H49" s="450"/>
      <c r="I49" s="450"/>
      <c r="J49" s="450">
        <v>1</v>
      </c>
      <c r="K49" s="804">
        <v>1</v>
      </c>
      <c r="L49" s="450">
        <v>0</v>
      </c>
      <c r="M49" s="450">
        <v>0</v>
      </c>
      <c r="N49" s="450"/>
      <c r="O49" s="450">
        <v>1</v>
      </c>
      <c r="P49" s="450"/>
      <c r="Q49" s="450">
        <v>1</v>
      </c>
      <c r="R49" s="450">
        <v>1</v>
      </c>
      <c r="S49" s="787">
        <v>1</v>
      </c>
      <c r="T49" s="846"/>
      <c r="U49" s="846"/>
      <c r="V49" s="846"/>
      <c r="W49" s="846"/>
      <c r="X49" s="846"/>
      <c r="Y49" s="846"/>
      <c r="Z49" s="846"/>
    </row>
    <row r="50" spans="3:27" s="10" customFormat="1" x14ac:dyDescent="0.25">
      <c r="C50" s="1036"/>
      <c r="D50" s="141"/>
      <c r="E50" s="33" t="s">
        <v>14</v>
      </c>
      <c r="F50" s="425">
        <v>13</v>
      </c>
      <c r="G50" s="831"/>
      <c r="H50" s="450"/>
      <c r="I50" s="450"/>
      <c r="J50" s="450"/>
      <c r="K50" s="804">
        <v>0</v>
      </c>
      <c r="L50" s="450">
        <v>1</v>
      </c>
      <c r="M50" s="450">
        <v>0</v>
      </c>
      <c r="N50" s="450"/>
      <c r="O50" s="450"/>
      <c r="P50" s="450"/>
      <c r="Q50" s="450"/>
      <c r="R50" s="450"/>
      <c r="S50" s="787"/>
      <c r="T50" s="846"/>
      <c r="U50" s="846"/>
      <c r="V50" s="846"/>
      <c r="W50" s="846"/>
      <c r="X50" s="846"/>
      <c r="Y50" s="846"/>
      <c r="Z50" s="846"/>
    </row>
    <row r="51" spans="3:27" s="10" customFormat="1" x14ac:dyDescent="0.25">
      <c r="C51" s="1036"/>
      <c r="D51" s="141"/>
      <c r="E51" s="33" t="s">
        <v>16</v>
      </c>
      <c r="F51" s="425">
        <v>0</v>
      </c>
      <c r="G51" s="831"/>
      <c r="H51" s="450"/>
      <c r="I51" s="450"/>
      <c r="J51" s="450"/>
      <c r="K51" s="804">
        <v>0</v>
      </c>
      <c r="L51" s="450">
        <v>0</v>
      </c>
      <c r="M51" s="450">
        <v>0</v>
      </c>
      <c r="N51" s="450"/>
      <c r="O51" s="450"/>
      <c r="P51" s="450"/>
      <c r="Q51" s="450"/>
      <c r="R51" s="450"/>
      <c r="S51" s="787"/>
      <c r="T51" s="846"/>
      <c r="U51" s="846"/>
      <c r="V51" s="846"/>
      <c r="W51" s="846"/>
      <c r="X51" s="846"/>
      <c r="Y51" s="846"/>
      <c r="Z51" s="846"/>
    </row>
    <row r="52" spans="3:27" s="10" customFormat="1" x14ac:dyDescent="0.25">
      <c r="C52" s="27" t="s">
        <v>15</v>
      </c>
      <c r="D52" s="27"/>
      <c r="E52" s="30"/>
      <c r="F52" s="425"/>
      <c r="G52" s="831"/>
      <c r="H52" s="450"/>
      <c r="I52" s="450"/>
      <c r="J52" s="450"/>
      <c r="K52" s="804"/>
      <c r="L52" s="450"/>
      <c r="M52" s="450"/>
      <c r="N52" s="450"/>
      <c r="O52" s="450"/>
      <c r="P52" s="450"/>
      <c r="Q52" s="450"/>
      <c r="R52" s="450"/>
      <c r="S52" s="787"/>
      <c r="T52" s="846"/>
      <c r="U52" s="846"/>
      <c r="V52" s="846"/>
      <c r="W52" s="846"/>
      <c r="X52" s="846"/>
      <c r="Y52" s="846"/>
      <c r="Z52" s="846"/>
    </row>
    <row r="53" spans="3:27" s="10" customFormat="1" ht="15" customHeight="1" x14ac:dyDescent="0.25">
      <c r="C53" s="141">
        <v>17</v>
      </c>
      <c r="D53" s="141"/>
      <c r="E53" s="29" t="s">
        <v>17</v>
      </c>
      <c r="F53" s="425" t="s">
        <v>47</v>
      </c>
      <c r="G53" s="836">
        <f>+G16*VBP_RM!N35</f>
        <v>5779681042.8182163</v>
      </c>
      <c r="H53" s="452">
        <f>+H16*VBP_RM!N35</f>
        <v>2057174608.460721</v>
      </c>
      <c r="I53" s="452">
        <f>+I16*VBP_RM!N35</f>
        <v>5779681042.8182163</v>
      </c>
      <c r="J53" s="452">
        <f>+J16*VBP_RM!N13</f>
        <v>226840061.53846154</v>
      </c>
      <c r="K53" s="811">
        <f>+K16*VBP_RM!N7</f>
        <v>314742054.70852017</v>
      </c>
      <c r="L53" s="452">
        <f>+L16*VBP_RM!N6</f>
        <v>70201605.632653058</v>
      </c>
      <c r="M53" s="452">
        <f>+M16*VBP_RM!N29</f>
        <v>313416578.03738314</v>
      </c>
      <c r="N53" s="452">
        <f>+N16*VBP_RM!N40</f>
        <v>2778824410.8816605</v>
      </c>
      <c r="O53" s="452">
        <f>+O16*VBP_RM!N15</f>
        <v>78142374.429223746</v>
      </c>
      <c r="P53" s="452">
        <f>+P16*VBP_RM!N40</f>
        <v>2351312963.0537124</v>
      </c>
      <c r="Q53" s="452">
        <f>+Q16*VBP_RM!N16</f>
        <v>93023101.754385963</v>
      </c>
      <c r="R53" s="452">
        <f>+R16*VBP_RM!N19</f>
        <v>207732350.49833885</v>
      </c>
      <c r="S53" s="791">
        <f>+VBP_RM!N9*MENDOZA!S16</f>
        <v>53334344.563552827</v>
      </c>
      <c r="T53" s="846"/>
      <c r="U53" s="846"/>
      <c r="V53" s="846"/>
      <c r="W53" s="846"/>
      <c r="X53" s="846"/>
      <c r="Y53" s="846"/>
      <c r="Z53" s="846"/>
    </row>
    <row r="54" spans="3:27" s="10" customFormat="1" ht="15.75" customHeight="1" x14ac:dyDescent="0.25">
      <c r="C54" s="1045">
        <v>18</v>
      </c>
      <c r="D54" s="141">
        <v>18.100000000000001</v>
      </c>
      <c r="E54" s="29" t="s">
        <v>170</v>
      </c>
      <c r="F54" s="429" t="s">
        <v>53</v>
      </c>
      <c r="G54" s="831" t="s">
        <v>371</v>
      </c>
      <c r="H54" s="450" t="s">
        <v>371</v>
      </c>
      <c r="I54" s="450" t="s">
        <v>371</v>
      </c>
      <c r="J54" s="450" t="s">
        <v>323</v>
      </c>
      <c r="K54" s="804" t="s">
        <v>187</v>
      </c>
      <c r="L54" s="450" t="s">
        <v>187</v>
      </c>
      <c r="M54" s="450" t="s">
        <v>449</v>
      </c>
      <c r="N54" s="450" t="s">
        <v>371</v>
      </c>
      <c r="O54" s="450" t="s">
        <v>462</v>
      </c>
      <c r="P54" s="450" t="s">
        <v>371</v>
      </c>
      <c r="Q54" s="450" t="s">
        <v>470</v>
      </c>
      <c r="R54" s="450" t="s">
        <v>323</v>
      </c>
      <c r="S54" s="787" t="s">
        <v>431</v>
      </c>
      <c r="T54" s="846"/>
      <c r="U54" s="846"/>
      <c r="V54" s="846"/>
      <c r="W54" s="846"/>
      <c r="X54" s="846"/>
      <c r="Y54" s="846"/>
      <c r="Z54" s="846"/>
    </row>
    <row r="55" spans="3:27" s="10" customFormat="1" ht="15.75" customHeight="1" x14ac:dyDescent="0.25">
      <c r="C55" s="1045"/>
      <c r="D55" s="141">
        <v>18.2</v>
      </c>
      <c r="E55" s="29" t="s">
        <v>171</v>
      </c>
      <c r="F55" s="429" t="s">
        <v>53</v>
      </c>
      <c r="G55" s="839">
        <v>0.85</v>
      </c>
      <c r="H55" s="456">
        <v>0.85</v>
      </c>
      <c r="I55" s="456">
        <v>0.85</v>
      </c>
      <c r="J55" s="456">
        <v>0.25</v>
      </c>
      <c r="K55" s="816">
        <v>0.91</v>
      </c>
      <c r="L55" s="457">
        <v>0.81</v>
      </c>
      <c r="M55" s="456">
        <v>0.5</v>
      </c>
      <c r="N55" s="456">
        <v>0.85</v>
      </c>
      <c r="O55" s="457">
        <v>0.8</v>
      </c>
      <c r="P55" s="456">
        <v>0.85</v>
      </c>
      <c r="Q55" s="457">
        <v>0.9</v>
      </c>
      <c r="R55" s="457">
        <v>0.5</v>
      </c>
      <c r="S55" s="789">
        <v>0.4</v>
      </c>
      <c r="T55" s="846"/>
      <c r="U55" s="846"/>
      <c r="V55" s="846"/>
      <c r="W55" s="846"/>
      <c r="X55" s="846"/>
      <c r="Y55" s="846"/>
      <c r="Z55" s="846"/>
    </row>
    <row r="56" spans="3:27" s="10" customFormat="1" ht="18" customHeight="1" x14ac:dyDescent="0.25">
      <c r="C56" s="141">
        <v>19</v>
      </c>
      <c r="D56" s="141"/>
      <c r="E56" s="29" t="s">
        <v>27</v>
      </c>
      <c r="F56" s="32" t="s">
        <v>52</v>
      </c>
      <c r="G56" s="831">
        <v>26</v>
      </c>
      <c r="H56" s="450">
        <v>26</v>
      </c>
      <c r="I56" s="450">
        <v>40</v>
      </c>
      <c r="J56" s="450">
        <v>40</v>
      </c>
      <c r="K56" s="804">
        <v>40</v>
      </c>
      <c r="L56" s="450">
        <v>40</v>
      </c>
      <c r="M56" s="450">
        <v>26</v>
      </c>
      <c r="N56" s="450">
        <v>40</v>
      </c>
      <c r="O56" s="450">
        <v>26</v>
      </c>
      <c r="P56" s="450">
        <v>40</v>
      </c>
      <c r="Q56" s="450">
        <v>13</v>
      </c>
      <c r="R56" s="450" t="s">
        <v>1173</v>
      </c>
      <c r="S56" s="787" t="s">
        <v>1173</v>
      </c>
      <c r="T56" s="846"/>
      <c r="U56" s="846"/>
      <c r="V56" s="846"/>
      <c r="W56" s="846"/>
      <c r="X56" s="846"/>
      <c r="Y56" s="846"/>
      <c r="Z56" s="846"/>
    </row>
    <row r="57" spans="3:27" s="10" customFormat="1" ht="15.75" customHeight="1" x14ac:dyDescent="0.25">
      <c r="C57" s="141">
        <v>20</v>
      </c>
      <c r="D57" s="141"/>
      <c r="E57" s="29" t="s">
        <v>18</v>
      </c>
      <c r="F57" s="429" t="s">
        <v>53</v>
      </c>
      <c r="G57" s="840" t="s">
        <v>450</v>
      </c>
      <c r="H57" s="784" t="s">
        <v>450</v>
      </c>
      <c r="I57" s="784" t="s">
        <v>450</v>
      </c>
      <c r="J57" s="784" t="s">
        <v>450</v>
      </c>
      <c r="K57" s="817" t="s">
        <v>188</v>
      </c>
      <c r="L57" s="793" t="s">
        <v>188</v>
      </c>
      <c r="M57" s="784" t="s">
        <v>450</v>
      </c>
      <c r="N57" s="784" t="s">
        <v>450</v>
      </c>
      <c r="O57" s="784" t="s">
        <v>450</v>
      </c>
      <c r="P57" s="784" t="s">
        <v>188</v>
      </c>
      <c r="Q57" s="784" t="s">
        <v>471</v>
      </c>
      <c r="R57" s="784" t="s">
        <v>1250</v>
      </c>
      <c r="S57" s="794" t="s">
        <v>324</v>
      </c>
      <c r="T57" s="846"/>
      <c r="U57" s="846"/>
      <c r="V57" s="846"/>
      <c r="W57" s="846"/>
      <c r="X57" s="846"/>
      <c r="Y57" s="846"/>
      <c r="Z57" s="846"/>
    </row>
    <row r="58" spans="3:27" s="10" customFormat="1" ht="15" customHeight="1" x14ac:dyDescent="0.25">
      <c r="C58" s="141">
        <v>21</v>
      </c>
      <c r="D58" s="141"/>
      <c r="E58" s="29" t="s">
        <v>20</v>
      </c>
      <c r="F58" s="425" t="s">
        <v>49</v>
      </c>
      <c r="G58" s="841">
        <v>0.6</v>
      </c>
      <c r="H58" s="457">
        <v>1</v>
      </c>
      <c r="I58" s="457">
        <v>0.6</v>
      </c>
      <c r="J58" s="457">
        <v>0.15</v>
      </c>
      <c r="K58" s="816">
        <v>0.32500000000000001</v>
      </c>
      <c r="L58" s="457">
        <v>0.54</v>
      </c>
      <c r="M58" s="457">
        <v>0.03</v>
      </c>
      <c r="N58" s="457">
        <v>1</v>
      </c>
      <c r="O58" s="457">
        <v>0.1</v>
      </c>
      <c r="P58" s="457">
        <v>1</v>
      </c>
      <c r="Q58" s="457">
        <v>0.01</v>
      </c>
      <c r="R58" s="457">
        <v>0.05</v>
      </c>
      <c r="S58" s="789">
        <v>0.35</v>
      </c>
      <c r="T58" s="846"/>
      <c r="U58" s="846"/>
      <c r="V58" s="846"/>
      <c r="W58" s="846"/>
      <c r="X58" s="846"/>
      <c r="Y58" s="846"/>
      <c r="Z58" s="846"/>
    </row>
    <row r="59" spans="3:27" s="10" customFormat="1" ht="18.75" customHeight="1" thickBot="1" x14ac:dyDescent="0.35">
      <c r="C59" s="39">
        <v>22</v>
      </c>
      <c r="D59" s="39"/>
      <c r="E59" s="34" t="s">
        <v>177</v>
      </c>
      <c r="F59" s="430" t="s">
        <v>51</v>
      </c>
      <c r="G59" s="842">
        <v>40</v>
      </c>
      <c r="H59" s="451">
        <v>40</v>
      </c>
      <c r="I59" s="451">
        <v>40</v>
      </c>
      <c r="J59" s="451">
        <v>26</v>
      </c>
      <c r="K59" s="818">
        <v>40</v>
      </c>
      <c r="L59" s="451">
        <v>26</v>
      </c>
      <c r="M59" s="451">
        <v>26</v>
      </c>
      <c r="N59" s="451">
        <v>13</v>
      </c>
      <c r="O59" s="451">
        <v>26</v>
      </c>
      <c r="P59" s="451">
        <v>13</v>
      </c>
      <c r="Q59" s="451">
        <v>40</v>
      </c>
      <c r="R59" s="451" t="s">
        <v>1173</v>
      </c>
      <c r="S59" s="795" t="s">
        <v>1255</v>
      </c>
      <c r="T59" s="846"/>
      <c r="U59" s="846"/>
      <c r="V59" s="846"/>
      <c r="W59" s="846"/>
      <c r="X59" s="846"/>
      <c r="Y59" s="846"/>
      <c r="Z59" s="846"/>
    </row>
    <row r="60" spans="3:27" x14ac:dyDescent="0.25">
      <c r="C60" s="1"/>
      <c r="D60" s="1"/>
      <c r="K60" s="796"/>
      <c r="N60" s="459"/>
      <c r="T60" s="409"/>
      <c r="U60" s="409"/>
      <c r="V60" s="409"/>
      <c r="W60" s="409"/>
      <c r="X60" s="409"/>
      <c r="Y60" s="409"/>
      <c r="Z60" s="409"/>
      <c r="AA60"/>
    </row>
    <row r="61" spans="3:27" x14ac:dyDescent="0.25">
      <c r="E61" s="108" t="s">
        <v>58</v>
      </c>
      <c r="F61" s="135" t="s">
        <v>58</v>
      </c>
      <c r="G61" s="459">
        <f t="shared" ref="G61:N61" si="12">G9</f>
        <v>1</v>
      </c>
      <c r="H61" s="459">
        <f t="shared" si="12"/>
        <v>2</v>
      </c>
      <c r="I61" s="459">
        <f t="shared" si="12"/>
        <v>3</v>
      </c>
      <c r="J61" s="459">
        <f t="shared" si="12"/>
        <v>4</v>
      </c>
      <c r="K61" s="459">
        <f t="shared" si="12"/>
        <v>5</v>
      </c>
      <c r="L61" s="459">
        <f t="shared" si="12"/>
        <v>6</v>
      </c>
      <c r="M61" s="459">
        <f t="shared" si="12"/>
        <v>7</v>
      </c>
      <c r="N61" s="459">
        <f t="shared" si="12"/>
        <v>8</v>
      </c>
      <c r="O61" s="459">
        <f t="shared" ref="O61" si="13">O9</f>
        <v>9</v>
      </c>
      <c r="P61" s="459">
        <f t="shared" ref="P61:Q61" si="14">P9</f>
        <v>10</v>
      </c>
      <c r="Q61" s="459">
        <f t="shared" si="14"/>
        <v>11</v>
      </c>
      <c r="R61" s="459">
        <f t="shared" ref="R61:S61" si="15">R9</f>
        <v>12</v>
      </c>
      <c r="S61" s="459">
        <f t="shared" si="15"/>
        <v>13</v>
      </c>
      <c r="T61" s="409"/>
      <c r="U61" s="409"/>
      <c r="V61" s="409"/>
      <c r="W61" s="409"/>
      <c r="X61" s="409"/>
      <c r="Y61" s="409"/>
      <c r="Z61" s="409"/>
      <c r="AA61"/>
    </row>
    <row r="62" spans="3:27" ht="34.5" customHeight="1" thickBot="1" x14ac:dyDescent="0.3">
      <c r="E62" s="108" t="s">
        <v>240</v>
      </c>
      <c r="F62" s="135" t="s">
        <v>240</v>
      </c>
      <c r="G62" s="819" t="str">
        <f t="shared" ref="G62:N62" si="16">G12</f>
        <v>Subdelegacion Río Mendoza</v>
      </c>
      <c r="H62" s="819" t="str">
        <f t="shared" si="16"/>
        <v>Subdelegacion Río Mendoza</v>
      </c>
      <c r="I62" s="819" t="str">
        <f t="shared" si="16"/>
        <v>Subdelegacion Río Mendoza</v>
      </c>
      <c r="J62" s="819" t="str">
        <f t="shared" si="16"/>
        <v>Rama Algarrobal y C.D. Unif.</v>
      </c>
      <c r="K62" s="819" t="str">
        <f t="shared" si="16"/>
        <v>Rama Luján Sur Unificada</v>
      </c>
      <c r="L62" s="819" t="str">
        <f t="shared" si="16"/>
        <v>Rama Luján Oeste Unificada</v>
      </c>
      <c r="M62" s="819" t="str">
        <f t="shared" si="16"/>
        <v>San Alberto y Uspallata</v>
      </c>
      <c r="N62" s="819" t="str">
        <f t="shared" si="16"/>
        <v>Subdelegacion Río Mendoza</v>
      </c>
      <c r="O62" s="819" t="str">
        <f t="shared" ref="O62" si="17">O12</f>
        <v xml:space="preserve">Canal Céspedes Unif. </v>
      </c>
      <c r="P62" s="819" t="str">
        <f t="shared" ref="P62:Q62" si="18">P12</f>
        <v>Subdelegacion Río Mendoza</v>
      </c>
      <c r="Q62" s="819" t="str">
        <f t="shared" si="18"/>
        <v>R. La Primavera Pedregal</v>
      </c>
      <c r="R62" s="819" t="str">
        <f t="shared" ref="R62:S62" si="19">R12</f>
        <v>Hij. Santa Rita Unif.</v>
      </c>
      <c r="S62" s="819" t="str">
        <f t="shared" si="19"/>
        <v>Hij. Morales Villanueva Unif.</v>
      </c>
      <c r="T62" s="409"/>
      <c r="U62" s="409"/>
      <c r="V62" s="409"/>
      <c r="W62" s="409"/>
      <c r="X62" s="409"/>
      <c r="Y62" s="409"/>
      <c r="Z62" s="409"/>
      <c r="AA62"/>
    </row>
    <row r="63" spans="3:27" ht="18.75" x14ac:dyDescent="0.25">
      <c r="C63" s="139" t="s">
        <v>271</v>
      </c>
      <c r="D63" s="1053" t="s">
        <v>97</v>
      </c>
      <c r="E63" s="1054"/>
      <c r="F63" s="135" t="s">
        <v>141</v>
      </c>
      <c r="G63" s="820">
        <f t="shared" ref="G63:M63" si="20">G58</f>
        <v>0.6</v>
      </c>
      <c r="H63" s="820">
        <f>H58</f>
        <v>1</v>
      </c>
      <c r="I63" s="820">
        <f>I58</f>
        <v>0.6</v>
      </c>
      <c r="J63" s="820">
        <f t="shared" si="20"/>
        <v>0.15</v>
      </c>
      <c r="K63" s="820">
        <f t="shared" si="20"/>
        <v>0.32500000000000001</v>
      </c>
      <c r="L63" s="820">
        <f t="shared" si="20"/>
        <v>0.54</v>
      </c>
      <c r="M63" s="820">
        <f t="shared" si="20"/>
        <v>0.03</v>
      </c>
      <c r="N63" s="820">
        <f>N58</f>
        <v>1</v>
      </c>
      <c r="O63" s="820">
        <f t="shared" ref="O63" si="21">O58</f>
        <v>0.1</v>
      </c>
      <c r="P63" s="820">
        <f t="shared" ref="P63:Q63" si="22">P58</f>
        <v>1</v>
      </c>
      <c r="Q63" s="820">
        <f t="shared" si="22"/>
        <v>0.01</v>
      </c>
      <c r="R63" s="820">
        <f t="shared" ref="R63:S63" si="23">R58</f>
        <v>0.05</v>
      </c>
      <c r="S63" s="820">
        <f t="shared" si="23"/>
        <v>0.35</v>
      </c>
      <c r="T63" s="849"/>
      <c r="U63" s="849"/>
      <c r="V63" s="849"/>
      <c r="W63" s="137">
        <f t="shared" ref="W63:W74" si="24">MAX(G63:S63)</f>
        <v>1</v>
      </c>
      <c r="X63" s="138">
        <f t="shared" ref="X63:X74" si="25">+MIN(G63:S63)</f>
        <v>0.01</v>
      </c>
      <c r="Y63" s="409"/>
      <c r="Z63" s="409"/>
      <c r="AA63"/>
    </row>
    <row r="64" spans="3:27" ht="18.75" x14ac:dyDescent="0.25">
      <c r="C64" s="139" t="s">
        <v>272</v>
      </c>
      <c r="D64" s="1053" t="s">
        <v>102</v>
      </c>
      <c r="E64" s="1054"/>
      <c r="F64" s="107" t="s">
        <v>241</v>
      </c>
      <c r="G64" s="821">
        <f t="shared" ref="G64:N64" si="26">+G37/G16</f>
        <v>113.98305084745763</v>
      </c>
      <c r="H64" s="821">
        <f t="shared" si="26"/>
        <v>190.47619047619048</v>
      </c>
      <c r="I64" s="821">
        <f>+I37/I16</f>
        <v>84.745762711864401</v>
      </c>
      <c r="J64" s="821">
        <f t="shared" si="26"/>
        <v>1190.4761904761904</v>
      </c>
      <c r="K64" s="821">
        <f t="shared" si="26"/>
        <v>2817.7762525737817</v>
      </c>
      <c r="L64" s="821">
        <f t="shared" si="26"/>
        <v>5891.9803600654668</v>
      </c>
      <c r="M64" s="821">
        <f t="shared" si="26"/>
        <v>1349.4517852122576</v>
      </c>
      <c r="N64" s="821">
        <f t="shared" si="26"/>
        <v>76.92307692307692</v>
      </c>
      <c r="O64" s="821">
        <f t="shared" ref="O64:Q64" si="27">+O37/O16</f>
        <v>5714.2857142857147</v>
      </c>
      <c r="P64" s="821">
        <f t="shared" si="27"/>
        <v>113.63636363636364</v>
      </c>
      <c r="Q64" s="821">
        <f t="shared" si="27"/>
        <v>3750</v>
      </c>
      <c r="R64" s="821">
        <f t="shared" ref="R64:S64" si="28">+R37/R16</f>
        <v>1600</v>
      </c>
      <c r="S64" s="821">
        <f t="shared" si="28"/>
        <v>5853.6585365853662</v>
      </c>
      <c r="T64" s="409"/>
      <c r="U64" s="409"/>
      <c r="V64" s="409"/>
      <c r="W64" s="126">
        <f t="shared" si="24"/>
        <v>5891.9803600654668</v>
      </c>
      <c r="X64" s="127">
        <f t="shared" si="25"/>
        <v>76.92307692307692</v>
      </c>
      <c r="Y64" s="409"/>
      <c r="Z64" s="409"/>
      <c r="AA64"/>
    </row>
    <row r="65" spans="3:27" ht="18.75" x14ac:dyDescent="0.25">
      <c r="C65" s="139" t="s">
        <v>273</v>
      </c>
      <c r="D65" s="1053" t="s">
        <v>106</v>
      </c>
      <c r="E65" s="1054"/>
      <c r="F65" s="107" t="s">
        <v>242</v>
      </c>
      <c r="G65" s="821">
        <f t="shared" ref="G65:N65" si="29">+G37/G17</f>
        <v>1120.8333333333333</v>
      </c>
      <c r="H65" s="821">
        <f t="shared" si="29"/>
        <v>1538.4615384615386</v>
      </c>
      <c r="I65" s="821">
        <f>+I37/I17</f>
        <v>833.33333333333337</v>
      </c>
      <c r="J65" s="821">
        <f t="shared" si="29"/>
        <v>3180.6615776081426</v>
      </c>
      <c r="K65" s="821">
        <f t="shared" si="29"/>
        <v>23594.827586206895</v>
      </c>
      <c r="L65" s="821">
        <f t="shared" si="29"/>
        <v>2423.8343713179597</v>
      </c>
      <c r="M65" s="821">
        <f t="shared" si="29"/>
        <v>6539.5095367847407</v>
      </c>
      <c r="N65" s="821">
        <f t="shared" si="29"/>
        <v>666.66666666666663</v>
      </c>
      <c r="O65" s="821">
        <f t="shared" ref="O65" si="30">+O37/O17</f>
        <v>11428.571428571429</v>
      </c>
      <c r="P65" s="821">
        <f t="shared" ref="P65:Q65" si="31">+P37/P17</f>
        <v>833.33333333333337</v>
      </c>
      <c r="Q65" s="821">
        <f t="shared" si="31"/>
        <v>12000</v>
      </c>
      <c r="R65" s="821">
        <f t="shared" ref="R65:S65" si="32">+R37/R17</f>
        <v>14285.714285714286</v>
      </c>
      <c r="S65" s="821">
        <f t="shared" si="32"/>
        <v>5714.2857142857147</v>
      </c>
      <c r="T65" s="409"/>
      <c r="U65" s="409"/>
      <c r="V65" s="409"/>
      <c r="W65" s="126">
        <f t="shared" si="24"/>
        <v>23594.827586206895</v>
      </c>
      <c r="X65" s="127">
        <f t="shared" si="25"/>
        <v>666.66666666666663</v>
      </c>
      <c r="Y65" s="409"/>
      <c r="Z65" s="409"/>
      <c r="AA65"/>
    </row>
    <row r="66" spans="3:27" ht="19.5" thickBot="1" x14ac:dyDescent="0.3">
      <c r="C66" s="139" t="s">
        <v>274</v>
      </c>
      <c r="D66" s="1053" t="s">
        <v>108</v>
      </c>
      <c r="E66" s="1054"/>
      <c r="F66" s="107" t="s">
        <v>243</v>
      </c>
      <c r="G66" s="821"/>
      <c r="H66" s="821"/>
      <c r="I66" s="821"/>
      <c r="J66" s="821">
        <f>+J37/(10000*J26*J18)</f>
        <v>87.068609546247799</v>
      </c>
      <c r="K66" s="821">
        <f t="shared" ref="K66:O66" si="33">+K37/(10000*K26*K18)</f>
        <v>72.508884553483071</v>
      </c>
      <c r="L66" s="821">
        <f t="shared" si="33"/>
        <v>166.87531202336743</v>
      </c>
      <c r="M66" s="821">
        <f t="shared" si="33"/>
        <v>8.1243440888330944</v>
      </c>
      <c r="N66" s="821"/>
      <c r="O66" s="821">
        <f t="shared" si="33"/>
        <v>60.68977839227324</v>
      </c>
      <c r="P66" s="821">
        <f t="shared" ref="P66" si="34">+P37/(10000*P26*P18)</f>
        <v>0.62090146936150414</v>
      </c>
      <c r="Q66" s="821"/>
      <c r="R66" s="821">
        <f t="shared" ref="R66:S66" si="35">+R37/(10000*R26*R18)</f>
        <v>54.387313275741917</v>
      </c>
      <c r="S66" s="821">
        <f t="shared" si="35"/>
        <v>83.45822698898138</v>
      </c>
      <c r="T66" s="409"/>
      <c r="U66" s="409"/>
      <c r="V66" s="409"/>
      <c r="W66" s="126">
        <f t="shared" si="24"/>
        <v>166.87531202336743</v>
      </c>
      <c r="X66" s="127">
        <f t="shared" si="25"/>
        <v>0.62090146936150414</v>
      </c>
      <c r="Y66" s="409"/>
      <c r="Z66" s="409"/>
      <c r="AA66"/>
    </row>
    <row r="67" spans="3:27" ht="18.75" x14ac:dyDescent="0.25">
      <c r="C67" s="139" t="s">
        <v>279</v>
      </c>
      <c r="D67" s="1053" t="s">
        <v>238</v>
      </c>
      <c r="E67" s="1054"/>
      <c r="F67" s="107" t="s">
        <v>146</v>
      </c>
      <c r="G67" s="822">
        <f t="shared" ref="G67:N67" si="36">(G39+G40)/2</f>
        <v>0.83399999999999996</v>
      </c>
      <c r="H67" s="822">
        <f t="shared" si="36"/>
        <v>0.83399999999999996</v>
      </c>
      <c r="I67" s="822">
        <f>(I39+I40)/2</f>
        <v>0.83399999999999996</v>
      </c>
      <c r="J67" s="822">
        <f t="shared" si="36"/>
        <v>0.6</v>
      </c>
      <c r="K67" s="822">
        <f t="shared" si="36"/>
        <v>0.72249999999999992</v>
      </c>
      <c r="L67" s="822">
        <f t="shared" si="36"/>
        <v>0.68500000000000005</v>
      </c>
      <c r="M67" s="822">
        <f t="shared" si="36"/>
        <v>0.63</v>
      </c>
      <c r="N67" s="822">
        <f t="shared" si="36"/>
        <v>0.83399999999999996</v>
      </c>
      <c r="O67" s="822">
        <f t="shared" ref="O67" si="37">(O39+O40)/2</f>
        <v>0.76500000000000001</v>
      </c>
      <c r="P67" s="822">
        <f t="shared" ref="P67:Q67" si="38">(P39+P40)/2</f>
        <v>0.83399999999999996</v>
      </c>
      <c r="Q67" s="822">
        <f t="shared" si="38"/>
        <v>0.6</v>
      </c>
      <c r="R67" s="822">
        <f t="shared" ref="R67:S67" si="39">(R39+R40)/2</f>
        <v>0.51500000000000001</v>
      </c>
      <c r="S67" s="822">
        <f t="shared" si="39"/>
        <v>0.65</v>
      </c>
      <c r="T67" s="409"/>
      <c r="U67" s="409"/>
      <c r="V67" s="409"/>
      <c r="W67" s="125">
        <f t="shared" si="24"/>
        <v>0.83399999999999996</v>
      </c>
      <c r="X67" s="128">
        <f t="shared" si="25"/>
        <v>0.51500000000000001</v>
      </c>
      <c r="Y67" s="409"/>
      <c r="Z67" s="409"/>
      <c r="AA67"/>
    </row>
    <row r="68" spans="3:27" ht="18.75" x14ac:dyDescent="0.25">
      <c r="C68" s="139" t="s">
        <v>47</v>
      </c>
      <c r="D68" s="1053" t="s">
        <v>113</v>
      </c>
      <c r="E68" s="1054"/>
      <c r="F68" s="107" t="s">
        <v>147</v>
      </c>
      <c r="G68" s="823">
        <f t="shared" ref="G68:N68" si="40">+G53</f>
        <v>5779681042.8182163</v>
      </c>
      <c r="H68" s="823">
        <f t="shared" si="40"/>
        <v>2057174608.460721</v>
      </c>
      <c r="I68" s="823">
        <f>+I53</f>
        <v>5779681042.8182163</v>
      </c>
      <c r="J68" s="823">
        <f t="shared" si="40"/>
        <v>226840061.53846154</v>
      </c>
      <c r="K68" s="823">
        <f t="shared" si="40"/>
        <v>314742054.70852017</v>
      </c>
      <c r="L68" s="823">
        <v>6142135833.3736935</v>
      </c>
      <c r="M68" s="823">
        <f t="shared" si="40"/>
        <v>313416578.03738314</v>
      </c>
      <c r="N68" s="823">
        <f t="shared" si="40"/>
        <v>2778824410.8816605</v>
      </c>
      <c r="O68" s="823">
        <f t="shared" ref="O68" si="41">+O53</f>
        <v>78142374.429223746</v>
      </c>
      <c r="P68" s="823">
        <f t="shared" ref="P68:Q68" si="42">+P53</f>
        <v>2351312963.0537124</v>
      </c>
      <c r="Q68" s="823">
        <f t="shared" si="42"/>
        <v>93023101.754385963</v>
      </c>
      <c r="R68" s="823">
        <f t="shared" ref="R68:S68" si="43">+R53</f>
        <v>207732350.49833885</v>
      </c>
      <c r="S68" s="823">
        <f t="shared" si="43"/>
        <v>53334344.563552827</v>
      </c>
      <c r="T68" s="409"/>
      <c r="U68" s="409"/>
      <c r="V68" s="409"/>
      <c r="W68" s="126">
        <f t="shared" si="24"/>
        <v>6142135833.3736935</v>
      </c>
      <c r="X68" s="129">
        <f t="shared" si="25"/>
        <v>53334344.563552827</v>
      </c>
      <c r="Y68" s="409"/>
      <c r="Z68" s="409"/>
      <c r="AA68"/>
    </row>
    <row r="69" spans="3:27" ht="18.75" x14ac:dyDescent="0.25">
      <c r="C69" s="139" t="s">
        <v>283</v>
      </c>
      <c r="D69" s="1053" t="s">
        <v>117</v>
      </c>
      <c r="E69" s="1054"/>
      <c r="F69" s="107" t="s">
        <v>118</v>
      </c>
      <c r="G69" s="459">
        <f>VLOOKUP(G62,'CALIF HTA'!$A$46:$B$98,2,"FALSO")</f>
        <v>75.836538461538495</v>
      </c>
      <c r="H69" s="459">
        <f>VLOOKUP(H62,'CALIF HTA'!$A$46:$B$98,2,"FALSO")</f>
        <v>75.836538461538495</v>
      </c>
      <c r="I69" s="459">
        <f>VLOOKUP(I62,'CALIF HTA'!$A$46:$B$98,2,"FALSO")</f>
        <v>75.836538461538495</v>
      </c>
      <c r="J69" s="459">
        <f>VLOOKUP(J62,'CALIF HTA'!$A$46:$B$98,2,"FALSO")</f>
        <v>71</v>
      </c>
      <c r="K69" s="459">
        <f>VLOOKUP(K62,'CALIF HTA'!$A$46:$B$98,2,"FALSO")</f>
        <v>81</v>
      </c>
      <c r="L69" s="459">
        <f>VLOOKUP(L62,'CALIF HTA'!$A$46:$B$98,2,"FALSO")</f>
        <v>84</v>
      </c>
      <c r="M69" s="459">
        <f>VLOOKUP(M62,'CALIF HTA'!$A$46:$B$98,2,"FALSO")</f>
        <v>71</v>
      </c>
      <c r="N69" s="459">
        <f>VLOOKUP(N62,'CALIF HTA'!$A$46:$B$98,2,"FALSO")</f>
        <v>75.836538461538495</v>
      </c>
      <c r="O69" s="459">
        <f>VLOOKUP(O62,'CALIF HTA'!$A$46:$B$98,2,"FALSO")</f>
        <v>83</v>
      </c>
      <c r="P69" s="459">
        <f>VLOOKUP(P62,'CALIF HTA'!$A$46:$B$98,2,"FALSO")</f>
        <v>75.836538461538495</v>
      </c>
      <c r="Q69" s="459">
        <f>VLOOKUP(Q62,'CALIF HTA'!$A$46:$B$98,2,"FALSO")</f>
        <v>84</v>
      </c>
      <c r="R69" s="459">
        <f>VLOOKUP(R62,'CALIF HTA'!$A$46:$B$98,2,"FALSO")</f>
        <v>78</v>
      </c>
      <c r="S69" s="459">
        <f>VLOOKUP(S62,'CALIF HTA'!$A$46:$B$98,2,"FALSO")</f>
        <v>72</v>
      </c>
      <c r="T69" s="409"/>
      <c r="U69" s="409"/>
      <c r="V69" s="409"/>
      <c r="W69" s="130">
        <f t="shared" si="24"/>
        <v>84</v>
      </c>
      <c r="X69" s="131">
        <f t="shared" si="25"/>
        <v>71</v>
      </c>
      <c r="Y69" s="409"/>
      <c r="Z69" s="409"/>
      <c r="AA69"/>
    </row>
    <row r="70" spans="3:27" ht="18.75" x14ac:dyDescent="0.25">
      <c r="C70" s="139" t="s">
        <v>285</v>
      </c>
      <c r="D70" s="1053" t="s">
        <v>122</v>
      </c>
      <c r="E70" s="1054"/>
      <c r="F70" s="107" t="s">
        <v>270</v>
      </c>
      <c r="G70" s="822">
        <f t="shared" ref="G70:N70" si="44">+G37/G41</f>
        <v>7.0052083333333334E-2</v>
      </c>
      <c r="H70" s="822">
        <f t="shared" si="44"/>
        <v>4.1666666666666664E-2</v>
      </c>
      <c r="I70" s="822">
        <f>+I37/I41</f>
        <v>5.2083333333333336E-2</v>
      </c>
      <c r="J70" s="822">
        <f t="shared" si="44"/>
        <v>1.0415013283307941</v>
      </c>
      <c r="K70" s="822">
        <f t="shared" si="44"/>
        <v>1.3583126550868487</v>
      </c>
      <c r="L70" s="822">
        <f t="shared" si="44"/>
        <v>0.19523835348988558</v>
      </c>
      <c r="M70" s="822">
        <f t="shared" si="44"/>
        <v>1.1175785797438882</v>
      </c>
      <c r="N70" s="822">
        <f t="shared" si="44"/>
        <v>2.0833333333333332E-2</v>
      </c>
      <c r="O70" s="822">
        <f t="shared" ref="O70" si="45">+O37/O41</f>
        <v>1.0278971280554241</v>
      </c>
      <c r="P70" s="822">
        <f t="shared" ref="P70" si="46">+P37/P41</f>
        <v>2.6041666666666668E-2</v>
      </c>
      <c r="Q70" s="822">
        <f>+Q37/Q41</f>
        <v>0.95099220186394473</v>
      </c>
      <c r="R70" s="822">
        <f t="shared" ref="R70" si="47">+R37/R41</f>
        <v>0.83333333333333337</v>
      </c>
      <c r="S70" s="878">
        <f>+S37/S41</f>
        <v>0.68698245532681901</v>
      </c>
      <c r="T70" s="409"/>
      <c r="U70" s="409"/>
      <c r="V70" s="409"/>
      <c r="W70" s="132">
        <f t="shared" si="24"/>
        <v>1.3583126550868487</v>
      </c>
      <c r="X70" s="128">
        <f t="shared" si="25"/>
        <v>2.0833333333333332E-2</v>
      </c>
      <c r="Y70" s="409"/>
      <c r="Z70" s="409"/>
      <c r="AA70"/>
    </row>
    <row r="71" spans="3:27" ht="18.75" x14ac:dyDescent="0.25">
      <c r="C71" s="139" t="s">
        <v>288</v>
      </c>
      <c r="D71" s="1053" t="s">
        <v>126</v>
      </c>
      <c r="E71" s="1054"/>
      <c r="F71" s="107" t="s">
        <v>149</v>
      </c>
      <c r="G71" s="459">
        <f t="shared" ref="G71:N71" si="48">+G59</f>
        <v>40</v>
      </c>
      <c r="H71" s="459">
        <f t="shared" si="48"/>
        <v>40</v>
      </c>
      <c r="I71" s="459">
        <f>+I59</f>
        <v>40</v>
      </c>
      <c r="J71" s="459">
        <f t="shared" si="48"/>
        <v>26</v>
      </c>
      <c r="K71" s="459">
        <f t="shared" si="48"/>
        <v>40</v>
      </c>
      <c r="L71" s="459">
        <f t="shared" si="48"/>
        <v>26</v>
      </c>
      <c r="M71" s="459">
        <f t="shared" si="48"/>
        <v>26</v>
      </c>
      <c r="N71" s="459">
        <f t="shared" si="48"/>
        <v>13</v>
      </c>
      <c r="O71" s="459">
        <f t="shared" ref="O71" si="49">+O59</f>
        <v>26</v>
      </c>
      <c r="P71" s="459">
        <f t="shared" ref="P71:Q71" si="50">+P59</f>
        <v>13</v>
      </c>
      <c r="Q71" s="459">
        <f t="shared" si="50"/>
        <v>40</v>
      </c>
      <c r="R71" s="459" t="str">
        <f t="shared" ref="R71:S71" si="51">+R59</f>
        <v>medio</v>
      </c>
      <c r="S71" s="459" t="str">
        <f t="shared" si="51"/>
        <v>alta</v>
      </c>
      <c r="T71" s="409"/>
      <c r="U71" s="409"/>
      <c r="V71" s="409"/>
      <c r="W71" s="130">
        <f t="shared" si="24"/>
        <v>40</v>
      </c>
      <c r="X71" s="131">
        <f t="shared" si="25"/>
        <v>13</v>
      </c>
      <c r="Y71" s="409"/>
      <c r="Z71" s="409"/>
      <c r="AA71"/>
    </row>
    <row r="72" spans="3:27" ht="18.75" x14ac:dyDescent="0.25">
      <c r="C72" s="139" t="s">
        <v>289</v>
      </c>
      <c r="D72" s="1053" t="s">
        <v>129</v>
      </c>
      <c r="E72" s="1054"/>
      <c r="F72" s="107" t="s">
        <v>150</v>
      </c>
      <c r="G72" s="459">
        <f t="shared" ref="G72:N72" si="52">+G43*$F$43+G44*$F$44+G45*$F$45+G46*$F$46</f>
        <v>40</v>
      </c>
      <c r="H72" s="459">
        <f t="shared" si="52"/>
        <v>26</v>
      </c>
      <c r="I72" s="459">
        <f>+I43*$F$43+I44*$F$44+I45*$F$45+I46*$F$46</f>
        <v>26</v>
      </c>
      <c r="J72" s="459">
        <f t="shared" si="52"/>
        <v>26</v>
      </c>
      <c r="K72" s="459">
        <f t="shared" si="52"/>
        <v>20.8</v>
      </c>
      <c r="L72" s="459">
        <f t="shared" si="52"/>
        <v>26</v>
      </c>
      <c r="M72" s="459">
        <f t="shared" si="52"/>
        <v>26</v>
      </c>
      <c r="N72" s="459">
        <f t="shared" si="52"/>
        <v>26</v>
      </c>
      <c r="O72" s="459">
        <f t="shared" ref="O72" si="53">+O43*$F$43+O44*$F$44+O45*$F$45+O46*$F$46</f>
        <v>13</v>
      </c>
      <c r="P72" s="459">
        <f t="shared" ref="P72:Q72" si="54">+P43*$F$43+P44*$F$44+P45*$F$45+P46*$F$46</f>
        <v>26</v>
      </c>
      <c r="Q72" s="459">
        <f t="shared" si="54"/>
        <v>13</v>
      </c>
      <c r="R72" s="459">
        <f t="shared" ref="R72:S72" si="55">+R43*$F$43+R44*$F$44+R45*$F$45+R46*$F$46</f>
        <v>26</v>
      </c>
      <c r="S72" s="459">
        <f t="shared" si="55"/>
        <v>40</v>
      </c>
      <c r="T72" s="409"/>
      <c r="U72" s="409"/>
      <c r="V72" s="409"/>
      <c r="W72" s="130">
        <f t="shared" si="24"/>
        <v>40</v>
      </c>
      <c r="X72" s="131">
        <f t="shared" si="25"/>
        <v>13</v>
      </c>
      <c r="Y72" s="409"/>
      <c r="Z72" s="409"/>
      <c r="AA72"/>
    </row>
    <row r="73" spans="3:27" ht="18.75" x14ac:dyDescent="0.25">
      <c r="C73" s="139" t="s">
        <v>291</v>
      </c>
      <c r="D73" s="1053" t="s">
        <v>133</v>
      </c>
      <c r="E73" s="1054"/>
      <c r="F73" s="107" t="s">
        <v>151</v>
      </c>
      <c r="G73" s="459">
        <f t="shared" ref="G73:N73" si="56">+G48*$F$48+G49*$F$49+G50*$F$50+G51*$F$51</f>
        <v>40</v>
      </c>
      <c r="H73" s="459">
        <f t="shared" si="56"/>
        <v>40</v>
      </c>
      <c r="I73" s="459">
        <f>+I48*$F$48+I49*$F$49+I50*$F$50+I51*$F$51</f>
        <v>40</v>
      </c>
      <c r="J73" s="459">
        <f t="shared" si="56"/>
        <v>26</v>
      </c>
      <c r="K73" s="459">
        <f t="shared" si="56"/>
        <v>26</v>
      </c>
      <c r="L73" s="459">
        <f t="shared" si="56"/>
        <v>13</v>
      </c>
      <c r="M73" s="459">
        <f t="shared" si="56"/>
        <v>40</v>
      </c>
      <c r="N73" s="459">
        <f t="shared" si="56"/>
        <v>40</v>
      </c>
      <c r="O73" s="459">
        <f t="shared" ref="O73" si="57">+O48*$F$48+O49*$F$49+O50*$F$50+O51*$F$51</f>
        <v>26</v>
      </c>
      <c r="P73" s="459">
        <f t="shared" ref="P73:Q73" si="58">+P48*$F$48+P49*$F$49+P50*$F$50+P51*$F$51</f>
        <v>40</v>
      </c>
      <c r="Q73" s="459">
        <f t="shared" si="58"/>
        <v>26</v>
      </c>
      <c r="R73" s="459">
        <f t="shared" ref="R73:S73" si="59">+R48*$F$48+R49*$F$49+R50*$F$50+R51*$F$51</f>
        <v>26</v>
      </c>
      <c r="S73" s="459">
        <f t="shared" si="59"/>
        <v>26</v>
      </c>
      <c r="T73" s="409"/>
      <c r="U73" s="409"/>
      <c r="V73" s="409"/>
      <c r="W73" s="130">
        <f t="shared" si="24"/>
        <v>40</v>
      </c>
      <c r="X73" s="131">
        <f t="shared" si="25"/>
        <v>13</v>
      </c>
      <c r="Y73" s="409"/>
      <c r="Z73" s="409"/>
      <c r="AA73"/>
    </row>
    <row r="74" spans="3:27" ht="19.5" thickBot="1" x14ac:dyDescent="0.3">
      <c r="C74" s="139" t="s">
        <v>293</v>
      </c>
      <c r="D74" s="1053" t="s">
        <v>137</v>
      </c>
      <c r="E74" s="1054"/>
      <c r="F74" s="107" t="s">
        <v>149</v>
      </c>
      <c r="G74" s="459">
        <f t="shared" ref="G74:N74" si="60">+G59</f>
        <v>40</v>
      </c>
      <c r="H74" s="459">
        <f t="shared" si="60"/>
        <v>40</v>
      </c>
      <c r="I74" s="459">
        <f>+I59</f>
        <v>40</v>
      </c>
      <c r="J74" s="459">
        <f t="shared" si="60"/>
        <v>26</v>
      </c>
      <c r="K74" s="459">
        <f t="shared" si="60"/>
        <v>40</v>
      </c>
      <c r="L74" s="459">
        <f t="shared" si="60"/>
        <v>26</v>
      </c>
      <c r="M74" s="459">
        <f t="shared" si="60"/>
        <v>26</v>
      </c>
      <c r="N74" s="459">
        <f t="shared" si="60"/>
        <v>13</v>
      </c>
      <c r="O74" s="459">
        <f t="shared" ref="O74" si="61">+O59</f>
        <v>26</v>
      </c>
      <c r="P74" s="459">
        <f t="shared" ref="P74:Q74" si="62">+P59</f>
        <v>13</v>
      </c>
      <c r="Q74" s="459">
        <f t="shared" si="62"/>
        <v>40</v>
      </c>
      <c r="R74" s="459" t="str">
        <f t="shared" ref="R74:S74" si="63">+R59</f>
        <v>medio</v>
      </c>
      <c r="S74" s="459" t="str">
        <f t="shared" si="63"/>
        <v>alta</v>
      </c>
      <c r="T74" s="409"/>
      <c r="U74" s="409"/>
      <c r="V74" s="409"/>
      <c r="W74" s="133">
        <f t="shared" si="24"/>
        <v>40</v>
      </c>
      <c r="X74" s="134">
        <f t="shared" si="25"/>
        <v>13</v>
      </c>
      <c r="Y74" s="409"/>
      <c r="Z74" s="409"/>
      <c r="AA74"/>
    </row>
    <row r="75" spans="3:27" x14ac:dyDescent="0.25">
      <c r="K75" s="796"/>
      <c r="N75" s="459"/>
      <c r="T75" s="409"/>
      <c r="U75" s="409"/>
      <c r="V75" s="409"/>
      <c r="W75" s="409"/>
      <c r="X75" s="409"/>
      <c r="Y75" s="409"/>
      <c r="Z75" s="409"/>
      <c r="AA75"/>
    </row>
    <row r="76" spans="3:27" x14ac:dyDescent="0.25">
      <c r="K76" s="796"/>
      <c r="N76" s="459"/>
      <c r="T76" s="409"/>
      <c r="U76" s="409"/>
      <c r="V76" s="409"/>
      <c r="W76" s="409"/>
      <c r="X76" s="409"/>
      <c r="Y76" s="409"/>
      <c r="Z76" s="409"/>
      <c r="AA76"/>
    </row>
    <row r="77" spans="3:27" s="109" customFormat="1" ht="57" customHeight="1" x14ac:dyDescent="0.25">
      <c r="D77" s="109">
        <v>1</v>
      </c>
      <c r="E77" s="140" t="s">
        <v>280</v>
      </c>
      <c r="G77" s="824">
        <f t="shared" ref="G77:S77" si="64">100*((($W63-G63)/($W63-$X63)))</f>
        <v>40.404040404040408</v>
      </c>
      <c r="H77" s="824">
        <f t="shared" si="64"/>
        <v>0</v>
      </c>
      <c r="I77" s="824">
        <f t="shared" si="64"/>
        <v>40.404040404040408</v>
      </c>
      <c r="J77" s="824">
        <f t="shared" si="64"/>
        <v>85.858585858585855</v>
      </c>
      <c r="K77" s="824">
        <f t="shared" si="64"/>
        <v>68.181818181818187</v>
      </c>
      <c r="L77" s="824">
        <f t="shared" si="64"/>
        <v>46.464646464646464</v>
      </c>
      <c r="M77" s="824">
        <f t="shared" si="64"/>
        <v>97.979797979797979</v>
      </c>
      <c r="N77" s="824">
        <f t="shared" si="64"/>
        <v>0</v>
      </c>
      <c r="O77" s="824">
        <f t="shared" si="64"/>
        <v>90.909090909090921</v>
      </c>
      <c r="P77" s="824">
        <f t="shared" si="64"/>
        <v>0</v>
      </c>
      <c r="Q77" s="824">
        <f t="shared" si="64"/>
        <v>100</v>
      </c>
      <c r="R77" s="824">
        <f t="shared" si="64"/>
        <v>95.959595959595958</v>
      </c>
      <c r="S77" s="824">
        <f t="shared" si="64"/>
        <v>65.656565656565661</v>
      </c>
      <c r="T77" s="535"/>
      <c r="U77" s="535"/>
      <c r="V77" s="535"/>
      <c r="W77" s="535"/>
      <c r="X77" s="535"/>
      <c r="Y77" s="535"/>
      <c r="Z77" s="535"/>
    </row>
    <row r="78" spans="3:27" ht="45.75" customHeight="1" x14ac:dyDescent="0.25">
      <c r="D78" s="109">
        <v>2</v>
      </c>
      <c r="E78" s="140" t="s">
        <v>275</v>
      </c>
      <c r="F78"/>
      <c r="G78" s="824">
        <f t="shared" ref="G78:S78" si="65">100*(1-(($X64-G64)/($X64-$W64)))</f>
        <v>99.362689443630828</v>
      </c>
      <c r="H78" s="824">
        <f t="shared" si="65"/>
        <v>98.047257180384122</v>
      </c>
      <c r="I78" s="824">
        <f t="shared" si="65"/>
        <v>99.865475344302027</v>
      </c>
      <c r="J78" s="824">
        <f t="shared" si="65"/>
        <v>80.850522026992607</v>
      </c>
      <c r="K78" s="824">
        <f t="shared" si="65"/>
        <v>52.866273844002798</v>
      </c>
      <c r="L78" s="824">
        <f t="shared" si="65"/>
        <v>0</v>
      </c>
      <c r="M78" s="824">
        <f t="shared" si="65"/>
        <v>78.116660828463566</v>
      </c>
      <c r="N78" s="824">
        <f t="shared" si="65"/>
        <v>100</v>
      </c>
      <c r="O78" s="824">
        <f t="shared" si="65"/>
        <v>3.0557677616501189</v>
      </c>
      <c r="P78" s="824">
        <f t="shared" si="65"/>
        <v>99.368651331781081</v>
      </c>
      <c r="Q78" s="824">
        <f t="shared" si="65"/>
        <v>36.835068955811998</v>
      </c>
      <c r="R78" s="824">
        <f t="shared" si="65"/>
        <v>73.808049535603715</v>
      </c>
      <c r="S78" s="824">
        <f t="shared" si="65"/>
        <v>0.65901024898230576</v>
      </c>
      <c r="T78" s="409"/>
      <c r="U78" s="409"/>
      <c r="V78" s="409"/>
      <c r="W78" s="409"/>
      <c r="X78" s="409"/>
      <c r="Y78" s="409"/>
      <c r="Z78" s="409"/>
      <c r="AA78"/>
    </row>
    <row r="79" spans="3:27" ht="49.5" customHeight="1" x14ac:dyDescent="0.25">
      <c r="D79" s="109">
        <v>3</v>
      </c>
      <c r="E79" s="140" t="s">
        <v>276</v>
      </c>
      <c r="F79"/>
      <c r="G79" s="824">
        <f t="shared" ref="G79:S79" si="66">100*(1-(($X65-G65)/($X65-$W65)))</f>
        <v>98.019175335255042</v>
      </c>
      <c r="H79" s="824">
        <f t="shared" si="66"/>
        <v>96.197711299854433</v>
      </c>
      <c r="I79" s="824">
        <f t="shared" si="66"/>
        <v>99.273091866148647</v>
      </c>
      <c r="J79" s="824">
        <f t="shared" si="66"/>
        <v>89.035339904654293</v>
      </c>
      <c r="K79" s="824">
        <f t="shared" si="66"/>
        <v>0</v>
      </c>
      <c r="L79" s="824">
        <f t="shared" si="66"/>
        <v>92.336203017688305</v>
      </c>
      <c r="M79" s="824">
        <f t="shared" si="66"/>
        <v>74.385896493281251</v>
      </c>
      <c r="N79" s="824">
        <f t="shared" si="66"/>
        <v>100</v>
      </c>
      <c r="O79" s="824">
        <f t="shared" si="66"/>
        <v>53.062503357026472</v>
      </c>
      <c r="P79" s="824">
        <f t="shared" si="66"/>
        <v>99.273091866148647</v>
      </c>
      <c r="Q79" s="824">
        <f t="shared" si="66"/>
        <v>50.57024689810752</v>
      </c>
      <c r="R79" s="824">
        <f t="shared" si="66"/>
        <v>40.601221062431726</v>
      </c>
      <c r="S79" s="824">
        <f t="shared" si="66"/>
        <v>77.985067946215963</v>
      </c>
      <c r="T79" s="409"/>
      <c r="U79" s="409"/>
      <c r="V79" s="409"/>
      <c r="W79" s="409"/>
      <c r="X79" s="409"/>
      <c r="Y79" s="409"/>
      <c r="Z79" s="409"/>
      <c r="AA79"/>
    </row>
    <row r="80" spans="3:27" ht="63" customHeight="1" x14ac:dyDescent="0.25">
      <c r="D80" s="109">
        <v>4</v>
      </c>
      <c r="E80" s="140" t="s">
        <v>278</v>
      </c>
      <c r="F80"/>
      <c r="G80" s="824">
        <f t="shared" ref="G80:S80" si="67">IF(G66=0,0,100*(1-(($X66-G66)/($X66-$W66))))</f>
        <v>0</v>
      </c>
      <c r="H80" s="824">
        <f t="shared" si="67"/>
        <v>0</v>
      </c>
      <c r="I80" s="824">
        <f t="shared" si="67"/>
        <v>0</v>
      </c>
      <c r="J80" s="824">
        <f t="shared" si="67"/>
        <v>48.002758068902651</v>
      </c>
      <c r="K80" s="824">
        <f t="shared" si="67"/>
        <v>56.760255054545119</v>
      </c>
      <c r="L80" s="824">
        <f t="shared" si="67"/>
        <v>0</v>
      </c>
      <c r="M80" s="824">
        <f t="shared" si="67"/>
        <v>95.486770790339918</v>
      </c>
      <c r="N80" s="824">
        <f t="shared" si="67"/>
        <v>0</v>
      </c>
      <c r="O80" s="824">
        <f t="shared" si="67"/>
        <v>63.869303242695622</v>
      </c>
      <c r="P80" s="824">
        <f t="shared" si="67"/>
        <v>100</v>
      </c>
      <c r="Q80" s="824">
        <f t="shared" si="67"/>
        <v>0</v>
      </c>
      <c r="R80" s="824">
        <f t="shared" si="67"/>
        <v>67.660159133694094</v>
      </c>
      <c r="S80" s="824">
        <f t="shared" si="67"/>
        <v>50.174359138152859</v>
      </c>
      <c r="T80" s="409"/>
      <c r="U80" s="409"/>
      <c r="V80" s="409"/>
      <c r="W80" s="409"/>
      <c r="X80" s="409"/>
      <c r="Y80" s="409"/>
      <c r="Z80" s="409"/>
      <c r="AA80"/>
    </row>
    <row r="81" spans="4:27" ht="52.5" customHeight="1" x14ac:dyDescent="0.25">
      <c r="D81" s="109">
        <v>5</v>
      </c>
      <c r="E81" s="140" t="s">
        <v>277</v>
      </c>
      <c r="F81"/>
      <c r="G81" s="824">
        <f t="shared" ref="G81:S81" si="68">100*((G67-$X67)/($W67-$X67))</f>
        <v>100</v>
      </c>
      <c r="H81" s="824">
        <f t="shared" si="68"/>
        <v>100</v>
      </c>
      <c r="I81" s="824">
        <f t="shared" si="68"/>
        <v>100</v>
      </c>
      <c r="J81" s="824">
        <f t="shared" si="68"/>
        <v>26.645768025078365</v>
      </c>
      <c r="K81" s="824">
        <f t="shared" si="68"/>
        <v>65.04702194357364</v>
      </c>
      <c r="L81" s="824">
        <f t="shared" si="68"/>
        <v>53.291536050156765</v>
      </c>
      <c r="M81" s="824">
        <f t="shared" si="68"/>
        <v>36.050156739811918</v>
      </c>
      <c r="N81" s="824">
        <f t="shared" si="68"/>
        <v>100</v>
      </c>
      <c r="O81" s="824">
        <f t="shared" si="68"/>
        <v>78.369905956112859</v>
      </c>
      <c r="P81" s="824">
        <f t="shared" si="68"/>
        <v>100</v>
      </c>
      <c r="Q81" s="824">
        <f t="shared" si="68"/>
        <v>26.645768025078365</v>
      </c>
      <c r="R81" s="824">
        <f t="shared" si="68"/>
        <v>0</v>
      </c>
      <c r="S81" s="824">
        <f t="shared" si="68"/>
        <v>42.319749216300949</v>
      </c>
      <c r="T81" s="409"/>
      <c r="U81" s="409"/>
      <c r="V81" s="409"/>
      <c r="W81" s="409"/>
      <c r="X81" s="409"/>
      <c r="Y81" s="409"/>
      <c r="Z81" s="409"/>
      <c r="AA81"/>
    </row>
    <row r="82" spans="4:27" ht="45" customHeight="1" x14ac:dyDescent="0.25">
      <c r="D82" s="109">
        <v>6</v>
      </c>
      <c r="E82" s="140" t="s">
        <v>281</v>
      </c>
      <c r="F82"/>
      <c r="G82" s="824">
        <f t="shared" ref="G82:S82" si="69">100*(1-(($W68-G68)/($W68-$X68)))</f>
        <v>94.047189890792325</v>
      </c>
      <c r="H82" s="824">
        <f t="shared" si="69"/>
        <v>32.910257750721215</v>
      </c>
      <c r="I82" s="824">
        <f t="shared" si="69"/>
        <v>94.047189890792325</v>
      </c>
      <c r="J82" s="824">
        <f t="shared" si="69"/>
        <v>2.8495873497234814</v>
      </c>
      <c r="K82" s="824">
        <f t="shared" si="69"/>
        <v>4.2932539453844232</v>
      </c>
      <c r="L82" s="824">
        <f t="shared" si="69"/>
        <v>100</v>
      </c>
      <c r="M82" s="824">
        <f t="shared" si="69"/>
        <v>4.2714848554646352</v>
      </c>
      <c r="N82" s="824">
        <f t="shared" si="69"/>
        <v>44.762340689328603</v>
      </c>
      <c r="O82" s="824">
        <f t="shared" si="69"/>
        <v>0.40743699579075532</v>
      </c>
      <c r="P82" s="824">
        <f t="shared" si="69"/>
        <v>37.741066492532759</v>
      </c>
      <c r="Q82" s="824">
        <f t="shared" si="69"/>
        <v>0.65183201100860177</v>
      </c>
      <c r="R82" s="824">
        <f t="shared" si="69"/>
        <v>2.5357700726248877</v>
      </c>
      <c r="S82" s="824">
        <f t="shared" si="69"/>
        <v>0</v>
      </c>
      <c r="T82" s="409"/>
      <c r="U82" s="409"/>
      <c r="V82" s="409"/>
      <c r="W82" s="409"/>
      <c r="X82" s="409"/>
      <c r="Y82" s="409"/>
      <c r="Z82" s="409"/>
      <c r="AA82"/>
    </row>
    <row r="83" spans="4:27" ht="45" customHeight="1" x14ac:dyDescent="0.25">
      <c r="D83" s="109">
        <v>7</v>
      </c>
      <c r="E83" s="140" t="s">
        <v>282</v>
      </c>
      <c r="F83"/>
      <c r="G83" s="824">
        <f t="shared" ref="G83:S83" si="70">100*(1-(($W69-G69)/($W69-$X69)))</f>
        <v>37.204142011834584</v>
      </c>
      <c r="H83" s="824">
        <f t="shared" si="70"/>
        <v>37.204142011834584</v>
      </c>
      <c r="I83" s="824">
        <f t="shared" si="70"/>
        <v>37.204142011834584</v>
      </c>
      <c r="J83" s="824">
        <f t="shared" si="70"/>
        <v>0</v>
      </c>
      <c r="K83" s="824">
        <f t="shared" si="70"/>
        <v>76.92307692307692</v>
      </c>
      <c r="L83" s="824">
        <f t="shared" si="70"/>
        <v>100</v>
      </c>
      <c r="M83" s="824">
        <f t="shared" si="70"/>
        <v>0</v>
      </c>
      <c r="N83" s="824">
        <f t="shared" si="70"/>
        <v>37.204142011834584</v>
      </c>
      <c r="O83" s="824">
        <f t="shared" si="70"/>
        <v>92.307692307692307</v>
      </c>
      <c r="P83" s="824">
        <f t="shared" si="70"/>
        <v>37.204142011834584</v>
      </c>
      <c r="Q83" s="824">
        <f t="shared" si="70"/>
        <v>100</v>
      </c>
      <c r="R83" s="824">
        <f t="shared" si="70"/>
        <v>53.846153846153847</v>
      </c>
      <c r="S83" s="824">
        <f t="shared" si="70"/>
        <v>7.6923076923076872</v>
      </c>
      <c r="T83" s="409"/>
      <c r="U83" s="409"/>
      <c r="V83" s="409"/>
      <c r="W83" s="409"/>
      <c r="X83" s="409"/>
      <c r="Y83" s="409"/>
      <c r="Z83" s="409"/>
      <c r="AA83"/>
    </row>
    <row r="84" spans="4:27" ht="53.25" customHeight="1" x14ac:dyDescent="0.25">
      <c r="D84" s="109">
        <v>8</v>
      </c>
      <c r="E84" s="140" t="s">
        <v>284</v>
      </c>
      <c r="F84"/>
      <c r="G84" s="824">
        <f t="shared" ref="G84:S84" si="71">80*(1-(($X$70-G70)/($X70-$W70)))</f>
        <v>77.056029251474556</v>
      </c>
      <c r="H84" s="824">
        <f t="shared" si="71"/>
        <v>78.753874815438962</v>
      </c>
      <c r="I84" s="824">
        <f t="shared" si="71"/>
        <v>78.130812223158458</v>
      </c>
      <c r="J84" s="824">
        <f t="shared" si="71"/>
        <v>18.949755505195903</v>
      </c>
      <c r="K84" s="824">
        <f t="shared" si="71"/>
        <v>0</v>
      </c>
      <c r="L84" s="824">
        <f t="shared" si="71"/>
        <v>69.568136579314185</v>
      </c>
      <c r="M84" s="824">
        <f t="shared" si="71"/>
        <v>14.399270115210081</v>
      </c>
      <c r="N84" s="824">
        <f t="shared" si="71"/>
        <v>80</v>
      </c>
      <c r="O84" s="824">
        <f t="shared" si="71"/>
        <v>19.763477260985542</v>
      </c>
      <c r="P84" s="824">
        <f t="shared" si="71"/>
        <v>79.688468703859741</v>
      </c>
      <c r="Q84" s="824">
        <f t="shared" si="71"/>
        <v>24.363469197498027</v>
      </c>
      <c r="R84" s="824">
        <f t="shared" si="71"/>
        <v>31.401117802119654</v>
      </c>
      <c r="S84" s="824">
        <f t="shared" si="71"/>
        <v>40.154950515713438</v>
      </c>
      <c r="T84" s="409"/>
      <c r="U84" s="409"/>
      <c r="V84" s="409"/>
      <c r="W84" s="409"/>
      <c r="X84" s="409"/>
      <c r="Y84" s="409"/>
      <c r="Z84" s="409"/>
      <c r="AA84"/>
    </row>
    <row r="85" spans="4:27" ht="49.5" customHeight="1" x14ac:dyDescent="0.25">
      <c r="D85" s="109">
        <v>9</v>
      </c>
      <c r="E85" s="140" t="s">
        <v>286</v>
      </c>
      <c r="F85" s="19" t="s">
        <v>149</v>
      </c>
      <c r="G85" s="459">
        <f t="shared" ref="G85:N85" si="72">+G71</f>
        <v>40</v>
      </c>
      <c r="H85" s="459">
        <f t="shared" si="72"/>
        <v>40</v>
      </c>
      <c r="I85" s="459">
        <f t="shared" si="72"/>
        <v>40</v>
      </c>
      <c r="J85" s="459">
        <f t="shared" si="72"/>
        <v>26</v>
      </c>
      <c r="K85" s="459">
        <f t="shared" si="72"/>
        <v>40</v>
      </c>
      <c r="L85" s="459">
        <f t="shared" si="72"/>
        <v>26</v>
      </c>
      <c r="M85" s="459">
        <f t="shared" si="72"/>
        <v>26</v>
      </c>
      <c r="N85" s="459">
        <f t="shared" si="72"/>
        <v>13</v>
      </c>
      <c r="O85" s="459">
        <f t="shared" ref="O85" si="73">+O71</f>
        <v>26</v>
      </c>
      <c r="P85" s="459">
        <f t="shared" ref="P85:Q85" si="74">+P71</f>
        <v>13</v>
      </c>
      <c r="Q85" s="459">
        <f t="shared" si="74"/>
        <v>40</v>
      </c>
      <c r="R85" s="459" t="str">
        <f t="shared" ref="R85:S85" si="75">+R71</f>
        <v>medio</v>
      </c>
      <c r="S85" s="459" t="str">
        <f t="shared" si="75"/>
        <v>alta</v>
      </c>
      <c r="T85" s="409"/>
      <c r="U85" s="409"/>
      <c r="V85" s="409"/>
      <c r="W85" s="409"/>
      <c r="X85" s="409"/>
      <c r="Y85" s="409"/>
      <c r="Z85" s="409"/>
      <c r="AA85"/>
    </row>
    <row r="86" spans="4:27" ht="48" customHeight="1" x14ac:dyDescent="0.25">
      <c r="D86" s="109">
        <v>10</v>
      </c>
      <c r="E86" s="140" t="s">
        <v>287</v>
      </c>
      <c r="F86" s="19" t="s">
        <v>239</v>
      </c>
      <c r="G86" s="459">
        <f t="shared" ref="G86:N87" si="76">G72</f>
        <v>40</v>
      </c>
      <c r="H86" s="459">
        <f t="shared" si="76"/>
        <v>26</v>
      </c>
      <c r="I86" s="459">
        <f t="shared" si="76"/>
        <v>26</v>
      </c>
      <c r="J86" s="459">
        <f t="shared" si="76"/>
        <v>26</v>
      </c>
      <c r="K86" s="459">
        <f>K72</f>
        <v>20.8</v>
      </c>
      <c r="L86" s="459">
        <f t="shared" ref="L86:N86" si="77">L72</f>
        <v>26</v>
      </c>
      <c r="M86" s="459">
        <f t="shared" si="77"/>
        <v>26</v>
      </c>
      <c r="N86" s="459">
        <f t="shared" si="77"/>
        <v>26</v>
      </c>
      <c r="O86" s="459">
        <f t="shared" ref="O86" si="78">O72</f>
        <v>13</v>
      </c>
      <c r="P86" s="459">
        <f t="shared" ref="P86:Q86" si="79">P72</f>
        <v>26</v>
      </c>
      <c r="Q86" s="459">
        <f t="shared" si="79"/>
        <v>13</v>
      </c>
      <c r="R86" s="459">
        <f t="shared" ref="R86:S86" si="80">R72</f>
        <v>26</v>
      </c>
      <c r="S86" s="459">
        <f t="shared" si="80"/>
        <v>40</v>
      </c>
      <c r="T86" s="409"/>
      <c r="U86" s="409"/>
      <c r="V86" s="409"/>
      <c r="W86" s="409"/>
      <c r="X86" s="409"/>
      <c r="Y86" s="409"/>
      <c r="Z86" s="409"/>
      <c r="AA86"/>
    </row>
    <row r="87" spans="4:27" ht="45" customHeight="1" x14ac:dyDescent="0.25">
      <c r="D87" s="109">
        <v>11</v>
      </c>
      <c r="E87" s="140" t="s">
        <v>290</v>
      </c>
      <c r="F87" s="19" t="s">
        <v>292</v>
      </c>
      <c r="G87" s="459">
        <f t="shared" si="76"/>
        <v>40</v>
      </c>
      <c r="H87" s="459">
        <f t="shared" si="76"/>
        <v>40</v>
      </c>
      <c r="I87" s="459">
        <f t="shared" si="76"/>
        <v>40</v>
      </c>
      <c r="J87" s="459">
        <f t="shared" si="76"/>
        <v>26</v>
      </c>
      <c r="K87" s="459">
        <f t="shared" si="76"/>
        <v>26</v>
      </c>
      <c r="L87" s="459">
        <f t="shared" si="76"/>
        <v>13</v>
      </c>
      <c r="M87" s="459">
        <f t="shared" si="76"/>
        <v>40</v>
      </c>
      <c r="N87" s="459">
        <f t="shared" si="76"/>
        <v>40</v>
      </c>
      <c r="O87" s="459">
        <f t="shared" ref="O87" si="81">O73</f>
        <v>26</v>
      </c>
      <c r="P87" s="459">
        <f t="shared" ref="P87:Q87" si="82">P73</f>
        <v>40</v>
      </c>
      <c r="Q87" s="459">
        <f t="shared" si="82"/>
        <v>26</v>
      </c>
      <c r="R87" s="459">
        <f t="shared" ref="R87:S87" si="83">R73</f>
        <v>26</v>
      </c>
      <c r="S87" s="459">
        <f t="shared" si="83"/>
        <v>26</v>
      </c>
      <c r="T87" s="409"/>
      <c r="U87" s="409"/>
      <c r="V87" s="409"/>
      <c r="W87" s="409"/>
      <c r="X87" s="409"/>
      <c r="Y87" s="409"/>
      <c r="Z87" s="409"/>
      <c r="AA87"/>
    </row>
    <row r="88" spans="4:27" ht="50.25" customHeight="1" x14ac:dyDescent="0.25">
      <c r="D88" s="109">
        <v>12</v>
      </c>
      <c r="E88" s="140" t="s">
        <v>294</v>
      </c>
      <c r="F88" s="19" t="s">
        <v>149</v>
      </c>
      <c r="G88" s="459">
        <f t="shared" ref="G88:N88" si="84">+G74</f>
        <v>40</v>
      </c>
      <c r="H88" s="459">
        <f t="shared" si="84"/>
        <v>40</v>
      </c>
      <c r="I88" s="459">
        <f t="shared" si="84"/>
        <v>40</v>
      </c>
      <c r="J88" s="459">
        <f t="shared" si="84"/>
        <v>26</v>
      </c>
      <c r="K88" s="459">
        <f t="shared" si="84"/>
        <v>40</v>
      </c>
      <c r="L88" s="459">
        <f t="shared" si="84"/>
        <v>26</v>
      </c>
      <c r="M88" s="459">
        <f t="shared" si="84"/>
        <v>26</v>
      </c>
      <c r="N88" s="459">
        <f t="shared" si="84"/>
        <v>13</v>
      </c>
      <c r="O88" s="459">
        <f t="shared" ref="O88" si="85">+O74</f>
        <v>26</v>
      </c>
      <c r="P88" s="459">
        <f t="shared" ref="P88:Q88" si="86">+P74</f>
        <v>13</v>
      </c>
      <c r="Q88" s="459">
        <f t="shared" si="86"/>
        <v>40</v>
      </c>
      <c r="R88" s="459" t="str">
        <f t="shared" ref="R88:S88" si="87">+R74</f>
        <v>medio</v>
      </c>
      <c r="S88" s="459" t="str">
        <f t="shared" si="87"/>
        <v>alta</v>
      </c>
      <c r="T88" s="409"/>
      <c r="U88" s="409"/>
      <c r="V88" s="409"/>
      <c r="W88" s="409"/>
      <c r="X88" s="409"/>
      <c r="Y88" s="409"/>
      <c r="Z88" s="409"/>
      <c r="AA88"/>
    </row>
    <row r="89" spans="4:27" ht="27.75" customHeight="1" x14ac:dyDescent="0.25">
      <c r="D89" s="109"/>
      <c r="K89" s="796"/>
      <c r="N89" s="459"/>
      <c r="T89" s="409"/>
      <c r="U89" s="409"/>
      <c r="V89" s="409"/>
      <c r="W89" s="409"/>
      <c r="X89" s="409"/>
      <c r="Y89" s="409"/>
      <c r="Z89" s="409"/>
      <c r="AA89"/>
    </row>
    <row r="90" spans="4:27" s="844" customFormat="1" ht="47.25" customHeight="1" x14ac:dyDescent="0.25">
      <c r="D90" s="843"/>
      <c r="F90" s="142" t="s">
        <v>295</v>
      </c>
      <c r="G90" s="785">
        <f t="shared" ref="G90:N90" si="88">SUM(G77:G88)</f>
        <v>706.09326633702767</v>
      </c>
      <c r="H90" s="785">
        <f t="shared" si="88"/>
        <v>589.11324305823325</v>
      </c>
      <c r="I90" s="785">
        <f t="shared" si="88"/>
        <v>694.92475174027641</v>
      </c>
      <c r="J90" s="785">
        <f t="shared" si="88"/>
        <v>456.19231673913322</v>
      </c>
      <c r="K90" s="785">
        <f t="shared" si="88"/>
        <v>450.87169989240112</v>
      </c>
      <c r="L90" s="785">
        <f t="shared" si="88"/>
        <v>552.66052211180568</v>
      </c>
      <c r="M90" s="785">
        <f t="shared" si="88"/>
        <v>518.69003780236937</v>
      </c>
      <c r="N90" s="785">
        <f t="shared" si="88"/>
        <v>553.96648270116316</v>
      </c>
      <c r="O90" s="785">
        <f t="shared" ref="O90" si="89">SUM(O77:O88)</f>
        <v>492.74517779104463</v>
      </c>
      <c r="P90" s="785">
        <f t="shared" ref="P90:Q90" si="90">SUM(P77:P88)</f>
        <v>645.27542040615674</v>
      </c>
      <c r="Q90" s="785">
        <f t="shared" si="90"/>
        <v>458.0663850875045</v>
      </c>
      <c r="R90" s="785">
        <f t="shared" ref="R90:S90" si="91">SUM(R77:R88)</f>
        <v>417.81206741222388</v>
      </c>
      <c r="S90" s="785">
        <f t="shared" si="91"/>
        <v>350.64201041423883</v>
      </c>
      <c r="T90" s="850"/>
      <c r="U90" s="850"/>
      <c r="V90" s="850"/>
      <c r="W90" s="850"/>
      <c r="X90" s="850"/>
      <c r="Y90" s="850"/>
      <c r="Z90" s="850"/>
    </row>
    <row r="91" spans="4:27" x14ac:dyDescent="0.25">
      <c r="D91" s="109"/>
      <c r="N91" s="459"/>
      <c r="W91" s="409"/>
      <c r="X91" s="409"/>
      <c r="Y91" s="409"/>
      <c r="Z91" s="409"/>
    </row>
    <row r="92" spans="4:27" x14ac:dyDescent="0.25">
      <c r="D92" s="109"/>
      <c r="N92" s="459"/>
      <c r="W92" s="409"/>
      <c r="X92" s="409"/>
      <c r="Y92" s="409"/>
      <c r="Z92" s="409"/>
    </row>
    <row r="93" spans="4:27" x14ac:dyDescent="0.25">
      <c r="D93" s="109"/>
      <c r="N93" s="459"/>
      <c r="W93" s="409"/>
      <c r="X93" s="409"/>
      <c r="Y93" s="409"/>
      <c r="Z93" s="409"/>
    </row>
    <row r="94" spans="4:27" x14ac:dyDescent="0.25">
      <c r="D94" s="109"/>
      <c r="F94"/>
      <c r="N94" s="459"/>
      <c r="W94" s="409"/>
      <c r="X94" s="409"/>
      <c r="Y94" s="409"/>
      <c r="Z94" s="409"/>
    </row>
    <row r="95" spans="4:27" x14ac:dyDescent="0.25">
      <c r="D95" s="109"/>
      <c r="F95"/>
      <c r="N95" s="459"/>
      <c r="W95" s="409"/>
      <c r="X95" s="409"/>
      <c r="Y95" s="409"/>
      <c r="Z95" s="409"/>
    </row>
    <row r="96" spans="4:27" x14ac:dyDescent="0.25">
      <c r="E96" s="145"/>
      <c r="F96"/>
      <c r="N96" s="459"/>
      <c r="W96" s="409"/>
      <c r="X96" s="409"/>
      <c r="Y96" s="409"/>
      <c r="Z96" s="409"/>
    </row>
    <row r="97" spans="3:26" ht="15.75" thickBot="1" x14ac:dyDescent="0.3">
      <c r="E97" s="145"/>
      <c r="F97"/>
      <c r="N97" s="459"/>
      <c r="W97" s="409"/>
      <c r="X97" s="409"/>
      <c r="Y97" s="409"/>
      <c r="Z97" s="409"/>
    </row>
    <row r="98" spans="3:26" ht="27" thickBot="1" x14ac:dyDescent="0.3">
      <c r="E98" s="145"/>
      <c r="F98"/>
      <c r="H98" s="1055" t="s">
        <v>970</v>
      </c>
      <c r="I98" s="1056"/>
      <c r="J98" s="1056"/>
      <c r="K98" s="1056"/>
      <c r="L98" s="1056"/>
      <c r="M98" s="1057"/>
      <c r="N98" s="1001"/>
    </row>
    <row r="99" spans="3:26" ht="34.5" customHeight="1" thickBot="1" x14ac:dyDescent="0.3">
      <c r="E99" s="145"/>
      <c r="F99"/>
      <c r="H99" s="825" t="s">
        <v>1096</v>
      </c>
      <c r="I99" s="826" t="s">
        <v>58</v>
      </c>
      <c r="J99" s="826" t="s">
        <v>296</v>
      </c>
      <c r="K99" s="826" t="s">
        <v>314</v>
      </c>
      <c r="L99" s="826" t="s">
        <v>297</v>
      </c>
      <c r="M99" s="827" t="s">
        <v>298</v>
      </c>
      <c r="N99" s="1002"/>
    </row>
    <row r="100" spans="3:26" ht="39" customHeight="1" x14ac:dyDescent="0.25">
      <c r="C100" s="109">
        <v>1</v>
      </c>
      <c r="D100" s="109">
        <f>+HLOOKUP(C100,MENDOZA!$G$9:$S$90,82,"FALSO")</f>
        <v>706.09326633702767</v>
      </c>
      <c r="E100" s="146" t="str">
        <f>+HLOOKUP(C100,MENDOZA!$G$9:$S$90,2,"FALSO")</f>
        <v>Mantenimiento compuertas Nº  13y14 - Dique Cipolletti</v>
      </c>
      <c r="F100" s="144">
        <f>+HLOOKUP(C100,MENDOZA!$G$9:$S$90,29,"FALSO")</f>
        <v>6725000</v>
      </c>
      <c r="G100" s="459" t="str">
        <f>+HLOOKUP(C100,MENDOZA!$G$9:$S$90,4,"FALSO")</f>
        <v>Subdelegacion Río Mendoza</v>
      </c>
      <c r="H100" s="1006">
        <v>706.09326633702767</v>
      </c>
      <c r="I100" s="984" t="s">
        <v>299</v>
      </c>
      <c r="J100" s="944" t="str">
        <f t="shared" ref="J100:J109" si="92">+VLOOKUP(H100,$D$100:$G$112,2,"FALSO")</f>
        <v>Mantenimiento compuertas Nº  13y14 - Dique Cipolletti</v>
      </c>
      <c r="K100" s="944" t="str">
        <f t="shared" ref="K100:K109" si="93">VLOOKUP(H100,$D$100:$G$112,4,"FALSO")</f>
        <v>Subdelegacion Río Mendoza</v>
      </c>
      <c r="L100" s="945">
        <f t="shared" ref="L100:L109" si="94">+VLOOKUP(H100,$D$100:$G$112,3,"FALSO")</f>
        <v>6725000</v>
      </c>
      <c r="M100" s="946">
        <f>+L100</f>
        <v>6725000</v>
      </c>
      <c r="N100" s="1003"/>
    </row>
    <row r="101" spans="3:26" ht="37.5" customHeight="1" x14ac:dyDescent="0.3">
      <c r="C101" s="109">
        <v>2</v>
      </c>
      <c r="D101" s="109">
        <f>+HLOOKUP(C101,MENDOZA!$G$9:$S$90,82,"FALSO")</f>
        <v>589.11324305823325</v>
      </c>
      <c r="E101" s="146" t="str">
        <f>+HLOOKUP(C101,MENDOZA!$G$9:$S$90,2,"FALSO")</f>
        <v>Mantenimiento compuertas - Dique Naciente</v>
      </c>
      <c r="F101" s="144">
        <f>+HLOOKUP(C101,MENDOZA!$G$9:$S$90,29,"FALSO")</f>
        <v>4000000</v>
      </c>
      <c r="G101" s="459" t="str">
        <f>+HLOOKUP(C101,MENDOZA!$G$9:$S$90,4,"FALSO")</f>
        <v>Subdelegacion Río Mendoza</v>
      </c>
      <c r="H101" s="903">
        <v>694.92475174027641</v>
      </c>
      <c r="I101" s="904" t="s">
        <v>300</v>
      </c>
      <c r="J101" s="947" t="str">
        <f t="shared" si="92"/>
        <v>Mantenimiento Compuertas - Gran Comparto</v>
      </c>
      <c r="K101" s="947" t="str">
        <f t="shared" si="93"/>
        <v>Subdelegacion Río Mendoza</v>
      </c>
      <c r="L101" s="948">
        <f t="shared" si="94"/>
        <v>5000000</v>
      </c>
      <c r="M101" s="949">
        <f>+M100+L101</f>
        <v>11725000</v>
      </c>
      <c r="N101" s="1004"/>
    </row>
    <row r="102" spans="3:26" ht="29.25" customHeight="1" x14ac:dyDescent="0.3">
      <c r="C102" s="109">
        <v>3</v>
      </c>
      <c r="D102" s="109">
        <f>+HLOOKUP(C102,MENDOZA!$G$9:$S$90,82,"FALSO")</f>
        <v>694.92475174027641</v>
      </c>
      <c r="E102" s="146" t="str">
        <f>+HLOOKUP(C102,MENDOZA!$G$9:$S$90,2,"FALSO")</f>
        <v>Mantenimiento Compuertas - Gran Comparto</v>
      </c>
      <c r="F102" s="144">
        <f>+HLOOKUP(C102,MENDOZA!$G$9:$S$90,29,"FALSO")</f>
        <v>5000000</v>
      </c>
      <c r="G102" s="459" t="str">
        <f>+HLOOKUP(C102,MENDOZA!$G$9:$S$90,4,"FALSO")</f>
        <v>Subdelegacion Río Mendoza</v>
      </c>
      <c r="H102" s="903">
        <v>645.27542040615674</v>
      </c>
      <c r="I102" s="904" t="s">
        <v>301</v>
      </c>
      <c r="J102" s="947" t="str">
        <f t="shared" si="92"/>
        <v>Mantenimiento 5º y 6º tramo</v>
      </c>
      <c r="K102" s="947" t="str">
        <f t="shared" si="93"/>
        <v>Subdelegacion Río Mendoza</v>
      </c>
      <c r="L102" s="948">
        <f t="shared" si="94"/>
        <v>2500000</v>
      </c>
      <c r="M102" s="949">
        <f t="shared" ref="M102:M113" si="95">+M101+L102</f>
        <v>14225000</v>
      </c>
      <c r="N102" s="1004"/>
    </row>
    <row r="103" spans="3:26" ht="32.25" customHeight="1" x14ac:dyDescent="0.3">
      <c r="C103" s="109">
        <v>4</v>
      </c>
      <c r="D103" s="109">
        <f>+HLOOKUP(C103,MENDOZA!$G$9:$S$90,82,"FALSO")</f>
        <v>456.19231673913322</v>
      </c>
      <c r="E103" s="146" t="str">
        <f>+HLOOKUP(C103,MENDOZA!$G$9:$S$90,2,"FALSO")</f>
        <v>Revestimiento  y Unificación Rama Algarrobal y Ramo Capilla y Manantiales</v>
      </c>
      <c r="F103" s="144">
        <f>+HLOOKUP(C103,MENDOZA!$G$9:$S$90,29,"FALSO")</f>
        <v>2500000</v>
      </c>
      <c r="G103" s="459" t="str">
        <f>+HLOOKUP(C103,MENDOZA!$G$9:$S$90,4,"FALSO")</f>
        <v>Rama Algarrobal y C.D. Unif.</v>
      </c>
      <c r="H103" s="903">
        <v>589.11324305823325</v>
      </c>
      <c r="I103" s="904" t="s">
        <v>302</v>
      </c>
      <c r="J103" s="947" t="str">
        <f t="shared" si="92"/>
        <v>Mantenimiento compuertas - Dique Naciente</v>
      </c>
      <c r="K103" s="947" t="str">
        <f t="shared" si="93"/>
        <v>Subdelegacion Río Mendoza</v>
      </c>
      <c r="L103" s="948">
        <f t="shared" si="94"/>
        <v>4000000</v>
      </c>
      <c r="M103" s="949">
        <f t="shared" si="95"/>
        <v>18225000</v>
      </c>
      <c r="N103" s="1004"/>
    </row>
    <row r="104" spans="3:26" ht="35.25" customHeight="1" x14ac:dyDescent="0.3">
      <c r="C104" s="109">
        <v>5</v>
      </c>
      <c r="D104" s="109">
        <f>+HLOOKUP(C104,MENDOZA!$G$9:$S$90,82,"FALSO")</f>
        <v>450.87169989240112</v>
      </c>
      <c r="E104" s="146" t="str">
        <f>+HLOOKUP(C104,MENDOZA!$G$9:$S$90,2,"FALSO")</f>
        <v>REVESTIMIENTO CANAL FLORES - TRAMO AGUAS ABAJO TOMA CAROGLIO - TOMA GIOL</v>
      </c>
      <c r="F104" s="144">
        <f>+HLOOKUP(C104,MENDOZA!$G$9:$S$90,29,"FALSO")</f>
        <v>8211000</v>
      </c>
      <c r="G104" s="459" t="str">
        <f>+HLOOKUP(C104,MENDOZA!$G$9:$S$90,4,"FALSO")</f>
        <v>Rama Luján Sur Unificada</v>
      </c>
      <c r="H104" s="903">
        <v>553.96648270116316</v>
      </c>
      <c r="I104" s="904" t="s">
        <v>303</v>
      </c>
      <c r="J104" s="947" t="str">
        <f t="shared" si="92"/>
        <v>Bacheo 1º y 2º tramo</v>
      </c>
      <c r="K104" s="947" t="str">
        <f t="shared" si="93"/>
        <v>Subdelegacion Río Mendoza</v>
      </c>
      <c r="L104" s="948">
        <f t="shared" si="94"/>
        <v>2000000</v>
      </c>
      <c r="M104" s="949">
        <f t="shared" si="95"/>
        <v>20225000</v>
      </c>
      <c r="N104" s="1004"/>
    </row>
    <row r="105" spans="3:26" ht="33.75" customHeight="1" x14ac:dyDescent="0.3">
      <c r="C105" s="109">
        <v>6</v>
      </c>
      <c r="D105" s="109">
        <f>+HLOOKUP(C105,MENDOZA!$G$9:$S$90,82,"FALSO")</f>
        <v>552.66052211180568</v>
      </c>
      <c r="E105" s="146" t="str">
        <f>+HLOOKUP(C105,MENDOZA!$G$9:$S$90,2,"FALSO")</f>
        <v>ENTUBADO HIJUELA LA CAÑADA - CANAL 1º VISTALBA</v>
      </c>
      <c r="F105" s="144">
        <f>+HLOOKUP(C105,MENDOZA!$G$9:$S$90,29,"FALSO")</f>
        <v>3600000</v>
      </c>
      <c r="G105" s="459" t="str">
        <f>+HLOOKUP(C105,MENDOZA!$G$9:$S$90,4,"FALSO")</f>
        <v>Rama Luján Oeste Unificada</v>
      </c>
      <c r="H105" s="903">
        <v>552.66052211180568</v>
      </c>
      <c r="I105" s="904" t="s">
        <v>304</v>
      </c>
      <c r="J105" s="947" t="str">
        <f t="shared" si="92"/>
        <v>ENTUBADO HIJUELA LA CAÑADA - CANAL 1º VISTALBA</v>
      </c>
      <c r="K105" s="947" t="str">
        <f t="shared" si="93"/>
        <v>Rama Luján Oeste Unificada</v>
      </c>
      <c r="L105" s="948">
        <f t="shared" si="94"/>
        <v>3600000</v>
      </c>
      <c r="M105" s="949">
        <f t="shared" si="95"/>
        <v>23825000</v>
      </c>
      <c r="N105" s="1004"/>
    </row>
    <row r="106" spans="3:26" ht="33.75" customHeight="1" x14ac:dyDescent="0.3">
      <c r="C106" s="109">
        <v>7</v>
      </c>
      <c r="D106" s="109">
        <f>+HLOOKUP(C106,MENDOZA!$G$9:$S$90,82,"FALSO")</f>
        <v>518.69003780236937</v>
      </c>
      <c r="E106" s="146" t="str">
        <f>+HLOOKUP(C106,MENDOZA!$G$9:$S$90,2,"FALSO")</f>
        <v>Impermeabilización 4º tramo Cl. San Alberto</v>
      </c>
      <c r="F106" s="144">
        <f>+HLOOKUP(C106,MENDOZA!$G$9:$S$90,29,"FALSO")</f>
        <v>4800000</v>
      </c>
      <c r="G106" s="459" t="str">
        <f>+HLOOKUP(C106,MENDOZA!$G$9:$S$90,4,"FALSO")</f>
        <v>San Alberto y Uspallata</v>
      </c>
      <c r="H106" s="903">
        <v>518.69003780236937</v>
      </c>
      <c r="I106" s="904" t="s">
        <v>305</v>
      </c>
      <c r="J106" s="947" t="str">
        <f t="shared" si="92"/>
        <v>Impermeabilización 4º tramo Cl. San Alberto</v>
      </c>
      <c r="K106" s="947" t="str">
        <f t="shared" si="93"/>
        <v>San Alberto y Uspallata</v>
      </c>
      <c r="L106" s="948">
        <f t="shared" si="94"/>
        <v>4800000</v>
      </c>
      <c r="M106" s="949">
        <f t="shared" si="95"/>
        <v>28625000</v>
      </c>
      <c r="N106" s="1004"/>
    </row>
    <row r="107" spans="3:26" ht="29.25" customHeight="1" x14ac:dyDescent="0.3">
      <c r="C107" s="109">
        <v>8</v>
      </c>
      <c r="D107" s="109">
        <f>+HLOOKUP(C107,MENDOZA!$G$9:$S$90,82,"FALSO")</f>
        <v>553.96648270116316</v>
      </c>
      <c r="E107" s="146" t="str">
        <f>+HLOOKUP(C107,MENDOZA!$G$9:$S$90,2,"FALSO")</f>
        <v>Bacheo 1º y 2º tramo</v>
      </c>
      <c r="F107" s="144">
        <f>+HLOOKUP(C107,MENDOZA!$G$9:$S$90,29,"FALSO")</f>
        <v>2000000</v>
      </c>
      <c r="G107" s="459" t="str">
        <f>+HLOOKUP(C107,MENDOZA!$G$9:$S$90,4,"FALSO")</f>
        <v>Subdelegacion Río Mendoza</v>
      </c>
      <c r="H107" s="903">
        <v>492.74517779104463</v>
      </c>
      <c r="I107" s="904" t="s">
        <v>306</v>
      </c>
      <c r="J107" s="947" t="str">
        <f t="shared" si="92"/>
        <v>REVESTIMIENTO CANAL MERCERY</v>
      </c>
      <c r="K107" s="947" t="str">
        <f t="shared" si="93"/>
        <v xml:space="preserve">Canal Céspedes Unif. </v>
      </c>
      <c r="L107" s="948">
        <f t="shared" si="94"/>
        <v>4000000</v>
      </c>
      <c r="M107" s="949">
        <f t="shared" si="95"/>
        <v>32625000</v>
      </c>
      <c r="N107" s="1004"/>
    </row>
    <row r="108" spans="3:26" ht="30.75" customHeight="1" x14ac:dyDescent="0.3">
      <c r="C108" s="109">
        <v>9</v>
      </c>
      <c r="D108" s="109">
        <f>+HLOOKUP(C108,MENDOZA!$G$9:$S$90,82,"FALSO")</f>
        <v>492.74517779104463</v>
      </c>
      <c r="E108" s="146" t="str">
        <f>+HLOOKUP(C108,MENDOZA!$G$9:$S$90,2,"FALSO")</f>
        <v>REVESTIMIENTO CANAL MERCERY</v>
      </c>
      <c r="F108" s="144">
        <f>+HLOOKUP(C108,MENDOZA!$G$9:$S$90,29,"FALSO")</f>
        <v>4000000</v>
      </c>
      <c r="G108" s="459" t="str">
        <f>+HLOOKUP(C108,MENDOZA!$G$9:$S$90,4,"FALSO")</f>
        <v xml:space="preserve">Canal Céspedes Unif. </v>
      </c>
      <c r="H108" s="903">
        <v>458.0663850875045</v>
      </c>
      <c r="I108" s="904" t="s">
        <v>307</v>
      </c>
      <c r="J108" s="947" t="str">
        <f t="shared" si="92"/>
        <v>Insp. PRIMAVERA - PEDREGAL /  CONSTRUCCION PERFORACION</v>
      </c>
      <c r="K108" s="947" t="str">
        <f t="shared" si="93"/>
        <v>R. La Primavera Pedregal</v>
      </c>
      <c r="L108" s="948">
        <f t="shared" si="94"/>
        <v>3000000</v>
      </c>
      <c r="M108" s="949">
        <f t="shared" si="95"/>
        <v>35625000</v>
      </c>
      <c r="N108" s="1004"/>
    </row>
    <row r="109" spans="3:26" ht="28.5" customHeight="1" x14ac:dyDescent="0.3">
      <c r="C109" s="109">
        <v>10</v>
      </c>
      <c r="D109" s="109">
        <f>+HLOOKUP(C109,MENDOZA!$G$9:$S$90,82,"FALSO")</f>
        <v>645.27542040615674</v>
      </c>
      <c r="E109" s="146" t="str">
        <f>+HLOOKUP(C109,MENDOZA!$G$9:$S$90,2,"FALSO")</f>
        <v>Mantenimiento 5º y 6º tramo</v>
      </c>
      <c r="F109" s="144">
        <f>+HLOOKUP(C109,MENDOZA!$G$9:$S$90,29,"FALSO")</f>
        <v>2500000</v>
      </c>
      <c r="G109" s="459" t="str">
        <f>+HLOOKUP(C109,MENDOZA!$G$9:$S$90,4,"FALSO")</f>
        <v>Subdelegacion Río Mendoza</v>
      </c>
      <c r="H109" s="903">
        <v>456.19231673913322</v>
      </c>
      <c r="I109" s="904" t="s">
        <v>308</v>
      </c>
      <c r="J109" s="947" t="str">
        <f t="shared" si="92"/>
        <v>Revestimiento  y Unificación Rama Algarrobal y Ramo Capilla y Manantiales</v>
      </c>
      <c r="K109" s="947" t="str">
        <f t="shared" si="93"/>
        <v>Rama Algarrobal y C.D. Unif.</v>
      </c>
      <c r="L109" s="948">
        <f t="shared" si="94"/>
        <v>2500000</v>
      </c>
      <c r="M109" s="949">
        <f t="shared" si="95"/>
        <v>38125000</v>
      </c>
      <c r="N109" s="1004"/>
    </row>
    <row r="110" spans="3:26" ht="42" customHeight="1" x14ac:dyDescent="0.3">
      <c r="C110" s="109">
        <v>11</v>
      </c>
      <c r="D110" s="109">
        <f>+HLOOKUP(C110,MENDOZA!$G$9:$S$90,82,"FALSO")</f>
        <v>458.0663850875045</v>
      </c>
      <c r="E110" s="146" t="str">
        <f>+HLOOKUP(C110,MENDOZA!$G$9:$S$90,2,"FALSO")</f>
        <v>Insp. PRIMAVERA - PEDREGAL /  CONSTRUCCION PERFORACION</v>
      </c>
      <c r="F110" s="144">
        <f>+HLOOKUP(C110,MENDOZA!$G$9:$S$90,29,"FALSO")</f>
        <v>3000000</v>
      </c>
      <c r="G110" s="459" t="str">
        <f>+HLOOKUP(C110,MENDOZA!$G$9:$S$90,4,"FALSO")</f>
        <v>R. La Primavera Pedregal</v>
      </c>
      <c r="H110" s="903">
        <v>417.81206741222388</v>
      </c>
      <c r="I110" s="904" t="s">
        <v>309</v>
      </c>
      <c r="J110" s="947" t="str">
        <f>+VLOOKUP(H110,$D$100:$G$112,2,"FALSO")</f>
        <v>Revestimiento canal Santa Rita-Progreso</v>
      </c>
      <c r="K110" s="947" t="str">
        <f>VLOOKUP(H110,$D$100:$G$112,4,"FALSO")</f>
        <v>Hij. Santa Rita Unif.</v>
      </c>
      <c r="L110" s="948">
        <f>+VLOOKUP(H110,$D$100:$G$112,3,"FALSO")</f>
        <v>4000000</v>
      </c>
      <c r="M110" s="949">
        <f t="shared" si="95"/>
        <v>42125000</v>
      </c>
      <c r="N110" s="1004"/>
    </row>
    <row r="111" spans="3:26" ht="27" customHeight="1" thickBot="1" x14ac:dyDescent="0.3">
      <c r="C111" s="109">
        <v>12</v>
      </c>
      <c r="D111" s="109">
        <f>+HLOOKUP(C111,MENDOZA!$G$9:$S$90,82,"FALSO")</f>
        <v>417.81206741222388</v>
      </c>
      <c r="E111" s="146" t="str">
        <f>+HLOOKUP(C111,MENDOZA!$G$9:$S$90,2,"FALSO")</f>
        <v>Revestimiento canal Santa Rita-Progreso</v>
      </c>
      <c r="F111" s="144">
        <f>+HLOOKUP(C111,MENDOZA!$G$9:$S$90,29,"FALSO")</f>
        <v>4000000</v>
      </c>
      <c r="G111" s="459" t="str">
        <f>+HLOOKUP(C111,MENDOZA!$G$9:$S$90,4,"FALSO")</f>
        <v>Hij. Santa Rita Unif.</v>
      </c>
      <c r="H111" s="1007">
        <v>350.64201041423883</v>
      </c>
      <c r="I111" s="985" t="s">
        <v>310</v>
      </c>
      <c r="J111" s="986" t="str">
        <f>+VLOOKUP(H111,$D$100:$G$112,2,"FALSO")</f>
        <v>Revestimiento Hijuela Morales (entre Maza y Ozamis)</v>
      </c>
      <c r="K111" s="986" t="str">
        <f>VLOOKUP(H111,$D$100:$G$112,4,"FALSO")</f>
        <v>Hij. Morales Villanueva Unif.</v>
      </c>
      <c r="L111" s="987">
        <f>+VLOOKUP(H111,$D$100:$G$112,3,"FALSO")</f>
        <v>2400000</v>
      </c>
      <c r="M111" s="988">
        <f t="shared" si="95"/>
        <v>44525000</v>
      </c>
      <c r="N111" s="1002"/>
    </row>
    <row r="112" spans="3:26" ht="45" customHeight="1" thickBot="1" x14ac:dyDescent="0.3">
      <c r="C112" s="109">
        <v>13</v>
      </c>
      <c r="D112" s="109">
        <f>+HLOOKUP(C112,MENDOZA!$G$9:$S$90,82,"FALSO")</f>
        <v>350.64201041423883</v>
      </c>
      <c r="E112" s="146" t="str">
        <f>+HLOOKUP(C112,MENDOZA!$G$9:$S$90,2,"FALSO")</f>
        <v>Revestimiento Hijuela Morales (entre Maza y Ozamis)</v>
      </c>
      <c r="F112" s="144">
        <f>+HLOOKUP(C112,MENDOZA!$G$9:$S$90,29,"FALSO")</f>
        <v>2400000</v>
      </c>
      <c r="G112" s="459" t="str">
        <f>+HLOOKUP(C112,MENDOZA!$G$9:$S$90,4,"FALSO")</f>
        <v>Hij. Morales Villanueva Unif.</v>
      </c>
      <c r="H112" s="1007" t="s">
        <v>1258</v>
      </c>
      <c r="I112" s="904" t="s">
        <v>311</v>
      </c>
      <c r="J112" s="986" t="s">
        <v>1257</v>
      </c>
      <c r="K112" s="986" t="s">
        <v>422</v>
      </c>
      <c r="L112" s="987">
        <v>2500000</v>
      </c>
      <c r="M112" s="988">
        <f t="shared" si="95"/>
        <v>47025000</v>
      </c>
      <c r="N112" s="1005">
        <f>+FICHA!T10</f>
        <v>48000000</v>
      </c>
    </row>
    <row r="113" spans="6:13" ht="52.5" customHeight="1" thickBot="1" x14ac:dyDescent="0.3">
      <c r="H113" s="1008">
        <v>450.87169989240112</v>
      </c>
      <c r="I113" s="989" t="s">
        <v>312</v>
      </c>
      <c r="J113" s="990" t="str">
        <f>+VLOOKUP(H113,$D$100:$G$112,2,"FALSO")</f>
        <v>REVESTIMIENTO CANAL FLORES - TRAMO AGUAS ABAJO TOMA CAROGLIO - TOMA GIOL</v>
      </c>
      <c r="K113" s="990" t="str">
        <f>VLOOKUP(H113,$D$100:$G$112,4,"FALSO")</f>
        <v>Rama Luján Sur Unificada</v>
      </c>
      <c r="L113" s="991">
        <f>+VLOOKUP(H113,$D$100:$G$112,3,"FALSO")</f>
        <v>8211000</v>
      </c>
      <c r="M113" s="992">
        <f t="shared" si="95"/>
        <v>55236000</v>
      </c>
    </row>
    <row r="114" spans="6:13" x14ac:dyDescent="0.25">
      <c r="F114" s="435">
        <f>SUM(F100:F113)</f>
        <v>52736000</v>
      </c>
    </row>
    <row r="117" spans="6:13" ht="15.75" thickBot="1" x14ac:dyDescent="0.3"/>
    <row r="118" spans="6:13" ht="35.25" customHeight="1" thickBot="1" x14ac:dyDescent="0.3">
      <c r="M118" s="1005">
        <f>+M113+TUNINF!M121+TUNSUP!M108+DIAMANTE!M107+ATUEL!M114+MALARGÜE!M103</f>
        <v>246819324.22</v>
      </c>
    </row>
    <row r="119" spans="6:13" ht="21.75" customHeight="1" thickBot="1" x14ac:dyDescent="0.3"/>
    <row r="120" spans="6:13" ht="42.75" customHeight="1" thickBot="1" x14ac:dyDescent="0.3">
      <c r="F120" s="459"/>
      <c r="M120" s="1005">
        <f>+M112+TUNINF!M109+TUNSUP!M107+DIAMANTE!M105+ATUEL!M105+MALARGÜE!M103</f>
        <v>166058324.22</v>
      </c>
    </row>
  </sheetData>
  <mergeCells count="27">
    <mergeCell ref="H98:M98"/>
    <mergeCell ref="C11:F11"/>
    <mergeCell ref="C6:E6"/>
    <mergeCell ref="C7:F7"/>
    <mergeCell ref="C8:F8"/>
    <mergeCell ref="C9:F9"/>
    <mergeCell ref="C10:F10"/>
    <mergeCell ref="D66:E66"/>
    <mergeCell ref="C12:F12"/>
    <mergeCell ref="C13:F13"/>
    <mergeCell ref="C14:F14"/>
    <mergeCell ref="C15:E15"/>
    <mergeCell ref="C36:C37"/>
    <mergeCell ref="C43:C46"/>
    <mergeCell ref="C48:C51"/>
    <mergeCell ref="C54:C55"/>
    <mergeCell ref="D63:E63"/>
    <mergeCell ref="D64:E64"/>
    <mergeCell ref="D65:E65"/>
    <mergeCell ref="D73:E73"/>
    <mergeCell ref="D74:E74"/>
    <mergeCell ref="D67:E67"/>
    <mergeCell ref="D68:E68"/>
    <mergeCell ref="D69:E69"/>
    <mergeCell ref="D70:E70"/>
    <mergeCell ref="D71:E71"/>
    <mergeCell ref="D72:E72"/>
  </mergeCells>
  <pageMargins left="0.70866141732283472" right="0.70866141732283472" top="0.74803149606299213" bottom="0.74803149606299213" header="0.31496062992125984" footer="0.31496062992125984"/>
  <pageSetup scale="14" orientation="landscape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5</xdr:col>
                <xdr:colOff>76200</xdr:colOff>
                <xdr:row>76</xdr:row>
                <xdr:rowOff>66675</xdr:rowOff>
              </from>
              <to>
                <xdr:col>6</xdr:col>
                <xdr:colOff>0</xdr:colOff>
                <xdr:row>76</xdr:row>
                <xdr:rowOff>638175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5</xdr:col>
                <xdr:colOff>0</xdr:colOff>
                <xdr:row>77</xdr:row>
                <xdr:rowOff>0</xdr:rowOff>
              </from>
              <to>
                <xdr:col>6</xdr:col>
                <xdr:colOff>0</xdr:colOff>
                <xdr:row>77</xdr:row>
                <xdr:rowOff>542925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8">
          <objectPr defaultSize="0" autoPict="0" r:id="rId9">
            <anchor moveWithCells="1" sizeWithCells="1">
              <from>
                <xdr:col>5</xdr:col>
                <xdr:colOff>66675</xdr:colOff>
                <xdr:row>78</xdr:row>
                <xdr:rowOff>38100</xdr:rowOff>
              </from>
              <to>
                <xdr:col>6</xdr:col>
                <xdr:colOff>0</xdr:colOff>
                <xdr:row>78</xdr:row>
                <xdr:rowOff>571500</xdr:rowOff>
              </to>
            </anchor>
          </objectPr>
        </oleObject>
      </mc:Choice>
      <mc:Fallback>
        <oleObject progId="Equation.3" shapeId="7171" r:id="rId8"/>
      </mc:Fallback>
    </mc:AlternateContent>
    <mc:AlternateContent xmlns:mc="http://schemas.openxmlformats.org/markup-compatibility/2006">
      <mc:Choice Requires="x14">
        <oleObject progId="Equation.3" shapeId="7172" r:id="rId10">
          <objectPr defaultSize="0" autoPict="0" r:id="rId11">
            <anchor moveWithCells="1" sizeWithCells="1">
              <from>
                <xdr:col>5</xdr:col>
                <xdr:colOff>28575</xdr:colOff>
                <xdr:row>79</xdr:row>
                <xdr:rowOff>104775</xdr:rowOff>
              </from>
              <to>
                <xdr:col>6</xdr:col>
                <xdr:colOff>0</xdr:colOff>
                <xdr:row>79</xdr:row>
                <xdr:rowOff>657225</xdr:rowOff>
              </to>
            </anchor>
          </objectPr>
        </oleObject>
      </mc:Choice>
      <mc:Fallback>
        <oleObject progId="Equation.3" shapeId="7172" r:id="rId10"/>
      </mc:Fallback>
    </mc:AlternateContent>
    <mc:AlternateContent xmlns:mc="http://schemas.openxmlformats.org/markup-compatibility/2006">
      <mc:Choice Requires="x14">
        <oleObject progId="Equation.3" shapeId="7173" r:id="rId12">
          <objectPr defaultSize="0" autoPict="0" r:id="rId13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80</xdr:row>
                <xdr:rowOff>590550</xdr:rowOff>
              </to>
            </anchor>
          </objectPr>
        </oleObject>
      </mc:Choice>
      <mc:Fallback>
        <oleObject progId="Equation.3" shapeId="7173" r:id="rId12"/>
      </mc:Fallback>
    </mc:AlternateContent>
    <mc:AlternateContent xmlns:mc="http://schemas.openxmlformats.org/markup-compatibility/2006">
      <mc:Choice Requires="x14">
        <oleObject progId="Equation.3" shapeId="7174" r:id="rId14">
          <objectPr defaultSize="0" autoPict="0" r:id="rId15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81</xdr:row>
                <xdr:rowOff>542925</xdr:rowOff>
              </to>
            </anchor>
          </objectPr>
        </oleObject>
      </mc:Choice>
      <mc:Fallback>
        <oleObject progId="Equation.3" shapeId="7174" r:id="rId14"/>
      </mc:Fallback>
    </mc:AlternateContent>
    <mc:AlternateContent xmlns:mc="http://schemas.openxmlformats.org/markup-compatibility/2006">
      <mc:Choice Requires="x14">
        <oleObject progId="Equation.3" shapeId="7175" r:id="rId16">
          <objectPr defaultSize="0" autoPict="0" r:id="rId17">
            <anchor moveWithCells="1" sizeWithCells="1">
              <from>
                <xdr:col>5</xdr:col>
                <xdr:colOff>0</xdr:colOff>
                <xdr:row>82</xdr:row>
                <xdr:rowOff>0</xdr:rowOff>
              </from>
              <to>
                <xdr:col>6</xdr:col>
                <xdr:colOff>0</xdr:colOff>
                <xdr:row>82</xdr:row>
                <xdr:rowOff>552450</xdr:rowOff>
              </to>
            </anchor>
          </objectPr>
        </oleObject>
      </mc:Choice>
      <mc:Fallback>
        <oleObject progId="Equation.3" shapeId="7175" r:id="rId16"/>
      </mc:Fallback>
    </mc:AlternateContent>
    <mc:AlternateContent xmlns:mc="http://schemas.openxmlformats.org/markup-compatibility/2006">
      <mc:Choice Requires="x14">
        <oleObject progId="Equation.3" shapeId="7176" r:id="rId18">
          <objectPr defaultSize="0" autoPict="0" r:id="rId19">
            <anchor moveWithCells="1" sizeWithCells="1">
              <from>
                <xdr:col>5</xdr:col>
                <xdr:colOff>28575</xdr:colOff>
                <xdr:row>83</xdr:row>
                <xdr:rowOff>76200</xdr:rowOff>
              </from>
              <to>
                <xdr:col>5</xdr:col>
                <xdr:colOff>4314825</xdr:colOff>
                <xdr:row>83</xdr:row>
                <xdr:rowOff>666750</xdr:rowOff>
              </to>
            </anchor>
          </objectPr>
        </oleObject>
      </mc:Choice>
      <mc:Fallback>
        <oleObject progId="Equation.3" shapeId="7176" r:id="rId1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C1:AG164"/>
  <sheetViews>
    <sheetView topLeftCell="A91" zoomScale="55" zoomScaleNormal="55" workbookViewId="0">
      <pane xSplit="6" topLeftCell="G1" activePane="topRight" state="frozen"/>
      <selection pane="topRight" activeCell="H100" sqref="H100:L121"/>
    </sheetView>
  </sheetViews>
  <sheetFormatPr baseColWidth="10" defaultRowHeight="15" x14ac:dyDescent="0.25"/>
  <cols>
    <col min="2" max="2" width="3.7109375" customWidth="1"/>
    <col min="3" max="3" width="9.7109375" customWidth="1"/>
    <col min="4" max="4" width="8.5703125" customWidth="1"/>
    <col min="5" max="5" width="55.7109375" customWidth="1"/>
    <col min="6" max="6" width="42.5703125" style="19" customWidth="1"/>
    <col min="7" max="7" width="34.7109375" style="89" customWidth="1"/>
    <col min="8" max="8" width="11.140625" customWidth="1"/>
    <col min="9" max="9" width="12.5703125" customWidth="1"/>
    <col min="10" max="10" width="115.28515625" customWidth="1"/>
    <col min="11" max="11" width="53.140625" customWidth="1"/>
    <col min="12" max="12" width="25.28515625" style="109" customWidth="1"/>
    <col min="13" max="13" width="31.42578125" style="109" customWidth="1"/>
    <col min="14" max="15" width="38.5703125" style="109" customWidth="1"/>
    <col min="16" max="16" width="21.5703125" style="109" customWidth="1"/>
    <col min="17" max="17" width="25.140625" style="109" customWidth="1"/>
    <col min="18" max="18" width="27.85546875" style="109" customWidth="1"/>
    <col min="19" max="19" width="28.42578125" style="109" customWidth="1"/>
    <col min="20" max="20" width="31.7109375" customWidth="1"/>
    <col min="21" max="21" width="34" customWidth="1"/>
    <col min="22" max="22" width="45.28515625" customWidth="1"/>
    <col min="23" max="23" width="40.5703125" customWidth="1"/>
    <col min="24" max="24" width="37.7109375" customWidth="1"/>
    <col min="25" max="25" width="52.28515625" customWidth="1"/>
    <col min="26" max="26" width="33.5703125" customWidth="1"/>
    <col min="27" max="27" width="31.7109375" customWidth="1"/>
    <col min="28" max="30" width="35.42578125" customWidth="1"/>
    <col min="31" max="31" width="38.42578125" customWidth="1"/>
    <col min="32" max="33" width="35.42578125" customWidth="1"/>
    <col min="34" max="34" width="33.140625" customWidth="1"/>
    <col min="35" max="35" width="31.42578125" customWidth="1"/>
    <col min="37" max="37" width="38.85546875" customWidth="1"/>
    <col min="38" max="38" width="43.42578125" customWidth="1"/>
  </cols>
  <sheetData>
    <row r="1" spans="3:28" x14ac:dyDescent="0.25">
      <c r="G1" s="89">
        <f>+G18/1000</f>
        <v>0.8</v>
      </c>
      <c r="H1">
        <f t="shared" ref="H1:V1" si="0">+H18/1000</f>
        <v>0.8</v>
      </c>
      <c r="I1">
        <f t="shared" si="0"/>
        <v>0.13</v>
      </c>
      <c r="J1">
        <f t="shared" si="0"/>
        <v>0.6</v>
      </c>
      <c r="K1" s="109">
        <f t="shared" si="0"/>
        <v>1.5</v>
      </c>
      <c r="L1" s="109">
        <f t="shared" ref="L1:M1" si="1">+L18/1000</f>
        <v>60</v>
      </c>
      <c r="M1" s="109">
        <f t="shared" si="1"/>
        <v>60</v>
      </c>
      <c r="N1" s="109">
        <f t="shared" si="0"/>
        <v>0.9</v>
      </c>
      <c r="O1">
        <f t="shared" si="0"/>
        <v>1.2</v>
      </c>
      <c r="P1">
        <f t="shared" si="0"/>
        <v>0.35</v>
      </c>
      <c r="Q1">
        <f t="shared" si="0"/>
        <v>0.35</v>
      </c>
      <c r="R1">
        <f t="shared" si="0"/>
        <v>0.5</v>
      </c>
      <c r="S1">
        <f t="shared" si="0"/>
        <v>0.45</v>
      </c>
      <c r="T1">
        <f t="shared" si="0"/>
        <v>0.8</v>
      </c>
      <c r="U1">
        <f t="shared" si="0"/>
        <v>0.4</v>
      </c>
      <c r="V1">
        <f t="shared" si="0"/>
        <v>0.5</v>
      </c>
      <c r="W1">
        <f t="shared" ref="W1:AB1" si="2">+W18/1000</f>
        <v>3.2</v>
      </c>
      <c r="X1">
        <f t="shared" si="2"/>
        <v>0.65</v>
      </c>
      <c r="Y1">
        <f t="shared" si="2"/>
        <v>2</v>
      </c>
      <c r="Z1">
        <f t="shared" si="2"/>
        <v>0.35</v>
      </c>
      <c r="AA1">
        <f t="shared" si="2"/>
        <v>5.0999999999999996</v>
      </c>
      <c r="AB1">
        <f t="shared" si="2"/>
        <v>4.5</v>
      </c>
    </row>
    <row r="2" spans="3:28" x14ac:dyDescent="0.25">
      <c r="G2" s="89">
        <v>0.2</v>
      </c>
      <c r="H2">
        <v>0.2</v>
      </c>
      <c r="I2">
        <v>0.2</v>
      </c>
      <c r="J2">
        <v>0.2</v>
      </c>
      <c r="K2" s="109">
        <v>0.2</v>
      </c>
      <c r="L2" s="109">
        <v>0.2</v>
      </c>
      <c r="M2" s="109">
        <v>0.2</v>
      </c>
      <c r="N2" s="109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</row>
    <row r="3" spans="3:28" x14ac:dyDescent="0.25">
      <c r="G3" s="89">
        <f>+G1/(G23*(G21+G22*G23))</f>
        <v>0.48536326406795094</v>
      </c>
      <c r="H3">
        <f t="shared" ref="H3:V3" si="3">+H1/(H23*(H21+H22*H23))</f>
        <v>0.30864197530864196</v>
      </c>
      <c r="I3">
        <f t="shared" si="3"/>
        <v>4.5903954802259894E-2</v>
      </c>
      <c r="J3">
        <f t="shared" si="3"/>
        <v>0.89285714285714279</v>
      </c>
      <c r="K3" s="109">
        <f t="shared" si="3"/>
        <v>0.75</v>
      </c>
      <c r="L3" s="109" t="e">
        <f t="shared" ref="L3:M3" si="4">+L1/(L23*(L21+L22*L23))</f>
        <v>#DIV/0!</v>
      </c>
      <c r="M3" s="109" t="e">
        <f t="shared" si="4"/>
        <v>#DIV/0!</v>
      </c>
      <c r="N3" s="109">
        <f t="shared" si="3"/>
        <v>1.0416666666666665</v>
      </c>
      <c r="O3">
        <f t="shared" si="3"/>
        <v>0.46339501206757838</v>
      </c>
      <c r="P3">
        <f t="shared" si="3"/>
        <v>0.63405797101449268</v>
      </c>
      <c r="Q3">
        <f t="shared" si="3"/>
        <v>0.34179687499999994</v>
      </c>
      <c r="R3">
        <f t="shared" si="3"/>
        <v>0.63131313131313138</v>
      </c>
      <c r="S3">
        <f t="shared" si="3"/>
        <v>0.19132653061224492</v>
      </c>
      <c r="T3">
        <f t="shared" si="3"/>
        <v>0.60468631897203329</v>
      </c>
      <c r="U3">
        <f t="shared" si="3"/>
        <v>0.72463768115942029</v>
      </c>
      <c r="V3">
        <f t="shared" si="3"/>
        <v>0.33333333333333331</v>
      </c>
      <c r="W3">
        <f t="shared" ref="W3:AB3" si="5">+W1/(W23*(W21+W22*W23))</f>
        <v>0.79365079365079372</v>
      </c>
      <c r="X3">
        <f t="shared" si="5"/>
        <v>0.37399309551208282</v>
      </c>
      <c r="Y3">
        <f t="shared" si="5"/>
        <v>0.98522167487684742</v>
      </c>
      <c r="Z3">
        <f t="shared" si="5"/>
        <v>0.52083333333333326</v>
      </c>
      <c r="AA3">
        <f t="shared" si="5"/>
        <v>1.3098754334146656</v>
      </c>
      <c r="AB3">
        <f t="shared" si="5"/>
        <v>0.70588235294117652</v>
      </c>
    </row>
    <row r="4" spans="3:28" x14ac:dyDescent="0.25">
      <c r="G4" s="200">
        <f>0.0375*G2*((G1/G3)^0.5)*1000*G29/1000/G18</f>
        <v>1.2637818610366095E-3</v>
      </c>
      <c r="H4" s="105">
        <f t="shared" ref="H4:V4" si="6">0.0375*H2*((H1/H3)^0.5)*1000*H29/1000/H18</f>
        <v>3.4714955350684234E-3</v>
      </c>
      <c r="I4" s="105">
        <f t="shared" si="6"/>
        <v>3.2038964812743077E-2</v>
      </c>
      <c r="J4" s="105">
        <f t="shared" si="6"/>
        <v>5.6358229212777793E-3</v>
      </c>
      <c r="K4" s="449">
        <f t="shared" si="6"/>
        <v>4.419417382415922E-3</v>
      </c>
      <c r="L4" s="449" t="e">
        <f t="shared" ref="L4:M4" si="7">0.0375*L2*((L1/L3)^0.5)*1000*L29/1000/L18</f>
        <v>#DIV/0!</v>
      </c>
      <c r="M4" s="449" t="e">
        <f t="shared" si="7"/>
        <v>#DIV/0!</v>
      </c>
      <c r="N4" s="449">
        <f t="shared" si="6"/>
        <v>7.7459666924148338E-3</v>
      </c>
      <c r="O4" s="105">
        <f t="shared" si="6"/>
        <v>8.5489718824777877E-3</v>
      </c>
      <c r="P4" s="105">
        <f t="shared" si="6"/>
        <v>1.1144505372604026E-2</v>
      </c>
      <c r="Q4" s="105">
        <f t="shared" si="6"/>
        <v>1.0842094834863014E-2</v>
      </c>
      <c r="R4" s="105">
        <f t="shared" si="6"/>
        <v>4.004747183031657E-3</v>
      </c>
      <c r="S4" s="105">
        <f t="shared" si="6"/>
        <v>1.6614250910990037E-2</v>
      </c>
      <c r="T4" s="105">
        <f t="shared" si="6"/>
        <v>2.3291901757907185E-2</v>
      </c>
      <c r="U4" s="105">
        <f t="shared" si="6"/>
        <v>9.0549106152407726E-3</v>
      </c>
      <c r="V4" s="105">
        <f t="shared" si="6"/>
        <v>9.1855865354369161E-3</v>
      </c>
      <c r="W4" s="105">
        <f t="shared" ref="W4:AB4" si="8">0.0375*W2*((W1/W3)^0.5)*1000*W29/1000/W18</f>
        <v>3.2943488544779219E-3</v>
      </c>
      <c r="X4" s="105">
        <f t="shared" si="8"/>
        <v>7.6057631527739989E-3</v>
      </c>
      <c r="Y4" s="105">
        <f t="shared" si="8"/>
        <v>2.9920394382427513E-3</v>
      </c>
      <c r="Z4" s="105">
        <f t="shared" si="8"/>
        <v>1.703921527368139E-2</v>
      </c>
      <c r="AA4" s="105">
        <f t="shared" si="8"/>
        <v>2.6115821180214781E-4</v>
      </c>
      <c r="AB4" s="105">
        <f t="shared" si="8"/>
        <v>4.6289397634159514E-3</v>
      </c>
    </row>
    <row r="5" spans="3:28" ht="15.75" thickBot="1" x14ac:dyDescent="0.3">
      <c r="C5" s="1"/>
      <c r="D5" s="1"/>
      <c r="E5" s="1"/>
      <c r="F5" s="18"/>
      <c r="K5" s="109"/>
      <c r="O5"/>
      <c r="P5"/>
      <c r="Q5"/>
      <c r="R5"/>
      <c r="S5"/>
    </row>
    <row r="6" spans="3:28" ht="19.5" customHeight="1" thickBot="1" x14ac:dyDescent="0.3">
      <c r="C6" s="1033" t="s">
        <v>154</v>
      </c>
      <c r="D6" s="1034"/>
      <c r="E6" s="1035"/>
      <c r="F6" s="24"/>
      <c r="K6" s="109"/>
      <c r="O6"/>
      <c r="P6"/>
      <c r="Q6"/>
      <c r="R6"/>
      <c r="S6"/>
    </row>
    <row r="7" spans="3:28" ht="24" thickBot="1" x14ac:dyDescent="0.4">
      <c r="C7" s="1060" t="s">
        <v>59</v>
      </c>
      <c r="D7" s="1061"/>
      <c r="E7" s="1061"/>
      <c r="F7" s="1061"/>
      <c r="K7" s="109"/>
      <c r="O7"/>
      <c r="P7"/>
      <c r="Q7"/>
      <c r="R7"/>
      <c r="S7"/>
    </row>
    <row r="8" spans="3:28" ht="21.75" thickBot="1" x14ac:dyDescent="0.3">
      <c r="C8" s="1017" t="s">
        <v>60</v>
      </c>
      <c r="D8" s="1018"/>
      <c r="E8" s="1018"/>
      <c r="F8" s="1019"/>
      <c r="G8" s="538" t="s">
        <v>1112</v>
      </c>
      <c r="H8" s="538" t="s">
        <v>1112</v>
      </c>
      <c r="I8" s="537" t="s">
        <v>1110</v>
      </c>
      <c r="J8" s="537" t="s">
        <v>1110</v>
      </c>
      <c r="K8" s="537" t="s">
        <v>1110</v>
      </c>
      <c r="L8" s="538" t="s">
        <v>1112</v>
      </c>
      <c r="M8" s="538" t="s">
        <v>1112</v>
      </c>
      <c r="N8" s="538" t="s">
        <v>1111</v>
      </c>
      <c r="O8" s="538" t="s">
        <v>1112</v>
      </c>
      <c r="P8" s="538" t="s">
        <v>1112</v>
      </c>
      <c r="Q8" s="537" t="s">
        <v>1113</v>
      </c>
      <c r="R8" s="538" t="s">
        <v>1112</v>
      </c>
      <c r="S8" s="538" t="s">
        <v>1112</v>
      </c>
      <c r="T8" s="538" t="s">
        <v>1112</v>
      </c>
      <c r="U8" s="538" t="s">
        <v>1112</v>
      </c>
      <c r="V8" s="538" t="s">
        <v>1112</v>
      </c>
      <c r="W8" s="538" t="s">
        <v>1112</v>
      </c>
      <c r="X8" s="538" t="s">
        <v>1112</v>
      </c>
      <c r="Y8" s="538" t="s">
        <v>1112</v>
      </c>
      <c r="Z8" s="538" t="s">
        <v>1112</v>
      </c>
      <c r="AA8" s="538" t="s">
        <v>1114</v>
      </c>
    </row>
    <row r="9" spans="3:28" ht="16.5" thickBot="1" x14ac:dyDescent="0.3">
      <c r="C9" s="1030" t="s">
        <v>58</v>
      </c>
      <c r="D9" s="1031"/>
      <c r="E9" s="1031"/>
      <c r="F9" s="1031"/>
      <c r="G9" s="269">
        <v>1</v>
      </c>
      <c r="H9" s="198">
        <v>2</v>
      </c>
      <c r="I9" s="198">
        <v>3</v>
      </c>
      <c r="J9" s="269">
        <v>4</v>
      </c>
      <c r="K9" s="198">
        <v>5</v>
      </c>
      <c r="L9" s="198">
        <v>6</v>
      </c>
      <c r="M9" s="269">
        <v>7</v>
      </c>
      <c r="N9" s="198">
        <v>8</v>
      </c>
      <c r="O9" s="198">
        <v>9</v>
      </c>
      <c r="P9" s="269">
        <v>10</v>
      </c>
      <c r="Q9" s="198">
        <v>11</v>
      </c>
      <c r="R9" s="198">
        <v>12</v>
      </c>
      <c r="S9" s="269">
        <v>13</v>
      </c>
      <c r="T9" s="198">
        <v>14</v>
      </c>
      <c r="U9" s="198">
        <v>15</v>
      </c>
      <c r="V9" s="269">
        <v>16</v>
      </c>
      <c r="W9" s="198">
        <v>17</v>
      </c>
      <c r="X9" s="198">
        <v>18</v>
      </c>
      <c r="Y9" s="269">
        <v>19</v>
      </c>
      <c r="Z9" s="198">
        <v>20</v>
      </c>
      <c r="AA9" s="198">
        <v>21</v>
      </c>
      <c r="AB9" s="269">
        <v>22</v>
      </c>
    </row>
    <row r="10" spans="3:28" s="464" customFormat="1" ht="81.75" customHeight="1" thickBot="1" x14ac:dyDescent="0.35">
      <c r="C10" s="1062" t="s">
        <v>89</v>
      </c>
      <c r="D10" s="1063"/>
      <c r="E10" s="1063"/>
      <c r="F10" s="1063"/>
      <c r="G10" s="592" t="s">
        <v>626</v>
      </c>
      <c r="H10" s="592" t="s">
        <v>845</v>
      </c>
      <c r="I10" s="592" t="s">
        <v>846</v>
      </c>
      <c r="J10" s="592" t="s">
        <v>851</v>
      </c>
      <c r="K10" s="586" t="s">
        <v>859</v>
      </c>
      <c r="L10" s="586" t="s">
        <v>1166</v>
      </c>
      <c r="M10" s="586" t="s">
        <v>1254</v>
      </c>
      <c r="N10" s="588" t="s">
        <v>861</v>
      </c>
      <c r="O10" s="587" t="s">
        <v>864</v>
      </c>
      <c r="P10" s="589" t="s">
        <v>867</v>
      </c>
      <c r="Q10" s="587" t="s">
        <v>869</v>
      </c>
      <c r="R10" s="587" t="s">
        <v>871</v>
      </c>
      <c r="S10" s="587" t="s">
        <v>903</v>
      </c>
      <c r="T10" s="587" t="s">
        <v>879</v>
      </c>
      <c r="U10" s="587" t="s">
        <v>877</v>
      </c>
      <c r="V10" s="591" t="s">
        <v>880</v>
      </c>
      <c r="W10" s="589" t="s">
        <v>882</v>
      </c>
      <c r="X10" s="589" t="s">
        <v>883</v>
      </c>
      <c r="Y10" s="587" t="s">
        <v>886</v>
      </c>
      <c r="Z10" s="586" t="s">
        <v>889</v>
      </c>
      <c r="AA10" s="590" t="s">
        <v>891</v>
      </c>
      <c r="AB10" s="588" t="s">
        <v>895</v>
      </c>
    </row>
    <row r="11" spans="3:28" s="463" customFormat="1" ht="86.25" customHeight="1" thickBot="1" x14ac:dyDescent="0.3">
      <c r="C11" s="1064" t="s">
        <v>28</v>
      </c>
      <c r="D11" s="1065"/>
      <c r="E11" s="1065"/>
      <c r="F11" s="1065"/>
      <c r="G11" s="415" t="s">
        <v>318</v>
      </c>
      <c r="H11" s="415" t="s">
        <v>318</v>
      </c>
      <c r="I11" s="415" t="s">
        <v>318</v>
      </c>
      <c r="J11" s="415" t="s">
        <v>195</v>
      </c>
      <c r="K11" s="415" t="s">
        <v>195</v>
      </c>
      <c r="L11" s="415" t="s">
        <v>1087</v>
      </c>
      <c r="M11" s="415" t="s">
        <v>1087</v>
      </c>
      <c r="N11" s="415" t="s">
        <v>195</v>
      </c>
      <c r="O11" s="415" t="s">
        <v>318</v>
      </c>
      <c r="P11" s="415" t="s">
        <v>195</v>
      </c>
      <c r="Q11" s="415" t="s">
        <v>195</v>
      </c>
      <c r="R11" s="415" t="s">
        <v>195</v>
      </c>
      <c r="S11" s="461" t="s">
        <v>195</v>
      </c>
      <c r="T11" s="461" t="s">
        <v>876</v>
      </c>
      <c r="U11" s="461" t="s">
        <v>195</v>
      </c>
      <c r="V11" s="462" t="s">
        <v>195</v>
      </c>
      <c r="W11" s="461" t="s">
        <v>195</v>
      </c>
      <c r="X11" s="461" t="s">
        <v>195</v>
      </c>
      <c r="Y11" s="415" t="s">
        <v>195</v>
      </c>
      <c r="Z11" s="415" t="s">
        <v>195</v>
      </c>
      <c r="AA11" s="447" t="s">
        <v>892</v>
      </c>
      <c r="AB11" s="415" t="s">
        <v>195</v>
      </c>
    </row>
    <row r="12" spans="3:28" ht="27.75" customHeight="1" thickBot="1" x14ac:dyDescent="0.3">
      <c r="C12" s="1030" t="s">
        <v>269</v>
      </c>
      <c r="D12" s="1031"/>
      <c r="E12" s="1031"/>
      <c r="F12" s="1031"/>
      <c r="G12" s="223" t="s">
        <v>652</v>
      </c>
      <c r="H12" s="223" t="s">
        <v>652</v>
      </c>
      <c r="I12" s="223" t="s">
        <v>652</v>
      </c>
      <c r="J12" s="223" t="s">
        <v>632</v>
      </c>
      <c r="K12" s="223" t="s">
        <v>640</v>
      </c>
      <c r="L12" s="223" t="s">
        <v>656</v>
      </c>
      <c r="M12" s="223" t="s">
        <v>656</v>
      </c>
      <c r="N12" s="233" t="s">
        <v>638</v>
      </c>
      <c r="O12" s="233" t="s">
        <v>650</v>
      </c>
      <c r="P12" s="233" t="s">
        <v>631</v>
      </c>
      <c r="Q12" s="271" t="s">
        <v>645</v>
      </c>
      <c r="R12" s="271" t="s">
        <v>647</v>
      </c>
      <c r="S12" s="274" t="s">
        <v>641</v>
      </c>
      <c r="T12" s="274" t="s">
        <v>649</v>
      </c>
      <c r="U12" s="274" t="s">
        <v>636</v>
      </c>
      <c r="V12" s="286" t="s">
        <v>651</v>
      </c>
      <c r="W12" s="233" t="s">
        <v>630</v>
      </c>
      <c r="X12" s="223" t="s">
        <v>642</v>
      </c>
      <c r="Y12" s="233" t="s">
        <v>635</v>
      </c>
      <c r="Z12" s="233" t="s">
        <v>639</v>
      </c>
      <c r="AA12" s="58" t="s">
        <v>633</v>
      </c>
      <c r="AB12" s="233" t="s">
        <v>648</v>
      </c>
    </row>
    <row r="13" spans="3:28" ht="30" customHeight="1" thickBot="1" x14ac:dyDescent="0.3">
      <c r="C13" s="1030" t="s">
        <v>55</v>
      </c>
      <c r="D13" s="1031"/>
      <c r="E13" s="1031"/>
      <c r="F13" s="1031"/>
      <c r="G13" s="223" t="s">
        <v>627</v>
      </c>
      <c r="H13" s="223" t="s">
        <v>627</v>
      </c>
      <c r="I13" s="223" t="s">
        <v>627</v>
      </c>
      <c r="J13" s="223" t="s">
        <v>852</v>
      </c>
      <c r="K13" s="223" t="s">
        <v>856</v>
      </c>
      <c r="L13" s="223" t="s">
        <v>1088</v>
      </c>
      <c r="M13" s="223" t="s">
        <v>1088</v>
      </c>
      <c r="N13" s="233" t="s">
        <v>862</v>
      </c>
      <c r="O13" s="233" t="s">
        <v>865</v>
      </c>
      <c r="P13" s="233" t="s">
        <v>868</v>
      </c>
      <c r="Q13" s="271" t="s">
        <v>870</v>
      </c>
      <c r="R13" s="271" t="s">
        <v>872</v>
      </c>
      <c r="S13" s="274" t="s">
        <v>847</v>
      </c>
      <c r="T13" s="274" t="s">
        <v>873</v>
      </c>
      <c r="U13" s="274" t="s">
        <v>878</v>
      </c>
      <c r="V13" s="286" t="s">
        <v>881</v>
      </c>
      <c r="W13" s="233" t="s">
        <v>852</v>
      </c>
      <c r="X13" s="223" t="s">
        <v>884</v>
      </c>
      <c r="Y13" s="233" t="s">
        <v>887</v>
      </c>
      <c r="Z13" s="223" t="s">
        <v>888</v>
      </c>
      <c r="AA13" s="58" t="s">
        <v>893</v>
      </c>
      <c r="AB13" s="233" t="s">
        <v>897</v>
      </c>
    </row>
    <row r="14" spans="3:28" ht="34.5" customHeight="1" thickBot="1" x14ac:dyDescent="0.3">
      <c r="C14" s="1030" t="s">
        <v>38</v>
      </c>
      <c r="D14" s="1031"/>
      <c r="E14" s="1031"/>
      <c r="F14" s="1031"/>
      <c r="G14" s="272" t="s">
        <v>746</v>
      </c>
      <c r="H14" s="272" t="s">
        <v>746</v>
      </c>
      <c r="I14" s="272" t="s">
        <v>746</v>
      </c>
      <c r="J14" s="272" t="s">
        <v>746</v>
      </c>
      <c r="K14" s="272" t="s">
        <v>746</v>
      </c>
      <c r="L14" s="272" t="s">
        <v>746</v>
      </c>
      <c r="M14" s="272" t="s">
        <v>746</v>
      </c>
      <c r="N14" s="272" t="s">
        <v>746</v>
      </c>
      <c r="O14" s="272" t="s">
        <v>746</v>
      </c>
      <c r="P14" s="272" t="s">
        <v>746</v>
      </c>
      <c r="Q14" s="272" t="s">
        <v>746</v>
      </c>
      <c r="R14" s="272" t="s">
        <v>746</v>
      </c>
      <c r="S14" s="275" t="s">
        <v>746</v>
      </c>
      <c r="T14" s="275" t="s">
        <v>746</v>
      </c>
      <c r="U14" s="275" t="s">
        <v>746</v>
      </c>
      <c r="V14" s="287" t="s">
        <v>746</v>
      </c>
      <c r="W14" s="234" t="s">
        <v>746</v>
      </c>
      <c r="X14" s="234" t="s">
        <v>746</v>
      </c>
      <c r="Y14" s="234" t="s">
        <v>746</v>
      </c>
      <c r="Z14" s="234" t="s">
        <v>746</v>
      </c>
      <c r="AA14" s="234" t="s">
        <v>746</v>
      </c>
      <c r="AB14" s="234" t="s">
        <v>746</v>
      </c>
    </row>
    <row r="15" spans="3:28" x14ac:dyDescent="0.25">
      <c r="C15" s="1020" t="s">
        <v>0</v>
      </c>
      <c r="D15" s="1021"/>
      <c r="E15" s="1022"/>
      <c r="F15" s="20"/>
      <c r="G15" s="176"/>
      <c r="H15" s="176"/>
      <c r="I15" s="176"/>
      <c r="J15" s="176"/>
      <c r="K15" s="84"/>
      <c r="L15" s="84"/>
      <c r="M15" s="84"/>
      <c r="N15" s="84"/>
      <c r="O15" s="263"/>
      <c r="P15" s="247"/>
      <c r="Q15" s="84"/>
      <c r="R15" s="84"/>
      <c r="S15" s="247"/>
      <c r="T15" s="84"/>
      <c r="U15" s="84"/>
      <c r="V15" s="84"/>
      <c r="W15" s="176"/>
      <c r="X15" s="84"/>
      <c r="Y15" s="84"/>
      <c r="Z15" s="84"/>
      <c r="AA15" s="84"/>
      <c r="AB15" s="84"/>
    </row>
    <row r="16" spans="3:28" s="10" customFormat="1" x14ac:dyDescent="0.25">
      <c r="C16" s="156">
        <v>1</v>
      </c>
      <c r="D16" s="156"/>
      <c r="E16" s="29" t="s">
        <v>23</v>
      </c>
      <c r="F16" s="21" t="s">
        <v>39</v>
      </c>
      <c r="G16" s="94">
        <v>626</v>
      </c>
      <c r="H16" s="94">
        <v>891</v>
      </c>
      <c r="I16" s="94">
        <v>116</v>
      </c>
      <c r="J16" s="94">
        <v>308</v>
      </c>
      <c r="K16" s="236">
        <v>784</v>
      </c>
      <c r="L16" s="236">
        <v>66643</v>
      </c>
      <c r="M16" s="236">
        <f>+L16</f>
        <v>66643</v>
      </c>
      <c r="N16" s="236">
        <v>147</v>
      </c>
      <c r="O16" s="245">
        <v>1491</v>
      </c>
      <c r="P16" s="248">
        <v>300</v>
      </c>
      <c r="Q16" s="258">
        <v>350</v>
      </c>
      <c r="R16" s="236">
        <v>200</v>
      </c>
      <c r="S16" s="248">
        <v>384</v>
      </c>
      <c r="T16" s="236">
        <v>1131</v>
      </c>
      <c r="U16" s="236">
        <v>482</v>
      </c>
      <c r="V16" s="238">
        <v>357</v>
      </c>
      <c r="W16" s="94">
        <v>1174</v>
      </c>
      <c r="X16" s="236">
        <v>670</v>
      </c>
      <c r="Y16" s="236">
        <v>2326</v>
      </c>
      <c r="Z16" s="236">
        <v>263</v>
      </c>
      <c r="AA16" s="236">
        <v>8390</v>
      </c>
      <c r="AB16" s="236">
        <v>4900</v>
      </c>
    </row>
    <row r="17" spans="3:28" s="10" customFormat="1" x14ac:dyDescent="0.25">
      <c r="C17" s="156">
        <v>2</v>
      </c>
      <c r="D17" s="156"/>
      <c r="E17" s="29" t="s">
        <v>19</v>
      </c>
      <c r="F17" s="21" t="s">
        <v>41</v>
      </c>
      <c r="G17" s="94">
        <v>157</v>
      </c>
      <c r="H17" s="94">
        <v>330</v>
      </c>
      <c r="I17" s="94">
        <v>19</v>
      </c>
      <c r="J17" s="94">
        <v>51</v>
      </c>
      <c r="K17" s="236">
        <v>110</v>
      </c>
      <c r="L17" s="236">
        <v>14347</v>
      </c>
      <c r="M17" s="236">
        <v>14347</v>
      </c>
      <c r="N17" s="236">
        <v>22</v>
      </c>
      <c r="O17" s="245">
        <v>149</v>
      </c>
      <c r="P17" s="248">
        <v>36</v>
      </c>
      <c r="Q17" s="258">
        <v>77</v>
      </c>
      <c r="R17" s="236">
        <v>33</v>
      </c>
      <c r="S17" s="248">
        <v>20</v>
      </c>
      <c r="T17" s="236">
        <v>188</v>
      </c>
      <c r="U17" s="236">
        <v>201</v>
      </c>
      <c r="V17" s="236">
        <v>29</v>
      </c>
      <c r="W17" s="94">
        <v>57</v>
      </c>
      <c r="X17" s="236">
        <v>95</v>
      </c>
      <c r="Y17" s="236">
        <v>168</v>
      </c>
      <c r="Z17" s="236">
        <v>21</v>
      </c>
      <c r="AA17" s="236">
        <v>1380</v>
      </c>
      <c r="AB17" s="236">
        <v>600</v>
      </c>
    </row>
    <row r="18" spans="3:28" s="10" customFormat="1" x14ac:dyDescent="0.25">
      <c r="C18" s="156">
        <v>3</v>
      </c>
      <c r="D18" s="156"/>
      <c r="E18" s="29" t="s">
        <v>24</v>
      </c>
      <c r="F18" s="21" t="s">
        <v>42</v>
      </c>
      <c r="G18" s="94">
        <v>800</v>
      </c>
      <c r="H18" s="94">
        <v>800</v>
      </c>
      <c r="I18" s="94">
        <v>130</v>
      </c>
      <c r="J18" s="94">
        <v>600</v>
      </c>
      <c r="K18" s="236">
        <v>1500</v>
      </c>
      <c r="L18" s="236">
        <v>60000</v>
      </c>
      <c r="M18" s="236">
        <v>60000</v>
      </c>
      <c r="N18" s="236">
        <v>900</v>
      </c>
      <c r="O18" s="245">
        <v>1200</v>
      </c>
      <c r="P18" s="248">
        <v>350</v>
      </c>
      <c r="Q18" s="258">
        <v>350</v>
      </c>
      <c r="R18" s="236">
        <v>500</v>
      </c>
      <c r="S18" s="248">
        <v>450</v>
      </c>
      <c r="T18" s="236">
        <v>800</v>
      </c>
      <c r="U18" s="278">
        <v>400</v>
      </c>
      <c r="V18" s="238">
        <v>500</v>
      </c>
      <c r="W18" s="94">
        <v>3200</v>
      </c>
      <c r="X18" s="236">
        <v>650</v>
      </c>
      <c r="Y18" s="278">
        <v>2000</v>
      </c>
      <c r="Z18" s="236">
        <v>350</v>
      </c>
      <c r="AA18" s="236">
        <v>5100</v>
      </c>
      <c r="AB18" s="236">
        <v>4500</v>
      </c>
    </row>
    <row r="19" spans="3:28" s="10" customFormat="1" x14ac:dyDescent="0.25">
      <c r="C19" s="48">
        <v>4</v>
      </c>
      <c r="D19" s="48"/>
      <c r="E19" s="49" t="s">
        <v>62</v>
      </c>
      <c r="F19" s="50" t="s">
        <v>67</v>
      </c>
      <c r="G19" s="218">
        <v>5.0000000000000001E-4</v>
      </c>
      <c r="H19" s="218">
        <v>2.0000000000000001E-4</v>
      </c>
      <c r="I19" s="218">
        <v>5.0000000000000001E-4</v>
      </c>
      <c r="J19" s="94">
        <v>5.0000000000000001E-4</v>
      </c>
      <c r="K19" s="236">
        <v>1E-3</v>
      </c>
      <c r="L19" s="491">
        <v>1E-3</v>
      </c>
      <c r="M19" s="491"/>
      <c r="N19" s="236">
        <v>1.5E-3</v>
      </c>
      <c r="O19" s="245">
        <v>5.0000000000000001E-4</v>
      </c>
      <c r="P19" s="248">
        <v>5.0000000000000001E-4</v>
      </c>
      <c r="Q19" s="258">
        <v>5.0000000000000001E-4</v>
      </c>
      <c r="R19" s="236">
        <v>1E-3</v>
      </c>
      <c r="S19" s="248">
        <v>1.1999999999999999E-3</v>
      </c>
      <c r="T19" s="236">
        <v>1.1999999999999999E-3</v>
      </c>
      <c r="U19" s="236">
        <v>1.5E-3</v>
      </c>
      <c r="V19" s="258">
        <v>5.0000000000000001E-4</v>
      </c>
      <c r="W19" s="94">
        <v>1.5E-3</v>
      </c>
      <c r="X19" s="236">
        <v>8.9999999999999998E-4</v>
      </c>
      <c r="Y19" s="236">
        <v>1E-3</v>
      </c>
      <c r="Z19" s="236">
        <v>1.1999999999999999E-3</v>
      </c>
      <c r="AA19" s="236">
        <v>1E-3</v>
      </c>
      <c r="AB19" s="258">
        <v>1.5E-3</v>
      </c>
    </row>
    <row r="20" spans="3:28" s="10" customFormat="1" x14ac:dyDescent="0.25">
      <c r="C20" s="156">
        <v>5</v>
      </c>
      <c r="D20" s="156"/>
      <c r="E20" s="29" t="s">
        <v>63</v>
      </c>
      <c r="F20" s="21"/>
      <c r="G20" s="94"/>
      <c r="H20" s="94"/>
      <c r="I20" s="94"/>
      <c r="J20" s="94"/>
      <c r="K20" s="236"/>
      <c r="L20" s="405"/>
      <c r="M20" s="405"/>
      <c r="N20" s="236"/>
      <c r="O20" s="245"/>
      <c r="P20" s="248"/>
      <c r="Q20" s="258"/>
      <c r="R20" s="236"/>
      <c r="S20" s="248"/>
      <c r="T20" s="236" t="s">
        <v>874</v>
      </c>
      <c r="U20" s="236"/>
      <c r="V20" s="258"/>
      <c r="W20" s="94"/>
      <c r="X20" s="236"/>
      <c r="Y20" s="236"/>
      <c r="Z20" s="236"/>
      <c r="AA20" s="236"/>
      <c r="AB20" s="258"/>
    </row>
    <row r="21" spans="3:28" s="10" customFormat="1" x14ac:dyDescent="0.25">
      <c r="C21" s="48"/>
      <c r="D21" s="48" t="s">
        <v>64</v>
      </c>
      <c r="E21" s="49" t="s">
        <v>68</v>
      </c>
      <c r="F21" s="50" t="s">
        <v>71</v>
      </c>
      <c r="G21" s="218">
        <v>1.45</v>
      </c>
      <c r="H21" s="218">
        <v>1.8</v>
      </c>
      <c r="I21" s="218">
        <v>2</v>
      </c>
      <c r="J21" s="94">
        <v>1</v>
      </c>
      <c r="K21" s="236">
        <v>1.7</v>
      </c>
      <c r="L21" s="239"/>
      <c r="M21" s="239"/>
      <c r="N21" s="237">
        <v>1</v>
      </c>
      <c r="O21" s="245">
        <f>AVERAGE(2.55,2.6,2.5)</f>
        <v>2.5500000000000003</v>
      </c>
      <c r="P21" s="248">
        <v>0.8</v>
      </c>
      <c r="Q21" s="258">
        <v>1.2</v>
      </c>
      <c r="R21" s="236">
        <v>1.2</v>
      </c>
      <c r="S21" s="248">
        <v>1.4</v>
      </c>
      <c r="T21" s="236">
        <v>1.2</v>
      </c>
      <c r="U21" s="237">
        <v>0.8</v>
      </c>
      <c r="V21" s="258">
        <v>1.2</v>
      </c>
      <c r="W21" s="283">
        <v>3</v>
      </c>
      <c r="X21" s="236">
        <v>1.25</v>
      </c>
      <c r="Y21" s="237">
        <v>1.9</v>
      </c>
      <c r="Z21" s="236">
        <v>1</v>
      </c>
      <c r="AA21" s="237">
        <v>2.8</v>
      </c>
      <c r="AB21" s="258">
        <v>3.5</v>
      </c>
    </row>
    <row r="22" spans="3:28" s="10" customFormat="1" x14ac:dyDescent="0.25">
      <c r="C22" s="48"/>
      <c r="D22" s="48" t="s">
        <v>65</v>
      </c>
      <c r="E22" s="49" t="s">
        <v>69</v>
      </c>
      <c r="F22" s="50" t="s">
        <v>72</v>
      </c>
      <c r="G22" s="218">
        <v>0.3</v>
      </c>
      <c r="H22" s="218">
        <v>0.3</v>
      </c>
      <c r="I22" s="218">
        <v>0.3</v>
      </c>
      <c r="J22" s="58">
        <v>0.2</v>
      </c>
      <c r="K22" s="285" t="s">
        <v>860</v>
      </c>
      <c r="L22" s="94"/>
      <c r="M22" s="94"/>
      <c r="N22" s="236">
        <v>0.1</v>
      </c>
      <c r="O22" s="245">
        <v>0.3</v>
      </c>
      <c r="P22" s="249">
        <v>0.2</v>
      </c>
      <c r="Q22" s="258">
        <v>0.1</v>
      </c>
      <c r="R22" s="238">
        <v>0.2</v>
      </c>
      <c r="S22" s="248">
        <v>0.2</v>
      </c>
      <c r="T22" s="236">
        <v>0.3</v>
      </c>
      <c r="U22" s="236">
        <v>0.2</v>
      </c>
      <c r="V22" s="260">
        <v>0.3</v>
      </c>
      <c r="W22" s="94">
        <v>0.3</v>
      </c>
      <c r="X22" s="285" t="s">
        <v>860</v>
      </c>
      <c r="Y22" s="236">
        <v>0.13</v>
      </c>
      <c r="Z22" s="289" t="s">
        <v>890</v>
      </c>
      <c r="AA22" s="237">
        <v>0.15</v>
      </c>
      <c r="AB22" s="260">
        <v>0.5</v>
      </c>
    </row>
    <row r="23" spans="3:28" s="10" customFormat="1" x14ac:dyDescent="0.25">
      <c r="C23" s="48"/>
      <c r="D23" s="48" t="s">
        <v>66</v>
      </c>
      <c r="E23" s="49" t="s">
        <v>70</v>
      </c>
      <c r="F23" s="50" t="s">
        <v>167</v>
      </c>
      <c r="G23" s="218">
        <v>0.95</v>
      </c>
      <c r="H23" s="218">
        <v>1.2</v>
      </c>
      <c r="I23" s="218">
        <v>1.2</v>
      </c>
      <c r="J23" s="94">
        <v>0.6</v>
      </c>
      <c r="K23" s="236">
        <v>1</v>
      </c>
      <c r="L23" s="236"/>
      <c r="M23" s="236"/>
      <c r="N23" s="237">
        <v>0.8</v>
      </c>
      <c r="O23" s="264">
        <f>AVERAGE(1.2,0.75,0.8)</f>
        <v>0.91666666666666663</v>
      </c>
      <c r="P23" s="248">
        <v>0.6</v>
      </c>
      <c r="Q23" s="258">
        <v>0.8</v>
      </c>
      <c r="R23" s="236">
        <v>0.6</v>
      </c>
      <c r="S23" s="248">
        <v>1.4</v>
      </c>
      <c r="T23" s="236">
        <v>0.9</v>
      </c>
      <c r="U23" s="237">
        <v>0.6</v>
      </c>
      <c r="V23" s="258">
        <v>1</v>
      </c>
      <c r="W23" s="94">
        <v>1.2</v>
      </c>
      <c r="X23" s="236">
        <v>1.1000000000000001</v>
      </c>
      <c r="Y23" s="237">
        <v>1</v>
      </c>
      <c r="Z23" s="236">
        <v>0.6</v>
      </c>
      <c r="AA23" s="237">
        <v>1.3</v>
      </c>
      <c r="AB23" s="258">
        <v>1.5</v>
      </c>
    </row>
    <row r="24" spans="3:28" s="10" customFormat="1" x14ac:dyDescent="0.25">
      <c r="C24" s="156">
        <v>6</v>
      </c>
      <c r="D24" s="156"/>
      <c r="E24" s="29" t="s">
        <v>73</v>
      </c>
      <c r="F24" s="21" t="s">
        <v>74</v>
      </c>
      <c r="G24" s="58" t="s">
        <v>848</v>
      </c>
      <c r="H24" s="216" t="s">
        <v>848</v>
      </c>
      <c r="I24" s="58" t="s">
        <v>848</v>
      </c>
      <c r="J24" s="58" t="s">
        <v>848</v>
      </c>
      <c r="K24" s="236" t="s">
        <v>857</v>
      </c>
      <c r="L24" s="236" t="s">
        <v>1089</v>
      </c>
      <c r="M24" s="236" t="s">
        <v>1089</v>
      </c>
      <c r="N24" s="236" t="s">
        <v>857</v>
      </c>
      <c r="O24" s="236" t="s">
        <v>857</v>
      </c>
      <c r="P24" s="249" t="s">
        <v>857</v>
      </c>
      <c r="Q24" s="249" t="s">
        <v>857</v>
      </c>
      <c r="R24" s="238" t="s">
        <v>848</v>
      </c>
      <c r="S24" s="248" t="s">
        <v>848</v>
      </c>
      <c r="T24" s="236" t="s">
        <v>848</v>
      </c>
      <c r="U24" s="238" t="s">
        <v>857</v>
      </c>
      <c r="V24" s="258" t="s">
        <v>857</v>
      </c>
      <c r="W24" s="238" t="s">
        <v>857</v>
      </c>
      <c r="X24" s="236" t="s">
        <v>885</v>
      </c>
      <c r="Y24" s="238" t="s">
        <v>857</v>
      </c>
      <c r="Z24" s="236" t="s">
        <v>848</v>
      </c>
      <c r="AA24" s="238" t="s">
        <v>894</v>
      </c>
      <c r="AB24" s="258" t="s">
        <v>857</v>
      </c>
    </row>
    <row r="25" spans="3:28" s="167" customFormat="1" x14ac:dyDescent="0.25">
      <c r="C25" s="196">
        <v>7</v>
      </c>
      <c r="D25" s="164"/>
      <c r="E25" s="165" t="s">
        <v>2</v>
      </c>
      <c r="F25" s="166" t="s">
        <v>44</v>
      </c>
      <c r="G25" s="219">
        <v>0.1</v>
      </c>
      <c r="H25" s="219">
        <v>0.1</v>
      </c>
      <c r="I25" s="219">
        <v>0.1</v>
      </c>
      <c r="J25" s="219">
        <v>0.3</v>
      </c>
      <c r="K25" s="239">
        <v>0</v>
      </c>
      <c r="L25" s="239">
        <v>0</v>
      </c>
      <c r="M25" s="239">
        <v>0</v>
      </c>
      <c r="N25" s="239">
        <v>0.2</v>
      </c>
      <c r="O25" s="265">
        <v>0.15</v>
      </c>
      <c r="P25" s="276">
        <v>0.4</v>
      </c>
      <c r="Q25" s="276">
        <v>0.3</v>
      </c>
      <c r="R25" s="276">
        <v>0.4</v>
      </c>
      <c r="S25" s="276">
        <v>0.55000000000000004</v>
      </c>
      <c r="T25" s="265">
        <v>0.2</v>
      </c>
      <c r="U25" s="239">
        <v>0.15</v>
      </c>
      <c r="V25" s="259">
        <v>0.25</v>
      </c>
      <c r="W25" s="219">
        <v>0.1</v>
      </c>
      <c r="X25" s="239">
        <v>0.25</v>
      </c>
      <c r="Y25" s="239">
        <v>0.2</v>
      </c>
      <c r="Z25" s="239">
        <v>0.65</v>
      </c>
      <c r="AA25" s="239">
        <v>0.4</v>
      </c>
      <c r="AB25" s="259">
        <v>0.2</v>
      </c>
    </row>
    <row r="26" spans="3:28" s="167" customFormat="1" x14ac:dyDescent="0.25">
      <c r="C26" s="164"/>
      <c r="D26" s="164"/>
      <c r="E26" s="165"/>
      <c r="F26" s="166"/>
      <c r="G26" s="539">
        <f>+G4*(1+G25)</f>
        <v>1.3901600471402705E-3</v>
      </c>
      <c r="H26" s="539">
        <f t="shared" ref="H26:AB26" si="9">+H4*(1+H25)</f>
        <v>3.8186450885752659E-3</v>
      </c>
      <c r="I26" s="539">
        <f t="shared" si="9"/>
        <v>3.5242861294017387E-2</v>
      </c>
      <c r="J26" s="539">
        <f t="shared" si="9"/>
        <v>7.3265697976611132E-3</v>
      </c>
      <c r="K26" s="539">
        <f t="shared" si="9"/>
        <v>4.419417382415922E-3</v>
      </c>
      <c r="L26" s="539"/>
      <c r="M26" s="539"/>
      <c r="N26" s="539">
        <f t="shared" si="9"/>
        <v>9.2951600308978002E-3</v>
      </c>
      <c r="O26" s="539">
        <f t="shared" si="9"/>
        <v>9.8313176648494559E-3</v>
      </c>
      <c r="P26" s="539">
        <f t="shared" si="9"/>
        <v>1.5602307521645636E-2</v>
      </c>
      <c r="Q26" s="539">
        <f t="shared" si="9"/>
        <v>1.4094723285321919E-2</v>
      </c>
      <c r="R26" s="539">
        <f t="shared" si="9"/>
        <v>5.6066460562443198E-3</v>
      </c>
      <c r="S26" s="539">
        <f t="shared" si="9"/>
        <v>2.5752088912034558E-2</v>
      </c>
      <c r="T26" s="539">
        <f t="shared" si="9"/>
        <v>2.7950282109488623E-2</v>
      </c>
      <c r="U26" s="539">
        <f t="shared" si="9"/>
        <v>1.0413147207526887E-2</v>
      </c>
      <c r="V26" s="539">
        <f t="shared" si="9"/>
        <v>1.1481983169296144E-2</v>
      </c>
      <c r="W26" s="539">
        <f t="shared" si="9"/>
        <v>3.6237837399257142E-3</v>
      </c>
      <c r="X26" s="539">
        <f t="shared" si="9"/>
        <v>9.5072039409674989E-3</v>
      </c>
      <c r="Y26" s="539">
        <f t="shared" si="9"/>
        <v>3.5904473258913014E-3</v>
      </c>
      <c r="Z26" s="539">
        <f t="shared" si="9"/>
        <v>2.8114705201574292E-2</v>
      </c>
      <c r="AA26" s="539">
        <f t="shared" si="9"/>
        <v>3.656214965230069E-4</v>
      </c>
      <c r="AB26" s="539">
        <f t="shared" si="9"/>
        <v>5.5547277160991415E-3</v>
      </c>
    </row>
    <row r="27" spans="3:28" s="10" customFormat="1" x14ac:dyDescent="0.25">
      <c r="C27" s="27" t="s">
        <v>3</v>
      </c>
      <c r="D27" s="27"/>
      <c r="E27" s="30"/>
      <c r="F27" s="21"/>
      <c r="G27" s="94"/>
      <c r="H27" s="94"/>
      <c r="I27" s="94"/>
      <c r="J27" s="94"/>
      <c r="K27" s="236"/>
      <c r="L27" s="236"/>
      <c r="M27" s="236"/>
      <c r="N27" s="236"/>
      <c r="O27" s="245"/>
      <c r="P27" s="248"/>
      <c r="Q27" s="258"/>
      <c r="R27" s="236"/>
      <c r="S27" s="248"/>
      <c r="T27" s="248"/>
      <c r="U27" s="236"/>
      <c r="V27" s="258"/>
      <c r="W27" s="94"/>
      <c r="X27" s="236"/>
      <c r="Y27" s="236"/>
      <c r="Z27" s="236"/>
      <c r="AA27" s="236"/>
      <c r="AB27" s="258"/>
    </row>
    <row r="28" spans="3:28" s="10" customFormat="1" x14ac:dyDescent="0.25">
      <c r="C28" s="156">
        <v>8</v>
      </c>
      <c r="D28" s="156"/>
      <c r="E28" s="29" t="s">
        <v>4</v>
      </c>
      <c r="F28" s="21"/>
      <c r="G28" s="94" t="s">
        <v>321</v>
      </c>
      <c r="H28" s="94" t="s">
        <v>321</v>
      </c>
      <c r="I28" s="94" t="s">
        <v>321</v>
      </c>
      <c r="J28" s="58" t="s">
        <v>855</v>
      </c>
      <c r="K28" s="236" t="s">
        <v>858</v>
      </c>
      <c r="L28" s="236" t="s">
        <v>1090</v>
      </c>
      <c r="M28" s="236" t="s">
        <v>1094</v>
      </c>
      <c r="N28" s="238" t="s">
        <v>446</v>
      </c>
      <c r="O28" s="238" t="s">
        <v>866</v>
      </c>
      <c r="P28" s="249" t="s">
        <v>446</v>
      </c>
      <c r="Q28" s="238" t="s">
        <v>866</v>
      </c>
      <c r="R28" s="236" t="s">
        <v>446</v>
      </c>
      <c r="S28" s="248" t="s">
        <v>858</v>
      </c>
      <c r="T28" s="248" t="s">
        <v>858</v>
      </c>
      <c r="U28" s="238" t="s">
        <v>446</v>
      </c>
      <c r="V28" s="258" t="s">
        <v>446</v>
      </c>
      <c r="W28" s="58" t="s">
        <v>446</v>
      </c>
      <c r="X28" s="236" t="s">
        <v>858</v>
      </c>
      <c r="Y28" s="238" t="s">
        <v>446</v>
      </c>
      <c r="Z28" s="236" t="s">
        <v>858</v>
      </c>
      <c r="AA28" s="238" t="s">
        <v>439</v>
      </c>
      <c r="AB28" s="258" t="s">
        <v>896</v>
      </c>
    </row>
    <row r="29" spans="3:28" s="10" customFormat="1" x14ac:dyDescent="0.25">
      <c r="C29" s="156">
        <v>9</v>
      </c>
      <c r="D29" s="156"/>
      <c r="E29" s="29" t="s">
        <v>25</v>
      </c>
      <c r="F29" s="21"/>
      <c r="G29" s="94">
        <v>105</v>
      </c>
      <c r="H29" s="94">
        <v>230</v>
      </c>
      <c r="I29" s="94">
        <v>330</v>
      </c>
      <c r="J29" s="94">
        <v>550</v>
      </c>
      <c r="K29" s="236">
        <v>625</v>
      </c>
      <c r="L29" s="236"/>
      <c r="M29" s="236"/>
      <c r="N29" s="236">
        <v>1000</v>
      </c>
      <c r="O29" s="245">
        <v>850</v>
      </c>
      <c r="P29" s="248">
        <v>700</v>
      </c>
      <c r="Q29" s="258">
        <v>500</v>
      </c>
      <c r="R29" s="246">
        <v>300</v>
      </c>
      <c r="S29" s="248">
        <v>650</v>
      </c>
      <c r="T29" s="248">
        <v>2160</v>
      </c>
      <c r="U29" s="246">
        <v>650</v>
      </c>
      <c r="V29" s="258">
        <v>500</v>
      </c>
      <c r="W29" s="94">
        <v>700</v>
      </c>
      <c r="X29" s="236">
        <v>500</v>
      </c>
      <c r="Y29" s="236">
        <v>560</v>
      </c>
      <c r="Z29" s="236">
        <v>970</v>
      </c>
      <c r="AA29" s="236">
        <v>90</v>
      </c>
      <c r="AB29" s="258">
        <v>1100</v>
      </c>
    </row>
    <row r="30" spans="3:28" s="10" customFormat="1" x14ac:dyDescent="0.25">
      <c r="C30" s="156">
        <v>10</v>
      </c>
      <c r="D30" s="156"/>
      <c r="E30" s="29" t="s">
        <v>77</v>
      </c>
      <c r="F30" s="21"/>
      <c r="G30" s="94"/>
      <c r="H30" s="94"/>
      <c r="I30" s="94"/>
      <c r="J30" s="58"/>
      <c r="K30" s="236"/>
      <c r="L30" s="236"/>
      <c r="M30" s="236"/>
      <c r="N30" s="236"/>
      <c r="O30" s="245"/>
      <c r="P30" s="249"/>
      <c r="Q30" s="258"/>
      <c r="R30" s="236"/>
      <c r="S30" s="248"/>
      <c r="T30" s="248" t="s">
        <v>875</v>
      </c>
      <c r="U30" s="236"/>
      <c r="V30" s="258"/>
      <c r="W30" s="58"/>
      <c r="X30" s="236"/>
      <c r="Y30" s="236"/>
      <c r="Z30" s="236"/>
      <c r="AA30" s="236"/>
      <c r="AB30" s="258"/>
    </row>
    <row r="31" spans="3:28" s="10" customFormat="1" ht="30" x14ac:dyDescent="0.25">
      <c r="C31" s="48"/>
      <c r="D31" s="48" t="s">
        <v>78</v>
      </c>
      <c r="E31" s="49" t="s">
        <v>79</v>
      </c>
      <c r="F31" s="50"/>
      <c r="G31" s="94" t="s">
        <v>849</v>
      </c>
      <c r="H31" s="58" t="s">
        <v>853</v>
      </c>
      <c r="I31" s="236" t="s">
        <v>849</v>
      </c>
      <c r="J31" s="58" t="s">
        <v>853</v>
      </c>
      <c r="K31" s="236" t="s">
        <v>849</v>
      </c>
      <c r="L31" s="236" t="s">
        <v>1086</v>
      </c>
      <c r="M31" s="236" t="s">
        <v>1086</v>
      </c>
      <c r="N31" s="236" t="s">
        <v>849</v>
      </c>
      <c r="O31" s="236" t="s">
        <v>849</v>
      </c>
      <c r="P31" s="236" t="s">
        <v>849</v>
      </c>
      <c r="Q31" s="236" t="s">
        <v>849</v>
      </c>
      <c r="R31" s="236" t="s">
        <v>853</v>
      </c>
      <c r="S31" s="248" t="s">
        <v>849</v>
      </c>
      <c r="T31" s="248" t="s">
        <v>853</v>
      </c>
      <c r="U31" s="238" t="s">
        <v>853</v>
      </c>
      <c r="V31" s="258" t="s">
        <v>849</v>
      </c>
      <c r="W31" s="238" t="s">
        <v>853</v>
      </c>
      <c r="X31" s="236" t="s">
        <v>849</v>
      </c>
      <c r="Y31" s="238" t="s">
        <v>853</v>
      </c>
      <c r="Z31" s="236" t="s">
        <v>849</v>
      </c>
      <c r="AA31" s="238" t="s">
        <v>853</v>
      </c>
      <c r="AB31" s="258" t="s">
        <v>849</v>
      </c>
    </row>
    <row r="32" spans="3:28" s="10" customFormat="1" x14ac:dyDescent="0.25">
      <c r="C32" s="48"/>
      <c r="D32" s="48" t="s">
        <v>80</v>
      </c>
      <c r="E32" s="49" t="s">
        <v>81</v>
      </c>
      <c r="F32" s="50" t="s">
        <v>71</v>
      </c>
      <c r="G32" s="218">
        <v>1.4</v>
      </c>
      <c r="H32" s="218">
        <v>1.5</v>
      </c>
      <c r="I32" s="218">
        <v>1.5</v>
      </c>
      <c r="J32" s="224">
        <v>1</v>
      </c>
      <c r="K32" s="236">
        <v>1.35</v>
      </c>
      <c r="L32" s="236"/>
      <c r="M32" s="236"/>
      <c r="N32" s="237">
        <v>1</v>
      </c>
      <c r="O32" s="245">
        <v>1.2</v>
      </c>
      <c r="P32" s="251">
        <v>0.8</v>
      </c>
      <c r="Q32" s="260">
        <v>1.1000000000000001</v>
      </c>
      <c r="R32" s="237">
        <v>1</v>
      </c>
      <c r="S32" s="237">
        <v>1</v>
      </c>
      <c r="T32" s="248">
        <v>1.2</v>
      </c>
      <c r="U32" s="237">
        <v>0.8</v>
      </c>
      <c r="V32" s="260">
        <v>1</v>
      </c>
      <c r="W32" s="224">
        <v>2.2000000000000002</v>
      </c>
      <c r="X32" s="236">
        <v>1.35</v>
      </c>
      <c r="Y32" s="237">
        <v>1.9</v>
      </c>
      <c r="Z32" s="237">
        <v>1</v>
      </c>
      <c r="AA32" s="237">
        <v>2.8</v>
      </c>
      <c r="AB32" s="260">
        <v>2.7</v>
      </c>
    </row>
    <row r="33" spans="3:29" s="10" customFormat="1" x14ac:dyDescent="0.25">
      <c r="C33" s="48"/>
      <c r="D33" s="48" t="s">
        <v>82</v>
      </c>
      <c r="E33" s="49" t="s">
        <v>85</v>
      </c>
      <c r="F33" s="50" t="s">
        <v>178</v>
      </c>
      <c r="G33" s="218">
        <v>1.3</v>
      </c>
      <c r="H33" s="218">
        <v>1.5</v>
      </c>
      <c r="I33" s="218">
        <v>1.5</v>
      </c>
      <c r="J33" s="224">
        <v>1</v>
      </c>
      <c r="K33" s="236">
        <v>1.4</v>
      </c>
      <c r="L33" s="236"/>
      <c r="M33" s="236"/>
      <c r="N33" s="237">
        <v>1</v>
      </c>
      <c r="O33" s="245">
        <v>1.2</v>
      </c>
      <c r="P33" s="251">
        <v>1</v>
      </c>
      <c r="Q33" s="260">
        <v>0.7</v>
      </c>
      <c r="R33" s="237">
        <v>1</v>
      </c>
      <c r="S33" s="237">
        <v>1</v>
      </c>
      <c r="T33" s="248">
        <v>0.9</v>
      </c>
      <c r="U33" s="237">
        <v>0.8</v>
      </c>
      <c r="V33" s="260">
        <v>1</v>
      </c>
      <c r="W33" s="224">
        <v>1.3</v>
      </c>
      <c r="X33" s="236">
        <v>1.4</v>
      </c>
      <c r="Y33" s="237">
        <v>1.2</v>
      </c>
      <c r="Z33" s="237">
        <v>1</v>
      </c>
      <c r="AA33" s="237">
        <v>2.1</v>
      </c>
      <c r="AB33" s="260">
        <v>1.2</v>
      </c>
    </row>
    <row r="34" spans="3:29" s="10" customFormat="1" x14ac:dyDescent="0.25">
      <c r="C34" s="48"/>
      <c r="D34" s="48" t="s">
        <v>83</v>
      </c>
      <c r="E34" s="49" t="s">
        <v>86</v>
      </c>
      <c r="F34" s="50" t="s">
        <v>179</v>
      </c>
      <c r="G34" s="218">
        <v>0</v>
      </c>
      <c r="H34" s="218">
        <v>0</v>
      </c>
      <c r="I34" s="218">
        <v>0</v>
      </c>
      <c r="J34" s="225">
        <v>0</v>
      </c>
      <c r="K34" s="236">
        <v>0</v>
      </c>
      <c r="L34" s="236"/>
      <c r="M34" s="236"/>
      <c r="N34" s="236">
        <v>0</v>
      </c>
      <c r="O34" s="266">
        <v>0</v>
      </c>
      <c r="P34" s="248">
        <v>0</v>
      </c>
      <c r="Q34" s="260">
        <v>0</v>
      </c>
      <c r="R34" s="236">
        <v>0</v>
      </c>
      <c r="S34" s="236">
        <v>0</v>
      </c>
      <c r="T34" s="248">
        <v>0</v>
      </c>
      <c r="U34" s="236">
        <v>0</v>
      </c>
      <c r="V34" s="260">
        <v>0</v>
      </c>
      <c r="W34" s="225">
        <v>0</v>
      </c>
      <c r="X34" s="236">
        <v>0</v>
      </c>
      <c r="Y34" s="236">
        <v>0</v>
      </c>
      <c r="Z34" s="236">
        <v>0</v>
      </c>
      <c r="AA34" s="237">
        <v>0</v>
      </c>
      <c r="AB34" s="258">
        <v>0</v>
      </c>
    </row>
    <row r="35" spans="3:29" s="10" customFormat="1" x14ac:dyDescent="0.25">
      <c r="C35" s="48"/>
      <c r="D35" s="48" t="s">
        <v>84</v>
      </c>
      <c r="E35" s="49" t="s">
        <v>87</v>
      </c>
      <c r="F35" s="50" t="s">
        <v>180</v>
      </c>
      <c r="G35" s="218">
        <v>0.12</v>
      </c>
      <c r="H35" s="218">
        <v>0.15</v>
      </c>
      <c r="I35" s="218">
        <v>0.15</v>
      </c>
      <c r="J35" s="58">
        <v>0.12</v>
      </c>
      <c r="K35" s="236">
        <v>0.12</v>
      </c>
      <c r="L35" s="236"/>
      <c r="M35" s="240"/>
      <c r="N35" s="236">
        <v>0.12</v>
      </c>
      <c r="O35" s="245">
        <v>0.12</v>
      </c>
      <c r="P35" s="249">
        <v>0.12</v>
      </c>
      <c r="Q35" s="260">
        <v>0.12</v>
      </c>
      <c r="R35" s="236">
        <v>0.12</v>
      </c>
      <c r="S35" s="236">
        <v>0.12</v>
      </c>
      <c r="T35" s="248">
        <v>0.12</v>
      </c>
      <c r="U35" s="236">
        <v>0.12</v>
      </c>
      <c r="V35" s="260">
        <v>0.12</v>
      </c>
      <c r="W35" s="58">
        <v>0.12</v>
      </c>
      <c r="X35" s="236">
        <v>0.12</v>
      </c>
      <c r="Y35" s="236">
        <v>0.12</v>
      </c>
      <c r="Z35" s="236">
        <v>0.12</v>
      </c>
      <c r="AA35" s="238">
        <v>0.15</v>
      </c>
      <c r="AB35" s="258">
        <v>0.12</v>
      </c>
    </row>
    <row r="36" spans="3:29" s="10" customFormat="1" x14ac:dyDescent="0.25">
      <c r="C36" s="1036">
        <v>11</v>
      </c>
      <c r="D36" s="156" t="s">
        <v>142</v>
      </c>
      <c r="E36" s="29" t="s">
        <v>29</v>
      </c>
      <c r="F36" s="21" t="s">
        <v>43</v>
      </c>
      <c r="G36" s="220">
        <v>570000</v>
      </c>
      <c r="H36" s="220">
        <v>1750000</v>
      </c>
      <c r="I36" s="220">
        <v>2500000</v>
      </c>
      <c r="J36" s="220">
        <v>2800000</v>
      </c>
      <c r="K36" s="240">
        <v>2850000</v>
      </c>
      <c r="L36" s="240">
        <v>3000000</v>
      </c>
      <c r="M36" s="240">
        <v>2331700</v>
      </c>
      <c r="N36" s="240">
        <v>3250000</v>
      </c>
      <c r="O36" s="149">
        <v>5350000</v>
      </c>
      <c r="P36" s="252">
        <v>3500000</v>
      </c>
      <c r="Q36" s="261">
        <v>2200000</v>
      </c>
      <c r="R36" s="291">
        <v>1500000</v>
      </c>
      <c r="S36" s="252">
        <v>2340000</v>
      </c>
      <c r="T36" s="466">
        <v>7560000</v>
      </c>
      <c r="U36" s="240">
        <v>1680000</v>
      </c>
      <c r="V36" s="279">
        <v>2650000</v>
      </c>
      <c r="W36" s="220">
        <v>5900000</v>
      </c>
      <c r="X36" s="240">
        <v>1980000</v>
      </c>
      <c r="Y36" s="240">
        <v>2500000</v>
      </c>
      <c r="Z36" s="240">
        <v>3492000</v>
      </c>
      <c r="AA36" s="291">
        <v>3900000</v>
      </c>
      <c r="AB36" s="261">
        <v>9500000</v>
      </c>
    </row>
    <row r="37" spans="3:29" s="10" customFormat="1" x14ac:dyDescent="0.25">
      <c r="C37" s="1036"/>
      <c r="D37" s="156" t="s">
        <v>143</v>
      </c>
      <c r="E37" s="29" t="s">
        <v>30</v>
      </c>
      <c r="F37" s="21" t="s">
        <v>40</v>
      </c>
      <c r="G37" s="220">
        <v>570000</v>
      </c>
      <c r="H37" s="220">
        <v>1750000</v>
      </c>
      <c r="I37" s="220">
        <v>2500000</v>
      </c>
      <c r="J37" s="448">
        <v>3100000</v>
      </c>
      <c r="K37" s="240">
        <v>2850000</v>
      </c>
      <c r="L37" s="240">
        <f>+L36</f>
        <v>3000000</v>
      </c>
      <c r="M37" s="240">
        <v>2840297.25</v>
      </c>
      <c r="N37" s="291">
        <v>3458000</v>
      </c>
      <c r="O37" s="465">
        <f>+O36</f>
        <v>5350000</v>
      </c>
      <c r="P37" s="252">
        <v>3500000</v>
      </c>
      <c r="Q37" s="261">
        <f>Q36</f>
        <v>2200000</v>
      </c>
      <c r="R37" s="291">
        <f>+R36</f>
        <v>1500000</v>
      </c>
      <c r="S37" s="252">
        <v>2340000</v>
      </c>
      <c r="T37" s="466">
        <f>+T36</f>
        <v>7560000</v>
      </c>
      <c r="U37" s="291">
        <f>+U36</f>
        <v>1680000</v>
      </c>
      <c r="V37" s="279">
        <f>V36</f>
        <v>2650000</v>
      </c>
      <c r="W37" s="220">
        <v>5900000</v>
      </c>
      <c r="X37" s="288">
        <v>2300000</v>
      </c>
      <c r="Y37" s="240">
        <v>2500000</v>
      </c>
      <c r="Z37" s="240">
        <v>3492000</v>
      </c>
      <c r="AA37" s="291">
        <v>3900000</v>
      </c>
      <c r="AB37" s="291">
        <f>+AB36</f>
        <v>9500000</v>
      </c>
      <c r="AC37" s="104">
        <f>SUM(G37:AB37)</f>
        <v>74440297.25</v>
      </c>
    </row>
    <row r="38" spans="3:29" s="10" customFormat="1" x14ac:dyDescent="0.25">
      <c r="C38" s="27" t="s">
        <v>5</v>
      </c>
      <c r="D38" s="27"/>
      <c r="E38" s="30"/>
      <c r="F38" s="22"/>
      <c r="G38" s="221"/>
      <c r="H38" s="221"/>
      <c r="I38" s="221"/>
      <c r="J38" s="221"/>
      <c r="K38" s="241"/>
      <c r="L38" s="241"/>
      <c r="M38" s="241"/>
      <c r="N38" s="241"/>
      <c r="O38" s="267"/>
      <c r="P38" s="253"/>
      <c r="Q38" s="262"/>
      <c r="R38" s="241"/>
      <c r="S38" s="241"/>
      <c r="T38" s="236"/>
      <c r="U38" s="241"/>
      <c r="V38" s="262"/>
      <c r="W38" s="221"/>
      <c r="X38" s="241"/>
      <c r="Y38" s="241"/>
      <c r="Z38" s="241"/>
      <c r="AA38" s="241"/>
      <c r="AB38" s="262"/>
    </row>
    <row r="39" spans="3:29" s="10" customFormat="1" x14ac:dyDescent="0.25">
      <c r="C39" s="156">
        <v>12</v>
      </c>
      <c r="D39" s="156"/>
      <c r="E39" s="29" t="s">
        <v>21</v>
      </c>
      <c r="F39" s="21" t="s">
        <v>45</v>
      </c>
      <c r="G39" s="219">
        <v>0.42</v>
      </c>
      <c r="H39" s="219">
        <v>0.42</v>
      </c>
      <c r="I39" s="219">
        <v>0.42</v>
      </c>
      <c r="J39" s="226">
        <v>0.4294</v>
      </c>
      <c r="K39" s="239">
        <v>0.58689999999999998</v>
      </c>
      <c r="L39" s="239">
        <v>0.75537619047619042</v>
      </c>
      <c r="M39" s="239">
        <v>0.75537619047619042</v>
      </c>
      <c r="N39" s="239">
        <v>0.6</v>
      </c>
      <c r="O39" s="265">
        <v>0.75</v>
      </c>
      <c r="P39" s="254">
        <v>0.54400000000000004</v>
      </c>
      <c r="Q39" s="259">
        <v>0.82</v>
      </c>
      <c r="R39" s="239">
        <v>0.81</v>
      </c>
      <c r="S39" s="250">
        <v>0.46329999999999999</v>
      </c>
      <c r="T39" s="265">
        <v>0.8</v>
      </c>
      <c r="U39" s="239">
        <v>0.56000000000000005</v>
      </c>
      <c r="V39" s="259">
        <v>0.78</v>
      </c>
      <c r="W39" s="226">
        <v>0.4798</v>
      </c>
      <c r="X39" s="239">
        <v>0.64270000000000005</v>
      </c>
      <c r="Y39" s="239">
        <v>0.74</v>
      </c>
      <c r="Z39" s="239">
        <v>0.75539999999999996</v>
      </c>
      <c r="AA39" s="273">
        <v>0.55779999999999996</v>
      </c>
      <c r="AB39" s="259">
        <v>0.85</v>
      </c>
    </row>
    <row r="40" spans="3:29" s="10" customFormat="1" x14ac:dyDescent="0.25">
      <c r="C40" s="156">
        <v>13</v>
      </c>
      <c r="D40" s="156"/>
      <c r="E40" s="29" t="s">
        <v>88</v>
      </c>
      <c r="F40" s="21" t="s">
        <v>48</v>
      </c>
      <c r="G40" s="219">
        <v>0.46</v>
      </c>
      <c r="H40" s="219">
        <v>0.46</v>
      </c>
      <c r="I40" s="219">
        <v>0.46</v>
      </c>
      <c r="J40" s="226">
        <v>0.74450000000000005</v>
      </c>
      <c r="K40" s="239">
        <v>0.66369999999999996</v>
      </c>
      <c r="L40" s="239">
        <v>0.7126904761904761</v>
      </c>
      <c r="M40" s="239">
        <v>0.7126904761904761</v>
      </c>
      <c r="N40" s="239">
        <v>0.67</v>
      </c>
      <c r="O40" s="265">
        <v>0.82</v>
      </c>
      <c r="P40" s="254">
        <v>0.83069999999999999</v>
      </c>
      <c r="Q40" s="259">
        <v>0.97</v>
      </c>
      <c r="R40" s="239">
        <v>0.9</v>
      </c>
      <c r="S40" s="250">
        <v>0.9476</v>
      </c>
      <c r="T40" s="265">
        <v>0.8</v>
      </c>
      <c r="U40" s="239">
        <v>0.68</v>
      </c>
      <c r="V40" s="259">
        <v>0.8</v>
      </c>
      <c r="W40" s="226">
        <v>0.77910000000000001</v>
      </c>
      <c r="X40" s="239">
        <v>0.75639999999999996</v>
      </c>
      <c r="Y40" s="239">
        <v>0.76</v>
      </c>
      <c r="Z40" s="239">
        <v>0.93769999999999998</v>
      </c>
      <c r="AA40" s="273">
        <v>0.82530000000000003</v>
      </c>
      <c r="AB40" s="259">
        <v>0.95</v>
      </c>
    </row>
    <row r="41" spans="3:29" s="10" customFormat="1" x14ac:dyDescent="0.25">
      <c r="C41" s="156">
        <v>14</v>
      </c>
      <c r="D41" s="156"/>
      <c r="E41" s="30" t="s">
        <v>22</v>
      </c>
      <c r="F41" s="21" t="s">
        <v>46</v>
      </c>
      <c r="G41" s="220">
        <v>339564.97</v>
      </c>
      <c r="H41" s="220">
        <v>339564.97</v>
      </c>
      <c r="I41" s="220">
        <v>339564.97</v>
      </c>
      <c r="J41" s="227">
        <v>1387596</v>
      </c>
      <c r="K41" s="240">
        <v>2054496.28</v>
      </c>
      <c r="L41" s="240">
        <v>56000000</v>
      </c>
      <c r="M41" s="240">
        <v>56000000</v>
      </c>
      <c r="N41" s="240">
        <v>2138853</v>
      </c>
      <c r="O41" s="149">
        <v>2149640</v>
      </c>
      <c r="P41" s="255">
        <v>1853106.36</v>
      </c>
      <c r="Q41" s="261">
        <v>366270</v>
      </c>
      <c r="R41" s="240">
        <v>827380</v>
      </c>
      <c r="S41" s="252">
        <v>2011804.07</v>
      </c>
      <c r="T41" s="252">
        <v>11422246.59</v>
      </c>
      <c r="U41" s="240">
        <v>2237166</v>
      </c>
      <c r="V41" s="280">
        <v>591532</v>
      </c>
      <c r="W41" s="284">
        <v>1535698.63</v>
      </c>
      <c r="X41" s="240">
        <v>569151.89</v>
      </c>
      <c r="Y41" s="240">
        <v>1512374</v>
      </c>
      <c r="Z41" s="240">
        <v>5065778.37</v>
      </c>
      <c r="AA41" s="290">
        <v>912261.68</v>
      </c>
      <c r="AB41" s="261">
        <v>2889190</v>
      </c>
    </row>
    <row r="42" spans="3:29" s="10" customFormat="1" ht="18" x14ac:dyDescent="0.25">
      <c r="C42" s="28" t="s">
        <v>6</v>
      </c>
      <c r="D42" s="28"/>
      <c r="E42" s="31"/>
      <c r="F42" s="32" t="s">
        <v>54</v>
      </c>
      <c r="G42" s="94"/>
      <c r="H42" s="94"/>
      <c r="I42" s="94"/>
      <c r="J42" s="94"/>
      <c r="K42" s="236"/>
      <c r="L42" s="236"/>
      <c r="M42" s="236"/>
      <c r="N42" s="236"/>
      <c r="O42" s="245"/>
      <c r="P42" s="248"/>
      <c r="Q42" s="258"/>
      <c r="R42" s="236"/>
      <c r="S42" s="236"/>
      <c r="T42" s="236"/>
      <c r="U42" s="236"/>
      <c r="V42" s="236"/>
      <c r="W42" s="94"/>
      <c r="X42" s="236"/>
      <c r="Y42" s="236"/>
      <c r="Z42" s="236"/>
      <c r="AA42" s="236"/>
      <c r="AB42" s="258"/>
    </row>
    <row r="43" spans="3:29" s="10" customFormat="1" x14ac:dyDescent="0.25">
      <c r="C43" s="1036">
        <v>15</v>
      </c>
      <c r="D43" s="156"/>
      <c r="E43" s="33" t="s">
        <v>7</v>
      </c>
      <c r="F43" s="21">
        <v>40</v>
      </c>
      <c r="G43" s="94">
        <v>0</v>
      </c>
      <c r="H43" s="94">
        <v>0</v>
      </c>
      <c r="I43" s="94">
        <v>0</v>
      </c>
      <c r="J43" s="94">
        <v>0</v>
      </c>
      <c r="K43" s="236">
        <v>1</v>
      </c>
      <c r="L43" s="236">
        <v>1</v>
      </c>
      <c r="M43" s="236">
        <v>1</v>
      </c>
      <c r="N43" s="236">
        <v>1</v>
      </c>
      <c r="O43" s="245">
        <v>1</v>
      </c>
      <c r="P43" s="248">
        <v>1</v>
      </c>
      <c r="Q43" s="258">
        <v>1</v>
      </c>
      <c r="R43" s="236"/>
      <c r="S43" s="248"/>
      <c r="T43" s="248">
        <v>1</v>
      </c>
      <c r="U43" s="236">
        <v>1</v>
      </c>
      <c r="V43" s="236">
        <v>0</v>
      </c>
      <c r="W43" s="94">
        <v>1</v>
      </c>
      <c r="X43" s="236">
        <v>0</v>
      </c>
      <c r="Y43" s="236">
        <v>1</v>
      </c>
      <c r="Z43" s="236"/>
      <c r="AA43" s="236">
        <v>0</v>
      </c>
      <c r="AB43" s="258">
        <v>1</v>
      </c>
    </row>
    <row r="44" spans="3:29" s="10" customFormat="1" x14ac:dyDescent="0.25">
      <c r="C44" s="1036"/>
      <c r="D44" s="156"/>
      <c r="E44" s="33" t="s">
        <v>8</v>
      </c>
      <c r="F44" s="21">
        <v>26</v>
      </c>
      <c r="G44" s="94">
        <v>1</v>
      </c>
      <c r="H44" s="94">
        <v>1</v>
      </c>
      <c r="I44" s="94">
        <v>1</v>
      </c>
      <c r="J44" s="94">
        <v>0</v>
      </c>
      <c r="K44" s="236"/>
      <c r="L44" s="236"/>
      <c r="M44" s="236"/>
      <c r="N44" s="236"/>
      <c r="O44" s="245"/>
      <c r="P44" s="248"/>
      <c r="Q44" s="258"/>
      <c r="R44" s="236">
        <v>1</v>
      </c>
      <c r="S44" s="248"/>
      <c r="T44" s="248">
        <v>0</v>
      </c>
      <c r="U44" s="236">
        <v>0</v>
      </c>
      <c r="V44" s="236">
        <v>1</v>
      </c>
      <c r="W44" s="94">
        <v>0</v>
      </c>
      <c r="X44" s="236">
        <v>0</v>
      </c>
      <c r="Y44" s="236">
        <v>0</v>
      </c>
      <c r="Z44" s="236">
        <v>1</v>
      </c>
      <c r="AA44" s="236">
        <v>1</v>
      </c>
      <c r="AB44" s="258"/>
    </row>
    <row r="45" spans="3:29" s="10" customFormat="1" x14ac:dyDescent="0.25">
      <c r="C45" s="1036"/>
      <c r="D45" s="156"/>
      <c r="E45" s="33" t="s">
        <v>9</v>
      </c>
      <c r="F45" s="21">
        <v>13</v>
      </c>
      <c r="G45" s="94">
        <v>0</v>
      </c>
      <c r="H45" s="94">
        <v>0</v>
      </c>
      <c r="I45" s="94">
        <v>0</v>
      </c>
      <c r="J45" s="94">
        <v>1</v>
      </c>
      <c r="K45" s="236"/>
      <c r="L45" s="236"/>
      <c r="M45" s="236"/>
      <c r="N45" s="236"/>
      <c r="O45" s="245"/>
      <c r="P45" s="248"/>
      <c r="Q45" s="258"/>
      <c r="R45" s="236"/>
      <c r="S45" s="248">
        <v>1</v>
      </c>
      <c r="T45" s="248">
        <v>0</v>
      </c>
      <c r="U45" s="236">
        <v>0</v>
      </c>
      <c r="V45" s="236">
        <v>0</v>
      </c>
      <c r="W45" s="94">
        <v>0</v>
      </c>
      <c r="X45" s="236">
        <v>1</v>
      </c>
      <c r="Y45" s="236">
        <v>0</v>
      </c>
      <c r="Z45" s="236"/>
      <c r="AA45" s="236">
        <v>0</v>
      </c>
      <c r="AB45" s="258"/>
    </row>
    <row r="46" spans="3:29" s="10" customFormat="1" x14ac:dyDescent="0.25">
      <c r="C46" s="1036"/>
      <c r="D46" s="156"/>
      <c r="E46" s="33" t="s">
        <v>10</v>
      </c>
      <c r="F46" s="21">
        <v>0</v>
      </c>
      <c r="G46" s="94">
        <v>0</v>
      </c>
      <c r="H46" s="94">
        <v>0</v>
      </c>
      <c r="I46" s="94">
        <v>0</v>
      </c>
      <c r="J46" s="94">
        <v>0</v>
      </c>
      <c r="K46" s="236"/>
      <c r="L46" s="236"/>
      <c r="M46" s="236"/>
      <c r="N46" s="236"/>
      <c r="O46" s="245"/>
      <c r="P46" s="248"/>
      <c r="Q46" s="258"/>
      <c r="R46" s="236"/>
      <c r="S46" s="248"/>
      <c r="T46" s="248">
        <v>0</v>
      </c>
      <c r="U46" s="236">
        <v>0</v>
      </c>
      <c r="V46" s="236">
        <v>0</v>
      </c>
      <c r="W46" s="94">
        <v>0</v>
      </c>
      <c r="X46" s="236">
        <v>0</v>
      </c>
      <c r="Y46" s="236">
        <v>0</v>
      </c>
      <c r="Z46" s="236"/>
      <c r="AA46" s="236">
        <v>0</v>
      </c>
      <c r="AB46" s="258"/>
    </row>
    <row r="47" spans="3:29" s="10" customFormat="1" ht="18" x14ac:dyDescent="0.25">
      <c r="C47" s="28" t="s">
        <v>11</v>
      </c>
      <c r="D47" s="28"/>
      <c r="E47" s="31"/>
      <c r="F47" s="32" t="s">
        <v>50</v>
      </c>
      <c r="G47" s="94"/>
      <c r="H47" s="94"/>
      <c r="I47" s="94"/>
      <c r="J47" s="94"/>
      <c r="K47" s="236"/>
      <c r="L47" s="236"/>
      <c r="M47" s="236"/>
      <c r="N47" s="236"/>
      <c r="O47" s="245"/>
      <c r="P47" s="248"/>
      <c r="Q47" s="258"/>
      <c r="R47" s="236"/>
      <c r="S47" s="236"/>
      <c r="T47" s="248"/>
      <c r="U47" s="236"/>
      <c r="V47" s="236"/>
      <c r="W47" s="94"/>
      <c r="X47" s="236"/>
      <c r="Y47" s="236"/>
      <c r="Z47" s="236"/>
      <c r="AA47" s="236"/>
      <c r="AB47" s="258"/>
    </row>
    <row r="48" spans="3:29" s="10" customFormat="1" x14ac:dyDescent="0.25">
      <c r="C48" s="1036">
        <v>16</v>
      </c>
      <c r="D48" s="156"/>
      <c r="E48" s="33" t="s">
        <v>12</v>
      </c>
      <c r="F48" s="21">
        <v>40</v>
      </c>
      <c r="G48" s="94">
        <v>0</v>
      </c>
      <c r="H48" s="94">
        <v>0</v>
      </c>
      <c r="I48" s="94">
        <v>0</v>
      </c>
      <c r="J48" s="94">
        <v>0</v>
      </c>
      <c r="K48" s="236">
        <v>1</v>
      </c>
      <c r="L48" s="236">
        <v>1</v>
      </c>
      <c r="M48" s="236">
        <v>1</v>
      </c>
      <c r="N48" s="236"/>
      <c r="O48" s="245"/>
      <c r="P48" s="248"/>
      <c r="Q48" s="258"/>
      <c r="R48" s="236"/>
      <c r="S48" s="248"/>
      <c r="T48" s="248">
        <v>0</v>
      </c>
      <c r="U48" s="236">
        <v>0</v>
      </c>
      <c r="V48" s="236">
        <v>0</v>
      </c>
      <c r="W48" s="94">
        <v>1</v>
      </c>
      <c r="X48" s="236">
        <v>1</v>
      </c>
      <c r="Y48" s="236">
        <v>1</v>
      </c>
      <c r="Z48" s="236"/>
      <c r="AA48" s="236">
        <v>1</v>
      </c>
      <c r="AB48" s="258">
        <v>1</v>
      </c>
    </row>
    <row r="49" spans="3:33" s="10" customFormat="1" x14ac:dyDescent="0.25">
      <c r="C49" s="1036"/>
      <c r="D49" s="156"/>
      <c r="E49" s="33" t="s">
        <v>13</v>
      </c>
      <c r="F49" s="21">
        <v>26</v>
      </c>
      <c r="G49" s="94">
        <v>1</v>
      </c>
      <c r="H49" s="94">
        <v>1</v>
      </c>
      <c r="I49" s="94">
        <v>1</v>
      </c>
      <c r="J49" s="94">
        <v>0</v>
      </c>
      <c r="K49" s="236"/>
      <c r="L49" s="236"/>
      <c r="M49" s="236"/>
      <c r="N49" s="236"/>
      <c r="O49" s="245">
        <v>1</v>
      </c>
      <c r="P49" s="248">
        <v>1</v>
      </c>
      <c r="Q49" s="258">
        <v>1</v>
      </c>
      <c r="R49" s="236">
        <v>1</v>
      </c>
      <c r="S49" s="248">
        <v>1</v>
      </c>
      <c r="T49" s="248">
        <v>1</v>
      </c>
      <c r="U49" s="236">
        <v>0</v>
      </c>
      <c r="V49" s="236">
        <v>1</v>
      </c>
      <c r="W49" s="94">
        <v>0</v>
      </c>
      <c r="X49" s="236">
        <v>0</v>
      </c>
      <c r="Y49" s="236">
        <v>0</v>
      </c>
      <c r="Z49" s="236">
        <v>1</v>
      </c>
      <c r="AA49" s="236">
        <v>0</v>
      </c>
      <c r="AB49" s="258"/>
    </row>
    <row r="50" spans="3:33" s="10" customFormat="1" x14ac:dyDescent="0.25">
      <c r="C50" s="1036"/>
      <c r="D50" s="156"/>
      <c r="E50" s="33" t="s">
        <v>14</v>
      </c>
      <c r="F50" s="21">
        <v>13</v>
      </c>
      <c r="G50" s="94">
        <v>0</v>
      </c>
      <c r="H50" s="94">
        <v>0</v>
      </c>
      <c r="I50" s="94">
        <v>0</v>
      </c>
      <c r="J50" s="94">
        <v>1</v>
      </c>
      <c r="K50" s="236"/>
      <c r="L50" s="236"/>
      <c r="M50" s="236"/>
      <c r="N50" s="236">
        <v>1</v>
      </c>
      <c r="O50" s="245"/>
      <c r="P50" s="248"/>
      <c r="Q50" s="258"/>
      <c r="R50" s="236"/>
      <c r="S50" s="248"/>
      <c r="T50" s="248">
        <v>0</v>
      </c>
      <c r="U50" s="236">
        <v>1</v>
      </c>
      <c r="V50" s="236">
        <v>0</v>
      </c>
      <c r="W50" s="94">
        <v>0</v>
      </c>
      <c r="X50" s="236">
        <v>0</v>
      </c>
      <c r="Y50" s="236">
        <v>0</v>
      </c>
      <c r="Z50" s="236"/>
      <c r="AA50" s="236">
        <v>0</v>
      </c>
      <c r="AB50" s="258"/>
    </row>
    <row r="51" spans="3:33" s="10" customFormat="1" x14ac:dyDescent="0.25">
      <c r="C51" s="1036"/>
      <c r="D51" s="156"/>
      <c r="E51" s="33" t="s">
        <v>16</v>
      </c>
      <c r="F51" s="21">
        <v>0</v>
      </c>
      <c r="G51" s="94">
        <v>0</v>
      </c>
      <c r="H51" s="94">
        <v>0</v>
      </c>
      <c r="I51" s="94">
        <v>0</v>
      </c>
      <c r="J51" s="94">
        <v>0</v>
      </c>
      <c r="K51" s="236"/>
      <c r="L51" s="236"/>
      <c r="M51" s="236"/>
      <c r="N51" s="236"/>
      <c r="O51" s="245"/>
      <c r="P51" s="248"/>
      <c r="Q51" s="258"/>
      <c r="R51" s="236"/>
      <c r="S51" s="248"/>
      <c r="T51" s="248">
        <v>0</v>
      </c>
      <c r="U51" s="236">
        <v>0</v>
      </c>
      <c r="V51" s="236">
        <v>0</v>
      </c>
      <c r="W51" s="94">
        <v>0</v>
      </c>
      <c r="X51" s="236">
        <v>0</v>
      </c>
      <c r="Y51" s="236">
        <v>0</v>
      </c>
      <c r="Z51" s="236"/>
      <c r="AA51" s="236">
        <v>0</v>
      </c>
      <c r="AB51" s="258"/>
    </row>
    <row r="52" spans="3:33" s="10" customFormat="1" x14ac:dyDescent="0.25">
      <c r="C52" s="27" t="s">
        <v>15</v>
      </c>
      <c r="D52" s="27"/>
      <c r="E52" s="30"/>
      <c r="F52" s="21"/>
      <c r="G52" s="94"/>
      <c r="H52" s="94"/>
      <c r="I52" s="94"/>
      <c r="J52" s="94"/>
      <c r="K52" s="236"/>
      <c r="L52" s="236"/>
      <c r="M52" s="236"/>
      <c r="N52" s="236"/>
      <c r="O52" s="245"/>
      <c r="P52" s="248"/>
      <c r="Q52" s="258"/>
      <c r="R52" s="236"/>
      <c r="S52" s="236"/>
      <c r="T52" s="236"/>
      <c r="U52" s="236"/>
      <c r="V52" s="236"/>
      <c r="W52" s="94"/>
      <c r="X52" s="236"/>
      <c r="Y52" s="236"/>
      <c r="Z52" s="236"/>
      <c r="AA52" s="236"/>
      <c r="AB52" s="258"/>
    </row>
    <row r="53" spans="3:33" s="10" customFormat="1" ht="15" customHeight="1" x14ac:dyDescent="0.25">
      <c r="C53" s="156">
        <v>17</v>
      </c>
      <c r="D53" s="156"/>
      <c r="E53" s="29" t="s">
        <v>17</v>
      </c>
      <c r="F53" s="21" t="s">
        <v>47</v>
      </c>
      <c r="G53" s="220">
        <f>+G16*VBP_TI!$M$7</f>
        <v>34600071.519448698</v>
      </c>
      <c r="H53" s="220">
        <f>+H16*VBP_TI!$M$7</f>
        <v>49247066.651483692</v>
      </c>
      <c r="I53" s="220">
        <f>+I16*VBP_TI!$M$7</f>
        <v>6411514.8502492793</v>
      </c>
      <c r="J53" s="220">
        <f>+J16*VBP_TI!M25</f>
        <v>17583152.842762198</v>
      </c>
      <c r="K53" s="240">
        <f>+K16*VBP_TI!$M$15</f>
        <v>55088640.942117617</v>
      </c>
      <c r="L53" s="240">
        <f>+L16*VBP_TI!M29</f>
        <v>5705597423.7135715</v>
      </c>
      <c r="M53" s="240">
        <f>[1]VBP_TI!M29*[1]TUNINF!M16</f>
        <v>5705597423.7135715</v>
      </c>
      <c r="N53" s="240">
        <f>+N16*VBP_TI!M27</f>
        <v>11704081.693909496</v>
      </c>
      <c r="O53" s="149">
        <f>+O16*VBP_TI!M10</f>
        <v>139457827.6941236</v>
      </c>
      <c r="P53" s="252">
        <f>+P16*VBP_TI!M20</f>
        <v>21397335.85953138</v>
      </c>
      <c r="Q53" s="261">
        <f>+Q16*VBP_TI!M22</f>
        <v>40774945.500896648</v>
      </c>
      <c r="R53" s="240">
        <f>+R16*VBP_TI!M21</f>
        <v>23656652.473613497</v>
      </c>
      <c r="S53" s="252">
        <f>+S16*VBP_TI!M12</f>
        <v>30117937.373917855</v>
      </c>
      <c r="T53" s="252">
        <f>+T16*VBP_TI!M23</f>
        <v>99958350.85786894</v>
      </c>
      <c r="U53" s="240">
        <f>+U16*VBP_TI!M17</f>
        <v>42001886.497983702</v>
      </c>
      <c r="V53" s="240">
        <f>+V16*VBP_TI!M6</f>
        <v>45441716.861265592</v>
      </c>
      <c r="W53" s="220">
        <f>+W16*VBP_TI!M14</f>
        <v>77520793.741677985</v>
      </c>
      <c r="X53" s="240">
        <f>+X16*VBP_TI!M8</f>
        <v>50991194.269166291</v>
      </c>
      <c r="Y53" s="240">
        <f>+Y16*VBP_TI!M11</f>
        <v>185368439.24888438</v>
      </c>
      <c r="Z53" s="240">
        <f>+Z16*VBP_TI!$M$9</f>
        <v>21752061.702724386</v>
      </c>
      <c r="AA53" s="240">
        <f>+AA16*VBP_TI!M7</f>
        <v>463729393.04820222</v>
      </c>
      <c r="AB53" s="261">
        <f>+AB16*VBP_TI!M18</f>
        <v>494449698.88065207</v>
      </c>
    </row>
    <row r="54" spans="3:33" s="10" customFormat="1" ht="15.75" customHeight="1" x14ac:dyDescent="0.25">
      <c r="C54" s="1045">
        <v>18</v>
      </c>
      <c r="D54" s="156">
        <v>18.100000000000001</v>
      </c>
      <c r="E54" s="29" t="s">
        <v>170</v>
      </c>
      <c r="F54" s="23" t="s">
        <v>53</v>
      </c>
      <c r="G54" s="94" t="s">
        <v>628</v>
      </c>
      <c r="H54" s="94" t="s">
        <v>628</v>
      </c>
      <c r="I54" s="94" t="s">
        <v>628</v>
      </c>
      <c r="J54" s="219" t="s">
        <v>854</v>
      </c>
      <c r="K54" s="236" t="s">
        <v>854</v>
      </c>
      <c r="L54" s="236" t="s">
        <v>854</v>
      </c>
      <c r="M54" s="236" t="s">
        <v>854</v>
      </c>
      <c r="N54" s="242" t="s">
        <v>854</v>
      </c>
      <c r="O54" s="245" t="s">
        <v>854</v>
      </c>
      <c r="P54" s="250" t="s">
        <v>854</v>
      </c>
      <c r="Q54" s="259" t="s">
        <v>854</v>
      </c>
      <c r="R54" s="273" t="s">
        <v>854</v>
      </c>
      <c r="S54" s="248" t="s">
        <v>854</v>
      </c>
      <c r="T54" s="248" t="s">
        <v>854</v>
      </c>
      <c r="U54" s="242" t="s">
        <v>854</v>
      </c>
      <c r="V54" s="238" t="s">
        <v>854</v>
      </c>
      <c r="W54" s="219" t="s">
        <v>854</v>
      </c>
      <c r="X54" s="236" t="s">
        <v>854</v>
      </c>
      <c r="Y54" s="242" t="s">
        <v>854</v>
      </c>
      <c r="Z54" s="236" t="s">
        <v>854</v>
      </c>
      <c r="AA54" s="238" t="s">
        <v>854</v>
      </c>
      <c r="AB54" s="258" t="s">
        <v>854</v>
      </c>
    </row>
    <row r="55" spans="3:33" s="10" customFormat="1" ht="26.25" customHeight="1" x14ac:dyDescent="0.25">
      <c r="C55" s="1045"/>
      <c r="D55" s="156">
        <v>18.2</v>
      </c>
      <c r="E55" s="29" t="s">
        <v>171</v>
      </c>
      <c r="F55" s="23" t="s">
        <v>53</v>
      </c>
      <c r="G55" s="94" t="s">
        <v>629</v>
      </c>
      <c r="H55" s="94" t="s">
        <v>629</v>
      </c>
      <c r="I55" s="94" t="s">
        <v>629</v>
      </c>
      <c r="J55" s="219">
        <v>0.6</v>
      </c>
      <c r="K55" s="281">
        <v>0.75</v>
      </c>
      <c r="L55" s="239">
        <v>0.9</v>
      </c>
      <c r="M55" s="239">
        <v>0.9</v>
      </c>
      <c r="N55" s="242">
        <v>0.8</v>
      </c>
      <c r="O55" s="265">
        <v>0.75</v>
      </c>
      <c r="P55" s="250">
        <v>0.9</v>
      </c>
      <c r="Q55" s="259">
        <v>0.7</v>
      </c>
      <c r="R55" s="273">
        <v>0.7</v>
      </c>
      <c r="S55" s="250">
        <v>0.95</v>
      </c>
      <c r="T55" s="250">
        <v>0.9</v>
      </c>
      <c r="U55" s="242">
        <v>0.7</v>
      </c>
      <c r="V55" s="281">
        <v>0.85</v>
      </c>
      <c r="W55" s="219">
        <v>0.9</v>
      </c>
      <c r="X55" s="239">
        <v>0.9</v>
      </c>
      <c r="Y55" s="242">
        <v>0.7</v>
      </c>
      <c r="Z55" s="239">
        <v>0.85</v>
      </c>
      <c r="AA55" s="242">
        <v>0.8</v>
      </c>
      <c r="AB55" s="292">
        <v>0.7</v>
      </c>
    </row>
    <row r="56" spans="3:33" s="10" customFormat="1" ht="18" customHeight="1" x14ac:dyDescent="0.25">
      <c r="C56" s="156">
        <v>19</v>
      </c>
      <c r="D56" s="156"/>
      <c r="E56" s="29" t="s">
        <v>27</v>
      </c>
      <c r="F56" s="32" t="s">
        <v>52</v>
      </c>
      <c r="G56" s="94">
        <v>40</v>
      </c>
      <c r="H56" s="94">
        <v>40</v>
      </c>
      <c r="I56" s="94">
        <v>40</v>
      </c>
      <c r="J56" s="58">
        <v>40</v>
      </c>
      <c r="K56" s="236">
        <v>40</v>
      </c>
      <c r="L56" s="236">
        <v>40</v>
      </c>
      <c r="M56" s="236">
        <v>40</v>
      </c>
      <c r="N56" s="236">
        <v>40</v>
      </c>
      <c r="O56" s="236">
        <v>40</v>
      </c>
      <c r="P56" s="249">
        <v>26</v>
      </c>
      <c r="Q56" s="258">
        <v>26</v>
      </c>
      <c r="R56" s="238">
        <v>40</v>
      </c>
      <c r="S56" s="248">
        <v>40</v>
      </c>
      <c r="T56" s="248">
        <v>40</v>
      </c>
      <c r="U56" s="242">
        <v>0.26</v>
      </c>
      <c r="V56" s="258">
        <v>26</v>
      </c>
      <c r="W56" s="58">
        <v>40</v>
      </c>
      <c r="X56" s="236">
        <v>13</v>
      </c>
      <c r="Y56" s="242">
        <v>0.4</v>
      </c>
      <c r="Z56" s="236">
        <v>40</v>
      </c>
      <c r="AA56" s="238">
        <v>40</v>
      </c>
      <c r="AB56" s="258">
        <v>13</v>
      </c>
    </row>
    <row r="57" spans="3:33" s="10" customFormat="1" ht="15.75" customHeight="1" x14ac:dyDescent="0.25">
      <c r="C57" s="156">
        <v>20</v>
      </c>
      <c r="D57" s="156"/>
      <c r="E57" s="29" t="s">
        <v>18</v>
      </c>
      <c r="F57" s="23" t="s">
        <v>53</v>
      </c>
      <c r="G57" s="197" t="s">
        <v>850</v>
      </c>
      <c r="H57" s="197" t="s">
        <v>850</v>
      </c>
      <c r="I57" s="197" t="s">
        <v>850</v>
      </c>
      <c r="J57" s="246" t="s">
        <v>200</v>
      </c>
      <c r="K57" s="244" t="s">
        <v>850</v>
      </c>
      <c r="L57" s="246" t="s">
        <v>200</v>
      </c>
      <c r="M57" s="246" t="s">
        <v>200</v>
      </c>
      <c r="N57" s="244" t="s">
        <v>863</v>
      </c>
      <c r="O57" s="246" t="s">
        <v>200</v>
      </c>
      <c r="P57" s="256" t="s">
        <v>200</v>
      </c>
      <c r="Q57" s="246" t="s">
        <v>200</v>
      </c>
      <c r="R57" s="246" t="s">
        <v>200</v>
      </c>
      <c r="S57" s="277" t="s">
        <v>850</v>
      </c>
      <c r="T57" s="536" t="s">
        <v>863</v>
      </c>
      <c r="U57" s="244" t="s">
        <v>863</v>
      </c>
      <c r="V57" s="246" t="s">
        <v>200</v>
      </c>
      <c r="W57" s="246" t="s">
        <v>200</v>
      </c>
      <c r="X57" s="244" t="s">
        <v>850</v>
      </c>
      <c r="Y57" s="244" t="s">
        <v>863</v>
      </c>
      <c r="Z57" s="244" t="s">
        <v>863</v>
      </c>
      <c r="AA57" s="244" t="s">
        <v>863</v>
      </c>
      <c r="AB57" s="246" t="s">
        <v>200</v>
      </c>
    </row>
    <row r="58" spans="3:33" s="10" customFormat="1" ht="15" customHeight="1" x14ac:dyDescent="0.25">
      <c r="C58" s="156">
        <v>21</v>
      </c>
      <c r="D58" s="156"/>
      <c r="E58" s="29" t="s">
        <v>20</v>
      </c>
      <c r="F58" s="21" t="s">
        <v>49</v>
      </c>
      <c r="G58" s="219">
        <v>0.01</v>
      </c>
      <c r="H58" s="219">
        <v>0.01</v>
      </c>
      <c r="I58" s="219">
        <v>0.01</v>
      </c>
      <c r="J58" s="219">
        <v>0.1</v>
      </c>
      <c r="K58" s="239">
        <v>0.2</v>
      </c>
      <c r="L58" s="239">
        <v>0.25</v>
      </c>
      <c r="M58" s="239">
        <v>0.25</v>
      </c>
      <c r="N58" s="239">
        <v>0.78</v>
      </c>
      <c r="O58" s="265">
        <v>0.82</v>
      </c>
      <c r="P58" s="250">
        <v>0.2</v>
      </c>
      <c r="Q58" s="259">
        <v>0</v>
      </c>
      <c r="R58" s="239">
        <v>0.01</v>
      </c>
      <c r="S58" s="250">
        <v>0.28999999999999998</v>
      </c>
      <c r="T58" s="250">
        <v>0.2</v>
      </c>
      <c r="U58" s="239">
        <v>0.05</v>
      </c>
      <c r="V58" s="259">
        <v>0.5</v>
      </c>
      <c r="W58" s="219">
        <v>0.3</v>
      </c>
      <c r="X58" s="239">
        <v>0.25</v>
      </c>
      <c r="Y58" s="239">
        <v>0.13</v>
      </c>
      <c r="Z58" s="239">
        <v>0.28999999999999998</v>
      </c>
      <c r="AA58" s="239">
        <v>0.4</v>
      </c>
      <c r="AB58" s="259">
        <v>0.47</v>
      </c>
    </row>
    <row r="59" spans="3:33" s="10" customFormat="1" ht="18.75" customHeight="1" thickBot="1" x14ac:dyDescent="0.35">
      <c r="C59" s="39">
        <v>22</v>
      </c>
      <c r="D59" s="39"/>
      <c r="E59" s="34" t="s">
        <v>177</v>
      </c>
      <c r="F59" s="45" t="s">
        <v>51</v>
      </c>
      <c r="G59" s="222">
        <v>13</v>
      </c>
      <c r="H59" s="222">
        <v>13</v>
      </c>
      <c r="I59" s="222">
        <v>13</v>
      </c>
      <c r="J59" s="222">
        <v>40</v>
      </c>
      <c r="K59" s="243">
        <v>40</v>
      </c>
      <c r="L59" s="243">
        <v>40</v>
      </c>
      <c r="M59" s="243">
        <v>40</v>
      </c>
      <c r="N59" s="243">
        <v>26</v>
      </c>
      <c r="O59" s="268">
        <v>40</v>
      </c>
      <c r="P59" s="257">
        <v>26</v>
      </c>
      <c r="Q59" s="243">
        <v>40</v>
      </c>
      <c r="R59" s="243">
        <v>40</v>
      </c>
      <c r="S59" s="243">
        <v>40</v>
      </c>
      <c r="T59" s="243">
        <v>40</v>
      </c>
      <c r="U59" s="243">
        <v>26</v>
      </c>
      <c r="V59" s="282">
        <v>26</v>
      </c>
      <c r="W59" s="222">
        <v>26</v>
      </c>
      <c r="X59" s="243">
        <v>13</v>
      </c>
      <c r="Y59" s="243">
        <v>26</v>
      </c>
      <c r="Z59" s="243">
        <v>40</v>
      </c>
      <c r="AA59" s="243">
        <v>40</v>
      </c>
      <c r="AB59" s="282">
        <v>13</v>
      </c>
    </row>
    <row r="60" spans="3:33" x14ac:dyDescent="0.25">
      <c r="C60" s="1"/>
      <c r="D60" s="1"/>
      <c r="K60" s="109"/>
      <c r="O60"/>
      <c r="P60"/>
      <c r="Q60"/>
      <c r="R60"/>
      <c r="S60"/>
    </row>
    <row r="61" spans="3:33" x14ac:dyDescent="0.25">
      <c r="E61" s="108" t="s">
        <v>58</v>
      </c>
      <c r="F61" s="135" t="s">
        <v>58</v>
      </c>
      <c r="G61" s="19">
        <f>G9</f>
        <v>1</v>
      </c>
      <c r="H61" s="109">
        <f t="shared" ref="H61:W61" si="10">H9</f>
        <v>2</v>
      </c>
      <c r="I61" s="109">
        <f t="shared" si="10"/>
        <v>3</v>
      </c>
      <c r="J61" s="109">
        <f t="shared" si="10"/>
        <v>4</v>
      </c>
      <c r="K61" s="109">
        <f t="shared" si="10"/>
        <v>5</v>
      </c>
      <c r="L61" s="109">
        <f t="shared" ref="L61" si="11">L9</f>
        <v>6</v>
      </c>
      <c r="M61" s="109">
        <f t="shared" ref="M61" si="12">M9</f>
        <v>7</v>
      </c>
      <c r="N61" s="109">
        <f t="shared" si="10"/>
        <v>8</v>
      </c>
      <c r="O61" s="109">
        <f t="shared" si="10"/>
        <v>9</v>
      </c>
      <c r="P61" s="109">
        <f t="shared" si="10"/>
        <v>10</v>
      </c>
      <c r="Q61" s="109">
        <f t="shared" si="10"/>
        <v>11</v>
      </c>
      <c r="R61" s="109">
        <f t="shared" si="10"/>
        <v>12</v>
      </c>
      <c r="S61" s="109">
        <f t="shared" si="10"/>
        <v>13</v>
      </c>
      <c r="T61" s="109">
        <f t="shared" si="10"/>
        <v>14</v>
      </c>
      <c r="U61" s="109">
        <f t="shared" si="10"/>
        <v>15</v>
      </c>
      <c r="V61" s="109">
        <f t="shared" si="10"/>
        <v>16</v>
      </c>
      <c r="W61" s="109">
        <f t="shared" si="10"/>
        <v>17</v>
      </c>
      <c r="X61" s="109">
        <f t="shared" ref="X61:AB61" si="13">X9</f>
        <v>18</v>
      </c>
      <c r="Y61" s="109">
        <f t="shared" si="13"/>
        <v>19</v>
      </c>
      <c r="Z61" s="109">
        <f t="shared" si="13"/>
        <v>20</v>
      </c>
      <c r="AA61" s="109">
        <f t="shared" si="13"/>
        <v>21</v>
      </c>
      <c r="AB61" s="109">
        <f t="shared" si="13"/>
        <v>22</v>
      </c>
    </row>
    <row r="62" spans="3:33" ht="34.5" customHeight="1" thickBot="1" x14ac:dyDescent="0.3">
      <c r="E62" s="108" t="s">
        <v>240</v>
      </c>
      <c r="F62" s="135" t="s">
        <v>240</v>
      </c>
      <c r="G62" s="19" t="str">
        <f t="shared" ref="G62" si="14">G12</f>
        <v>Ramas de La Paz y C.D.</v>
      </c>
      <c r="H62" s="19" t="str">
        <f t="shared" ref="H62:W62" si="15">H12</f>
        <v>Ramas de La Paz y C.D.</v>
      </c>
      <c r="I62" s="19" t="str">
        <f t="shared" si="15"/>
        <v>Ramas de La Paz y C.D.</v>
      </c>
      <c r="J62" s="19" t="str">
        <f t="shared" si="15"/>
        <v>Rama Nueva California</v>
      </c>
      <c r="K62" s="19" t="str">
        <f t="shared" si="15"/>
        <v xml:space="preserve">Canales del Tramo Medio </v>
      </c>
      <c r="L62" s="19" t="str">
        <f t="shared" ref="L62" si="16">L12</f>
        <v>Subdelegacion Río Tunuyan Inferior</v>
      </c>
      <c r="M62" s="19" t="str">
        <f t="shared" ref="M62" si="17">M12</f>
        <v>Subdelegacion Río Tunuyan Inferior</v>
      </c>
      <c r="N62" s="19" t="str">
        <f t="shared" si="15"/>
        <v>Rama Sur Alto Verde</v>
      </c>
      <c r="O62" s="19" t="str">
        <f t="shared" si="15"/>
        <v>Canal Mz. Constitución</v>
      </c>
      <c r="P62" s="19" t="str">
        <f t="shared" si="15"/>
        <v>Rama Dormida</v>
      </c>
      <c r="Q62" s="19" t="str">
        <f t="shared" si="15"/>
        <v>Rama Henriquez</v>
      </c>
      <c r="R62" s="19" t="str">
        <f t="shared" si="15"/>
        <v>Rama Godoy</v>
      </c>
      <c r="S62" s="19" t="str">
        <f t="shared" si="15"/>
        <v>Canal Nuevo Gil</v>
      </c>
      <c r="T62" s="19" t="str">
        <f t="shared" si="15"/>
        <v>Rama Montecaseros</v>
      </c>
      <c r="U62" s="19" t="str">
        <f t="shared" si="15"/>
        <v>Hij. Directas Canal Mz. San Martín</v>
      </c>
      <c r="V62" s="19" t="str">
        <f t="shared" si="15"/>
        <v>Canales de Medrano y Der.</v>
      </c>
      <c r="W62" s="19" t="str">
        <f t="shared" si="15"/>
        <v>Canal Santa Rosa</v>
      </c>
      <c r="X62" s="19" t="str">
        <f t="shared" ref="X62:AB62" si="18">X12</f>
        <v>Canal Los Otoyanes</v>
      </c>
      <c r="Y62" s="19" t="str">
        <f t="shared" si="18"/>
        <v>Canal Norte e Hij. Guevara</v>
      </c>
      <c r="Z62" s="19" t="str">
        <f t="shared" si="18"/>
        <v>Canal Mz. Reducción</v>
      </c>
      <c r="AA62" s="19" t="str">
        <f t="shared" si="18"/>
        <v xml:space="preserve">Canal Mz. La Paz </v>
      </c>
      <c r="AB62" s="19" t="str">
        <f t="shared" si="18"/>
        <v>Rama Chimba</v>
      </c>
    </row>
    <row r="63" spans="3:33" ht="18.75" x14ac:dyDescent="0.25">
      <c r="C63" s="139" t="s">
        <v>271</v>
      </c>
      <c r="D63" s="1053" t="s">
        <v>97</v>
      </c>
      <c r="E63" s="1054"/>
      <c r="F63" s="135" t="s">
        <v>141</v>
      </c>
      <c r="G63" s="136">
        <f t="shared" ref="G63" si="19">G58</f>
        <v>0.01</v>
      </c>
      <c r="H63" s="136">
        <f t="shared" ref="H63:W63" si="20">H58</f>
        <v>0.01</v>
      </c>
      <c r="I63" s="136">
        <f>I58</f>
        <v>0.01</v>
      </c>
      <c r="J63" s="136">
        <f t="shared" si="20"/>
        <v>0.1</v>
      </c>
      <c r="K63" s="136">
        <f t="shared" si="20"/>
        <v>0.2</v>
      </c>
      <c r="L63" s="136">
        <f t="shared" ref="L63" si="21">L58</f>
        <v>0.25</v>
      </c>
      <c r="M63" s="136">
        <f t="shared" ref="M63" si="22">M58</f>
        <v>0.25</v>
      </c>
      <c r="N63" s="136">
        <f t="shared" si="20"/>
        <v>0.78</v>
      </c>
      <c r="O63" s="136">
        <f t="shared" si="20"/>
        <v>0.82</v>
      </c>
      <c r="P63" s="136">
        <f t="shared" si="20"/>
        <v>0.2</v>
      </c>
      <c r="Q63" s="136">
        <f t="shared" si="20"/>
        <v>0</v>
      </c>
      <c r="R63" s="136">
        <f>R58</f>
        <v>0.01</v>
      </c>
      <c r="S63" s="136">
        <f t="shared" si="20"/>
        <v>0.28999999999999998</v>
      </c>
      <c r="T63" s="136">
        <f t="shared" si="20"/>
        <v>0.2</v>
      </c>
      <c r="U63" s="136">
        <f t="shared" si="20"/>
        <v>0.05</v>
      </c>
      <c r="V63" s="136">
        <f t="shared" si="20"/>
        <v>0.5</v>
      </c>
      <c r="W63" s="136">
        <f t="shared" si="20"/>
        <v>0.3</v>
      </c>
      <c r="X63" s="136">
        <f t="shared" ref="X63:AB63" si="23">X58</f>
        <v>0.25</v>
      </c>
      <c r="Y63" s="136">
        <f t="shared" si="23"/>
        <v>0.13</v>
      </c>
      <c r="Z63" s="136">
        <f t="shared" si="23"/>
        <v>0.28999999999999998</v>
      </c>
      <c r="AA63" s="136">
        <f t="shared" si="23"/>
        <v>0.4</v>
      </c>
      <c r="AB63" s="136">
        <f t="shared" si="23"/>
        <v>0.47</v>
      </c>
      <c r="AC63" s="110"/>
      <c r="AD63" s="110"/>
      <c r="AE63" s="110"/>
      <c r="AF63" s="137">
        <f t="shared" ref="AF63:AF74" si="24">MAX(G63:AB63)</f>
        <v>0.82</v>
      </c>
      <c r="AG63" s="138">
        <f t="shared" ref="AG63:AG74" si="25">+MIN(G63:AB63)</f>
        <v>0</v>
      </c>
    </row>
    <row r="64" spans="3:33" ht="18.75" x14ac:dyDescent="0.25">
      <c r="C64" s="139" t="s">
        <v>272</v>
      </c>
      <c r="D64" s="1053" t="s">
        <v>102</v>
      </c>
      <c r="E64" s="1054"/>
      <c r="F64" s="107" t="s">
        <v>241</v>
      </c>
      <c r="G64" s="122">
        <f t="shared" ref="G64" si="26">+G37/G16</f>
        <v>910.54313099041531</v>
      </c>
      <c r="H64" s="122">
        <f t="shared" ref="H64:W64" si="27">+H37/H16</f>
        <v>1964.0852974186307</v>
      </c>
      <c r="I64" s="122">
        <f t="shared" si="27"/>
        <v>21551.724137931036</v>
      </c>
      <c r="J64" s="122">
        <f t="shared" si="27"/>
        <v>10064.935064935065</v>
      </c>
      <c r="K64" s="122">
        <f t="shared" si="27"/>
        <v>3635.204081632653</v>
      </c>
      <c r="L64" s="122">
        <f t="shared" ref="L64" si="28">+L37/L16</f>
        <v>45.015980673138962</v>
      </c>
      <c r="M64" s="122">
        <f t="shared" ref="M64" si="29">+M37/M16</f>
        <v>42.619588703989919</v>
      </c>
      <c r="N64" s="122">
        <f t="shared" si="27"/>
        <v>23523.809523809523</v>
      </c>
      <c r="O64" s="122">
        <f t="shared" si="27"/>
        <v>3588.1958417169685</v>
      </c>
      <c r="P64" s="122">
        <f t="shared" si="27"/>
        <v>11666.666666666666</v>
      </c>
      <c r="Q64" s="122">
        <f t="shared" si="27"/>
        <v>6285.7142857142853</v>
      </c>
      <c r="R64" s="122">
        <f t="shared" si="27"/>
        <v>7500</v>
      </c>
      <c r="S64" s="122">
        <f t="shared" si="27"/>
        <v>6093.75</v>
      </c>
      <c r="T64" s="122">
        <f t="shared" si="27"/>
        <v>6684.3501326259948</v>
      </c>
      <c r="U64" s="122">
        <f t="shared" si="27"/>
        <v>3485.4771784232366</v>
      </c>
      <c r="V64" s="122">
        <f t="shared" si="27"/>
        <v>7422.9691876750703</v>
      </c>
      <c r="W64" s="122">
        <f t="shared" si="27"/>
        <v>5025.5536626916528</v>
      </c>
      <c r="X64" s="122">
        <f t="shared" ref="X64:AB64" si="30">+X37/X16</f>
        <v>3432.8358208955224</v>
      </c>
      <c r="Y64" s="122">
        <f t="shared" si="30"/>
        <v>1074.8065348237317</v>
      </c>
      <c r="Z64" s="122">
        <f t="shared" si="30"/>
        <v>13277.566539923955</v>
      </c>
      <c r="AA64" s="122">
        <f t="shared" si="30"/>
        <v>464.83909415971397</v>
      </c>
      <c r="AB64" s="122">
        <f t="shared" si="30"/>
        <v>1938.7755102040817</v>
      </c>
      <c r="AF64" s="126">
        <f t="shared" si="24"/>
        <v>23523.809523809523</v>
      </c>
      <c r="AG64" s="127">
        <f t="shared" si="25"/>
        <v>42.619588703989919</v>
      </c>
    </row>
    <row r="65" spans="3:33" ht="18.75" x14ac:dyDescent="0.25">
      <c r="C65" s="139" t="s">
        <v>273</v>
      </c>
      <c r="D65" s="1053" t="s">
        <v>106</v>
      </c>
      <c r="E65" s="1054"/>
      <c r="F65" s="107" t="s">
        <v>242</v>
      </c>
      <c r="G65" s="122">
        <f t="shared" ref="G65" si="31">+G37/G17</f>
        <v>3630.5732484076434</v>
      </c>
      <c r="H65" s="122">
        <f t="shared" ref="H65:W65" si="32">+H37/H17</f>
        <v>5303.030303030303</v>
      </c>
      <c r="I65" s="122">
        <f t="shared" si="32"/>
        <v>131578.94736842104</v>
      </c>
      <c r="J65" s="122">
        <f t="shared" si="32"/>
        <v>60784.313725490196</v>
      </c>
      <c r="K65" s="122">
        <f t="shared" si="32"/>
        <v>25909.090909090908</v>
      </c>
      <c r="L65" s="122">
        <f t="shared" ref="L65" si="33">+L37/L17</f>
        <v>209.10294835157177</v>
      </c>
      <c r="M65" s="122">
        <f t="shared" ref="M65" si="34">+M37/M17</f>
        <v>197.97150972328708</v>
      </c>
      <c r="N65" s="122">
        <f t="shared" si="32"/>
        <v>157181.81818181818</v>
      </c>
      <c r="O65" s="122">
        <f t="shared" si="32"/>
        <v>35906.040268456374</v>
      </c>
      <c r="P65" s="122">
        <f t="shared" si="32"/>
        <v>97222.222222222219</v>
      </c>
      <c r="Q65" s="122">
        <f t="shared" si="32"/>
        <v>28571.428571428572</v>
      </c>
      <c r="R65" s="122">
        <f t="shared" si="32"/>
        <v>45454.545454545456</v>
      </c>
      <c r="S65" s="122">
        <f t="shared" si="32"/>
        <v>117000</v>
      </c>
      <c r="T65" s="122">
        <f t="shared" si="32"/>
        <v>40212.765957446805</v>
      </c>
      <c r="U65" s="122">
        <f t="shared" si="32"/>
        <v>8358.2089552238813</v>
      </c>
      <c r="V65" s="122">
        <f t="shared" si="32"/>
        <v>91379.31034482758</v>
      </c>
      <c r="W65" s="122">
        <f t="shared" si="32"/>
        <v>103508.77192982456</v>
      </c>
      <c r="X65" s="122">
        <f t="shared" ref="X65:AB65" si="35">+X37/X17</f>
        <v>24210.526315789473</v>
      </c>
      <c r="Y65" s="122">
        <f t="shared" si="35"/>
        <v>14880.952380952382</v>
      </c>
      <c r="Z65" s="122">
        <f t="shared" si="35"/>
        <v>166285.71428571429</v>
      </c>
      <c r="AA65" s="122">
        <f t="shared" si="35"/>
        <v>2826.086956521739</v>
      </c>
      <c r="AB65" s="122">
        <f t="shared" si="35"/>
        <v>15833.333333333334</v>
      </c>
      <c r="AF65" s="126">
        <f t="shared" si="24"/>
        <v>166285.71428571429</v>
      </c>
      <c r="AG65" s="127">
        <f t="shared" si="25"/>
        <v>197.97150972328708</v>
      </c>
    </row>
    <row r="66" spans="3:33" ht="18.75" x14ac:dyDescent="0.25">
      <c r="C66" s="139" t="s">
        <v>274</v>
      </c>
      <c r="D66" s="1053" t="s">
        <v>108</v>
      </c>
      <c r="E66" s="1054"/>
      <c r="F66" s="107" t="s">
        <v>243</v>
      </c>
      <c r="G66" s="122">
        <f t="shared" ref="G66:AB66" si="36">+G37/(10000*G26*G18)</f>
        <v>51.253091431141307</v>
      </c>
      <c r="H66" s="122">
        <f t="shared" si="36"/>
        <v>57.2847161561211</v>
      </c>
      <c r="I66" s="122">
        <f t="shared" si="36"/>
        <v>54.566424304583151</v>
      </c>
      <c r="J66" s="122">
        <f t="shared" ref="J66" si="37">+J37/(10000*J26*J18)</f>
        <v>70.519585690919627</v>
      </c>
      <c r="K66" s="122">
        <f t="shared" si="36"/>
        <v>42.992092296142083</v>
      </c>
      <c r="L66" s="122"/>
      <c r="M66" s="122"/>
      <c r="N66" s="122">
        <f t="shared" si="36"/>
        <v>41.335729664151998</v>
      </c>
      <c r="O66" s="122">
        <f t="shared" si="36"/>
        <v>45.348278687743957</v>
      </c>
      <c r="P66" s="122">
        <f t="shared" si="36"/>
        <v>64.093083578353031</v>
      </c>
      <c r="Q66" s="122">
        <f t="shared" si="36"/>
        <v>44.596223412630991</v>
      </c>
      <c r="R66" s="122">
        <f t="shared" si="36"/>
        <v>53.507925592320809</v>
      </c>
      <c r="S66" s="122">
        <f t="shared" si="36"/>
        <v>20.192536682218105</v>
      </c>
      <c r="T66" s="122">
        <f t="shared" si="36"/>
        <v>33.810034413899153</v>
      </c>
      <c r="U66" s="122">
        <f t="shared" si="36"/>
        <v>40.333627445160225</v>
      </c>
      <c r="V66" s="122">
        <f t="shared" si="36"/>
        <v>46.159273375114125</v>
      </c>
      <c r="W66" s="122">
        <f t="shared" si="36"/>
        <v>50.87913993559107</v>
      </c>
      <c r="X66" s="122">
        <f t="shared" si="36"/>
        <v>37.218740235643324</v>
      </c>
      <c r="Y66" s="122">
        <f t="shared" si="36"/>
        <v>34.8146034892657</v>
      </c>
      <c r="Z66" s="122">
        <f t="shared" si="36"/>
        <v>35.487275379946659</v>
      </c>
      <c r="AA66" s="122">
        <f t="shared" si="36"/>
        <v>209.15233092833799</v>
      </c>
      <c r="AB66" s="122">
        <f t="shared" si="36"/>
        <v>38.005663265771346</v>
      </c>
      <c r="AF66" s="126">
        <f t="shared" si="24"/>
        <v>209.15233092833799</v>
      </c>
      <c r="AG66" s="127">
        <f t="shared" si="25"/>
        <v>20.192536682218105</v>
      </c>
    </row>
    <row r="67" spans="3:33" ht="18.75" x14ac:dyDescent="0.25">
      <c r="C67" s="139" t="s">
        <v>279</v>
      </c>
      <c r="D67" s="1053" t="s">
        <v>238</v>
      </c>
      <c r="E67" s="1054"/>
      <c r="F67" s="107" t="s">
        <v>146</v>
      </c>
      <c r="G67" s="121">
        <f t="shared" ref="G67" si="38">(G39+G40)/2</f>
        <v>0.44</v>
      </c>
      <c r="H67" s="121">
        <f t="shared" ref="H67:W67" si="39">(H39+H40)/2</f>
        <v>0.44</v>
      </c>
      <c r="I67" s="121">
        <f t="shared" si="39"/>
        <v>0.44</v>
      </c>
      <c r="J67" s="121">
        <f t="shared" si="39"/>
        <v>0.58695000000000008</v>
      </c>
      <c r="K67" s="121">
        <f t="shared" si="39"/>
        <v>0.62529999999999997</v>
      </c>
      <c r="L67" s="121">
        <f t="shared" ref="L67" si="40">(L39+L40)/2</f>
        <v>0.73403333333333332</v>
      </c>
      <c r="M67" s="121">
        <f t="shared" ref="M67" si="41">(M39+M40)/2</f>
        <v>0.73403333333333332</v>
      </c>
      <c r="N67" s="121">
        <f t="shared" si="39"/>
        <v>0.63500000000000001</v>
      </c>
      <c r="O67" s="121">
        <f t="shared" si="39"/>
        <v>0.78499999999999992</v>
      </c>
      <c r="P67" s="121">
        <f t="shared" si="39"/>
        <v>0.68735000000000002</v>
      </c>
      <c r="Q67" s="121">
        <f t="shared" si="39"/>
        <v>0.89500000000000002</v>
      </c>
      <c r="R67" s="121">
        <f t="shared" si="39"/>
        <v>0.85499999999999998</v>
      </c>
      <c r="S67" s="121">
        <f t="shared" si="39"/>
        <v>0.70545000000000002</v>
      </c>
      <c r="T67" s="121">
        <f t="shared" si="39"/>
        <v>0.8</v>
      </c>
      <c r="U67" s="121">
        <f t="shared" si="39"/>
        <v>0.62000000000000011</v>
      </c>
      <c r="V67" s="121">
        <f t="shared" si="39"/>
        <v>0.79</v>
      </c>
      <c r="W67" s="121">
        <f t="shared" si="39"/>
        <v>0.62945000000000007</v>
      </c>
      <c r="X67" s="121">
        <f t="shared" ref="X67:AB67" si="42">(X39+X40)/2</f>
        <v>0.69955000000000001</v>
      </c>
      <c r="Y67" s="121">
        <f t="shared" si="42"/>
        <v>0.75</v>
      </c>
      <c r="Z67" s="121">
        <f t="shared" si="42"/>
        <v>0.84654999999999991</v>
      </c>
      <c r="AA67" s="121">
        <f t="shared" si="42"/>
        <v>0.69155</v>
      </c>
      <c r="AB67" s="121">
        <f t="shared" si="42"/>
        <v>0.89999999999999991</v>
      </c>
      <c r="AF67" s="132">
        <f t="shared" si="24"/>
        <v>0.89999999999999991</v>
      </c>
      <c r="AG67" s="128">
        <f t="shared" si="25"/>
        <v>0.44</v>
      </c>
    </row>
    <row r="68" spans="3:33" ht="18.75" x14ac:dyDescent="0.25">
      <c r="C68" s="139" t="s">
        <v>47</v>
      </c>
      <c r="D68" s="1053" t="s">
        <v>113</v>
      </c>
      <c r="E68" s="1054"/>
      <c r="F68" s="107" t="s">
        <v>147</v>
      </c>
      <c r="G68" s="123">
        <f t="shared" ref="G68" si="43">+G53</f>
        <v>34600071.519448698</v>
      </c>
      <c r="H68" s="123">
        <f t="shared" ref="H68:W68" si="44">+H53</f>
        <v>49247066.651483692</v>
      </c>
      <c r="I68" s="123">
        <f t="shared" si="44"/>
        <v>6411514.8502492793</v>
      </c>
      <c r="J68" s="123">
        <f t="shared" si="44"/>
        <v>17583152.842762198</v>
      </c>
      <c r="K68" s="123">
        <f t="shared" si="44"/>
        <v>55088640.942117617</v>
      </c>
      <c r="L68" s="123">
        <f t="shared" ref="L68" si="45">+L53</f>
        <v>5705597423.7135715</v>
      </c>
      <c r="M68" s="123">
        <f t="shared" ref="M68" si="46">+M53</f>
        <v>5705597423.7135715</v>
      </c>
      <c r="N68" s="123">
        <f t="shared" si="44"/>
        <v>11704081.693909496</v>
      </c>
      <c r="O68" s="123">
        <f t="shared" si="44"/>
        <v>139457827.6941236</v>
      </c>
      <c r="P68" s="123">
        <f t="shared" si="44"/>
        <v>21397335.85953138</v>
      </c>
      <c r="Q68" s="123">
        <f t="shared" si="44"/>
        <v>40774945.500896648</v>
      </c>
      <c r="R68" s="123">
        <f t="shared" si="44"/>
        <v>23656652.473613497</v>
      </c>
      <c r="S68" s="123">
        <f t="shared" si="44"/>
        <v>30117937.373917855</v>
      </c>
      <c r="T68" s="123">
        <f t="shared" si="44"/>
        <v>99958350.85786894</v>
      </c>
      <c r="U68" s="123">
        <f t="shared" si="44"/>
        <v>42001886.497983702</v>
      </c>
      <c r="V68" s="123">
        <f t="shared" si="44"/>
        <v>45441716.861265592</v>
      </c>
      <c r="W68" s="123">
        <f t="shared" si="44"/>
        <v>77520793.741677985</v>
      </c>
      <c r="X68" s="123">
        <f t="shared" ref="X68:AB68" si="47">+X53</f>
        <v>50991194.269166291</v>
      </c>
      <c r="Y68" s="123">
        <f t="shared" si="47"/>
        <v>185368439.24888438</v>
      </c>
      <c r="Z68" s="123">
        <f t="shared" si="47"/>
        <v>21752061.702724386</v>
      </c>
      <c r="AA68" s="123">
        <f t="shared" si="47"/>
        <v>463729393.04820222</v>
      </c>
      <c r="AB68" s="123">
        <f t="shared" si="47"/>
        <v>494449698.88065207</v>
      </c>
      <c r="AF68" s="126">
        <f t="shared" si="24"/>
        <v>5705597423.7135715</v>
      </c>
      <c r="AG68" s="129">
        <f t="shared" si="25"/>
        <v>6411514.8502492793</v>
      </c>
    </row>
    <row r="69" spans="3:33" ht="18.75" x14ac:dyDescent="0.25">
      <c r="C69" s="139" t="s">
        <v>283</v>
      </c>
      <c r="D69" s="1053" t="s">
        <v>117</v>
      </c>
      <c r="E69" s="1054"/>
      <c r="F69" s="107" t="s">
        <v>118</v>
      </c>
      <c r="G69" s="124">
        <f>VLOOKUP(G62,'CALIF HTA'!$A$99:$B$125,2,"FALSO")</f>
        <v>68</v>
      </c>
      <c r="H69" s="124">
        <f>VLOOKUP(H62,'CALIF HTA'!$A$99:$B$125,2,"FALSO")</f>
        <v>68</v>
      </c>
      <c r="I69" s="124">
        <f>VLOOKUP(I62,'CALIF HTA'!$A$99:$B$125,2,"FALSO")</f>
        <v>68</v>
      </c>
      <c r="J69" s="124">
        <f>VLOOKUP(J62,'CALIF HTA'!$A$99:$B$125,2,"FALSO")</f>
        <v>77</v>
      </c>
      <c r="K69" s="124">
        <f>VLOOKUP(K62,'CALIF HTA'!$A$99:$B$125,2,"FALSO")</f>
        <v>75</v>
      </c>
      <c r="L69" s="124">
        <f>VLOOKUP(L62,'CALIF HTA'!$A$99:$B$125,2,"FALSO")</f>
        <v>74.346153846153797</v>
      </c>
      <c r="M69" s="124">
        <f>VLOOKUP(M62,'CALIF HTA'!$A$99:$B$125,2,"FALSO")</f>
        <v>74.346153846153797</v>
      </c>
      <c r="N69" s="124">
        <f>VLOOKUP(N62,'CALIF HTA'!$A$99:$B$125,2,"FALSO")</f>
        <v>83</v>
      </c>
      <c r="O69" s="124">
        <f>VLOOKUP(O62,'CALIF HTA'!$A$99:$B$125,2,"FALSO")</f>
        <v>77</v>
      </c>
      <c r="P69" s="124">
        <f>VLOOKUP(P62,'CALIF HTA'!$A$99:$B$125,2,"FALSO")</f>
        <v>77</v>
      </c>
      <c r="Q69" s="124">
        <f>VLOOKUP(Q62,'CALIF HTA'!$A$99:$B$125,2,"FALSO")</f>
        <v>77</v>
      </c>
      <c r="R69" s="124">
        <f>VLOOKUP(R62,'CALIF HTA'!$A$99:$B$125,2,"FALSO")</f>
        <v>78</v>
      </c>
      <c r="S69" s="124">
        <f>VLOOKUP(S62,'CALIF HTA'!$A$99:$B$125,2,"FALSO")</f>
        <v>83</v>
      </c>
      <c r="T69" s="124">
        <f>VLOOKUP(T62,'CALIF HTA'!$A$99:$B$125,2,"FALSO")</f>
        <v>86</v>
      </c>
      <c r="U69" s="124">
        <f>VLOOKUP(U62,'CALIF HTA'!$A$99:$B$125,2,"FALSO")</f>
        <v>84</v>
      </c>
      <c r="V69" s="124">
        <f>VLOOKUP(V62,'CALIF HTA'!$A$99:$B$125,2,"FALSO")</f>
        <v>67</v>
      </c>
      <c r="W69" s="124">
        <f>VLOOKUP(W62,'CALIF HTA'!$A$99:$B$125,2,"FALSO")</f>
        <v>77</v>
      </c>
      <c r="X69" s="124">
        <f>VLOOKUP(X62,'CALIF HTA'!$A$99:$B$125,2,"FALSO")</f>
        <v>78</v>
      </c>
      <c r="Y69" s="124">
        <f>VLOOKUP(Y62,'CALIF HTA'!$A$99:$B$125,2,"FALSO")</f>
        <v>82</v>
      </c>
      <c r="Z69" s="124">
        <f>VLOOKUP(Z62,'CALIF HTA'!$A$99:$B$125,2,"FALSO")</f>
        <v>81</v>
      </c>
      <c r="AA69" s="124">
        <f>VLOOKUP(AA62,'CALIF HTA'!$A$99:$B$125,2,"FALSO")</f>
        <v>78</v>
      </c>
      <c r="AB69" s="124">
        <f>VLOOKUP(AB62,'CALIF HTA'!$A$99:$B$125,2,"FALSO")</f>
        <v>75</v>
      </c>
      <c r="AF69" s="130">
        <f t="shared" si="24"/>
        <v>86</v>
      </c>
      <c r="AG69" s="131">
        <f t="shared" si="25"/>
        <v>67</v>
      </c>
    </row>
    <row r="70" spans="3:33" ht="18.75" x14ac:dyDescent="0.25">
      <c r="C70" s="139" t="s">
        <v>285</v>
      </c>
      <c r="D70" s="1053" t="s">
        <v>122</v>
      </c>
      <c r="E70" s="1054"/>
      <c r="F70" s="107" t="s">
        <v>270</v>
      </c>
      <c r="G70" s="121">
        <f t="shared" ref="G70" si="48">+G37/G41</f>
        <v>1.6786183804530839</v>
      </c>
      <c r="H70" s="121">
        <f t="shared" ref="H70:V70" si="49">+H37/H41</f>
        <v>5.1536529224436789</v>
      </c>
      <c r="I70" s="121">
        <f t="shared" si="49"/>
        <v>7.362361317776684</v>
      </c>
      <c r="J70" s="121">
        <f t="shared" si="49"/>
        <v>2.2340796600739696</v>
      </c>
      <c r="K70" s="121">
        <f t="shared" si="49"/>
        <v>1.3872013435818924</v>
      </c>
      <c r="L70" s="121">
        <f t="shared" ref="L70" si="50">+L37/L41</f>
        <v>5.3571428571428568E-2</v>
      </c>
      <c r="M70" s="121">
        <f t="shared" ref="M70" si="51">+M37/M41</f>
        <v>5.071959375E-2</v>
      </c>
      <c r="N70" s="121">
        <f t="shared" si="49"/>
        <v>1.6167544006063064</v>
      </c>
      <c r="O70" s="121">
        <f t="shared" si="49"/>
        <v>2.4887888204536575</v>
      </c>
      <c r="P70" s="121">
        <f t="shared" si="49"/>
        <v>1.8887205157506446</v>
      </c>
      <c r="Q70" s="121">
        <f t="shared" si="49"/>
        <v>6.0064979386791162</v>
      </c>
      <c r="R70" s="121">
        <f t="shared" si="49"/>
        <v>1.8129517271386788</v>
      </c>
      <c r="S70" s="121">
        <f t="shared" si="49"/>
        <v>1.1631351357192552</v>
      </c>
      <c r="T70" s="121">
        <f t="shared" si="49"/>
        <v>0.66186629227727078</v>
      </c>
      <c r="U70" s="121">
        <f t="shared" si="49"/>
        <v>0.75095008595696522</v>
      </c>
      <c r="V70" s="121">
        <f t="shared" si="49"/>
        <v>4.4798928882968294</v>
      </c>
      <c r="W70" s="121">
        <f>+W37/W41</f>
        <v>3.8418996310493552</v>
      </c>
      <c r="X70" s="121">
        <f t="shared" ref="X70:AB70" si="52">+X37/X41</f>
        <v>4.0411005223930641</v>
      </c>
      <c r="Y70" s="121">
        <f t="shared" si="52"/>
        <v>1.6530302689678611</v>
      </c>
      <c r="Z70" s="121">
        <f t="shared" si="52"/>
        <v>0.68933138107263858</v>
      </c>
      <c r="AA70" s="121">
        <f t="shared" si="52"/>
        <v>4.2750891388970755</v>
      </c>
      <c r="AB70" s="121">
        <f t="shared" si="52"/>
        <v>3.2881188153080969</v>
      </c>
      <c r="AF70" s="132">
        <f t="shared" si="24"/>
        <v>7.362361317776684</v>
      </c>
      <c r="AG70" s="128">
        <f t="shared" si="25"/>
        <v>5.071959375E-2</v>
      </c>
    </row>
    <row r="71" spans="3:33" ht="18.75" x14ac:dyDescent="0.25">
      <c r="C71" s="139" t="s">
        <v>288</v>
      </c>
      <c r="D71" s="1053" t="s">
        <v>126</v>
      </c>
      <c r="E71" s="1054"/>
      <c r="F71" s="107" t="s">
        <v>149</v>
      </c>
      <c r="G71" s="124">
        <f t="shared" ref="G71" si="53">+G59</f>
        <v>13</v>
      </c>
      <c r="H71" s="124">
        <f t="shared" ref="H71:W71" si="54">+H59</f>
        <v>13</v>
      </c>
      <c r="I71" s="124">
        <f t="shared" si="54"/>
        <v>13</v>
      </c>
      <c r="J71" s="124">
        <f t="shared" si="54"/>
        <v>40</v>
      </c>
      <c r="K71" s="124">
        <f t="shared" si="54"/>
        <v>40</v>
      </c>
      <c r="L71" s="124">
        <f t="shared" ref="L71" si="55">+L59</f>
        <v>40</v>
      </c>
      <c r="M71" s="124">
        <f t="shared" ref="M71" si="56">+M59</f>
        <v>40</v>
      </c>
      <c r="N71" s="124">
        <f t="shared" si="54"/>
        <v>26</v>
      </c>
      <c r="O71" s="124">
        <f t="shared" si="54"/>
        <v>40</v>
      </c>
      <c r="P71" s="124">
        <f t="shared" si="54"/>
        <v>26</v>
      </c>
      <c r="Q71" s="124">
        <f t="shared" si="54"/>
        <v>40</v>
      </c>
      <c r="R71" s="124">
        <f t="shared" si="54"/>
        <v>40</v>
      </c>
      <c r="S71" s="124">
        <f t="shared" si="54"/>
        <v>40</v>
      </c>
      <c r="T71" s="124">
        <f t="shared" si="54"/>
        <v>40</v>
      </c>
      <c r="U71" s="124">
        <f t="shared" si="54"/>
        <v>26</v>
      </c>
      <c r="V71" s="124">
        <f t="shared" si="54"/>
        <v>26</v>
      </c>
      <c r="W71" s="124">
        <f t="shared" si="54"/>
        <v>26</v>
      </c>
      <c r="X71" s="124">
        <f t="shared" ref="X71:AB71" si="57">+X59</f>
        <v>13</v>
      </c>
      <c r="Y71" s="124">
        <f t="shared" si="57"/>
        <v>26</v>
      </c>
      <c r="Z71" s="124">
        <f t="shared" si="57"/>
        <v>40</v>
      </c>
      <c r="AA71" s="124">
        <f t="shared" si="57"/>
        <v>40</v>
      </c>
      <c r="AB71" s="124">
        <f t="shared" si="57"/>
        <v>13</v>
      </c>
      <c r="AF71" s="130">
        <f t="shared" si="24"/>
        <v>40</v>
      </c>
      <c r="AG71" s="131">
        <f t="shared" si="25"/>
        <v>13</v>
      </c>
    </row>
    <row r="72" spans="3:33" ht="18.75" x14ac:dyDescent="0.25">
      <c r="C72" s="139" t="s">
        <v>289</v>
      </c>
      <c r="D72" s="1053" t="s">
        <v>129</v>
      </c>
      <c r="E72" s="1054"/>
      <c r="F72" s="107" t="s">
        <v>150</v>
      </c>
      <c r="G72" s="124">
        <f t="shared" ref="G72" si="58">+G43*$F$43+G44*$F$44+G45*$F$45+G46*$F$46</f>
        <v>26</v>
      </c>
      <c r="H72" s="124">
        <f t="shared" ref="H72:W72" si="59">+H43*$F$43+H44*$F$44+H45*$F$45+H46*$F$46</f>
        <v>26</v>
      </c>
      <c r="I72" s="124">
        <f t="shared" si="59"/>
        <v>26</v>
      </c>
      <c r="J72" s="124">
        <f t="shared" si="59"/>
        <v>13</v>
      </c>
      <c r="K72" s="124">
        <f t="shared" si="59"/>
        <v>40</v>
      </c>
      <c r="L72" s="124">
        <f t="shared" ref="L72" si="60">+L43*$F$43+L44*$F$44+L45*$F$45+L46*$F$46</f>
        <v>40</v>
      </c>
      <c r="M72" s="124">
        <f t="shared" ref="M72" si="61">+M43*$F$43+M44*$F$44+M45*$F$45+M46*$F$46</f>
        <v>40</v>
      </c>
      <c r="N72" s="124">
        <f t="shared" si="59"/>
        <v>40</v>
      </c>
      <c r="O72" s="124">
        <f t="shared" si="59"/>
        <v>40</v>
      </c>
      <c r="P72" s="124">
        <f t="shared" si="59"/>
        <v>40</v>
      </c>
      <c r="Q72" s="124">
        <f t="shared" si="59"/>
        <v>40</v>
      </c>
      <c r="R72" s="124">
        <f t="shared" si="59"/>
        <v>26</v>
      </c>
      <c r="S72" s="124">
        <f t="shared" si="59"/>
        <v>13</v>
      </c>
      <c r="T72" s="124">
        <f t="shared" si="59"/>
        <v>40</v>
      </c>
      <c r="U72" s="124">
        <f t="shared" si="59"/>
        <v>40</v>
      </c>
      <c r="V72" s="124">
        <f t="shared" si="59"/>
        <v>26</v>
      </c>
      <c r="W72" s="124">
        <f t="shared" si="59"/>
        <v>40</v>
      </c>
      <c r="X72" s="124">
        <f t="shared" ref="X72:AB72" si="62">+X43*$F$43+X44*$F$44+X45*$F$45+X46*$F$46</f>
        <v>13</v>
      </c>
      <c r="Y72" s="124">
        <f t="shared" si="62"/>
        <v>40</v>
      </c>
      <c r="Z72" s="124">
        <f t="shared" si="62"/>
        <v>26</v>
      </c>
      <c r="AA72" s="124">
        <f t="shared" si="62"/>
        <v>26</v>
      </c>
      <c r="AB72" s="124">
        <f t="shared" si="62"/>
        <v>40</v>
      </c>
      <c r="AF72" s="130">
        <f t="shared" si="24"/>
        <v>40</v>
      </c>
      <c r="AG72" s="131">
        <f t="shared" si="25"/>
        <v>13</v>
      </c>
    </row>
    <row r="73" spans="3:33" ht="18.75" x14ac:dyDescent="0.25">
      <c r="C73" s="139" t="s">
        <v>291</v>
      </c>
      <c r="D73" s="1053" t="s">
        <v>133</v>
      </c>
      <c r="E73" s="1054"/>
      <c r="F73" s="107" t="s">
        <v>151</v>
      </c>
      <c r="G73" s="124">
        <f t="shared" ref="G73" si="63">+G48*$F$48+G49*$F$49+G50*$F$50+G51*$F$51</f>
        <v>26</v>
      </c>
      <c r="H73" s="124">
        <f t="shared" ref="H73:W73" si="64">+H48*$F$48+H49*$F$49+H50*$F$50+H51*$F$51</f>
        <v>26</v>
      </c>
      <c r="I73" s="124">
        <f t="shared" si="64"/>
        <v>26</v>
      </c>
      <c r="J73" s="124">
        <f t="shared" si="64"/>
        <v>13</v>
      </c>
      <c r="K73" s="124">
        <f t="shared" si="64"/>
        <v>40</v>
      </c>
      <c r="L73" s="124">
        <f t="shared" ref="L73" si="65">+L48*$F$48+L49*$F$49+L50*$F$50+L51*$F$51</f>
        <v>40</v>
      </c>
      <c r="M73" s="124">
        <f t="shared" ref="M73" si="66">+M48*$F$48+M49*$F$49+M50*$F$50+M51*$F$51</f>
        <v>40</v>
      </c>
      <c r="N73" s="124">
        <f t="shared" si="64"/>
        <v>13</v>
      </c>
      <c r="O73" s="124">
        <f t="shared" si="64"/>
        <v>26</v>
      </c>
      <c r="P73" s="124">
        <f t="shared" si="64"/>
        <v>26</v>
      </c>
      <c r="Q73" s="124">
        <f t="shared" si="64"/>
        <v>26</v>
      </c>
      <c r="R73" s="124">
        <f t="shared" si="64"/>
        <v>26</v>
      </c>
      <c r="S73" s="124">
        <f t="shared" si="64"/>
        <v>26</v>
      </c>
      <c r="T73" s="124">
        <f t="shared" si="64"/>
        <v>26</v>
      </c>
      <c r="U73" s="124">
        <f t="shared" si="64"/>
        <v>13</v>
      </c>
      <c r="V73" s="124">
        <f t="shared" si="64"/>
        <v>26</v>
      </c>
      <c r="W73" s="124">
        <f t="shared" si="64"/>
        <v>40</v>
      </c>
      <c r="X73" s="124">
        <f t="shared" ref="X73:AB73" si="67">+X48*$F$48+X49*$F$49+X50*$F$50+X51*$F$51</f>
        <v>40</v>
      </c>
      <c r="Y73" s="124">
        <f t="shared" si="67"/>
        <v>40</v>
      </c>
      <c r="Z73" s="124">
        <f t="shared" si="67"/>
        <v>26</v>
      </c>
      <c r="AA73" s="124">
        <f t="shared" si="67"/>
        <v>40</v>
      </c>
      <c r="AB73" s="124">
        <f t="shared" si="67"/>
        <v>40</v>
      </c>
      <c r="AF73" s="130">
        <f t="shared" si="24"/>
        <v>40</v>
      </c>
      <c r="AG73" s="131">
        <f t="shared" si="25"/>
        <v>13</v>
      </c>
    </row>
    <row r="74" spans="3:33" ht="19.5" thickBot="1" x14ac:dyDescent="0.3">
      <c r="C74" s="139" t="s">
        <v>293</v>
      </c>
      <c r="D74" s="1053" t="s">
        <v>137</v>
      </c>
      <c r="E74" s="1054"/>
      <c r="F74" s="107" t="s">
        <v>149</v>
      </c>
      <c r="G74" s="124">
        <f t="shared" ref="G74" si="68">+G59</f>
        <v>13</v>
      </c>
      <c r="H74" s="124">
        <f t="shared" ref="H74:W74" si="69">+H59</f>
        <v>13</v>
      </c>
      <c r="I74" s="124">
        <f t="shared" si="69"/>
        <v>13</v>
      </c>
      <c r="J74" s="124">
        <f t="shared" si="69"/>
        <v>40</v>
      </c>
      <c r="K74" s="124">
        <f t="shared" si="69"/>
        <v>40</v>
      </c>
      <c r="L74" s="124">
        <f t="shared" ref="L74" si="70">+L59</f>
        <v>40</v>
      </c>
      <c r="M74" s="124">
        <f t="shared" ref="M74" si="71">+M59</f>
        <v>40</v>
      </c>
      <c r="N74" s="124">
        <f t="shared" si="69"/>
        <v>26</v>
      </c>
      <c r="O74" s="124">
        <f t="shared" si="69"/>
        <v>40</v>
      </c>
      <c r="P74" s="124">
        <f t="shared" si="69"/>
        <v>26</v>
      </c>
      <c r="Q74" s="124">
        <f t="shared" si="69"/>
        <v>40</v>
      </c>
      <c r="R74" s="124">
        <f t="shared" si="69"/>
        <v>40</v>
      </c>
      <c r="S74" s="124">
        <f t="shared" si="69"/>
        <v>40</v>
      </c>
      <c r="T74" s="124">
        <f t="shared" si="69"/>
        <v>40</v>
      </c>
      <c r="U74" s="124">
        <f t="shared" si="69"/>
        <v>26</v>
      </c>
      <c r="V74" s="124">
        <f t="shared" si="69"/>
        <v>26</v>
      </c>
      <c r="W74" s="124">
        <f t="shared" si="69"/>
        <v>26</v>
      </c>
      <c r="X74" s="124">
        <f t="shared" ref="X74:AB74" si="72">+X59</f>
        <v>13</v>
      </c>
      <c r="Y74" s="124">
        <f t="shared" si="72"/>
        <v>26</v>
      </c>
      <c r="Z74" s="124">
        <f t="shared" si="72"/>
        <v>40</v>
      </c>
      <c r="AA74" s="124">
        <f t="shared" si="72"/>
        <v>40</v>
      </c>
      <c r="AB74" s="124">
        <f t="shared" si="72"/>
        <v>13</v>
      </c>
      <c r="AF74" s="133">
        <f t="shared" si="24"/>
        <v>40</v>
      </c>
      <c r="AG74" s="134">
        <f t="shared" si="25"/>
        <v>13</v>
      </c>
    </row>
    <row r="75" spans="3:33" x14ac:dyDescent="0.25">
      <c r="K75" s="109"/>
      <c r="O75"/>
      <c r="P75"/>
      <c r="Q75"/>
      <c r="R75"/>
      <c r="S75"/>
    </row>
    <row r="76" spans="3:33" x14ac:dyDescent="0.25">
      <c r="K76" s="109"/>
      <c r="O76"/>
      <c r="P76"/>
      <c r="Q76"/>
      <c r="R76"/>
      <c r="S76"/>
    </row>
    <row r="77" spans="3:33" s="109" customFormat="1" ht="57" customHeight="1" x14ac:dyDescent="0.25">
      <c r="D77" s="109">
        <v>1</v>
      </c>
      <c r="E77" s="140" t="s">
        <v>280</v>
      </c>
      <c r="G77" s="201">
        <f t="shared" ref="G77:AB77" si="73">100*((($AF63-G63)/($AF63-$AG63)))</f>
        <v>98.780487804878049</v>
      </c>
      <c r="H77" s="119">
        <f t="shared" si="73"/>
        <v>98.780487804878049</v>
      </c>
      <c r="I77" s="119">
        <f t="shared" si="73"/>
        <v>98.780487804878049</v>
      </c>
      <c r="J77" s="119">
        <f t="shared" si="73"/>
        <v>87.804878048780495</v>
      </c>
      <c r="K77" s="119">
        <f t="shared" si="73"/>
        <v>75.609756097560961</v>
      </c>
      <c r="L77" s="119">
        <f t="shared" si="73"/>
        <v>69.512195121951208</v>
      </c>
      <c r="M77" s="119">
        <f t="shared" si="73"/>
        <v>69.512195121951208</v>
      </c>
      <c r="N77" s="119">
        <f t="shared" si="73"/>
        <v>4.8780487804877959</v>
      </c>
      <c r="O77" s="119">
        <f t="shared" si="73"/>
        <v>0</v>
      </c>
      <c r="P77" s="119">
        <f t="shared" si="73"/>
        <v>75.609756097560961</v>
      </c>
      <c r="Q77" s="119">
        <f t="shared" si="73"/>
        <v>100</v>
      </c>
      <c r="R77" s="119">
        <f t="shared" si="73"/>
        <v>98.780487804878049</v>
      </c>
      <c r="S77" s="119">
        <f t="shared" si="73"/>
        <v>64.634146341463421</v>
      </c>
      <c r="T77" s="119">
        <f t="shared" si="73"/>
        <v>75.609756097560961</v>
      </c>
      <c r="U77" s="119">
        <f t="shared" si="73"/>
        <v>93.902439024390233</v>
      </c>
      <c r="V77" s="119">
        <f t="shared" si="73"/>
        <v>39.024390243902438</v>
      </c>
      <c r="W77" s="119">
        <f t="shared" si="73"/>
        <v>63.414634146341463</v>
      </c>
      <c r="X77" s="119">
        <f t="shared" si="73"/>
        <v>69.512195121951208</v>
      </c>
      <c r="Y77" s="119">
        <f t="shared" si="73"/>
        <v>84.146341463414629</v>
      </c>
      <c r="Z77" s="119">
        <f t="shared" si="73"/>
        <v>64.634146341463421</v>
      </c>
      <c r="AA77" s="119">
        <f t="shared" si="73"/>
        <v>51.219512195121943</v>
      </c>
      <c r="AB77" s="119">
        <f t="shared" si="73"/>
        <v>42.68292682926829</v>
      </c>
      <c r="AC77" s="119">
        <f t="shared" ref="AC77:AC88" si="74">AVERAGE(G77:AB77)</f>
        <v>69.401330376940152</v>
      </c>
    </row>
    <row r="78" spans="3:33" ht="45.75" customHeight="1" x14ac:dyDescent="0.25">
      <c r="D78" s="109">
        <v>2</v>
      </c>
      <c r="E78" s="140" t="s">
        <v>275</v>
      </c>
      <c r="F78"/>
      <c r="G78" s="201">
        <f t="shared" ref="G78:AB78" si="75">100*(1-(($AG64-G64)/($AG64-$AF64)))</f>
        <v>96.303749747414471</v>
      </c>
      <c r="H78" s="119">
        <f t="shared" si="75"/>
        <v>91.817000271174692</v>
      </c>
      <c r="I78" s="119">
        <f t="shared" si="75"/>
        <v>8.3985751630505039</v>
      </c>
      <c r="J78" s="119">
        <f t="shared" si="75"/>
        <v>57.317684904685251</v>
      </c>
      <c r="K78" s="119">
        <f t="shared" si="75"/>
        <v>84.700159988239903</v>
      </c>
      <c r="L78" s="119">
        <f t="shared" si="75"/>
        <v>99.989794418529172</v>
      </c>
      <c r="M78" s="119">
        <f t="shared" si="75"/>
        <v>100</v>
      </c>
      <c r="N78" s="119">
        <f t="shared" si="75"/>
        <v>0</v>
      </c>
      <c r="O78" s="119">
        <f t="shared" si="75"/>
        <v>84.900355293697586</v>
      </c>
      <c r="P78" s="119">
        <f t="shared" si="75"/>
        <v>50.496345755526839</v>
      </c>
      <c r="Q78" s="119">
        <f t="shared" si="75"/>
        <v>73.412358086348249</v>
      </c>
      <c r="R78" s="119">
        <f t="shared" si="75"/>
        <v>68.24104556921597</v>
      </c>
      <c r="S78" s="119">
        <f t="shared" si="75"/>
        <v>74.22988175633607</v>
      </c>
      <c r="T78" s="119">
        <f t="shared" si="75"/>
        <v>71.714676461126487</v>
      </c>
      <c r="U78" s="119">
        <f t="shared" si="75"/>
        <v>85.337806136596143</v>
      </c>
      <c r="V78" s="119">
        <f t="shared" si="75"/>
        <v>68.569098843082514</v>
      </c>
      <c r="W78" s="119">
        <f t="shared" si="75"/>
        <v>78.779039359764596</v>
      </c>
      <c r="X78" s="119">
        <f t="shared" si="75"/>
        <v>85.561991357503601</v>
      </c>
      <c r="Y78" s="119">
        <f t="shared" si="75"/>
        <v>95.604196597479202</v>
      </c>
      <c r="Z78" s="119">
        <f t="shared" si="75"/>
        <v>43.635961432120318</v>
      </c>
      <c r="AA78" s="119">
        <f t="shared" si="75"/>
        <v>98.201881988848939</v>
      </c>
      <c r="AB78" s="119">
        <f t="shared" si="75"/>
        <v>91.924787769527612</v>
      </c>
      <c r="AC78" s="119">
        <f t="shared" si="74"/>
        <v>73.142563222739454</v>
      </c>
    </row>
    <row r="79" spans="3:33" ht="49.5" customHeight="1" x14ac:dyDescent="0.25">
      <c r="D79" s="109">
        <v>3</v>
      </c>
      <c r="E79" s="140" t="s">
        <v>276</v>
      </c>
      <c r="F79"/>
      <c r="G79" s="201">
        <f t="shared" ref="G79:AB79" si="76">100*(1-(($AG65-G65)/($AG65-$AF65)))</f>
        <v>97.933260045978201</v>
      </c>
      <c r="H79" s="119">
        <f t="shared" si="76"/>
        <v>96.92628805233845</v>
      </c>
      <c r="I79" s="119">
        <f t="shared" si="76"/>
        <v>20.896645554454686</v>
      </c>
      <c r="J79" s="119">
        <f t="shared" si="76"/>
        <v>63.521484967447563</v>
      </c>
      <c r="K79" s="119">
        <f t="shared" si="76"/>
        <v>84.519556368440021</v>
      </c>
      <c r="L79" s="119">
        <f t="shared" si="76"/>
        <v>99.993297856637568</v>
      </c>
      <c r="M79" s="119">
        <f t="shared" si="76"/>
        <v>100</v>
      </c>
      <c r="N79" s="119">
        <f t="shared" si="76"/>
        <v>5.481377464545889</v>
      </c>
      <c r="O79" s="119">
        <f t="shared" si="76"/>
        <v>78.500479227480412</v>
      </c>
      <c r="P79" s="119">
        <f t="shared" si="76"/>
        <v>41.582533972203287</v>
      </c>
      <c r="Q79" s="119">
        <f t="shared" si="76"/>
        <v>82.916585783230445</v>
      </c>
      <c r="R79" s="119">
        <f t="shared" si="76"/>
        <v>72.751406462389284</v>
      </c>
      <c r="S79" s="119">
        <f t="shared" si="76"/>
        <v>29.674504248147827</v>
      </c>
      <c r="T79" s="119">
        <f t="shared" si="76"/>
        <v>75.907436768712657</v>
      </c>
      <c r="U79" s="119">
        <f t="shared" si="76"/>
        <v>95.086791289284591</v>
      </c>
      <c r="V79" s="119">
        <f t="shared" si="76"/>
        <v>45.100500909278949</v>
      </c>
      <c r="W79" s="119">
        <f t="shared" si="76"/>
        <v>37.797456517040771</v>
      </c>
      <c r="X79" s="119">
        <f t="shared" si="76"/>
        <v>85.542247486346511</v>
      </c>
      <c r="Y79" s="119">
        <f t="shared" si="76"/>
        <v>91.159503629938186</v>
      </c>
      <c r="Z79" s="119">
        <f t="shared" si="76"/>
        <v>0</v>
      </c>
      <c r="AA79" s="119">
        <f t="shared" si="76"/>
        <v>98.417634316131881</v>
      </c>
      <c r="AB79" s="119">
        <f t="shared" si="76"/>
        <v>90.586083257993295</v>
      </c>
      <c r="AC79" s="119">
        <f t="shared" si="74"/>
        <v>67.922503371728197</v>
      </c>
    </row>
    <row r="80" spans="3:33" ht="63" customHeight="1" x14ac:dyDescent="0.25">
      <c r="D80" s="109">
        <v>4</v>
      </c>
      <c r="E80" s="140" t="s">
        <v>278</v>
      </c>
      <c r="F80"/>
      <c r="G80" s="201">
        <f t="shared" ref="G80:AB80" si="77">IF(G66=0,0,100*(1-(($AG66-G66)/($AG66-$AF66))))</f>
        <v>83.562347285123067</v>
      </c>
      <c r="H80" s="119">
        <f t="shared" si="77"/>
        <v>80.370332418127816</v>
      </c>
      <c r="I80" s="119">
        <f t="shared" si="77"/>
        <v>81.808888097330851</v>
      </c>
      <c r="J80" s="119">
        <f t="shared" si="77"/>
        <v>73.366265977644645</v>
      </c>
      <c r="K80" s="119">
        <f t="shared" si="77"/>
        <v>87.934176312540018</v>
      </c>
      <c r="L80" s="119">
        <f t="shared" si="77"/>
        <v>0</v>
      </c>
      <c r="M80" s="119">
        <f t="shared" si="77"/>
        <v>0</v>
      </c>
      <c r="N80" s="119">
        <f t="shared" si="77"/>
        <v>88.810745128990291</v>
      </c>
      <c r="O80" s="119">
        <f t="shared" si="77"/>
        <v>86.68725158921346</v>
      </c>
      <c r="P80" s="119">
        <f t="shared" si="77"/>
        <v>76.767255134203566</v>
      </c>
      <c r="Q80" s="119">
        <f t="shared" si="77"/>
        <v>87.085249098743674</v>
      </c>
      <c r="R80" s="119">
        <f t="shared" si="77"/>
        <v>82.36905949066103</v>
      </c>
      <c r="S80" s="119">
        <f t="shared" si="77"/>
        <v>100</v>
      </c>
      <c r="T80" s="119">
        <f t="shared" si="77"/>
        <v>92.793441702236251</v>
      </c>
      <c r="U80" s="119">
        <f t="shared" si="77"/>
        <v>89.341070758836466</v>
      </c>
      <c r="V80" s="119">
        <f t="shared" si="77"/>
        <v>86.258062570138932</v>
      </c>
      <c r="W80" s="119">
        <f t="shared" si="77"/>
        <v>83.760247318324389</v>
      </c>
      <c r="X80" s="119">
        <f t="shared" si="77"/>
        <v>90.989509900053861</v>
      </c>
      <c r="Y80" s="119">
        <f t="shared" si="77"/>
        <v>92.261810579661002</v>
      </c>
      <c r="Z80" s="119">
        <f t="shared" si="77"/>
        <v>91.905823797729596</v>
      </c>
      <c r="AA80" s="119">
        <f t="shared" si="77"/>
        <v>0</v>
      </c>
      <c r="AB80" s="119">
        <f t="shared" si="77"/>
        <v>90.573059917523153</v>
      </c>
      <c r="AC80" s="119">
        <f t="shared" si="74"/>
        <v>74.84748168532191</v>
      </c>
    </row>
    <row r="81" spans="4:29" ht="30" x14ac:dyDescent="0.25">
      <c r="D81" s="109">
        <v>5</v>
      </c>
      <c r="E81" s="140" t="s">
        <v>277</v>
      </c>
      <c r="F81"/>
      <c r="G81" s="201">
        <f t="shared" ref="G81:AB81" si="78">100*((G67-$AG67)/($AF67-$AG67))</f>
        <v>0</v>
      </c>
      <c r="H81" s="119">
        <f t="shared" si="78"/>
        <v>0</v>
      </c>
      <c r="I81" s="119">
        <f t="shared" si="78"/>
        <v>0</v>
      </c>
      <c r="J81" s="119">
        <f t="shared" si="78"/>
        <v>31.945652173913068</v>
      </c>
      <c r="K81" s="119">
        <f t="shared" si="78"/>
        <v>40.282608695652172</v>
      </c>
      <c r="L81" s="119">
        <f t="shared" si="78"/>
        <v>63.920289855072475</v>
      </c>
      <c r="M81" s="119">
        <f t="shared" si="78"/>
        <v>63.920289855072475</v>
      </c>
      <c r="N81" s="119">
        <f t="shared" si="78"/>
        <v>42.3913043478261</v>
      </c>
      <c r="O81" s="119">
        <f t="shared" si="78"/>
        <v>75</v>
      </c>
      <c r="P81" s="119">
        <f t="shared" si="78"/>
        <v>53.771739130434796</v>
      </c>
      <c r="Q81" s="119">
        <f t="shared" si="78"/>
        <v>98.913043478260903</v>
      </c>
      <c r="R81" s="119">
        <f t="shared" si="78"/>
        <v>90.217391304347842</v>
      </c>
      <c r="S81" s="119">
        <f t="shared" si="78"/>
        <v>57.706521739130444</v>
      </c>
      <c r="T81" s="119">
        <f t="shared" si="78"/>
        <v>78.260869565217419</v>
      </c>
      <c r="U81" s="119">
        <f t="shared" si="78"/>
        <v>39.130434782608724</v>
      </c>
      <c r="V81" s="119">
        <f t="shared" si="78"/>
        <v>76.086956521739154</v>
      </c>
      <c r="W81" s="119">
        <f t="shared" si="78"/>
        <v>41.184782608695677</v>
      </c>
      <c r="X81" s="119">
        <f t="shared" si="78"/>
        <v>56.423913043478265</v>
      </c>
      <c r="Y81" s="119">
        <f t="shared" si="78"/>
        <v>67.391304347826093</v>
      </c>
      <c r="Z81" s="119">
        <f t="shared" si="78"/>
        <v>88.380434782608702</v>
      </c>
      <c r="AA81" s="119">
        <f t="shared" si="78"/>
        <v>54.684782608695656</v>
      </c>
      <c r="AB81" s="119">
        <f t="shared" si="78"/>
        <v>100</v>
      </c>
      <c r="AC81" s="119">
        <f t="shared" si="74"/>
        <v>55.436923583662725</v>
      </c>
    </row>
    <row r="82" spans="4:29" ht="30.75" x14ac:dyDescent="0.25">
      <c r="D82" s="109">
        <v>6</v>
      </c>
      <c r="E82" s="140" t="s">
        <v>281</v>
      </c>
      <c r="F82"/>
      <c r="G82" s="201">
        <f t="shared" ref="G82:AB82" si="79">100*(1-(($AF68-G68)/($AF68-$AG68)))</f>
        <v>0.49460672313497156</v>
      </c>
      <c r="H82" s="119">
        <f t="shared" si="79"/>
        <v>0.75160825574432932</v>
      </c>
      <c r="I82" s="119">
        <f t="shared" si="79"/>
        <v>0</v>
      </c>
      <c r="J82" s="119">
        <f t="shared" si="79"/>
        <v>0.19602164539217481</v>
      </c>
      <c r="K82" s="119">
        <f t="shared" si="79"/>
        <v>0.85410665435858846</v>
      </c>
      <c r="L82" s="119">
        <f t="shared" si="79"/>
        <v>100</v>
      </c>
      <c r="M82" s="119">
        <f t="shared" si="79"/>
        <v>100</v>
      </c>
      <c r="N82" s="119">
        <f t="shared" si="79"/>
        <v>9.2865313192003196E-2</v>
      </c>
      <c r="O82" s="119">
        <f t="shared" si="79"/>
        <v>2.3344792567121186</v>
      </c>
      <c r="P82" s="119">
        <f t="shared" si="79"/>
        <v>0.2629466953512849</v>
      </c>
      <c r="Q82" s="119">
        <f t="shared" si="79"/>
        <v>0.60295332000321888</v>
      </c>
      <c r="R82" s="119">
        <f t="shared" si="79"/>
        <v>0.30258949083491471</v>
      </c>
      <c r="S82" s="119">
        <f t="shared" si="79"/>
        <v>0.41596155841837623</v>
      </c>
      <c r="T82" s="119">
        <f t="shared" si="79"/>
        <v>1.641406992218597</v>
      </c>
      <c r="U82" s="119">
        <f t="shared" si="79"/>
        <v>0.62448167539832511</v>
      </c>
      <c r="V82" s="119">
        <f t="shared" si="79"/>
        <v>0.68483819680836833</v>
      </c>
      <c r="W82" s="119">
        <f t="shared" si="79"/>
        <v>1.2477094102306907</v>
      </c>
      <c r="X82" s="119">
        <f t="shared" si="79"/>
        <v>0.7822113567059974</v>
      </c>
      <c r="Y82" s="119">
        <f t="shared" si="79"/>
        <v>3.1400436353606676</v>
      </c>
      <c r="Z82" s="119">
        <f t="shared" si="79"/>
        <v>0.26917084470989838</v>
      </c>
      <c r="AA82" s="119">
        <f t="shared" si="79"/>
        <v>8.0242667200369215</v>
      </c>
      <c r="AB82" s="119">
        <f t="shared" si="79"/>
        <v>8.5632964397846845</v>
      </c>
      <c r="AC82" s="119">
        <f t="shared" si="74"/>
        <v>10.512980190199825</v>
      </c>
    </row>
    <row r="83" spans="4:29" ht="30.75" x14ac:dyDescent="0.25">
      <c r="D83" s="109">
        <v>7</v>
      </c>
      <c r="E83" s="140" t="s">
        <v>282</v>
      </c>
      <c r="F83"/>
      <c r="G83" s="201">
        <f t="shared" ref="G83:AB83" si="80">100*(1-(($AF69-G69)/($AF69-$AG69)))</f>
        <v>5.2631578947368478</v>
      </c>
      <c r="H83" s="119">
        <f t="shared" si="80"/>
        <v>5.2631578947368478</v>
      </c>
      <c r="I83" s="119">
        <f t="shared" si="80"/>
        <v>5.2631578947368478</v>
      </c>
      <c r="J83" s="119">
        <f t="shared" si="80"/>
        <v>52.631578947368432</v>
      </c>
      <c r="K83" s="119">
        <f t="shared" si="80"/>
        <v>42.105263157894733</v>
      </c>
      <c r="L83" s="119">
        <f t="shared" si="80"/>
        <v>38.663967611335771</v>
      </c>
      <c r="M83" s="119">
        <f t="shared" si="80"/>
        <v>38.663967611335771</v>
      </c>
      <c r="N83" s="119">
        <f t="shared" si="80"/>
        <v>84.210526315789465</v>
      </c>
      <c r="O83" s="119">
        <f t="shared" si="80"/>
        <v>52.631578947368432</v>
      </c>
      <c r="P83" s="119">
        <f t="shared" si="80"/>
        <v>52.631578947368432</v>
      </c>
      <c r="Q83" s="119">
        <f t="shared" si="80"/>
        <v>52.631578947368432</v>
      </c>
      <c r="R83" s="119">
        <f t="shared" si="80"/>
        <v>57.894736842105267</v>
      </c>
      <c r="S83" s="119">
        <f t="shared" si="80"/>
        <v>84.210526315789465</v>
      </c>
      <c r="T83" s="119">
        <f t="shared" si="80"/>
        <v>100</v>
      </c>
      <c r="U83" s="119">
        <f t="shared" si="80"/>
        <v>89.473684210526315</v>
      </c>
      <c r="V83" s="119">
        <f t="shared" si="80"/>
        <v>0</v>
      </c>
      <c r="W83" s="119">
        <f t="shared" si="80"/>
        <v>52.631578947368432</v>
      </c>
      <c r="X83" s="119">
        <f t="shared" si="80"/>
        <v>57.894736842105267</v>
      </c>
      <c r="Y83" s="119">
        <f t="shared" si="80"/>
        <v>78.94736842105263</v>
      </c>
      <c r="Z83" s="119">
        <f t="shared" si="80"/>
        <v>73.684210526315795</v>
      </c>
      <c r="AA83" s="119">
        <f t="shared" si="80"/>
        <v>57.894736842105267</v>
      </c>
      <c r="AB83" s="119">
        <f t="shared" si="80"/>
        <v>42.105263157894733</v>
      </c>
      <c r="AC83" s="119">
        <f t="shared" si="74"/>
        <v>51.122561648877422</v>
      </c>
    </row>
    <row r="84" spans="4:29" ht="42" customHeight="1" x14ac:dyDescent="0.25">
      <c r="D84" s="109">
        <v>8</v>
      </c>
      <c r="E84" s="140" t="s">
        <v>284</v>
      </c>
      <c r="F84"/>
      <c r="G84" s="201">
        <f t="shared" ref="G84:AB84" si="81">80*(($AF$70-G70)/($AF70-$AG70))</f>
        <v>62.18841843572649</v>
      </c>
      <c r="H84" s="201">
        <f t="shared" si="81"/>
        <v>24.16648384808024</v>
      </c>
      <c r="I84" s="201">
        <f t="shared" si="81"/>
        <v>0</v>
      </c>
      <c r="J84" s="201">
        <f t="shared" si="81"/>
        <v>56.110863756912373</v>
      </c>
      <c r="K84" s="201">
        <f t="shared" si="81"/>
        <v>65.376944874745732</v>
      </c>
      <c r="L84" s="201">
        <f t="shared" si="81"/>
        <v>79.968796777204687</v>
      </c>
      <c r="M84" s="201">
        <f t="shared" si="81"/>
        <v>80</v>
      </c>
      <c r="N84" s="201">
        <f t="shared" si="81"/>
        <v>62.865300396651747</v>
      </c>
      <c r="O84" s="201">
        <f t="shared" si="81"/>
        <v>53.323974902195204</v>
      </c>
      <c r="P84" s="201">
        <f t="shared" si="81"/>
        <v>59.889595345342869</v>
      </c>
      <c r="Q84" s="201">
        <f t="shared" si="81"/>
        <v>14.835118352608379</v>
      </c>
      <c r="R84" s="201">
        <f t="shared" si="81"/>
        <v>60.71861614774879</v>
      </c>
      <c r="S84" s="201">
        <f t="shared" si="81"/>
        <v>67.828555238818538</v>
      </c>
      <c r="T84" s="201">
        <f t="shared" si="81"/>
        <v>73.313165807684584</v>
      </c>
      <c r="U84" s="201">
        <f t="shared" si="81"/>
        <v>72.338459474501363</v>
      </c>
      <c r="V84" s="201">
        <f t="shared" si="81"/>
        <v>31.538399043900803</v>
      </c>
      <c r="W84" s="201">
        <f t="shared" si="81"/>
        <v>38.518973654398728</v>
      </c>
      <c r="X84" s="201">
        <f t="shared" si="81"/>
        <v>36.339426035820892</v>
      </c>
      <c r="Y84" s="201">
        <f t="shared" si="81"/>
        <v>62.468389609928174</v>
      </c>
      <c r="Z84" s="201">
        <f t="shared" si="81"/>
        <v>73.012657770425434</v>
      </c>
      <c r="AA84" s="201">
        <f t="shared" si="81"/>
        <v>33.779250082613501</v>
      </c>
      <c r="AB84" s="201">
        <f t="shared" si="81"/>
        <v>44.578141613041858</v>
      </c>
      <c r="AC84" s="119">
        <f t="shared" si="74"/>
        <v>52.416342325834108</v>
      </c>
    </row>
    <row r="85" spans="4:29" ht="26.25" x14ac:dyDescent="0.25">
      <c r="D85" s="109">
        <v>9</v>
      </c>
      <c r="E85" s="140" t="s">
        <v>286</v>
      </c>
      <c r="F85" s="19" t="s">
        <v>149</v>
      </c>
      <c r="G85" s="19">
        <f>+G71</f>
        <v>13</v>
      </c>
      <c r="H85" s="109">
        <f t="shared" ref="H85:W85" si="82">+H71</f>
        <v>13</v>
      </c>
      <c r="I85" s="109">
        <f t="shared" si="82"/>
        <v>13</v>
      </c>
      <c r="J85" s="109">
        <f t="shared" si="82"/>
        <v>40</v>
      </c>
      <c r="K85" s="109">
        <f t="shared" si="82"/>
        <v>40</v>
      </c>
      <c r="L85" s="109">
        <f t="shared" ref="L85" si="83">+L71</f>
        <v>40</v>
      </c>
      <c r="M85" s="109">
        <f t="shared" ref="M85" si="84">+M71</f>
        <v>40</v>
      </c>
      <c r="N85" s="109">
        <f t="shared" si="82"/>
        <v>26</v>
      </c>
      <c r="O85" s="109">
        <f t="shared" si="82"/>
        <v>40</v>
      </c>
      <c r="P85" s="109">
        <f t="shared" si="82"/>
        <v>26</v>
      </c>
      <c r="Q85" s="109">
        <f t="shared" si="82"/>
        <v>40</v>
      </c>
      <c r="R85" s="109">
        <f t="shared" si="82"/>
        <v>40</v>
      </c>
      <c r="S85" s="109">
        <f t="shared" si="82"/>
        <v>40</v>
      </c>
      <c r="T85" s="109">
        <f t="shared" si="82"/>
        <v>40</v>
      </c>
      <c r="U85" s="109">
        <f t="shared" si="82"/>
        <v>26</v>
      </c>
      <c r="V85" s="109">
        <f t="shared" si="82"/>
        <v>26</v>
      </c>
      <c r="W85" s="109">
        <f t="shared" si="82"/>
        <v>26</v>
      </c>
      <c r="X85" s="109">
        <f t="shared" ref="X85:AB85" si="85">+X71</f>
        <v>13</v>
      </c>
      <c r="Y85" s="109">
        <f t="shared" si="85"/>
        <v>26</v>
      </c>
      <c r="Z85" s="109">
        <f t="shared" si="85"/>
        <v>40</v>
      </c>
      <c r="AA85" s="109">
        <f t="shared" si="85"/>
        <v>40</v>
      </c>
      <c r="AB85" s="109">
        <f t="shared" si="85"/>
        <v>13</v>
      </c>
      <c r="AC85" s="119">
        <f t="shared" si="74"/>
        <v>30.045454545454547</v>
      </c>
    </row>
    <row r="86" spans="4:29" ht="26.25" x14ac:dyDescent="0.25">
      <c r="D86" s="109">
        <v>10</v>
      </c>
      <c r="E86" s="140" t="s">
        <v>287</v>
      </c>
      <c r="F86" s="19" t="s">
        <v>239</v>
      </c>
      <c r="G86" s="19">
        <f t="shared" ref="G86:S87" si="86">G72</f>
        <v>26</v>
      </c>
      <c r="H86" s="109">
        <f t="shared" si="86"/>
        <v>26</v>
      </c>
      <c r="I86" s="109">
        <f t="shared" si="86"/>
        <v>26</v>
      </c>
      <c r="J86" s="109">
        <f t="shared" si="86"/>
        <v>13</v>
      </c>
      <c r="K86" s="109">
        <f t="shared" si="86"/>
        <v>40</v>
      </c>
      <c r="L86" s="109">
        <f t="shared" ref="L86" si="87">L72</f>
        <v>40</v>
      </c>
      <c r="M86" s="109">
        <f t="shared" ref="M86" si="88">M72</f>
        <v>40</v>
      </c>
      <c r="N86" s="109">
        <f>N72</f>
        <v>40</v>
      </c>
      <c r="O86" s="109">
        <f t="shared" ref="O86:W87" si="89">O72</f>
        <v>40</v>
      </c>
      <c r="P86" s="109">
        <f t="shared" si="89"/>
        <v>40</v>
      </c>
      <c r="Q86" s="109">
        <f t="shared" si="89"/>
        <v>40</v>
      </c>
      <c r="R86" s="109">
        <f t="shared" si="89"/>
        <v>26</v>
      </c>
      <c r="S86" s="109">
        <f t="shared" si="89"/>
        <v>13</v>
      </c>
      <c r="T86" s="109">
        <f t="shared" si="89"/>
        <v>40</v>
      </c>
      <c r="U86" s="109">
        <f t="shared" si="89"/>
        <v>40</v>
      </c>
      <c r="V86" s="109">
        <f t="shared" si="89"/>
        <v>26</v>
      </c>
      <c r="W86" s="109">
        <f t="shared" si="89"/>
        <v>40</v>
      </c>
      <c r="X86" s="109">
        <f t="shared" ref="X86:AB86" si="90">X72</f>
        <v>13</v>
      </c>
      <c r="Y86" s="109">
        <f t="shared" si="90"/>
        <v>40</v>
      </c>
      <c r="Z86" s="109">
        <f t="shared" si="90"/>
        <v>26</v>
      </c>
      <c r="AA86" s="109">
        <f t="shared" si="90"/>
        <v>26</v>
      </c>
      <c r="AB86" s="109">
        <f t="shared" si="90"/>
        <v>40</v>
      </c>
      <c r="AC86" s="119">
        <f t="shared" si="74"/>
        <v>31.863636363636363</v>
      </c>
    </row>
    <row r="87" spans="4:29" ht="26.25" x14ac:dyDescent="0.25">
      <c r="D87" s="109">
        <v>11</v>
      </c>
      <c r="E87" s="140" t="s">
        <v>290</v>
      </c>
      <c r="F87" s="19" t="s">
        <v>292</v>
      </c>
      <c r="G87" s="19">
        <f>G73</f>
        <v>26</v>
      </c>
      <c r="H87" s="109">
        <f t="shared" si="86"/>
        <v>26</v>
      </c>
      <c r="I87" s="109">
        <f t="shared" si="86"/>
        <v>26</v>
      </c>
      <c r="J87" s="109">
        <f t="shared" si="86"/>
        <v>13</v>
      </c>
      <c r="K87" s="109">
        <f t="shared" si="86"/>
        <v>40</v>
      </c>
      <c r="L87" s="109">
        <f t="shared" ref="L87" si="91">L73</f>
        <v>40</v>
      </c>
      <c r="M87" s="109">
        <f t="shared" ref="M87" si="92">M73</f>
        <v>40</v>
      </c>
      <c r="N87" s="109">
        <f t="shared" si="86"/>
        <v>13</v>
      </c>
      <c r="O87" s="109">
        <f t="shared" si="86"/>
        <v>26</v>
      </c>
      <c r="P87" s="109">
        <f t="shared" si="86"/>
        <v>26</v>
      </c>
      <c r="Q87" s="109">
        <f t="shared" si="86"/>
        <v>26</v>
      </c>
      <c r="R87" s="109">
        <f t="shared" si="86"/>
        <v>26</v>
      </c>
      <c r="S87" s="109">
        <f t="shared" si="86"/>
        <v>26</v>
      </c>
      <c r="T87" s="109">
        <f t="shared" si="89"/>
        <v>26</v>
      </c>
      <c r="U87" s="109">
        <f t="shared" si="89"/>
        <v>13</v>
      </c>
      <c r="V87" s="109">
        <f t="shared" si="89"/>
        <v>26</v>
      </c>
      <c r="W87" s="109">
        <f t="shared" si="89"/>
        <v>40</v>
      </c>
      <c r="X87" s="109">
        <f t="shared" ref="X87:AB87" si="93">X73</f>
        <v>40</v>
      </c>
      <c r="Y87" s="109">
        <f t="shared" si="93"/>
        <v>40</v>
      </c>
      <c r="Z87" s="109">
        <f t="shared" si="93"/>
        <v>26</v>
      </c>
      <c r="AA87" s="109">
        <f t="shared" si="93"/>
        <v>40</v>
      </c>
      <c r="AB87" s="109">
        <f t="shared" si="93"/>
        <v>40</v>
      </c>
      <c r="AC87" s="119">
        <f t="shared" si="74"/>
        <v>29.318181818181817</v>
      </c>
    </row>
    <row r="88" spans="4:29" ht="30.75" x14ac:dyDescent="0.25">
      <c r="D88" s="109">
        <v>12</v>
      </c>
      <c r="E88" s="140" t="s">
        <v>294</v>
      </c>
      <c r="F88" s="19" t="s">
        <v>149</v>
      </c>
      <c r="G88" s="496">
        <f t="shared" ref="G88:AB88" si="94">+G56</f>
        <v>40</v>
      </c>
      <c r="H88" s="496">
        <f t="shared" si="94"/>
        <v>40</v>
      </c>
      <c r="I88" s="496">
        <f t="shared" si="94"/>
        <v>40</v>
      </c>
      <c r="J88" s="496">
        <f t="shared" si="94"/>
        <v>40</v>
      </c>
      <c r="K88" s="496">
        <f t="shared" si="94"/>
        <v>40</v>
      </c>
      <c r="L88" s="496">
        <f t="shared" si="94"/>
        <v>40</v>
      </c>
      <c r="M88" s="496">
        <f t="shared" si="94"/>
        <v>40</v>
      </c>
      <c r="N88" s="496">
        <f t="shared" si="94"/>
        <v>40</v>
      </c>
      <c r="O88" s="496">
        <f t="shared" si="94"/>
        <v>40</v>
      </c>
      <c r="P88" s="496">
        <f t="shared" si="94"/>
        <v>26</v>
      </c>
      <c r="Q88" s="496">
        <f t="shared" si="94"/>
        <v>26</v>
      </c>
      <c r="R88" s="496">
        <f t="shared" si="94"/>
        <v>40</v>
      </c>
      <c r="S88" s="496">
        <f t="shared" si="94"/>
        <v>40</v>
      </c>
      <c r="T88" s="496">
        <f t="shared" si="94"/>
        <v>40</v>
      </c>
      <c r="U88" s="496">
        <f t="shared" si="94"/>
        <v>0.26</v>
      </c>
      <c r="V88" s="496">
        <f t="shared" si="94"/>
        <v>26</v>
      </c>
      <c r="W88" s="496">
        <f t="shared" si="94"/>
        <v>40</v>
      </c>
      <c r="X88" s="496">
        <f t="shared" si="94"/>
        <v>13</v>
      </c>
      <c r="Y88" s="496">
        <f t="shared" si="94"/>
        <v>0.4</v>
      </c>
      <c r="Z88" s="496">
        <f t="shared" si="94"/>
        <v>40</v>
      </c>
      <c r="AA88" s="496">
        <f t="shared" si="94"/>
        <v>40</v>
      </c>
      <c r="AB88" s="496">
        <f t="shared" si="94"/>
        <v>13</v>
      </c>
      <c r="AC88" s="119">
        <f t="shared" si="74"/>
        <v>32.03</v>
      </c>
    </row>
    <row r="89" spans="4:29" x14ac:dyDescent="0.25">
      <c r="D89" s="109"/>
      <c r="K89" s="109"/>
      <c r="O89"/>
      <c r="P89"/>
      <c r="Q89"/>
      <c r="R89"/>
      <c r="S89"/>
    </row>
    <row r="90" spans="4:29" ht="23.25" x14ac:dyDescent="0.25">
      <c r="D90" s="109"/>
      <c r="F90" s="142" t="s">
        <v>295</v>
      </c>
      <c r="G90" s="202">
        <f>SUM(G77:G88)</f>
        <v>549.52602793699202</v>
      </c>
      <c r="H90" s="143">
        <f t="shared" ref="H90:W90" si="95">SUM(H77:H88)</f>
        <v>503.07535854508041</v>
      </c>
      <c r="I90" s="143">
        <f t="shared" si="95"/>
        <v>320.14775451445098</v>
      </c>
      <c r="J90" s="143">
        <f t="shared" si="95"/>
        <v>528.89443042214396</v>
      </c>
      <c r="K90" s="143">
        <f t="shared" si="95"/>
        <v>641.38257214943212</v>
      </c>
      <c r="L90" s="143">
        <f t="shared" ref="L90" si="96">SUM(L77:L88)</f>
        <v>712.04834164073088</v>
      </c>
      <c r="M90" s="143">
        <f t="shared" ref="M90" si="97">SUM(M77:M88)</f>
        <v>712.0964525883594</v>
      </c>
      <c r="N90" s="143">
        <f t="shared" si="95"/>
        <v>407.73016774748328</v>
      </c>
      <c r="O90" s="143">
        <f t="shared" si="95"/>
        <v>579.3781192166673</v>
      </c>
      <c r="P90" s="143">
        <f t="shared" si="95"/>
        <v>529.01175107799202</v>
      </c>
      <c r="Q90" s="143">
        <f t="shared" si="95"/>
        <v>642.39688706656329</v>
      </c>
      <c r="R90" s="143">
        <f t="shared" si="95"/>
        <v>663.2753331121811</v>
      </c>
      <c r="S90" s="143">
        <f t="shared" si="95"/>
        <v>597.70009719810412</v>
      </c>
      <c r="T90" s="143">
        <f t="shared" si="95"/>
        <v>715.24075339475689</v>
      </c>
      <c r="U90" s="143">
        <f t="shared" si="95"/>
        <v>644.49516735214218</v>
      </c>
      <c r="V90" s="143">
        <f t="shared" si="95"/>
        <v>451.26224632885112</v>
      </c>
      <c r="W90" s="143">
        <f t="shared" si="95"/>
        <v>543.3344219621647</v>
      </c>
      <c r="X90" s="143">
        <f t="shared" ref="X90:AB90" si="98">SUM(X77:X88)</f>
        <v>562.04623114396554</v>
      </c>
      <c r="Y90" s="143">
        <f t="shared" si="98"/>
        <v>681.51895828466058</v>
      </c>
      <c r="Z90" s="143">
        <f t="shared" si="98"/>
        <v>567.52240549537316</v>
      </c>
      <c r="AA90" s="143">
        <f t="shared" si="98"/>
        <v>548.22206475355415</v>
      </c>
      <c r="AB90" s="143">
        <f t="shared" si="98"/>
        <v>617.01355898503357</v>
      </c>
      <c r="AC90" s="376">
        <f>SUM(AC77:AC88)</f>
        <v>578.05995913257652</v>
      </c>
    </row>
    <row r="91" spans="4:29" x14ac:dyDescent="0.25">
      <c r="D91" s="109"/>
      <c r="K91" s="109"/>
      <c r="O91"/>
      <c r="P91"/>
      <c r="Q91"/>
      <c r="R91"/>
      <c r="S91"/>
    </row>
    <row r="92" spans="4:29" x14ac:dyDescent="0.25">
      <c r="D92" s="109"/>
      <c r="K92" s="109"/>
      <c r="O92"/>
      <c r="P92"/>
      <c r="Q92"/>
      <c r="R92"/>
      <c r="S92"/>
      <c r="AA92" s="376"/>
    </row>
    <row r="93" spans="4:29" x14ac:dyDescent="0.25">
      <c r="D93" s="109"/>
      <c r="K93" s="109"/>
      <c r="P93"/>
      <c r="Q93"/>
      <c r="R93"/>
      <c r="S93"/>
    </row>
    <row r="94" spans="4:29" x14ac:dyDescent="0.25">
      <c r="D94" s="109"/>
      <c r="F94"/>
      <c r="H94" s="145"/>
    </row>
    <row r="95" spans="4:29" x14ac:dyDescent="0.25">
      <c r="D95" s="109"/>
      <c r="F95"/>
    </row>
    <row r="96" spans="4:29" x14ac:dyDescent="0.25">
      <c r="E96" s="145"/>
      <c r="F96"/>
    </row>
    <row r="97" spans="3:18" ht="15.75" thickBot="1" x14ac:dyDescent="0.3">
      <c r="E97" s="145"/>
      <c r="F97"/>
    </row>
    <row r="98" spans="3:18" ht="33" customHeight="1" thickBot="1" x14ac:dyDescent="0.3">
      <c r="E98" s="145"/>
      <c r="F98"/>
      <c r="H98" s="1071" t="s">
        <v>969</v>
      </c>
      <c r="I98" s="1072"/>
      <c r="J98" s="1072"/>
      <c r="K98" s="1072"/>
      <c r="L98" s="1072"/>
      <c r="M98" s="1073"/>
      <c r="N98" s="874"/>
      <c r="O98" s="489"/>
      <c r="P98" s="489"/>
      <c r="Q98" s="489"/>
      <c r="R98" s="489"/>
    </row>
    <row r="99" spans="3:18" ht="31.5" customHeight="1" thickBot="1" x14ac:dyDescent="0.3">
      <c r="E99" s="145"/>
      <c r="F99"/>
      <c r="H99" s="954" t="s">
        <v>1096</v>
      </c>
      <c r="I99" s="955" t="s">
        <v>58</v>
      </c>
      <c r="J99" s="955" t="s">
        <v>296</v>
      </c>
      <c r="K99" s="955" t="s">
        <v>314</v>
      </c>
      <c r="L99" s="955" t="s">
        <v>297</v>
      </c>
      <c r="M99" s="956" t="s">
        <v>298</v>
      </c>
      <c r="N99" s="931"/>
      <c r="O99" s="490"/>
      <c r="P99" s="490"/>
      <c r="Q99" s="490"/>
      <c r="R99" s="490"/>
    </row>
    <row r="100" spans="3:18" ht="30" customHeight="1" x14ac:dyDescent="0.25">
      <c r="C100" s="540">
        <v>1</v>
      </c>
      <c r="D100" s="541">
        <f>+HLOOKUP(C100,TUNINF!$G$9:$AB$90,82,"FALSO")</f>
        <v>549.52602793699202</v>
      </c>
      <c r="E100" s="541" t="str">
        <f>+HLOOKUP(C100,TUNINF!$G$9:$AB$90,2,"FALSO")</f>
        <v>Impermeabilizacion Rama Norte TRAMO III</v>
      </c>
      <c r="F100" s="542">
        <f>+HLOOKUP(C100,TUNINF!$G$9:$AB$90,29,"FALSO")</f>
        <v>570000</v>
      </c>
      <c r="G100" s="870" t="str">
        <f>+HLOOKUP(C100,TUNINF!$G$9:$AB$90,4,"FALSO")</f>
        <v>Ramas de La Paz y C.D.</v>
      </c>
      <c r="H100" s="950">
        <v>715.24075339475689</v>
      </c>
      <c r="I100" s="957" t="s">
        <v>299</v>
      </c>
      <c r="J100" s="958" t="str">
        <f t="shared" ref="J100:J107" si="99">+VLOOKUP(H100,$D$100:$G$121,2,"FALSO")</f>
        <v>IMPERMEABILIZACION TRAMOS CRITICOS RED SECUNDARIA - HIJUELA 7ma. ZAPATA</v>
      </c>
      <c r="K100" s="959" t="str">
        <f t="shared" ref="K100:K107" si="100">VLOOKUP(H100,$D$100:$G$121,4,"FALSO")</f>
        <v>Rama Montecaseros</v>
      </c>
      <c r="L100" s="960">
        <f t="shared" ref="L100:L107" si="101">+VLOOKUP(H100,$D$100:$G$121,3,"FALSO")</f>
        <v>7560000</v>
      </c>
      <c r="M100" s="961">
        <f>+L100</f>
        <v>7560000</v>
      </c>
      <c r="N100" s="962"/>
      <c r="O100" s="360"/>
      <c r="P100" s="360"/>
      <c r="Q100" s="360"/>
      <c r="R100" s="360"/>
    </row>
    <row r="101" spans="3:18" ht="30" customHeight="1" x14ac:dyDescent="0.25">
      <c r="C101" s="543">
        <v>2</v>
      </c>
      <c r="D101" s="238">
        <f>+HLOOKUP(C101,TUNINF!$G$9:$AB$90,82,"FALSO")</f>
        <v>503.07535854508041</v>
      </c>
      <c r="E101" s="238" t="str">
        <f>+HLOOKUP(C101,TUNINF!$G$9:$AB$90,2,"FALSO")</f>
        <v>Impermeabilizacion RAMA NORTE TRAMO II</v>
      </c>
      <c r="F101" s="183">
        <f>+HLOOKUP(C101,TUNINF!$G$9:$AB$90,29,"FALSO")</f>
        <v>1750000</v>
      </c>
      <c r="G101" s="869" t="str">
        <f>+HLOOKUP(C101,TUNINF!$G$9:$AB$90,4,"FALSO")</f>
        <v>Ramas de La Paz y C.D.</v>
      </c>
      <c r="H101" s="951">
        <v>712.0964525883594</v>
      </c>
      <c r="I101" s="963" t="s">
        <v>300</v>
      </c>
      <c r="J101" s="964" t="str">
        <f t="shared" si="99"/>
        <v>Reparacion de tableros Tablero e instalación electrica en compartos.</v>
      </c>
      <c r="K101" s="965" t="str">
        <f t="shared" si="100"/>
        <v>Subdelegacion Río Tunuyan Inferior</v>
      </c>
      <c r="L101" s="966">
        <f t="shared" si="101"/>
        <v>2840297.25</v>
      </c>
      <c r="M101" s="967">
        <f>+M100+L101</f>
        <v>10400297.25</v>
      </c>
      <c r="N101" s="962"/>
      <c r="O101" s="360"/>
      <c r="P101" s="360"/>
      <c r="Q101" s="360"/>
      <c r="R101" s="360"/>
    </row>
    <row r="102" spans="3:18" ht="30" customHeight="1" x14ac:dyDescent="0.25">
      <c r="C102" s="543">
        <v>3</v>
      </c>
      <c r="D102" s="238">
        <f>+HLOOKUP(C102,TUNINF!$G$9:$AB$90,82,"FALSO")</f>
        <v>320.14775451445098</v>
      </c>
      <c r="E102" s="238" t="str">
        <f>+HLOOKUP(C102,TUNINF!$G$9:$AB$90,2,"FALSO")</f>
        <v>Impermeabilizacion RAMA NORTE TRAMO I</v>
      </c>
      <c r="F102" s="183">
        <f>+HLOOKUP(C102,TUNINF!$G$9:$AB$90,29,"FALSO")</f>
        <v>2500000</v>
      </c>
      <c r="G102" s="869" t="str">
        <f>+HLOOKUP(C102,TUNINF!$G$9:$AB$90,4,"FALSO")</f>
        <v>Ramas de La Paz y C.D.</v>
      </c>
      <c r="H102" s="951">
        <v>712.04834164073088</v>
      </c>
      <c r="I102" s="963" t="s">
        <v>301</v>
      </c>
      <c r="J102" s="964" t="str">
        <f t="shared" si="99"/>
        <v xml:space="preserve">Dique T.Benegas   Reparacion Comp. Nº 1 </v>
      </c>
      <c r="K102" s="965" t="str">
        <f t="shared" si="100"/>
        <v>Subdelegacion Río Tunuyan Inferior</v>
      </c>
      <c r="L102" s="966">
        <f t="shared" si="101"/>
        <v>3000000</v>
      </c>
      <c r="M102" s="967">
        <f t="shared" ref="M102:M112" si="102">+M101+L102</f>
        <v>13400297.25</v>
      </c>
      <c r="N102" s="962"/>
      <c r="O102" s="360"/>
      <c r="P102" s="360"/>
      <c r="Q102" s="360"/>
      <c r="R102" s="360"/>
    </row>
    <row r="103" spans="3:18" ht="30" customHeight="1" x14ac:dyDescent="0.25">
      <c r="C103" s="543">
        <v>4</v>
      </c>
      <c r="D103" s="238">
        <f>+HLOOKUP(C103,TUNINF!$G$9:$AB$90,82,"FALSO")</f>
        <v>528.89443042214396</v>
      </c>
      <c r="E103" s="238" t="str">
        <f>+HLOOKUP(C103,TUNINF!$G$9:$AB$90,2,"FALSO")</f>
        <v>IMPERMEABILIZACION HIJUELA Nº3</v>
      </c>
      <c r="F103" s="183">
        <f>+HLOOKUP(C103,TUNINF!$G$9:$AB$90,29,"FALSO")</f>
        <v>3100000</v>
      </c>
      <c r="G103" s="869" t="str">
        <f>+HLOOKUP(C103,TUNINF!$G$9:$AB$90,4,"FALSO")</f>
        <v>Rama Nueva California</v>
      </c>
      <c r="H103" s="951">
        <v>681.51895828466058</v>
      </c>
      <c r="I103" s="963" t="s">
        <v>302</v>
      </c>
      <c r="J103" s="968" t="str">
        <f t="shared" si="99"/>
        <v>IMPERMEAB. CANAL NORTE: DE C. ROBERT A C. MOLINA</v>
      </c>
      <c r="K103" s="965" t="str">
        <f t="shared" si="100"/>
        <v>Canal Norte e Hij. Guevara</v>
      </c>
      <c r="L103" s="966">
        <f t="shared" si="101"/>
        <v>2500000</v>
      </c>
      <c r="M103" s="967">
        <f t="shared" si="102"/>
        <v>15900297.25</v>
      </c>
      <c r="N103" s="962"/>
      <c r="O103" s="360"/>
      <c r="P103" s="360"/>
      <c r="Q103" s="360"/>
      <c r="R103" s="360"/>
    </row>
    <row r="104" spans="3:18" ht="30" customHeight="1" x14ac:dyDescent="0.25">
      <c r="C104" s="543">
        <v>5</v>
      </c>
      <c r="D104" s="238">
        <f>+HLOOKUP(C104,TUNINF!$G$9:$AB$90,82,"FALSO")</f>
        <v>641.38257214943212</v>
      </c>
      <c r="E104" s="238" t="str">
        <f>+HLOOKUP(C104,TUNINF!$G$9:$AB$90,2,"FALSO")</f>
        <v>IMPERMEABILIZACIÓN CANAL RAMA MUNDO NUEVO - CALLE BERGARA</v>
      </c>
      <c r="F104" s="183">
        <f>+HLOOKUP(C104,TUNINF!$G$9:$AB$90,29,"FALSO")</f>
        <v>2850000</v>
      </c>
      <c r="G104" s="869" t="str">
        <f>+HLOOKUP(C104,TUNINF!$G$9:$AB$90,4,"FALSO")</f>
        <v xml:space="preserve">Canales del Tramo Medio </v>
      </c>
      <c r="H104" s="951">
        <v>663.2753331121811</v>
      </c>
      <c r="I104" s="963" t="s">
        <v>303</v>
      </c>
      <c r="J104" s="968" t="str">
        <f t="shared" si="99"/>
        <v>REVESTIMIENTO RAMA GODOY</v>
      </c>
      <c r="K104" s="965" t="str">
        <f t="shared" si="100"/>
        <v>Rama Godoy</v>
      </c>
      <c r="L104" s="966">
        <f t="shared" si="101"/>
        <v>1500000</v>
      </c>
      <c r="M104" s="967">
        <f t="shared" si="102"/>
        <v>17400297.25</v>
      </c>
      <c r="N104" s="962"/>
      <c r="O104" s="360"/>
      <c r="P104" s="360"/>
      <c r="Q104" s="360"/>
      <c r="R104" s="360"/>
    </row>
    <row r="105" spans="3:18" ht="30" customHeight="1" x14ac:dyDescent="0.25">
      <c r="C105" s="543">
        <v>6</v>
      </c>
      <c r="D105" s="238">
        <f>+HLOOKUP(C105,TUNINF!$G$9:$AB$90,82,"FALSO")</f>
        <v>712.04834164073088</v>
      </c>
      <c r="E105" s="238" t="str">
        <f>+HLOOKUP(C105,TUNINF!$G$9:$AB$90,2,"FALSO")</f>
        <v xml:space="preserve">Dique T.Benegas   Reparacion Comp. Nº 1 </v>
      </c>
      <c r="F105" s="183">
        <f>+HLOOKUP(C105,TUNINF!$G$9:$AB$90,29,"FALSO")</f>
        <v>3000000</v>
      </c>
      <c r="G105" s="869" t="str">
        <f>+HLOOKUP(C105,TUNINF!$G$9:$AB$90,4,"FALSO")</f>
        <v>Subdelegacion Río Tunuyan Inferior</v>
      </c>
      <c r="H105" s="951">
        <v>644.49516735214218</v>
      </c>
      <c r="I105" s="963" t="s">
        <v>304</v>
      </c>
      <c r="J105" s="968" t="str">
        <f t="shared" si="99"/>
        <v>IMPERMEABILIZACION HIJUELA SARRAMEA</v>
      </c>
      <c r="K105" s="965" t="str">
        <f t="shared" si="100"/>
        <v>Hij. Directas Canal Mz. San Martín</v>
      </c>
      <c r="L105" s="966">
        <f t="shared" si="101"/>
        <v>1680000</v>
      </c>
      <c r="M105" s="967">
        <f t="shared" si="102"/>
        <v>19080297.25</v>
      </c>
      <c r="N105" s="962"/>
      <c r="O105" s="360"/>
      <c r="P105" s="360"/>
      <c r="Q105" s="360"/>
      <c r="R105" s="360"/>
    </row>
    <row r="106" spans="3:18" ht="30" customHeight="1" x14ac:dyDescent="0.25">
      <c r="C106" s="543">
        <v>7</v>
      </c>
      <c r="D106" s="238">
        <f>+HLOOKUP(C106,TUNINF!$G$9:$AB$90,82,"FALSO")</f>
        <v>712.0964525883594</v>
      </c>
      <c r="E106" s="238" t="str">
        <f>+HLOOKUP(C106,TUNINF!$G$9:$AB$90,2,"FALSO")</f>
        <v>Reparacion de tableros Tablero e instalación electrica en compartos.</v>
      </c>
      <c r="F106" s="183">
        <f>+HLOOKUP(C106,TUNINF!$G$9:$AB$90,29,"FALSO")</f>
        <v>2840297.25</v>
      </c>
      <c r="G106" s="869" t="str">
        <f>+HLOOKUP(C106,TUNINF!$G$9:$AB$90,4,"FALSO")</f>
        <v>Subdelegacion Río Tunuyan Inferior</v>
      </c>
      <c r="H106" s="951">
        <v>642.39688706656329</v>
      </c>
      <c r="I106" s="963" t="s">
        <v>305</v>
      </c>
      <c r="J106" s="968" t="str">
        <f t="shared" si="99"/>
        <v>REVESTIMIENTO TRAMO RAMA HENRIQUEZ</v>
      </c>
      <c r="K106" s="965" t="str">
        <f t="shared" si="100"/>
        <v>Rama Henriquez</v>
      </c>
      <c r="L106" s="966">
        <f t="shared" si="101"/>
        <v>2200000</v>
      </c>
      <c r="M106" s="967">
        <f t="shared" si="102"/>
        <v>21280297.25</v>
      </c>
      <c r="N106" s="962"/>
      <c r="O106" s="360"/>
      <c r="P106" s="360"/>
      <c r="Q106" s="360"/>
      <c r="R106" s="360"/>
    </row>
    <row r="107" spans="3:18" ht="30" customHeight="1" x14ac:dyDescent="0.25">
      <c r="C107" s="543">
        <v>8</v>
      </c>
      <c r="D107" s="238">
        <f>+HLOOKUP(C107,TUNINF!$G$9:$AB$90,82,"FALSO")</f>
        <v>407.73016774748328</v>
      </c>
      <c r="E107" s="238" t="str">
        <f>+HLOOKUP(C107,TUNINF!$G$9:$AB$90,2,"FALSO")</f>
        <v>RAMA SUR ALTO VERDE: IMPERM. HIJUELA Nº19</v>
      </c>
      <c r="F107" s="183">
        <f>+HLOOKUP(C107,TUNINF!$G$9:$AB$90,29,"FALSO")</f>
        <v>3458000</v>
      </c>
      <c r="G107" s="869" t="str">
        <f>+HLOOKUP(C107,TUNINF!$G$9:$AB$90,4,"FALSO")</f>
        <v>Rama Sur Alto Verde</v>
      </c>
      <c r="H107" s="951">
        <v>641.38257214943212</v>
      </c>
      <c r="I107" s="963" t="s">
        <v>306</v>
      </c>
      <c r="J107" s="968" t="str">
        <f t="shared" si="99"/>
        <v>IMPERMEABILIZACIÓN CANAL RAMA MUNDO NUEVO - CALLE BERGARA</v>
      </c>
      <c r="K107" s="965" t="str">
        <f t="shared" si="100"/>
        <v xml:space="preserve">Canales del Tramo Medio </v>
      </c>
      <c r="L107" s="966">
        <f t="shared" si="101"/>
        <v>2850000</v>
      </c>
      <c r="M107" s="967">
        <f t="shared" si="102"/>
        <v>24130297.25</v>
      </c>
      <c r="N107" s="962"/>
      <c r="O107" s="360"/>
      <c r="P107" s="360"/>
      <c r="Q107" s="360"/>
      <c r="R107" s="360"/>
    </row>
    <row r="108" spans="3:18" ht="30" customHeight="1" thickBot="1" x14ac:dyDescent="0.3">
      <c r="C108" s="543">
        <v>9</v>
      </c>
      <c r="D108" s="238">
        <f>+HLOOKUP(C108,TUNINF!$G$9:$AB$90,82,"FALSO")</f>
        <v>579.3781192166673</v>
      </c>
      <c r="E108" s="238" t="str">
        <f>+HLOOKUP(C108,TUNINF!$G$9:$AB$90,2,"FALSO")</f>
        <v>Impermeabilización Rama Moyano</v>
      </c>
      <c r="F108" s="183">
        <f>+HLOOKUP(C108,TUNINF!$G$9:$AB$90,29,"FALSO")</f>
        <v>5350000</v>
      </c>
      <c r="G108" s="869" t="str">
        <f>+HLOOKUP(C108,TUNINF!$G$9:$AB$90,4,"FALSO")</f>
        <v>Canal Mz. Constitución</v>
      </c>
      <c r="H108" s="951">
        <v>597.70009719810412</v>
      </c>
      <c r="I108" s="963" t="s">
        <v>307</v>
      </c>
      <c r="J108" s="968" t="str">
        <f t="shared" ref="J108:J121" si="103">+VLOOKUP(H108,$D$100:$G$121,2,"FALSO")</f>
        <v>REVESTIMIENTO HIJUELA N°6 - CANAL NUEVO GIL</v>
      </c>
      <c r="K108" s="965" t="str">
        <f t="shared" ref="K108:K121" si="104">VLOOKUP(H108,$D$100:$G$121,4,"FALSO")</f>
        <v>Canal Nuevo Gil</v>
      </c>
      <c r="L108" s="966">
        <f t="shared" ref="L108:L121" si="105">+VLOOKUP(H108,$D$100:$G$121,3,"FALSO")</f>
        <v>2340000</v>
      </c>
      <c r="M108" s="967">
        <f t="shared" si="102"/>
        <v>26470297.25</v>
      </c>
      <c r="N108" s="969"/>
      <c r="O108" s="360"/>
      <c r="P108" s="360"/>
      <c r="Q108" s="360"/>
      <c r="R108" s="360"/>
    </row>
    <row r="109" spans="3:18" ht="30" customHeight="1" thickBot="1" x14ac:dyDescent="0.3">
      <c r="C109" s="543">
        <v>10</v>
      </c>
      <c r="D109" s="238">
        <f>+HLOOKUP(C109,TUNINF!$G$9:$AB$90,82,"FALSO")</f>
        <v>529.01175107799202</v>
      </c>
      <c r="E109" s="238" t="str">
        <f>+HLOOKUP(C109,TUNINF!$G$9:$AB$90,2,"FALSO")</f>
        <v>IMPERMEABILIZACION HIJUELA SUAREZ</v>
      </c>
      <c r="F109" s="183">
        <f>+HLOOKUP(C109,TUNINF!$G$9:$AB$90,29,"FALSO")</f>
        <v>3500000</v>
      </c>
      <c r="G109" s="869" t="str">
        <f>+HLOOKUP(C109,TUNINF!$G$9:$AB$90,4,"FALSO")</f>
        <v>Rama Dormida</v>
      </c>
      <c r="H109" s="952">
        <v>579.3781192166673</v>
      </c>
      <c r="I109" s="970" t="s">
        <v>308</v>
      </c>
      <c r="J109" s="971" t="str">
        <f t="shared" si="103"/>
        <v>Impermeabilización Rama Moyano</v>
      </c>
      <c r="K109" s="972" t="str">
        <f t="shared" si="104"/>
        <v>Canal Mz. Constitución</v>
      </c>
      <c r="L109" s="973">
        <f t="shared" si="105"/>
        <v>5350000</v>
      </c>
      <c r="M109" s="974">
        <f t="shared" si="102"/>
        <v>31820297.25</v>
      </c>
      <c r="N109" s="975">
        <f>+FICHA!T11</f>
        <v>32000000</v>
      </c>
      <c r="O109" s="360"/>
      <c r="P109" s="360"/>
      <c r="Q109" s="360"/>
      <c r="R109" s="360"/>
    </row>
    <row r="110" spans="3:18" ht="30" customHeight="1" x14ac:dyDescent="0.25">
      <c r="C110" s="543">
        <v>11</v>
      </c>
      <c r="D110" s="238">
        <f>+HLOOKUP(C110,TUNINF!$G$9:$AB$90,82,"FALSO")</f>
        <v>642.39688706656329</v>
      </c>
      <c r="E110" s="238" t="str">
        <f>+HLOOKUP(C110,TUNINF!$G$9:$AB$90,2,"FALSO")</f>
        <v>REVESTIMIENTO TRAMO RAMA HENRIQUEZ</v>
      </c>
      <c r="F110" s="183">
        <f>+HLOOKUP(C110,TUNINF!$G$9:$AB$90,29,"FALSO")</f>
        <v>2200000</v>
      </c>
      <c r="G110" s="869" t="str">
        <f>+HLOOKUP(C110,TUNINF!$G$9:$AB$90,4,"FALSO")</f>
        <v>Rama Henriquez</v>
      </c>
      <c r="H110" s="950">
        <v>617.01355898503357</v>
      </c>
      <c r="I110" s="957" t="s">
        <v>309</v>
      </c>
      <c r="J110" s="993" t="str">
        <f t="shared" si="103"/>
        <v>IMPERMEABILIZACION CANAL CHIMBAS</v>
      </c>
      <c r="K110" s="959" t="str">
        <f t="shared" si="104"/>
        <v>Rama Chimba</v>
      </c>
      <c r="L110" s="994">
        <f t="shared" si="105"/>
        <v>9500000</v>
      </c>
      <c r="M110" s="995">
        <f t="shared" si="102"/>
        <v>41320297.25</v>
      </c>
      <c r="N110" s="996" t="s">
        <v>1168</v>
      </c>
      <c r="O110" s="360"/>
      <c r="P110" s="360"/>
      <c r="Q110" s="360"/>
      <c r="R110" s="360"/>
    </row>
    <row r="111" spans="3:18" ht="30" customHeight="1" x14ac:dyDescent="0.25">
      <c r="C111" s="543">
        <v>12</v>
      </c>
      <c r="D111" s="238">
        <f>+HLOOKUP(C111,TUNINF!$G$9:$AB$90,82,"FALSO")</f>
        <v>663.2753331121811</v>
      </c>
      <c r="E111" s="238" t="str">
        <f>+HLOOKUP(C111,TUNINF!$G$9:$AB$90,2,"FALSO")</f>
        <v>REVESTIMIENTO RAMA GODOY</v>
      </c>
      <c r="F111" s="183">
        <f>+HLOOKUP(C111,TUNINF!$G$9:$AB$90,29,"FALSO")</f>
        <v>1500000</v>
      </c>
      <c r="G111" s="869" t="str">
        <f>+HLOOKUP(C111,TUNINF!$G$9:$AB$90,4,"FALSO")</f>
        <v>Rama Godoy</v>
      </c>
      <c r="H111" s="953">
        <v>567.52240549537316</v>
      </c>
      <c r="I111" s="963" t="s">
        <v>310</v>
      </c>
      <c r="J111" s="976" t="str">
        <f t="shared" si="103"/>
        <v>IMPERMEABILIZACIÓN HIJUELA LOS YOLES</v>
      </c>
      <c r="K111" s="977" t="str">
        <f t="shared" si="104"/>
        <v>Canal Mz. Reducción</v>
      </c>
      <c r="L111" s="978">
        <f t="shared" si="105"/>
        <v>3492000</v>
      </c>
      <c r="M111" s="982">
        <f t="shared" si="102"/>
        <v>44812297.25</v>
      </c>
      <c r="N111" s="997" t="s">
        <v>1168</v>
      </c>
      <c r="O111" s="360"/>
      <c r="P111" s="360"/>
      <c r="Q111" s="360"/>
      <c r="R111" s="360"/>
    </row>
    <row r="112" spans="3:18" ht="30" customHeight="1" x14ac:dyDescent="0.25">
      <c r="C112" s="543">
        <v>13</v>
      </c>
      <c r="D112" s="238">
        <f>+HLOOKUP(C112,TUNINF!$G$9:$AB$90,82,"FALSO")</f>
        <v>597.70009719810412</v>
      </c>
      <c r="E112" s="238" t="str">
        <f>+HLOOKUP(C112,TUNINF!$G$9:$AB$90,2,"FALSO")</f>
        <v>REVESTIMIENTO HIJUELA N°6 - CANAL NUEVO GIL</v>
      </c>
      <c r="F112" s="183">
        <f>+HLOOKUP(C112,TUNINF!$G$9:$AB$90,29,"FALSO")</f>
        <v>2340000</v>
      </c>
      <c r="G112" s="869" t="str">
        <f>+HLOOKUP(C112,TUNINF!$G$9:$AB$90,4,"FALSO")</f>
        <v>Canal Nuevo Gil</v>
      </c>
      <c r="H112" s="951">
        <v>562.04623114396554</v>
      </c>
      <c r="I112" s="963" t="s">
        <v>311</v>
      </c>
      <c r="J112" s="979" t="str">
        <f t="shared" si="103"/>
        <v>IMPERMEABILIZACIÓN CANAL OTOYANES</v>
      </c>
      <c r="K112" s="965" t="str">
        <f t="shared" si="104"/>
        <v>Canal Los Otoyanes</v>
      </c>
      <c r="L112" s="966">
        <f t="shared" si="105"/>
        <v>2300000</v>
      </c>
      <c r="M112" s="982">
        <f t="shared" si="102"/>
        <v>47112297.25</v>
      </c>
      <c r="N112" s="997" t="s">
        <v>1168</v>
      </c>
      <c r="O112" s="360"/>
      <c r="P112" s="360"/>
      <c r="Q112" s="360"/>
      <c r="R112" s="360"/>
    </row>
    <row r="113" spans="3:19" ht="30" customHeight="1" x14ac:dyDescent="0.25">
      <c r="C113" s="543">
        <v>14</v>
      </c>
      <c r="D113" s="238">
        <f>+HLOOKUP(C113,TUNINF!$G$9:$AB$90,82,"FALSO")</f>
        <v>715.24075339475689</v>
      </c>
      <c r="E113" s="238" t="str">
        <f>+HLOOKUP(C113,TUNINF!$G$9:$AB$90,2,"FALSO")</f>
        <v>IMPERMEABILIZACION TRAMOS CRITICOS RED SECUNDARIA - HIJUELA 7ma. ZAPATA</v>
      </c>
      <c r="F113" s="183">
        <f>+HLOOKUP(C113,TUNINF!$G$9:$AB$90,29,"FALSO")</f>
        <v>7560000</v>
      </c>
      <c r="G113" s="869" t="str">
        <f>+HLOOKUP(C113,TUNINF!$G$9:$AB$90,4,"FALSO")</f>
        <v>Rama Montecaseros</v>
      </c>
      <c r="H113" s="951">
        <v>549.52602793699202</v>
      </c>
      <c r="I113" s="963" t="s">
        <v>312</v>
      </c>
      <c r="J113" s="979" t="str">
        <f t="shared" si="103"/>
        <v>Impermeabilizacion Rama Norte TRAMO III</v>
      </c>
      <c r="K113" s="965" t="str">
        <f t="shared" si="104"/>
        <v>Ramas de La Paz y C.D.</v>
      </c>
      <c r="L113" s="966">
        <f t="shared" si="105"/>
        <v>570000</v>
      </c>
      <c r="M113" s="982">
        <f t="shared" ref="M113:M121" si="106">+M112+L113</f>
        <v>47682297.25</v>
      </c>
      <c r="N113" s="997" t="s">
        <v>1168</v>
      </c>
      <c r="O113" s="360">
        <f>SUM(L100:L113)-L109</f>
        <v>42332297.25</v>
      </c>
      <c r="P113" s="360"/>
      <c r="Q113" s="360"/>
      <c r="R113" s="360"/>
    </row>
    <row r="114" spans="3:19" ht="30" customHeight="1" x14ac:dyDescent="0.25">
      <c r="C114" s="543">
        <v>15</v>
      </c>
      <c r="D114" s="238">
        <f>+HLOOKUP(C114,TUNINF!$G$9:$AB$90,82,"FALSO")</f>
        <v>644.49516735214218</v>
      </c>
      <c r="E114" s="238" t="str">
        <f>+HLOOKUP(C114,TUNINF!$G$9:$AB$90,2,"FALSO")</f>
        <v>IMPERMEABILIZACION HIJUELA SARRAMEA</v>
      </c>
      <c r="F114" s="183">
        <f>+HLOOKUP(C114,TUNINF!$G$9:$AB$90,29,"FALSO")</f>
        <v>1680000</v>
      </c>
      <c r="G114" s="869" t="str">
        <f>+HLOOKUP(C114,TUNINF!$G$9:$AB$90,4,"FALSO")</f>
        <v>Hij. Directas Canal Mz. San Martín</v>
      </c>
      <c r="H114" s="951">
        <v>548.22206475355415</v>
      </c>
      <c r="I114" s="963" t="s">
        <v>313</v>
      </c>
      <c r="J114" s="979" t="str">
        <f t="shared" si="103"/>
        <v>REPARACION DE LOSAS CANAL MATRIZ LA PAZ</v>
      </c>
      <c r="K114" s="965" t="str">
        <f t="shared" si="104"/>
        <v xml:space="preserve">Canal Mz. La Paz </v>
      </c>
      <c r="L114" s="966">
        <f t="shared" si="105"/>
        <v>3900000</v>
      </c>
      <c r="M114" s="982">
        <f t="shared" si="106"/>
        <v>51582297.25</v>
      </c>
      <c r="N114" s="997" t="s">
        <v>1168</v>
      </c>
      <c r="O114" s="360"/>
      <c r="P114" s="360"/>
      <c r="Q114" s="360"/>
      <c r="R114" s="360"/>
    </row>
    <row r="115" spans="3:19" ht="30" customHeight="1" x14ac:dyDescent="0.25">
      <c r="C115" s="543">
        <v>16</v>
      </c>
      <c r="D115" s="238">
        <f>+HLOOKUP(C115,TUNINF!$G$9:$AB$90,82,"FALSO")</f>
        <v>451.26224632885112</v>
      </c>
      <c r="E115" s="238" t="str">
        <f>+HLOOKUP(C115,TUNINF!$G$9:$AB$90,2,"FALSO")</f>
        <v>REVESTIMIENTO CANAL RIO BAMBA</v>
      </c>
      <c r="F115" s="183">
        <f>+HLOOKUP(C115,TUNINF!$G$9:$AB$90,29,"FALSO")</f>
        <v>2650000</v>
      </c>
      <c r="G115" s="869" t="str">
        <f>+HLOOKUP(C115,TUNINF!$G$9:$AB$90,4,"FALSO")</f>
        <v>Canales de Medrano y Der.</v>
      </c>
      <c r="H115" s="951">
        <v>543.3344219621647</v>
      </c>
      <c r="I115" s="963" t="s">
        <v>619</v>
      </c>
      <c r="J115" s="979" t="str">
        <f t="shared" si="103"/>
        <v>IMPERMEABILIZACION TRAMO CANAL SANTA ROSA</v>
      </c>
      <c r="K115" s="965" t="str">
        <f t="shared" si="104"/>
        <v>Canal Santa Rosa</v>
      </c>
      <c r="L115" s="966">
        <f t="shared" si="105"/>
        <v>5900000</v>
      </c>
      <c r="M115" s="982">
        <f t="shared" si="106"/>
        <v>57482297.25</v>
      </c>
      <c r="N115" s="997" t="s">
        <v>1168</v>
      </c>
      <c r="O115" s="360"/>
      <c r="P115" s="360"/>
      <c r="Q115" s="360"/>
      <c r="R115" s="360"/>
    </row>
    <row r="116" spans="3:19" ht="30" customHeight="1" x14ac:dyDescent="0.25">
      <c r="C116" s="543">
        <v>17</v>
      </c>
      <c r="D116" s="238">
        <f>+HLOOKUP(C116,TUNINF!$G$9:$AB$90,82,"FALSO")</f>
        <v>543.3344219621647</v>
      </c>
      <c r="E116" s="238" t="str">
        <f>+HLOOKUP(C116,TUNINF!$G$9:$AB$90,2,"FALSO")</f>
        <v>IMPERMEABILIZACION TRAMO CANAL SANTA ROSA</v>
      </c>
      <c r="F116" s="183">
        <f>+HLOOKUP(C116,TUNINF!$G$9:$AB$90,29,"FALSO")</f>
        <v>5900000</v>
      </c>
      <c r="G116" s="869" t="str">
        <f>+HLOOKUP(C116,TUNINF!$G$9:$AB$90,4,"FALSO")</f>
        <v>Canal Santa Rosa</v>
      </c>
      <c r="H116" s="951">
        <v>529.01175107799202</v>
      </c>
      <c r="I116" s="963" t="s">
        <v>620</v>
      </c>
      <c r="J116" s="980" t="str">
        <f t="shared" si="103"/>
        <v>IMPERMEABILIZACION HIJUELA SUAREZ</v>
      </c>
      <c r="K116" s="965" t="str">
        <f t="shared" si="104"/>
        <v>Rama Dormida</v>
      </c>
      <c r="L116" s="966">
        <f t="shared" si="105"/>
        <v>3500000</v>
      </c>
      <c r="M116" s="982">
        <f t="shared" si="106"/>
        <v>60982297.25</v>
      </c>
      <c r="N116" s="997" t="s">
        <v>1168</v>
      </c>
      <c r="O116" s="360"/>
      <c r="P116" s="360"/>
      <c r="Q116" s="360"/>
      <c r="R116" s="360"/>
    </row>
    <row r="117" spans="3:19" ht="30" customHeight="1" x14ac:dyDescent="0.25">
      <c r="C117" s="543">
        <v>18</v>
      </c>
      <c r="D117" s="238">
        <f>+HLOOKUP(C117,TUNINF!$G$9:$AB$90,82,"FALSO")</f>
        <v>562.04623114396554</v>
      </c>
      <c r="E117" s="238" t="str">
        <f>+HLOOKUP(C117,TUNINF!$G$9:$AB$90,2,"FALSO")</f>
        <v>IMPERMEABILIZACIÓN CANAL OTOYANES</v>
      </c>
      <c r="F117" s="183">
        <f>+HLOOKUP(C117,TUNINF!$G$9:$AB$90,29,"FALSO")</f>
        <v>2300000</v>
      </c>
      <c r="G117" s="869" t="str">
        <f>+HLOOKUP(C117,TUNINF!$G$9:$AB$90,4,"FALSO")</f>
        <v>Canal Los Otoyanes</v>
      </c>
      <c r="H117" s="951">
        <v>528.89443042214396</v>
      </c>
      <c r="I117" s="963" t="s">
        <v>621</v>
      </c>
      <c r="J117" s="980" t="str">
        <f t="shared" si="103"/>
        <v>IMPERMEABILIZACION HIJUELA Nº3</v>
      </c>
      <c r="K117" s="965" t="str">
        <f t="shared" si="104"/>
        <v>Rama Nueva California</v>
      </c>
      <c r="L117" s="966">
        <f t="shared" si="105"/>
        <v>3100000</v>
      </c>
      <c r="M117" s="982">
        <f t="shared" si="106"/>
        <v>64082297.25</v>
      </c>
      <c r="N117" s="997" t="s">
        <v>1168</v>
      </c>
      <c r="O117" s="360"/>
      <c r="P117" s="360"/>
      <c r="Q117" s="360"/>
      <c r="R117" s="360"/>
    </row>
    <row r="118" spans="3:19" ht="30" customHeight="1" x14ac:dyDescent="0.25">
      <c r="C118" s="543">
        <v>19</v>
      </c>
      <c r="D118" s="238">
        <f>+HLOOKUP(C118,TUNINF!$G$9:$AB$90,82,"FALSO")</f>
        <v>681.51895828466058</v>
      </c>
      <c r="E118" s="238" t="str">
        <f>+HLOOKUP(C118,TUNINF!$G$9:$AB$90,2,"FALSO")</f>
        <v>IMPERMEAB. CANAL NORTE: DE C. ROBERT A C. MOLINA</v>
      </c>
      <c r="F118" s="183">
        <f>+HLOOKUP(C118,TUNINF!$G$9:$AB$90,29,"FALSO")</f>
        <v>2500000</v>
      </c>
      <c r="G118" s="869" t="str">
        <f>+HLOOKUP(C118,TUNINF!$G$9:$AB$90,4,"FALSO")</f>
        <v>Canal Norte e Hij. Guevara</v>
      </c>
      <c r="H118" s="951">
        <v>503.07535854508041</v>
      </c>
      <c r="I118" s="963" t="s">
        <v>622</v>
      </c>
      <c r="J118" s="980" t="str">
        <f t="shared" si="103"/>
        <v>Impermeabilizacion RAMA NORTE TRAMO II</v>
      </c>
      <c r="K118" s="965" t="str">
        <f t="shared" si="104"/>
        <v>Ramas de La Paz y C.D.</v>
      </c>
      <c r="L118" s="966">
        <f t="shared" si="105"/>
        <v>1750000</v>
      </c>
      <c r="M118" s="982">
        <f t="shared" si="106"/>
        <v>65832297.25</v>
      </c>
      <c r="N118" s="997" t="s">
        <v>1168</v>
      </c>
      <c r="O118" s="360"/>
      <c r="P118" s="360"/>
      <c r="Q118" s="360"/>
      <c r="R118" s="360"/>
    </row>
    <row r="119" spans="3:19" ht="30" customHeight="1" x14ac:dyDescent="0.25">
      <c r="C119" s="543">
        <v>20</v>
      </c>
      <c r="D119" s="238">
        <f>+HLOOKUP(C119,TUNINF!$G$9:$AB$90,82,"FALSO")</f>
        <v>567.52240549537316</v>
      </c>
      <c r="E119" s="238" t="str">
        <f>+HLOOKUP(C119,TUNINF!$G$9:$AB$90,2,"FALSO")</f>
        <v>IMPERMEABILIZACIÓN HIJUELA LOS YOLES</v>
      </c>
      <c r="F119" s="183">
        <f>+HLOOKUP(C119,TUNINF!$G$9:$AB$90,29,"FALSO")</f>
        <v>3492000</v>
      </c>
      <c r="G119" s="869" t="str">
        <f>+HLOOKUP(C119,TUNINF!$G$9:$AB$90,4,"FALSO")</f>
        <v>Canal Mz. Reducción</v>
      </c>
      <c r="H119" s="951">
        <v>451.26224632885112</v>
      </c>
      <c r="I119" s="963" t="s">
        <v>898</v>
      </c>
      <c r="J119" s="980" t="str">
        <f t="shared" si="103"/>
        <v>REVESTIMIENTO CANAL RIO BAMBA</v>
      </c>
      <c r="K119" s="965" t="str">
        <f t="shared" si="104"/>
        <v>Canales de Medrano y Der.</v>
      </c>
      <c r="L119" s="966">
        <f t="shared" si="105"/>
        <v>2650000</v>
      </c>
      <c r="M119" s="982">
        <f t="shared" si="106"/>
        <v>68482297.25</v>
      </c>
      <c r="N119" s="997" t="s">
        <v>1168</v>
      </c>
      <c r="O119" s="360"/>
      <c r="P119" s="360"/>
      <c r="Q119" s="360"/>
      <c r="R119" s="360"/>
    </row>
    <row r="120" spans="3:19" ht="30" customHeight="1" x14ac:dyDescent="0.25">
      <c r="C120" s="543">
        <v>21</v>
      </c>
      <c r="D120" s="238">
        <f>+HLOOKUP(C120,TUNINF!$G$9:$AB$90,82,"FALSO")</f>
        <v>548.22206475355415</v>
      </c>
      <c r="E120" s="238" t="str">
        <f>+HLOOKUP(C120,TUNINF!$G$9:$AB$90,2,"FALSO")</f>
        <v>REPARACION DE LOSAS CANAL MATRIZ LA PAZ</v>
      </c>
      <c r="F120" s="183">
        <f>+HLOOKUP(C120,TUNINF!$G$9:$AB$90,29,"FALSO")</f>
        <v>3900000</v>
      </c>
      <c r="G120" s="869" t="str">
        <f>+HLOOKUP(C120,TUNINF!$G$9:$AB$90,4,"FALSO")</f>
        <v xml:space="preserve">Canal Mz. La Paz </v>
      </c>
      <c r="H120" s="951">
        <v>407.73016774748328</v>
      </c>
      <c r="I120" s="963" t="s">
        <v>899</v>
      </c>
      <c r="J120" s="980" t="str">
        <f t="shared" si="103"/>
        <v>RAMA SUR ALTO VERDE: IMPERM. HIJUELA Nº19</v>
      </c>
      <c r="K120" s="965" t="str">
        <f t="shared" si="104"/>
        <v>Rama Sur Alto Verde</v>
      </c>
      <c r="L120" s="966">
        <f t="shared" si="105"/>
        <v>3458000</v>
      </c>
      <c r="M120" s="982">
        <f t="shared" si="106"/>
        <v>71940297.25</v>
      </c>
      <c r="N120" s="997" t="s">
        <v>1168</v>
      </c>
      <c r="O120" s="360"/>
      <c r="P120" s="360"/>
      <c r="Q120" s="360"/>
      <c r="R120" s="360"/>
    </row>
    <row r="121" spans="3:19" ht="30" customHeight="1" thickBot="1" x14ac:dyDescent="0.3">
      <c r="C121" s="543">
        <v>22</v>
      </c>
      <c r="D121" s="238">
        <f>+HLOOKUP(C121,TUNINF!$G$9:$AB$90,82,"FALSO")</f>
        <v>617.01355898503357</v>
      </c>
      <c r="E121" s="238" t="str">
        <f>+HLOOKUP(C121,TUNINF!$G$9:$AB$90,2,"FALSO")</f>
        <v>IMPERMEABILIZACION CANAL CHIMBAS</v>
      </c>
      <c r="F121" s="183">
        <f>+HLOOKUP(C121,TUNINF!$G$9:$AB$90,29,"FALSO")</f>
        <v>9500000</v>
      </c>
      <c r="G121" s="869" t="str">
        <f>+HLOOKUP(C121,TUNINF!$G$9:$AB$90,4,"FALSO")</f>
        <v>Rama Chimba</v>
      </c>
      <c r="H121" s="952">
        <v>320.14775451445098</v>
      </c>
      <c r="I121" s="970" t="s">
        <v>900</v>
      </c>
      <c r="J121" s="981" t="str">
        <f t="shared" si="103"/>
        <v>Impermeabilizacion RAMA NORTE TRAMO I</v>
      </c>
      <c r="K121" s="972" t="str">
        <f t="shared" si="104"/>
        <v>Ramas de La Paz y C.D.</v>
      </c>
      <c r="L121" s="973">
        <f t="shared" si="105"/>
        <v>2500000</v>
      </c>
      <c r="M121" s="983">
        <f t="shared" si="106"/>
        <v>74440297.25</v>
      </c>
      <c r="N121" s="998" t="s">
        <v>1168</v>
      </c>
      <c r="O121" s="360"/>
      <c r="P121" s="360"/>
      <c r="Q121" s="360"/>
      <c r="R121" s="360"/>
    </row>
    <row r="123" spans="3:19" ht="16.5" thickBot="1" x14ac:dyDescent="0.3">
      <c r="H123" s="871"/>
      <c r="I123" s="872"/>
      <c r="J123" s="872"/>
      <c r="K123" s="872"/>
      <c r="L123" s="873"/>
      <c r="M123" s="533"/>
      <c r="N123" s="144">
        <f>+N109-L109</f>
        <v>26650000</v>
      </c>
    </row>
    <row r="124" spans="3:19" ht="15.75" thickBot="1" x14ac:dyDescent="0.3"/>
    <row r="125" spans="3:19" ht="15.75" x14ac:dyDescent="0.25">
      <c r="I125" s="595"/>
      <c r="J125" s="597" t="s">
        <v>1169</v>
      </c>
    </row>
    <row r="126" spans="3:19" ht="16.5" thickBot="1" x14ac:dyDescent="0.3">
      <c r="I126" s="596"/>
      <c r="J126" s="598" t="s">
        <v>1170</v>
      </c>
    </row>
    <row r="127" spans="3:19" ht="15.75" x14ac:dyDescent="0.25">
      <c r="N127" s="1066" t="s">
        <v>1115</v>
      </c>
      <c r="O127" s="1066"/>
      <c r="P127" s="1066"/>
      <c r="Q127" s="1066"/>
      <c r="R127" s="1066"/>
      <c r="S127" s="1066"/>
    </row>
    <row r="128" spans="3:19" ht="15.75" thickBot="1" x14ac:dyDescent="0.3">
      <c r="N128" s="1067" t="s">
        <v>1116</v>
      </c>
      <c r="O128" s="1067"/>
      <c r="P128" s="1067"/>
      <c r="Q128" s="1067"/>
      <c r="R128" s="1067"/>
      <c r="S128" s="1067"/>
    </row>
    <row r="129" spans="14:19" ht="30" customHeight="1" thickBot="1" x14ac:dyDescent="0.3">
      <c r="N129" s="583" t="s">
        <v>296</v>
      </c>
      <c r="O129" s="584" t="s">
        <v>1117</v>
      </c>
      <c r="P129" s="584" t="s">
        <v>1118</v>
      </c>
      <c r="Q129" s="584" t="s">
        <v>1119</v>
      </c>
      <c r="R129" s="584" t="s">
        <v>1120</v>
      </c>
      <c r="S129" s="585" t="s">
        <v>1121</v>
      </c>
    </row>
    <row r="130" spans="14:19" x14ac:dyDescent="0.25">
      <c r="N130" s="544" t="s">
        <v>1092</v>
      </c>
      <c r="O130" s="340" t="s">
        <v>1122</v>
      </c>
      <c r="P130" s="545">
        <v>583400</v>
      </c>
      <c r="Q130" s="545">
        <f>P130</f>
        <v>583400</v>
      </c>
      <c r="R130" s="574">
        <v>761.68</v>
      </c>
      <c r="S130" s="546"/>
    </row>
    <row r="131" spans="14:19" x14ac:dyDescent="0.25">
      <c r="N131" s="547" t="s">
        <v>1093</v>
      </c>
      <c r="O131" s="160" t="s">
        <v>1122</v>
      </c>
      <c r="P131" s="548">
        <v>1044000</v>
      </c>
      <c r="Q131" s="548">
        <f>Q130+P131</f>
        <v>1627400</v>
      </c>
      <c r="R131" s="180">
        <v>702.34</v>
      </c>
      <c r="S131" s="549"/>
    </row>
    <row r="132" spans="14:19" x14ac:dyDescent="0.25">
      <c r="N132" s="547" t="s">
        <v>1123</v>
      </c>
      <c r="O132" s="160" t="s">
        <v>1122</v>
      </c>
      <c r="P132" s="548">
        <v>3000000</v>
      </c>
      <c r="Q132" s="548">
        <f t="shared" ref="Q132:Q164" si="107">Q131+P132</f>
        <v>4627400</v>
      </c>
      <c r="R132" s="180">
        <v>702.05</v>
      </c>
      <c r="S132" s="550" t="s">
        <v>1124</v>
      </c>
    </row>
    <row r="133" spans="14:19" x14ac:dyDescent="0.25">
      <c r="N133" s="547" t="s">
        <v>1125</v>
      </c>
      <c r="O133" s="160" t="s">
        <v>1122</v>
      </c>
      <c r="P133" s="548">
        <v>704300</v>
      </c>
      <c r="Q133" s="548">
        <f t="shared" si="107"/>
        <v>5331700</v>
      </c>
      <c r="R133" s="180">
        <v>686.84</v>
      </c>
      <c r="S133" s="550"/>
    </row>
    <row r="134" spans="14:19" x14ac:dyDescent="0.25">
      <c r="N134" s="547" t="s">
        <v>1126</v>
      </c>
      <c r="O134" s="160" t="s">
        <v>649</v>
      </c>
      <c r="P134" s="548">
        <v>7560000</v>
      </c>
      <c r="Q134" s="548">
        <f t="shared" si="107"/>
        <v>12891700</v>
      </c>
      <c r="R134" s="180">
        <v>681.28</v>
      </c>
      <c r="S134" s="550" t="s">
        <v>1167</v>
      </c>
    </row>
    <row r="135" spans="14:19" x14ac:dyDescent="0.25">
      <c r="N135" s="547" t="s">
        <v>1128</v>
      </c>
      <c r="O135" s="160" t="s">
        <v>1129</v>
      </c>
      <c r="P135" s="548">
        <v>2500000</v>
      </c>
      <c r="Q135" s="548">
        <f t="shared" si="107"/>
        <v>15391700</v>
      </c>
      <c r="R135" s="180">
        <v>680.77</v>
      </c>
      <c r="S135" s="550"/>
    </row>
    <row r="136" spans="14:19" x14ac:dyDescent="0.25">
      <c r="N136" s="547" t="s">
        <v>1130</v>
      </c>
      <c r="O136" s="160" t="s">
        <v>645</v>
      </c>
      <c r="P136" s="548">
        <v>2200000</v>
      </c>
      <c r="Q136" s="548">
        <f t="shared" si="107"/>
        <v>17591700</v>
      </c>
      <c r="R136" s="180">
        <v>642.11</v>
      </c>
      <c r="S136" s="550"/>
    </row>
    <row r="137" spans="14:19" x14ac:dyDescent="0.25">
      <c r="N137" s="547" t="s">
        <v>1131</v>
      </c>
      <c r="O137" s="160" t="s">
        <v>1132</v>
      </c>
      <c r="P137" s="548">
        <v>2850000</v>
      </c>
      <c r="Q137" s="548">
        <f t="shared" si="107"/>
        <v>20441700</v>
      </c>
      <c r="R137" s="180">
        <v>640.79999999999995</v>
      </c>
      <c r="S137" s="550"/>
    </row>
    <row r="138" spans="14:19" x14ac:dyDescent="0.25">
      <c r="N138" s="547" t="s">
        <v>1133</v>
      </c>
      <c r="O138" s="160" t="s">
        <v>1134</v>
      </c>
      <c r="P138" s="548">
        <v>1680000</v>
      </c>
      <c r="Q138" s="548">
        <f t="shared" si="107"/>
        <v>22121700</v>
      </c>
      <c r="R138" s="180">
        <v>626.96</v>
      </c>
      <c r="S138" s="550" t="s">
        <v>1127</v>
      </c>
    </row>
    <row r="139" spans="14:19" x14ac:dyDescent="0.25">
      <c r="N139" s="547" t="s">
        <v>1135</v>
      </c>
      <c r="O139" s="160" t="s">
        <v>641</v>
      </c>
      <c r="P139" s="548">
        <v>2340000</v>
      </c>
      <c r="Q139" s="548">
        <f t="shared" si="107"/>
        <v>24461700</v>
      </c>
      <c r="R139" s="180">
        <v>597.20000000000005</v>
      </c>
      <c r="S139" s="550"/>
    </row>
    <row r="140" spans="14:19" x14ac:dyDescent="0.25">
      <c r="N140" s="547" t="s">
        <v>1136</v>
      </c>
      <c r="O140" s="160" t="s">
        <v>647</v>
      </c>
      <c r="P140" s="548">
        <v>1500000</v>
      </c>
      <c r="Q140" s="548">
        <f t="shared" si="107"/>
        <v>25961700</v>
      </c>
      <c r="R140" s="180">
        <v>583.80999999999995</v>
      </c>
      <c r="S140" s="550" t="s">
        <v>1127</v>
      </c>
    </row>
    <row r="141" spans="14:19" ht="15.75" thickBot="1" x14ac:dyDescent="0.3">
      <c r="N141" s="547" t="s">
        <v>1137</v>
      </c>
      <c r="O141" s="160" t="s">
        <v>1138</v>
      </c>
      <c r="P141" s="548">
        <v>5350000</v>
      </c>
      <c r="Q141" s="551">
        <f t="shared" si="107"/>
        <v>31311700</v>
      </c>
      <c r="R141" s="180">
        <v>571.36</v>
      </c>
      <c r="S141" s="550"/>
    </row>
    <row r="142" spans="14:19" ht="16.5" thickBot="1" x14ac:dyDescent="0.3">
      <c r="N142" s="552" t="s">
        <v>1139</v>
      </c>
      <c r="O142" s="553" t="s">
        <v>1140</v>
      </c>
      <c r="P142" s="554">
        <v>3492000</v>
      </c>
      <c r="Q142" s="555">
        <f t="shared" si="107"/>
        <v>34803700</v>
      </c>
      <c r="R142" s="575">
        <v>567.07000000000005</v>
      </c>
      <c r="S142" s="556"/>
    </row>
    <row r="143" spans="14:19" x14ac:dyDescent="0.25">
      <c r="N143" s="557" t="s">
        <v>1141</v>
      </c>
      <c r="O143" s="558" t="s">
        <v>1142</v>
      </c>
      <c r="P143" s="559">
        <v>9500000</v>
      </c>
      <c r="Q143" s="559">
        <f t="shared" si="107"/>
        <v>44303700</v>
      </c>
      <c r="R143" s="576">
        <v>640.16</v>
      </c>
      <c r="S143" s="560"/>
    </row>
    <row r="144" spans="14:19" x14ac:dyDescent="0.25">
      <c r="N144" s="561" t="s">
        <v>1143</v>
      </c>
      <c r="O144" s="51" t="s">
        <v>1144</v>
      </c>
      <c r="P144" s="562">
        <v>1980000</v>
      </c>
      <c r="Q144" s="562">
        <f t="shared" si="107"/>
        <v>46283700</v>
      </c>
      <c r="R144" s="577">
        <v>615.62</v>
      </c>
      <c r="S144" s="52"/>
    </row>
    <row r="145" spans="14:19" x14ac:dyDescent="0.25">
      <c r="N145" s="561" t="s">
        <v>1145</v>
      </c>
      <c r="O145" s="51" t="s">
        <v>1146</v>
      </c>
      <c r="P145" s="562">
        <v>570000</v>
      </c>
      <c r="Q145" s="562">
        <f t="shared" si="107"/>
        <v>46853700</v>
      </c>
      <c r="R145" s="577">
        <v>548.96</v>
      </c>
      <c r="S145" s="52"/>
    </row>
    <row r="146" spans="14:19" x14ac:dyDescent="0.25">
      <c r="N146" s="561" t="s">
        <v>1147</v>
      </c>
      <c r="O146" s="51" t="s">
        <v>1148</v>
      </c>
      <c r="P146" s="562">
        <v>3900000</v>
      </c>
      <c r="Q146" s="562">
        <f t="shared" si="107"/>
        <v>50753700</v>
      </c>
      <c r="R146" s="577">
        <v>547.26</v>
      </c>
      <c r="S146" s="52"/>
    </row>
    <row r="147" spans="14:19" x14ac:dyDescent="0.25">
      <c r="N147" s="561" t="s">
        <v>1149</v>
      </c>
      <c r="O147" s="51" t="s">
        <v>630</v>
      </c>
      <c r="P147" s="562">
        <v>5900000</v>
      </c>
      <c r="Q147" s="562">
        <f t="shared" si="107"/>
        <v>56653700</v>
      </c>
      <c r="R147" s="577">
        <v>542.91</v>
      </c>
      <c r="S147" s="52"/>
    </row>
    <row r="148" spans="14:19" x14ac:dyDescent="0.25">
      <c r="N148" s="561" t="s">
        <v>1150</v>
      </c>
      <c r="O148" s="51" t="s">
        <v>631</v>
      </c>
      <c r="P148" s="562">
        <v>3500000</v>
      </c>
      <c r="Q148" s="562">
        <f t="shared" si="107"/>
        <v>60153700</v>
      </c>
      <c r="R148" s="577">
        <v>528.58000000000004</v>
      </c>
      <c r="S148" s="52"/>
    </row>
    <row r="149" spans="14:19" x14ac:dyDescent="0.25">
      <c r="N149" s="561" t="s">
        <v>1151</v>
      </c>
      <c r="O149" s="51" t="s">
        <v>632</v>
      </c>
      <c r="P149" s="562">
        <v>2800000</v>
      </c>
      <c r="Q149" s="562">
        <f t="shared" si="107"/>
        <v>62953700</v>
      </c>
      <c r="R149" s="577">
        <v>528.46</v>
      </c>
      <c r="S149" s="52"/>
    </row>
    <row r="150" spans="14:19" x14ac:dyDescent="0.25">
      <c r="N150" s="561" t="s">
        <v>1152</v>
      </c>
      <c r="O150" s="51" t="s">
        <v>1146</v>
      </c>
      <c r="P150" s="562">
        <v>1750000</v>
      </c>
      <c r="Q150" s="562">
        <f t="shared" si="107"/>
        <v>64703700</v>
      </c>
      <c r="R150" s="577">
        <v>502.69</v>
      </c>
      <c r="S150" s="52"/>
    </row>
    <row r="151" spans="14:19" x14ac:dyDescent="0.25">
      <c r="N151" s="561" t="s">
        <v>1153</v>
      </c>
      <c r="O151" s="51" t="s">
        <v>1154</v>
      </c>
      <c r="P151" s="562">
        <v>2650000</v>
      </c>
      <c r="Q151" s="562">
        <f t="shared" si="107"/>
        <v>67353700</v>
      </c>
      <c r="R151" s="577">
        <v>450.92</v>
      </c>
      <c r="S151" s="52"/>
    </row>
    <row r="152" spans="14:19" x14ac:dyDescent="0.25">
      <c r="N152" s="561" t="s">
        <v>1155</v>
      </c>
      <c r="O152" s="51" t="s">
        <v>638</v>
      </c>
      <c r="P152" s="562">
        <v>3250000</v>
      </c>
      <c r="Q152" s="562">
        <f t="shared" si="107"/>
        <v>70603700</v>
      </c>
      <c r="R152" s="404">
        <v>407.39</v>
      </c>
      <c r="S152" s="52"/>
    </row>
    <row r="153" spans="14:19" ht="15.75" thickBot="1" x14ac:dyDescent="0.3">
      <c r="N153" s="563" t="s">
        <v>1156</v>
      </c>
      <c r="O153" s="564" t="s">
        <v>1146</v>
      </c>
      <c r="P153" s="565">
        <v>2500000</v>
      </c>
      <c r="Q153" s="565">
        <f t="shared" si="107"/>
        <v>73103700</v>
      </c>
      <c r="R153" s="578">
        <v>320.12</v>
      </c>
      <c r="S153" s="566"/>
    </row>
    <row r="154" spans="14:19" ht="27.75" customHeight="1" thickBot="1" x14ac:dyDescent="0.3">
      <c r="N154" s="1068" t="s">
        <v>1157</v>
      </c>
      <c r="O154" s="1069"/>
      <c r="P154" s="1069"/>
      <c r="Q154" s="1069"/>
      <c r="R154" s="1069"/>
      <c r="S154" s="1070"/>
    </row>
    <row r="155" spans="14:19" x14ac:dyDescent="0.25">
      <c r="N155" s="579" t="s">
        <v>1158</v>
      </c>
      <c r="O155" s="580" t="s">
        <v>1159</v>
      </c>
      <c r="P155" s="581">
        <v>2000000</v>
      </c>
      <c r="Q155" s="581">
        <f t="shared" si="107"/>
        <v>2000000</v>
      </c>
      <c r="R155" s="580"/>
      <c r="S155" s="582"/>
    </row>
    <row r="156" spans="14:19" x14ac:dyDescent="0.25">
      <c r="N156" s="567" t="s">
        <v>1160</v>
      </c>
      <c r="O156" s="568" t="s">
        <v>1140</v>
      </c>
      <c r="P156" s="569">
        <v>1300000</v>
      </c>
      <c r="Q156" s="569">
        <f t="shared" si="107"/>
        <v>3300000</v>
      </c>
      <c r="R156" s="568"/>
      <c r="S156" s="550"/>
    </row>
    <row r="157" spans="14:19" x14ac:dyDescent="0.25">
      <c r="N157" s="567" t="s">
        <v>1161</v>
      </c>
      <c r="O157" s="568" t="s">
        <v>641</v>
      </c>
      <c r="P157" s="569">
        <v>1224000</v>
      </c>
      <c r="Q157" s="569">
        <f t="shared" si="107"/>
        <v>4524000</v>
      </c>
      <c r="R157" s="568"/>
      <c r="S157" s="550"/>
    </row>
    <row r="158" spans="14:19" x14ac:dyDescent="0.25">
      <c r="N158" s="567" t="s">
        <v>1162</v>
      </c>
      <c r="O158" s="568" t="s">
        <v>1122</v>
      </c>
      <c r="P158" s="569">
        <v>7508900</v>
      </c>
      <c r="Q158" s="569">
        <f t="shared" si="107"/>
        <v>12032900</v>
      </c>
      <c r="R158" s="568"/>
      <c r="S158" s="550"/>
    </row>
    <row r="159" spans="14:19" x14ac:dyDescent="0.25">
      <c r="N159" s="567" t="s">
        <v>1126</v>
      </c>
      <c r="O159" s="568" t="s">
        <v>649</v>
      </c>
      <c r="P159" s="569">
        <v>3240000</v>
      </c>
      <c r="Q159" s="569">
        <f t="shared" si="107"/>
        <v>15272900</v>
      </c>
      <c r="R159" s="568"/>
      <c r="S159" s="550"/>
    </row>
    <row r="160" spans="14:19" x14ac:dyDescent="0.25">
      <c r="N160" s="567" t="s">
        <v>1163</v>
      </c>
      <c r="O160" s="568" t="s">
        <v>1132</v>
      </c>
      <c r="P160" s="569">
        <v>1824000</v>
      </c>
      <c r="Q160" s="569">
        <f t="shared" si="107"/>
        <v>17096900</v>
      </c>
      <c r="R160" s="568"/>
      <c r="S160" s="550"/>
    </row>
    <row r="161" spans="14:19" x14ac:dyDescent="0.25">
      <c r="N161" s="567" t="s">
        <v>1164</v>
      </c>
      <c r="O161" s="568" t="s">
        <v>637</v>
      </c>
      <c r="P161" s="569">
        <v>8750000</v>
      </c>
      <c r="Q161" s="569">
        <f t="shared" si="107"/>
        <v>25846900</v>
      </c>
      <c r="R161" s="568"/>
      <c r="S161" s="550"/>
    </row>
    <row r="162" spans="14:19" x14ac:dyDescent="0.25">
      <c r="N162" s="567" t="s">
        <v>1133</v>
      </c>
      <c r="O162" s="568" t="s">
        <v>1134</v>
      </c>
      <c r="P162" s="569">
        <v>720000</v>
      </c>
      <c r="Q162" s="569">
        <f t="shared" si="107"/>
        <v>26566900</v>
      </c>
      <c r="R162" s="568"/>
      <c r="S162" s="550"/>
    </row>
    <row r="163" spans="14:19" x14ac:dyDescent="0.25">
      <c r="N163" s="567" t="s">
        <v>1136</v>
      </c>
      <c r="O163" s="568" t="s">
        <v>647</v>
      </c>
      <c r="P163" s="569">
        <v>1500000</v>
      </c>
      <c r="Q163" s="569">
        <f t="shared" si="107"/>
        <v>28066900</v>
      </c>
      <c r="R163" s="568"/>
      <c r="S163" s="550"/>
    </row>
    <row r="164" spans="14:19" ht="15.75" thickBot="1" x14ac:dyDescent="0.3">
      <c r="N164" s="570" t="s">
        <v>1165</v>
      </c>
      <c r="O164" s="571" t="s">
        <v>1146</v>
      </c>
      <c r="P164" s="572">
        <v>1626800</v>
      </c>
      <c r="Q164" s="572">
        <f t="shared" si="107"/>
        <v>29693700</v>
      </c>
      <c r="R164" s="571"/>
      <c r="S164" s="573">
        <f>Q153+Q164</f>
        <v>102797400</v>
      </c>
    </row>
  </sheetData>
  <mergeCells count="30">
    <mergeCell ref="D70:E70"/>
    <mergeCell ref="D71:E71"/>
    <mergeCell ref="N127:S127"/>
    <mergeCell ref="N128:S128"/>
    <mergeCell ref="N154:S154"/>
    <mergeCell ref="H98:M98"/>
    <mergeCell ref="D73:E73"/>
    <mergeCell ref="D74:E74"/>
    <mergeCell ref="D72:E72"/>
    <mergeCell ref="C48:C51"/>
    <mergeCell ref="C54:C55"/>
    <mergeCell ref="D63:E63"/>
    <mergeCell ref="D64:E64"/>
    <mergeCell ref="D65:E65"/>
    <mergeCell ref="D67:E67"/>
    <mergeCell ref="D68:E68"/>
    <mergeCell ref="D69:E69"/>
    <mergeCell ref="C11:F11"/>
    <mergeCell ref="C6:E6"/>
    <mergeCell ref="C7:F7"/>
    <mergeCell ref="C8:F8"/>
    <mergeCell ref="C9:F9"/>
    <mergeCell ref="C10:F10"/>
    <mergeCell ref="D66:E66"/>
    <mergeCell ref="C12:F12"/>
    <mergeCell ref="C13:F13"/>
    <mergeCell ref="C14:F14"/>
    <mergeCell ref="C15:E15"/>
    <mergeCell ref="C36:C37"/>
    <mergeCell ref="C43:C4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1" orientation="landscape" errors="blank" r:id="rId1"/>
  <drawing r:id="rId2"/>
  <legacyDrawing r:id="rId3"/>
  <oleObjects>
    <mc:AlternateContent xmlns:mc="http://schemas.openxmlformats.org/markup-compatibility/2006">
      <mc:Choice Requires="x14">
        <oleObject progId="Equation.3" shapeId="12292" r:id="rId4">
          <objectPr defaultSize="0" autoPict="0" r:id="rId5">
            <anchor moveWithCells="1" sizeWithCells="1">
              <from>
                <xdr:col>5</xdr:col>
                <xdr:colOff>9525</xdr:colOff>
                <xdr:row>79</xdr:row>
                <xdr:rowOff>228600</xdr:rowOff>
              </from>
              <to>
                <xdr:col>5</xdr:col>
                <xdr:colOff>1733550</xdr:colOff>
                <xdr:row>79</xdr:row>
                <xdr:rowOff>628650</xdr:rowOff>
              </to>
            </anchor>
          </objectPr>
        </oleObject>
      </mc:Choice>
      <mc:Fallback>
        <oleObject progId="Equation.3" shapeId="12292" r:id="rId4"/>
      </mc:Fallback>
    </mc:AlternateContent>
    <mc:AlternateContent xmlns:mc="http://schemas.openxmlformats.org/markup-compatibility/2006">
      <mc:Choice Requires="x14">
        <oleObject progId="Equation.3" shapeId="12293" r:id="rId6">
          <objectPr defaultSize="0" autoPict="0" r:id="rId7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81</xdr:row>
                <xdr:rowOff>0</xdr:rowOff>
              </to>
            </anchor>
          </objectPr>
        </oleObject>
      </mc:Choice>
      <mc:Fallback>
        <oleObject progId="Equation.3" shapeId="12293" r:id="rId6"/>
      </mc:Fallback>
    </mc:AlternateContent>
    <mc:AlternateContent xmlns:mc="http://schemas.openxmlformats.org/markup-compatibility/2006">
      <mc:Choice Requires="x14">
        <oleObject progId="Equation.3" shapeId="12294" r:id="rId8">
          <objectPr defaultSize="0" autoPict="0" r:id="rId9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82</xdr:row>
                <xdr:rowOff>0</xdr:rowOff>
              </to>
            </anchor>
          </objectPr>
        </oleObject>
      </mc:Choice>
      <mc:Fallback>
        <oleObject progId="Equation.3" shapeId="12294" r:id="rId8"/>
      </mc:Fallback>
    </mc:AlternateContent>
    <mc:AlternateContent xmlns:mc="http://schemas.openxmlformats.org/markup-compatibility/2006">
      <mc:Choice Requires="x14">
        <oleObject progId="Equation.3" shapeId="12295" r:id="rId10">
          <objectPr defaultSize="0" autoPict="0" r:id="rId11">
            <anchor moveWithCells="1" sizeWithCells="1">
              <from>
                <xdr:col>5</xdr:col>
                <xdr:colOff>0</xdr:colOff>
                <xdr:row>82</xdr:row>
                <xdr:rowOff>0</xdr:rowOff>
              </from>
              <to>
                <xdr:col>6</xdr:col>
                <xdr:colOff>0</xdr:colOff>
                <xdr:row>83</xdr:row>
                <xdr:rowOff>0</xdr:rowOff>
              </to>
            </anchor>
          </objectPr>
        </oleObject>
      </mc:Choice>
      <mc:Fallback>
        <oleObject progId="Equation.3" shapeId="12295" r:id="rId10"/>
      </mc:Fallback>
    </mc:AlternateContent>
    <mc:AlternateContent xmlns:mc="http://schemas.openxmlformats.org/markup-compatibility/2006">
      <mc:Choice Requires="x14">
        <oleObject progId="Equation.3" shapeId="12296" r:id="rId12">
          <objectPr defaultSize="0" autoPict="0" r:id="rId13">
            <anchor moveWithCells="1" sizeWithCells="1">
              <from>
                <xdr:col>5</xdr:col>
                <xdr:colOff>285750</xdr:colOff>
                <xdr:row>83</xdr:row>
                <xdr:rowOff>76200</xdr:rowOff>
              </from>
              <to>
                <xdr:col>5</xdr:col>
                <xdr:colOff>2647950</xdr:colOff>
                <xdr:row>84</xdr:row>
                <xdr:rowOff>19050</xdr:rowOff>
              </to>
            </anchor>
          </objectPr>
        </oleObject>
      </mc:Choice>
      <mc:Fallback>
        <oleObject progId="Equation.3" shapeId="12296" r:id="rId12"/>
      </mc:Fallback>
    </mc:AlternateContent>
    <mc:AlternateContent xmlns:mc="http://schemas.openxmlformats.org/markup-compatibility/2006">
      <mc:Choice Requires="x14">
        <oleObject progId="Equation.3" shapeId="12297" r:id="rId14">
          <objectPr defaultSize="0" autoPict="0" r:id="rId15">
            <anchor moveWithCells="1" sizeWithCells="1">
              <from>
                <xdr:col>5</xdr:col>
                <xdr:colOff>228600</xdr:colOff>
                <xdr:row>76</xdr:row>
                <xdr:rowOff>133350</xdr:rowOff>
              </from>
              <to>
                <xdr:col>5</xdr:col>
                <xdr:colOff>1952625</xdr:colOff>
                <xdr:row>76</xdr:row>
                <xdr:rowOff>561975</xdr:rowOff>
              </to>
            </anchor>
          </objectPr>
        </oleObject>
      </mc:Choice>
      <mc:Fallback>
        <oleObject progId="Equation.3" shapeId="12297" r:id="rId14"/>
      </mc:Fallback>
    </mc:AlternateContent>
    <mc:AlternateContent xmlns:mc="http://schemas.openxmlformats.org/markup-compatibility/2006">
      <mc:Choice Requires="x14">
        <oleObject progId="Equation.3" shapeId="12298" r:id="rId16">
          <objectPr defaultSize="0" autoPict="0" r:id="rId17">
            <anchor moveWithCells="1" sizeWithCells="1">
              <from>
                <xdr:col>5</xdr:col>
                <xdr:colOff>76200</xdr:colOff>
                <xdr:row>77</xdr:row>
                <xdr:rowOff>114300</xdr:rowOff>
              </from>
              <to>
                <xdr:col>5</xdr:col>
                <xdr:colOff>2066925</xdr:colOff>
                <xdr:row>77</xdr:row>
                <xdr:rowOff>466725</xdr:rowOff>
              </to>
            </anchor>
          </objectPr>
        </oleObject>
      </mc:Choice>
      <mc:Fallback>
        <oleObject progId="Equation.3" shapeId="12298" r:id="rId16"/>
      </mc:Fallback>
    </mc:AlternateContent>
    <mc:AlternateContent xmlns:mc="http://schemas.openxmlformats.org/markup-compatibility/2006">
      <mc:Choice Requires="x14">
        <oleObject progId="Equation.3" shapeId="12299" r:id="rId18">
          <objectPr defaultSize="0" autoPict="0" r:id="rId19">
            <anchor moveWithCells="1" sizeWithCells="1">
              <from>
                <xdr:col>5</xdr:col>
                <xdr:colOff>76200</xdr:colOff>
                <xdr:row>78</xdr:row>
                <xdr:rowOff>161925</xdr:rowOff>
              </from>
              <to>
                <xdr:col>5</xdr:col>
                <xdr:colOff>2066925</xdr:colOff>
                <xdr:row>78</xdr:row>
                <xdr:rowOff>523875</xdr:rowOff>
              </to>
            </anchor>
          </objectPr>
        </oleObject>
      </mc:Choice>
      <mc:Fallback>
        <oleObject progId="Equation.3" shapeId="12299" r:id="rId18"/>
      </mc:Fallback>
    </mc:AlternateContent>
    <mc:AlternateContent xmlns:mc="http://schemas.openxmlformats.org/markup-compatibility/2006">
      <mc:Choice Requires="x14">
        <oleObject progId="Equation.3" shapeId="12301" r:id="rId20">
          <objectPr defaultSize="0" autoPict="0" r:id="rId7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81</xdr:row>
                <xdr:rowOff>0</xdr:rowOff>
              </to>
            </anchor>
          </objectPr>
        </oleObject>
      </mc:Choice>
      <mc:Fallback>
        <oleObject progId="Equation.3" shapeId="12301" r:id="rId20"/>
      </mc:Fallback>
    </mc:AlternateContent>
    <mc:AlternateContent xmlns:mc="http://schemas.openxmlformats.org/markup-compatibility/2006">
      <mc:Choice Requires="x14">
        <oleObject progId="Equation.3" shapeId="12302" r:id="rId21">
          <objectPr defaultSize="0" autoPict="0" r:id="rId9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82</xdr:row>
                <xdr:rowOff>0</xdr:rowOff>
              </to>
            </anchor>
          </objectPr>
        </oleObject>
      </mc:Choice>
      <mc:Fallback>
        <oleObject progId="Equation.3" shapeId="12302" r:id="rId2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C1:T110"/>
  <sheetViews>
    <sheetView tabSelected="1" topLeftCell="C1" zoomScale="70" zoomScaleNormal="70" workbookViewId="0">
      <pane xSplit="4" ySplit="24" topLeftCell="H95" activePane="bottomRight" state="frozen"/>
      <selection activeCell="C1" sqref="C1"/>
      <selection pane="topRight" activeCell="G1" sqref="G1"/>
      <selection pane="bottomLeft" activeCell="C25" sqref="C25"/>
      <selection pane="bottomRight" activeCell="L103" sqref="L103"/>
    </sheetView>
  </sheetViews>
  <sheetFormatPr baseColWidth="10" defaultRowHeight="15" x14ac:dyDescent="0.25"/>
  <cols>
    <col min="2" max="2" width="3.7109375" customWidth="1"/>
    <col min="3" max="3" width="9.7109375" customWidth="1"/>
    <col min="4" max="4" width="14.42578125" customWidth="1"/>
    <col min="5" max="5" width="60.7109375" customWidth="1"/>
    <col min="6" max="6" width="32.7109375" style="19" customWidth="1"/>
    <col min="7" max="7" width="33.85546875" style="89" customWidth="1"/>
    <col min="8" max="8" width="13.5703125" customWidth="1"/>
    <col min="9" max="9" width="8.7109375" customWidth="1"/>
    <col min="10" max="10" width="60.5703125" customWidth="1"/>
    <col min="11" max="11" width="39.7109375" customWidth="1"/>
    <col min="12" max="12" width="23.5703125" customWidth="1"/>
    <col min="13" max="14" width="21" customWidth="1"/>
    <col min="15" max="15" width="28" customWidth="1"/>
    <col min="16" max="16" width="36.42578125" customWidth="1"/>
    <col min="17" max="18" width="31.7109375" customWidth="1"/>
    <col min="19" max="19" width="28.7109375" customWidth="1"/>
    <col min="20" max="20" width="31.7109375" customWidth="1"/>
    <col min="21" max="21" width="37.7109375" customWidth="1"/>
    <col min="22" max="22" width="43.42578125" customWidth="1"/>
    <col min="23" max="23" width="33.5703125" customWidth="1"/>
    <col min="24" max="24" width="31.7109375" customWidth="1"/>
    <col min="25" max="25" width="35.42578125" customWidth="1"/>
    <col min="26" max="26" width="41.42578125" customWidth="1"/>
    <col min="27" max="27" width="35.42578125" customWidth="1"/>
    <col min="28" max="28" width="49.5703125" customWidth="1"/>
    <col min="31" max="31" width="30.5703125" customWidth="1"/>
    <col min="32" max="32" width="17.42578125" customWidth="1"/>
  </cols>
  <sheetData>
    <row r="1" spans="3:15" x14ac:dyDescent="0.25">
      <c r="G1">
        <f t="shared" ref="G1" si="0">+G18/1000</f>
        <v>1.042</v>
      </c>
      <c r="H1">
        <f t="shared" ref="H1:O1" si="1">+H18/1000</f>
        <v>1.1000000000000001</v>
      </c>
      <c r="I1">
        <f t="shared" si="1"/>
        <v>1</v>
      </c>
      <c r="J1">
        <f t="shared" si="1"/>
        <v>2.1</v>
      </c>
      <c r="K1">
        <f t="shared" si="1"/>
        <v>1.3</v>
      </c>
      <c r="L1">
        <f t="shared" si="1"/>
        <v>1.3</v>
      </c>
      <c r="M1">
        <f t="shared" si="1"/>
        <v>0.4</v>
      </c>
      <c r="O1">
        <f t="shared" si="1"/>
        <v>0.69</v>
      </c>
    </row>
    <row r="2" spans="3:15" x14ac:dyDescent="0.25"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O2">
        <v>0.2</v>
      </c>
    </row>
    <row r="3" spans="3:15" x14ac:dyDescent="0.25">
      <c r="G3">
        <f t="shared" ref="G3" si="2">+G1/(G23*(G21+G22*G23))</f>
        <v>1.0337301587301588</v>
      </c>
      <c r="H3">
        <f t="shared" ref="H3:O3" si="3">+H1/(H23*(H21+H22*H23))</f>
        <v>6.2146892655367241</v>
      </c>
      <c r="I3">
        <f t="shared" si="3"/>
        <v>1.0256410256410258</v>
      </c>
      <c r="J3">
        <f t="shared" si="3"/>
        <v>2.0833333333333335</v>
      </c>
      <c r="K3">
        <f t="shared" si="3"/>
        <v>1.0025062656641603</v>
      </c>
      <c r="L3">
        <f t="shared" si="3"/>
        <v>4.5138888888888893</v>
      </c>
      <c r="M3">
        <f t="shared" si="3"/>
        <v>0.4102564102564103</v>
      </c>
      <c r="O3">
        <f t="shared" si="3"/>
        <v>0.64186046511627903</v>
      </c>
    </row>
    <row r="4" spans="3:15" x14ac:dyDescent="0.25">
      <c r="G4" s="105">
        <f t="shared" ref="G4" si="4">0.0375*G2*((G1/G3)^0.5)*1000*G29/1000/G18</f>
        <v>3.9745365943797259E-3</v>
      </c>
      <c r="H4" s="105">
        <f t="shared" ref="H4:O4" si="5">0.0375*H2*((H1/H3)^0.5)*1000*H29/1000/H18</f>
        <v>1.1474009437070526E-4</v>
      </c>
      <c r="I4" s="105">
        <f t="shared" si="5"/>
        <v>1.1108484932698967E-3</v>
      </c>
      <c r="J4" s="105">
        <f t="shared" si="5"/>
        <v>3.0478329538027034E-3</v>
      </c>
      <c r="K4" s="105">
        <f t="shared" si="5"/>
        <v>3.9418245482556388E-3</v>
      </c>
      <c r="L4" s="105">
        <f t="shared" si="5"/>
        <v>2.7864847104228144E-3</v>
      </c>
      <c r="M4" s="105">
        <f t="shared" si="5"/>
        <v>9.5903253252301087E-3</v>
      </c>
      <c r="N4" s="105"/>
      <c r="O4" s="105">
        <f t="shared" si="5"/>
        <v>9.0158440666642263E-4</v>
      </c>
    </row>
    <row r="5" spans="3:15" ht="15.75" thickBot="1" x14ac:dyDescent="0.3">
      <c r="C5" s="1"/>
      <c r="D5" s="1"/>
      <c r="E5" s="1"/>
      <c r="F5" s="18"/>
    </row>
    <row r="6" spans="3:15" ht="19.5" customHeight="1" thickBot="1" x14ac:dyDescent="0.3">
      <c r="C6" s="1033" t="s">
        <v>154</v>
      </c>
      <c r="D6" s="1034"/>
      <c r="E6" s="1035"/>
      <c r="F6" s="24"/>
    </row>
    <row r="7" spans="3:15" ht="24" thickBot="1" x14ac:dyDescent="0.4">
      <c r="C7" s="1060" t="s">
        <v>59</v>
      </c>
      <c r="D7" s="1061"/>
      <c r="E7" s="1061"/>
      <c r="F7" s="1061"/>
    </row>
    <row r="8" spans="3:15" ht="21.75" thickBot="1" x14ac:dyDescent="0.3">
      <c r="C8" s="1017" t="s">
        <v>60</v>
      </c>
      <c r="D8" s="1018"/>
      <c r="E8" s="1018"/>
      <c r="F8" s="1019"/>
    </row>
    <row r="9" spans="3:15" ht="16.5" thickBot="1" x14ac:dyDescent="0.3">
      <c r="C9" s="1030" t="s">
        <v>58</v>
      </c>
      <c r="D9" s="1031"/>
      <c r="E9" s="1031"/>
      <c r="F9" s="1031"/>
      <c r="G9" s="269">
        <v>1</v>
      </c>
      <c r="H9" s="640">
        <v>2</v>
      </c>
      <c r="I9" s="269">
        <v>3</v>
      </c>
      <c r="J9" s="640">
        <v>4</v>
      </c>
      <c r="K9" s="269">
        <v>5</v>
      </c>
      <c r="L9" s="269">
        <v>6</v>
      </c>
      <c r="M9" s="640">
        <v>7</v>
      </c>
      <c r="N9" s="269">
        <v>8</v>
      </c>
      <c r="O9" s="640">
        <v>9</v>
      </c>
    </row>
    <row r="10" spans="3:15" s="89" customFormat="1" ht="72.75" customHeight="1" thickBot="1" x14ac:dyDescent="0.3">
      <c r="C10" s="1062" t="s">
        <v>89</v>
      </c>
      <c r="D10" s="1063"/>
      <c r="E10" s="1063"/>
      <c r="F10" s="1063"/>
      <c r="G10" s="199" t="s">
        <v>1031</v>
      </c>
      <c r="H10" s="431" t="s">
        <v>1061</v>
      </c>
      <c r="I10" s="612" t="s">
        <v>1065</v>
      </c>
      <c r="J10" s="612" t="s">
        <v>1066</v>
      </c>
      <c r="K10" s="612" t="s">
        <v>1068</v>
      </c>
      <c r="L10" s="612" t="s">
        <v>1174</v>
      </c>
      <c r="M10" s="651" t="s">
        <v>1071</v>
      </c>
      <c r="N10" s="199" t="s">
        <v>1097</v>
      </c>
      <c r="O10" s="199" t="s">
        <v>1073</v>
      </c>
    </row>
    <row r="11" spans="3:15" s="89" customFormat="1" ht="39" customHeight="1" thickBot="1" x14ac:dyDescent="0.3">
      <c r="C11" s="1058" t="s">
        <v>28</v>
      </c>
      <c r="D11" s="1059"/>
      <c r="E11" s="1059"/>
      <c r="F11" s="1059"/>
      <c r="G11" s="233" t="s">
        <v>318</v>
      </c>
      <c r="H11" s="432" t="s">
        <v>1058</v>
      </c>
      <c r="I11" s="613" t="s">
        <v>318</v>
      </c>
      <c r="J11" s="613" t="s">
        <v>318</v>
      </c>
      <c r="K11" s="613" t="s">
        <v>318</v>
      </c>
      <c r="L11" s="233" t="s">
        <v>195</v>
      </c>
      <c r="M11" s="652" t="s">
        <v>318</v>
      </c>
      <c r="N11" s="233" t="s">
        <v>1098</v>
      </c>
      <c r="O11" s="233" t="s">
        <v>1070</v>
      </c>
    </row>
    <row r="12" spans="3:15" ht="36" customHeight="1" thickBot="1" x14ac:dyDescent="0.3">
      <c r="C12" s="1030" t="s">
        <v>269</v>
      </c>
      <c r="D12" s="1031"/>
      <c r="E12" s="1031"/>
      <c r="F12" s="1031"/>
      <c r="G12" s="233" t="s">
        <v>1033</v>
      </c>
      <c r="H12" s="120" t="s">
        <v>1034</v>
      </c>
      <c r="I12" s="120" t="s">
        <v>760</v>
      </c>
      <c r="J12" s="120" t="s">
        <v>755</v>
      </c>
      <c r="K12" s="614" t="s">
        <v>1042</v>
      </c>
      <c r="L12" s="614" t="s">
        <v>779</v>
      </c>
      <c r="M12" s="652" t="s">
        <v>775</v>
      </c>
      <c r="N12" s="233" t="s">
        <v>1102</v>
      </c>
      <c r="O12" s="233" t="s">
        <v>785</v>
      </c>
    </row>
    <row r="13" spans="3:15" ht="30.75" thickBot="1" x14ac:dyDescent="0.3">
      <c r="C13" s="1030" t="s">
        <v>55</v>
      </c>
      <c r="D13" s="1031"/>
      <c r="E13" s="1031"/>
      <c r="F13" s="1031"/>
      <c r="G13" s="233" t="s">
        <v>1032</v>
      </c>
      <c r="H13" s="432" t="s">
        <v>1062</v>
      </c>
      <c r="I13" s="614" t="s">
        <v>1063</v>
      </c>
      <c r="J13" s="614" t="s">
        <v>1067</v>
      </c>
      <c r="K13" s="614" t="s">
        <v>1069</v>
      </c>
      <c r="L13" s="614" t="s">
        <v>1059</v>
      </c>
      <c r="M13" s="652" t="s">
        <v>1072</v>
      </c>
      <c r="N13" s="233" t="s">
        <v>1099</v>
      </c>
      <c r="O13" s="233" t="s">
        <v>1074</v>
      </c>
    </row>
    <row r="14" spans="3:15" ht="16.5" thickBot="1" x14ac:dyDescent="0.3">
      <c r="C14" s="1030" t="s">
        <v>38</v>
      </c>
      <c r="D14" s="1031"/>
      <c r="E14" s="1031"/>
      <c r="F14" s="1031"/>
      <c r="G14" s="234" t="s">
        <v>749</v>
      </c>
      <c r="H14" s="433" t="s">
        <v>749</v>
      </c>
      <c r="I14" s="615" t="s">
        <v>749</v>
      </c>
      <c r="J14" s="234" t="s">
        <v>749</v>
      </c>
      <c r="K14" s="433" t="s">
        <v>749</v>
      </c>
      <c r="L14" s="615" t="s">
        <v>749</v>
      </c>
      <c r="M14" s="234" t="s">
        <v>749</v>
      </c>
      <c r="N14" s="433" t="s">
        <v>749</v>
      </c>
      <c r="O14" s="615" t="s">
        <v>749</v>
      </c>
    </row>
    <row r="15" spans="3:15" x14ac:dyDescent="0.25">
      <c r="C15" s="1020" t="s">
        <v>0</v>
      </c>
      <c r="D15" s="1021"/>
      <c r="E15" s="1022"/>
      <c r="F15" s="424"/>
      <c r="G15" s="642"/>
      <c r="H15" s="601"/>
      <c r="I15" s="616"/>
      <c r="J15" s="625"/>
      <c r="K15" s="629"/>
      <c r="L15" s="625"/>
      <c r="M15" s="653"/>
      <c r="N15" s="417"/>
      <c r="O15" s="625"/>
    </row>
    <row r="16" spans="3:15" s="10" customFormat="1" x14ac:dyDescent="0.25">
      <c r="C16" s="394">
        <v>1</v>
      </c>
      <c r="D16" s="394"/>
      <c r="E16" s="29" t="s">
        <v>23</v>
      </c>
      <c r="F16" s="425" t="s">
        <v>39</v>
      </c>
      <c r="G16" s="643">
        <v>2312</v>
      </c>
      <c r="H16" s="602">
        <v>1000</v>
      </c>
      <c r="I16" s="614">
        <v>950</v>
      </c>
      <c r="J16" s="614">
        <v>1149</v>
      </c>
      <c r="K16" s="630">
        <v>1100</v>
      </c>
      <c r="L16" s="614">
        <v>1263</v>
      </c>
      <c r="M16" s="652">
        <v>370</v>
      </c>
      <c r="N16" s="270">
        <v>5000</v>
      </c>
      <c r="O16" s="614">
        <v>683</v>
      </c>
    </row>
    <row r="17" spans="3:15" s="10" customFormat="1" x14ac:dyDescent="0.25">
      <c r="C17" s="394">
        <v>2</v>
      </c>
      <c r="D17" s="394"/>
      <c r="E17" s="29" t="s">
        <v>19</v>
      </c>
      <c r="F17" s="425" t="s">
        <v>41</v>
      </c>
      <c r="G17" s="643"/>
      <c r="H17" s="602">
        <v>105</v>
      </c>
      <c r="I17" s="614">
        <v>25</v>
      </c>
      <c r="J17" s="614">
        <v>114</v>
      </c>
      <c r="K17" s="619">
        <v>250</v>
      </c>
      <c r="L17" s="614">
        <v>314</v>
      </c>
      <c r="M17" s="654">
        <v>17</v>
      </c>
      <c r="N17" s="270">
        <v>1673</v>
      </c>
      <c r="O17" s="614">
        <v>95</v>
      </c>
    </row>
    <row r="18" spans="3:15" s="10" customFormat="1" x14ac:dyDescent="0.25">
      <c r="C18" s="394">
        <v>3</v>
      </c>
      <c r="D18" s="394"/>
      <c r="E18" s="29" t="s">
        <v>24</v>
      </c>
      <c r="F18" s="425" t="s">
        <v>42</v>
      </c>
      <c r="G18" s="643">
        <v>1042</v>
      </c>
      <c r="H18" s="602">
        <v>1100</v>
      </c>
      <c r="I18" s="614">
        <v>1000</v>
      </c>
      <c r="J18" s="614">
        <v>2100</v>
      </c>
      <c r="K18" s="619">
        <v>1300</v>
      </c>
      <c r="L18" s="626">
        <v>1300</v>
      </c>
      <c r="M18" s="652">
        <v>400</v>
      </c>
      <c r="N18" s="416"/>
      <c r="O18" s="614">
        <v>690</v>
      </c>
    </row>
    <row r="19" spans="3:15" s="10" customFormat="1" x14ac:dyDescent="0.25">
      <c r="C19" s="48">
        <v>4</v>
      </c>
      <c r="D19" s="48"/>
      <c r="E19" s="49" t="s">
        <v>62</v>
      </c>
      <c r="F19" s="426" t="s">
        <v>67</v>
      </c>
      <c r="G19" s="644">
        <v>5.0000000000000001E-3</v>
      </c>
      <c r="H19" s="603">
        <v>4.4999999999999997E-3</v>
      </c>
      <c r="I19" s="614">
        <v>1E-3</v>
      </c>
      <c r="J19" s="614">
        <v>5.0000000000000001E-3</v>
      </c>
      <c r="K19" s="619">
        <v>2.5000000000000001E-3</v>
      </c>
      <c r="L19" s="626">
        <v>4.0000000000000001E-3</v>
      </c>
      <c r="M19" s="652">
        <v>1E-3</v>
      </c>
      <c r="N19" s="416"/>
      <c r="O19" s="614">
        <v>3.0000000000000001E-3</v>
      </c>
    </row>
    <row r="20" spans="3:15" s="10" customFormat="1" x14ac:dyDescent="0.25">
      <c r="C20" s="394">
        <v>5</v>
      </c>
      <c r="D20" s="394"/>
      <c r="E20" s="29" t="s">
        <v>63</v>
      </c>
      <c r="F20" s="425"/>
      <c r="G20" s="644"/>
      <c r="H20" s="603"/>
      <c r="I20" s="614"/>
      <c r="J20" s="614"/>
      <c r="K20" s="630"/>
      <c r="L20" s="614"/>
      <c r="M20" s="652"/>
      <c r="N20" s="270"/>
      <c r="O20" s="614"/>
    </row>
    <row r="21" spans="3:15" s="10" customFormat="1" x14ac:dyDescent="0.25">
      <c r="C21" s="48"/>
      <c r="D21" s="48" t="s">
        <v>64</v>
      </c>
      <c r="E21" s="49" t="s">
        <v>68</v>
      </c>
      <c r="F21" s="426" t="s">
        <v>71</v>
      </c>
      <c r="G21" s="643">
        <v>1.5</v>
      </c>
      <c r="H21" s="602">
        <v>0.5</v>
      </c>
      <c r="I21" s="617">
        <v>1.8</v>
      </c>
      <c r="J21" s="617">
        <v>1.5</v>
      </c>
      <c r="K21" s="631">
        <v>1.8</v>
      </c>
      <c r="L21" s="617">
        <v>0.6</v>
      </c>
      <c r="M21" s="655">
        <v>1.8</v>
      </c>
      <c r="N21" s="421"/>
      <c r="O21" s="617">
        <v>2</v>
      </c>
    </row>
    <row r="22" spans="3:15" s="10" customFormat="1" x14ac:dyDescent="0.25">
      <c r="C22" s="48"/>
      <c r="D22" s="48" t="s">
        <v>65</v>
      </c>
      <c r="E22" s="49" t="s">
        <v>69</v>
      </c>
      <c r="F22" s="426" t="s">
        <v>72</v>
      </c>
      <c r="G22" s="643">
        <v>0.3</v>
      </c>
      <c r="H22" s="602">
        <v>0.3</v>
      </c>
      <c r="I22" s="618">
        <v>0.3</v>
      </c>
      <c r="J22" s="626">
        <v>0.3</v>
      </c>
      <c r="K22" s="618">
        <v>0.3</v>
      </c>
      <c r="L22" s="618">
        <v>0.3</v>
      </c>
      <c r="M22" s="654">
        <v>0.3</v>
      </c>
      <c r="N22" s="664"/>
      <c r="O22" s="626">
        <v>0.3</v>
      </c>
    </row>
    <row r="23" spans="3:15" s="10" customFormat="1" x14ac:dyDescent="0.25">
      <c r="C23" s="48"/>
      <c r="D23" s="48" t="s">
        <v>66</v>
      </c>
      <c r="E23" s="49" t="s">
        <v>70</v>
      </c>
      <c r="F23" s="426" t="s">
        <v>167</v>
      </c>
      <c r="G23" s="643">
        <v>0.6</v>
      </c>
      <c r="H23" s="602">
        <v>0.3</v>
      </c>
      <c r="I23" s="617">
        <v>0.5</v>
      </c>
      <c r="J23" s="617">
        <v>0.6</v>
      </c>
      <c r="K23" s="631">
        <v>0.65</v>
      </c>
      <c r="L23" s="617">
        <v>0.4</v>
      </c>
      <c r="M23" s="655">
        <v>0.5</v>
      </c>
      <c r="N23" s="421"/>
      <c r="O23" s="617">
        <v>0.5</v>
      </c>
    </row>
    <row r="24" spans="3:15" s="10" customFormat="1" ht="30" x14ac:dyDescent="0.25">
      <c r="C24" s="394">
        <v>6</v>
      </c>
      <c r="D24" s="394"/>
      <c r="E24" s="29" t="s">
        <v>73</v>
      </c>
      <c r="F24" s="425" t="s">
        <v>74</v>
      </c>
      <c r="G24" s="644" t="s">
        <v>848</v>
      </c>
      <c r="H24" s="603" t="s">
        <v>848</v>
      </c>
      <c r="I24" s="614" t="s">
        <v>848</v>
      </c>
      <c r="J24" s="614" t="s">
        <v>848</v>
      </c>
      <c r="K24" s="630" t="s">
        <v>857</v>
      </c>
      <c r="L24" s="614" t="s">
        <v>857</v>
      </c>
      <c r="M24" s="652" t="s">
        <v>848</v>
      </c>
      <c r="N24" s="664"/>
      <c r="O24" s="614" t="s">
        <v>848</v>
      </c>
    </row>
    <row r="25" spans="3:15" s="167" customFormat="1" x14ac:dyDescent="0.25">
      <c r="C25" s="394">
        <v>7</v>
      </c>
      <c r="D25" s="164"/>
      <c r="E25" s="165" t="s">
        <v>2</v>
      </c>
      <c r="F25" s="427" t="s">
        <v>44</v>
      </c>
      <c r="G25" s="645">
        <v>0.17</v>
      </c>
      <c r="H25" s="604">
        <v>0.03</v>
      </c>
      <c r="I25" s="619">
        <v>1.1000000000000001E-3</v>
      </c>
      <c r="J25" s="619">
        <v>3.0000000000000001E-3</v>
      </c>
      <c r="K25" s="632">
        <v>0.18</v>
      </c>
      <c r="L25" s="619">
        <v>5.1999999999999998E-2</v>
      </c>
      <c r="M25" s="656">
        <v>9.5999999999999992E-3</v>
      </c>
      <c r="N25" s="420">
        <v>0.15</v>
      </c>
      <c r="O25" s="619">
        <v>1.4999999999999999E-2</v>
      </c>
    </row>
    <row r="26" spans="3:15" s="167" customFormat="1" x14ac:dyDescent="0.25">
      <c r="C26" s="164"/>
      <c r="D26" s="164"/>
      <c r="E26" s="165"/>
      <c r="F26" s="427"/>
      <c r="G26" s="600">
        <f t="shared" ref="G26:H26" si="6">+G4*(1+G25)</f>
        <v>4.6502078154242793E-3</v>
      </c>
      <c r="H26" s="600">
        <f t="shared" si="6"/>
        <v>1.1818229720182642E-4</v>
      </c>
      <c r="I26" s="600">
        <f>+I4*(1+I25)</f>
        <v>1.1120704266124938E-3</v>
      </c>
      <c r="J26" s="600">
        <f t="shared" ref="J26:O26" si="7">+J4*(1+J25)</f>
        <v>3.0569764526641109E-3</v>
      </c>
      <c r="K26" s="600">
        <f t="shared" si="7"/>
        <v>4.6513529669416536E-3</v>
      </c>
      <c r="L26" s="599">
        <f t="shared" si="7"/>
        <v>2.9313819153648007E-3</v>
      </c>
      <c r="M26" s="641">
        <f t="shared" si="7"/>
        <v>9.6823924483523185E-3</v>
      </c>
      <c r="N26" s="434">
        <f t="shared" ref="N26" si="8">(N25+N4)/2</f>
        <v>7.4999999999999997E-2</v>
      </c>
      <c r="O26" s="600">
        <f t="shared" si="7"/>
        <v>9.1510817276641888E-4</v>
      </c>
    </row>
    <row r="27" spans="3:15" s="10" customFormat="1" x14ac:dyDescent="0.25">
      <c r="C27" s="27" t="s">
        <v>3</v>
      </c>
      <c r="D27" s="27"/>
      <c r="E27" s="30"/>
      <c r="F27" s="425"/>
      <c r="G27" s="644"/>
      <c r="H27" s="603"/>
      <c r="I27" s="614"/>
      <c r="J27" s="614"/>
      <c r="K27" s="630"/>
      <c r="L27" s="614"/>
      <c r="M27" s="652"/>
      <c r="N27" s="270"/>
      <c r="O27" s="614"/>
    </row>
    <row r="28" spans="3:15" s="10" customFormat="1" ht="30" x14ac:dyDescent="0.25">
      <c r="C28" s="394">
        <v>8</v>
      </c>
      <c r="D28" s="394"/>
      <c r="E28" s="29" t="s">
        <v>4</v>
      </c>
      <c r="F28" s="425"/>
      <c r="G28" s="644" t="s">
        <v>446</v>
      </c>
      <c r="H28" s="603" t="s">
        <v>446</v>
      </c>
      <c r="I28" s="614" t="s">
        <v>446</v>
      </c>
      <c r="J28" s="614" t="s">
        <v>446</v>
      </c>
      <c r="K28" s="630" t="s">
        <v>446</v>
      </c>
      <c r="L28" s="614" t="s">
        <v>446</v>
      </c>
      <c r="M28" s="652" t="s">
        <v>446</v>
      </c>
      <c r="N28" s="233" t="s">
        <v>439</v>
      </c>
      <c r="O28" s="614" t="s">
        <v>446</v>
      </c>
    </row>
    <row r="29" spans="3:15" s="10" customFormat="1" x14ac:dyDescent="0.25">
      <c r="C29" s="394">
        <v>9</v>
      </c>
      <c r="D29" s="394"/>
      <c r="E29" s="29" t="s">
        <v>25</v>
      </c>
      <c r="F29" s="425"/>
      <c r="G29" s="644">
        <v>550</v>
      </c>
      <c r="H29" s="603">
        <v>40</v>
      </c>
      <c r="I29" s="614">
        <v>150</v>
      </c>
      <c r="J29" s="614">
        <v>850</v>
      </c>
      <c r="K29" s="630">
        <v>600</v>
      </c>
      <c r="L29" s="614">
        <v>900</v>
      </c>
      <c r="M29" s="652">
        <v>518</v>
      </c>
      <c r="N29" s="270"/>
      <c r="O29" s="614">
        <v>80</v>
      </c>
    </row>
    <row r="30" spans="3:15" s="10" customFormat="1" x14ac:dyDescent="0.25">
      <c r="C30" s="394">
        <v>10</v>
      </c>
      <c r="D30" s="394"/>
      <c r="E30" s="29" t="s">
        <v>77</v>
      </c>
      <c r="F30" s="425"/>
      <c r="G30" s="644"/>
      <c r="H30" s="603"/>
      <c r="I30" s="614"/>
      <c r="J30" s="614"/>
      <c r="K30" s="630"/>
      <c r="L30" s="614"/>
      <c r="M30" s="652"/>
      <c r="N30" s="270"/>
      <c r="O30" s="614"/>
    </row>
    <row r="31" spans="3:15" s="10" customFormat="1" ht="30" x14ac:dyDescent="0.25">
      <c r="C31" s="48"/>
      <c r="D31" s="48" t="s">
        <v>78</v>
      </c>
      <c r="E31" s="49" t="s">
        <v>79</v>
      </c>
      <c r="F31" s="426"/>
      <c r="G31" s="644" t="s">
        <v>849</v>
      </c>
      <c r="H31" s="603" t="s">
        <v>1060</v>
      </c>
      <c r="I31" s="614" t="s">
        <v>849</v>
      </c>
      <c r="J31" s="614" t="s">
        <v>849</v>
      </c>
      <c r="K31" s="630" t="s">
        <v>849</v>
      </c>
      <c r="L31" s="614" t="s">
        <v>849</v>
      </c>
      <c r="M31" s="652" t="s">
        <v>849</v>
      </c>
      <c r="N31" s="419"/>
      <c r="O31" s="614" t="s">
        <v>849</v>
      </c>
    </row>
    <row r="32" spans="3:15" s="10" customFormat="1" x14ac:dyDescent="0.25">
      <c r="C32" s="48"/>
      <c r="D32" s="48" t="s">
        <v>80</v>
      </c>
      <c r="E32" s="49" t="s">
        <v>81</v>
      </c>
      <c r="F32" s="426" t="s">
        <v>71</v>
      </c>
      <c r="G32" s="646">
        <v>0.5</v>
      </c>
      <c r="H32" s="605" t="s">
        <v>1171</v>
      </c>
      <c r="I32" s="617">
        <v>1.5</v>
      </c>
      <c r="J32" s="617">
        <v>0.9</v>
      </c>
      <c r="K32" s="631">
        <v>1</v>
      </c>
      <c r="L32" s="617">
        <v>0.8</v>
      </c>
      <c r="M32" s="655">
        <v>0.6</v>
      </c>
      <c r="N32" s="418"/>
      <c r="O32" s="617">
        <v>2</v>
      </c>
    </row>
    <row r="33" spans="3:16" s="10" customFormat="1" x14ac:dyDescent="0.25">
      <c r="C33" s="48"/>
      <c r="D33" s="48" t="s">
        <v>82</v>
      </c>
      <c r="E33" s="49" t="s">
        <v>85</v>
      </c>
      <c r="F33" s="426" t="s">
        <v>178</v>
      </c>
      <c r="G33" s="646">
        <v>0.6</v>
      </c>
      <c r="H33" s="605" t="s">
        <v>1171</v>
      </c>
      <c r="I33" s="617">
        <v>0.8</v>
      </c>
      <c r="J33" s="617">
        <v>0.7</v>
      </c>
      <c r="K33" s="631">
        <v>0.8</v>
      </c>
      <c r="L33" s="617">
        <v>1.1000000000000001</v>
      </c>
      <c r="M33" s="655">
        <v>0.7</v>
      </c>
      <c r="N33" s="418"/>
      <c r="O33" s="617">
        <v>1.55</v>
      </c>
    </row>
    <row r="34" spans="3:16" s="10" customFormat="1" x14ac:dyDescent="0.25">
      <c r="C34" s="48"/>
      <c r="D34" s="48" t="s">
        <v>83</v>
      </c>
      <c r="E34" s="49" t="s">
        <v>86</v>
      </c>
      <c r="F34" s="426" t="s">
        <v>179</v>
      </c>
      <c r="G34" s="647">
        <v>1</v>
      </c>
      <c r="H34" s="606"/>
      <c r="I34" s="618">
        <v>0</v>
      </c>
      <c r="J34" s="627">
        <v>1</v>
      </c>
      <c r="K34" s="618">
        <v>0</v>
      </c>
      <c r="L34" s="638">
        <v>1</v>
      </c>
      <c r="M34" s="657">
        <v>1</v>
      </c>
      <c r="N34" s="665"/>
      <c r="O34" s="638">
        <v>0</v>
      </c>
    </row>
    <row r="35" spans="3:16" s="10" customFormat="1" x14ac:dyDescent="0.25">
      <c r="C35" s="48"/>
      <c r="D35" s="48" t="s">
        <v>84</v>
      </c>
      <c r="E35" s="49" t="s">
        <v>87</v>
      </c>
      <c r="F35" s="426" t="s">
        <v>180</v>
      </c>
      <c r="G35" s="646">
        <v>0.1</v>
      </c>
      <c r="H35" s="605"/>
      <c r="I35" s="617">
        <v>0.1</v>
      </c>
      <c r="J35" s="617">
        <v>0.1</v>
      </c>
      <c r="K35" s="633">
        <v>0.12</v>
      </c>
      <c r="L35" s="627">
        <v>0.12</v>
      </c>
      <c r="M35" s="655">
        <v>0.1</v>
      </c>
      <c r="N35" s="418"/>
      <c r="O35" s="617">
        <v>0.2</v>
      </c>
    </row>
    <row r="36" spans="3:16" s="10" customFormat="1" x14ac:dyDescent="0.25">
      <c r="C36" s="1036">
        <v>11</v>
      </c>
      <c r="D36" s="394" t="s">
        <v>142</v>
      </c>
      <c r="E36" s="29" t="s">
        <v>29</v>
      </c>
      <c r="F36" s="425" t="s">
        <v>43</v>
      </c>
      <c r="G36" s="648">
        <v>2542018.5499999998</v>
      </c>
      <c r="H36" s="607">
        <v>2100000</v>
      </c>
      <c r="I36" s="620">
        <v>702851.1</v>
      </c>
      <c r="J36" s="620">
        <v>2680629.7799999998</v>
      </c>
      <c r="K36" s="634">
        <v>3700000</v>
      </c>
      <c r="L36" s="639">
        <v>3579135.79</v>
      </c>
      <c r="M36" s="658">
        <v>2200000</v>
      </c>
      <c r="N36" s="666">
        <v>3556000</v>
      </c>
      <c r="O36" s="639">
        <v>4000000</v>
      </c>
    </row>
    <row r="37" spans="3:16" s="10" customFormat="1" x14ac:dyDescent="0.25">
      <c r="C37" s="1036"/>
      <c r="D37" s="394" t="s">
        <v>143</v>
      </c>
      <c r="E37" s="29" t="s">
        <v>30</v>
      </c>
      <c r="F37" s="425" t="s">
        <v>40</v>
      </c>
      <c r="G37" s="648">
        <v>2542018.5499999998</v>
      </c>
      <c r="H37" s="607">
        <v>2100000</v>
      </c>
      <c r="I37" s="620">
        <v>702851.1</v>
      </c>
      <c r="J37" s="620">
        <v>2680629.7799999998</v>
      </c>
      <c r="K37" s="634">
        <v>3700000</v>
      </c>
      <c r="L37" s="639">
        <v>3579135.79</v>
      </c>
      <c r="M37" s="658">
        <v>2200000</v>
      </c>
      <c r="N37" s="666">
        <f>+N36</f>
        <v>3556000</v>
      </c>
      <c r="O37" s="639">
        <v>4000000</v>
      </c>
      <c r="P37" s="104">
        <f>SUM(G37:O37)</f>
        <v>25060635.219999999</v>
      </c>
    </row>
    <row r="38" spans="3:16" s="10" customFormat="1" x14ac:dyDescent="0.25">
      <c r="C38" s="27" t="s">
        <v>5</v>
      </c>
      <c r="D38" s="27"/>
      <c r="E38" s="30"/>
      <c r="F38" s="428"/>
      <c r="G38" s="649"/>
      <c r="H38" s="608"/>
      <c r="I38" s="621"/>
      <c r="J38" s="621"/>
      <c r="K38" s="635"/>
      <c r="L38" s="621"/>
      <c r="M38" s="659"/>
      <c r="N38" s="422"/>
      <c r="O38" s="621"/>
    </row>
    <row r="39" spans="3:16" s="10" customFormat="1" x14ac:dyDescent="0.25">
      <c r="C39" s="394">
        <v>12</v>
      </c>
      <c r="D39" s="394"/>
      <c r="E39" s="29" t="s">
        <v>21</v>
      </c>
      <c r="F39" s="425" t="s">
        <v>45</v>
      </c>
      <c r="G39" s="643">
        <v>0.54300000000000004</v>
      </c>
      <c r="H39" s="602">
        <v>0.53</v>
      </c>
      <c r="I39" s="619">
        <v>0.61839999999999995</v>
      </c>
      <c r="J39" s="623">
        <v>0.70120000000000005</v>
      </c>
      <c r="K39" s="619">
        <v>0.6855</v>
      </c>
      <c r="L39" s="623">
        <v>0.65</v>
      </c>
      <c r="M39" s="654">
        <v>0.68</v>
      </c>
      <c r="N39" s="420">
        <v>0.7</v>
      </c>
      <c r="O39" s="623">
        <v>0.78</v>
      </c>
    </row>
    <row r="40" spans="3:16" s="10" customFormat="1" x14ac:dyDescent="0.25">
      <c r="C40" s="394">
        <v>13</v>
      </c>
      <c r="D40" s="394"/>
      <c r="E40" s="29" t="s">
        <v>88</v>
      </c>
      <c r="F40" s="425" t="s">
        <v>48</v>
      </c>
      <c r="G40" s="643">
        <v>0.6149</v>
      </c>
      <c r="H40" s="602">
        <v>0.47</v>
      </c>
      <c r="I40" s="619">
        <v>0.59840000000000004</v>
      </c>
      <c r="J40" s="619">
        <v>1.08</v>
      </c>
      <c r="K40" s="217">
        <v>0.70150000000000001</v>
      </c>
      <c r="L40" s="217">
        <v>0.7</v>
      </c>
      <c r="M40" s="663">
        <v>0.79</v>
      </c>
      <c r="N40" s="420">
        <v>0.7</v>
      </c>
      <c r="O40" s="623">
        <v>0.55000000000000004</v>
      </c>
    </row>
    <row r="41" spans="3:16" s="10" customFormat="1" x14ac:dyDescent="0.25">
      <c r="C41" s="394">
        <v>14</v>
      </c>
      <c r="D41" s="394"/>
      <c r="E41" s="30" t="s">
        <v>22</v>
      </c>
      <c r="F41" s="425" t="s">
        <v>46</v>
      </c>
      <c r="G41" s="628">
        <v>2142450</v>
      </c>
      <c r="H41" s="628">
        <v>1667051.51</v>
      </c>
      <c r="I41" s="628">
        <v>1159698.54</v>
      </c>
      <c r="J41" s="628">
        <v>2045730</v>
      </c>
      <c r="K41" s="628">
        <v>3865163.15</v>
      </c>
      <c r="L41" s="628">
        <v>6306419</v>
      </c>
      <c r="M41" s="660">
        <v>780000</v>
      </c>
      <c r="N41" s="667">
        <f>+L41</f>
        <v>6306419</v>
      </c>
      <c r="O41" s="628">
        <v>7349988.2999999998</v>
      </c>
    </row>
    <row r="42" spans="3:16" s="10" customFormat="1" ht="18" x14ac:dyDescent="0.25">
      <c r="C42" s="28" t="s">
        <v>6</v>
      </c>
      <c r="D42" s="28"/>
      <c r="E42" s="31"/>
      <c r="F42" s="32" t="s">
        <v>54</v>
      </c>
      <c r="G42" s="644"/>
      <c r="H42" s="603"/>
      <c r="I42" s="614"/>
      <c r="J42" s="614"/>
      <c r="K42" s="630"/>
      <c r="L42" s="614"/>
      <c r="M42" s="652"/>
      <c r="N42" s="270"/>
      <c r="O42" s="614"/>
    </row>
    <row r="43" spans="3:16" s="10" customFormat="1" x14ac:dyDescent="0.25">
      <c r="C43" s="1036">
        <v>15</v>
      </c>
      <c r="D43" s="394"/>
      <c r="E43" s="33" t="s">
        <v>7</v>
      </c>
      <c r="F43" s="425">
        <v>40</v>
      </c>
      <c r="G43" s="644"/>
      <c r="H43" s="603"/>
      <c r="I43" s="614"/>
      <c r="J43" s="614"/>
      <c r="K43" s="630">
        <v>1</v>
      </c>
      <c r="L43" s="614"/>
      <c r="M43" s="652"/>
      <c r="N43" s="270"/>
      <c r="O43" s="614"/>
    </row>
    <row r="44" spans="3:16" s="10" customFormat="1" x14ac:dyDescent="0.25">
      <c r="C44" s="1036"/>
      <c r="D44" s="394"/>
      <c r="E44" s="33" t="s">
        <v>8</v>
      </c>
      <c r="F44" s="425">
        <v>26</v>
      </c>
      <c r="G44" s="644"/>
      <c r="H44" s="603">
        <v>1</v>
      </c>
      <c r="I44" s="614"/>
      <c r="J44" s="614"/>
      <c r="K44" s="630"/>
      <c r="L44" s="614">
        <v>1</v>
      </c>
      <c r="M44" s="652">
        <v>1</v>
      </c>
      <c r="N44" s="270">
        <v>1</v>
      </c>
      <c r="O44" s="614">
        <v>1</v>
      </c>
    </row>
    <row r="45" spans="3:16" s="10" customFormat="1" x14ac:dyDescent="0.25">
      <c r="C45" s="1036"/>
      <c r="D45" s="394"/>
      <c r="E45" s="33" t="s">
        <v>9</v>
      </c>
      <c r="F45" s="425">
        <v>13</v>
      </c>
      <c r="G45" s="644">
        <v>1</v>
      </c>
      <c r="H45" s="603"/>
      <c r="I45" s="614">
        <v>1</v>
      </c>
      <c r="J45" s="614">
        <v>1</v>
      </c>
      <c r="K45" s="630"/>
      <c r="L45" s="614"/>
      <c r="M45" s="652"/>
      <c r="N45" s="270"/>
      <c r="O45" s="614"/>
    </row>
    <row r="46" spans="3:16" s="10" customFormat="1" x14ac:dyDescent="0.25">
      <c r="C46" s="1036"/>
      <c r="D46" s="394"/>
      <c r="E46" s="33" t="s">
        <v>10</v>
      </c>
      <c r="F46" s="425">
        <v>0</v>
      </c>
      <c r="G46" s="644"/>
      <c r="H46" s="603"/>
      <c r="I46" s="614"/>
      <c r="J46" s="614"/>
      <c r="K46" s="630"/>
      <c r="L46" s="614"/>
      <c r="M46" s="652"/>
      <c r="N46" s="270"/>
      <c r="O46" s="614"/>
    </row>
    <row r="47" spans="3:16" s="10" customFormat="1" ht="18" x14ac:dyDescent="0.25">
      <c r="C47" s="28" t="s">
        <v>11</v>
      </c>
      <c r="D47" s="28"/>
      <c r="E47" s="31"/>
      <c r="F47" s="32" t="s">
        <v>50</v>
      </c>
      <c r="G47" s="644"/>
      <c r="H47" s="603"/>
      <c r="I47" s="614"/>
      <c r="J47" s="614"/>
      <c r="K47" s="630"/>
      <c r="L47" s="614"/>
      <c r="M47" s="652"/>
      <c r="N47" s="270"/>
      <c r="O47" s="614"/>
    </row>
    <row r="48" spans="3:16" s="10" customFormat="1" x14ac:dyDescent="0.25">
      <c r="C48" s="1036">
        <v>16</v>
      </c>
      <c r="D48" s="394"/>
      <c r="E48" s="33" t="s">
        <v>12</v>
      </c>
      <c r="F48" s="425">
        <v>40</v>
      </c>
      <c r="G48" s="644">
        <v>1</v>
      </c>
      <c r="H48" s="603"/>
      <c r="I48" s="614"/>
      <c r="J48" s="614">
        <v>1</v>
      </c>
      <c r="K48" s="630"/>
      <c r="L48" s="614"/>
      <c r="M48" s="652"/>
      <c r="N48" s="270">
        <v>1</v>
      </c>
      <c r="O48" s="614">
        <v>1</v>
      </c>
    </row>
    <row r="49" spans="3:20" s="10" customFormat="1" x14ac:dyDescent="0.25">
      <c r="C49" s="1036"/>
      <c r="D49" s="394"/>
      <c r="E49" s="33" t="s">
        <v>13</v>
      </c>
      <c r="F49" s="425">
        <v>26</v>
      </c>
      <c r="G49" s="644"/>
      <c r="H49" s="603">
        <v>1</v>
      </c>
      <c r="I49" s="614">
        <v>1</v>
      </c>
      <c r="J49" s="614"/>
      <c r="K49" s="630">
        <v>1</v>
      </c>
      <c r="L49" s="614">
        <v>1</v>
      </c>
      <c r="M49" s="652">
        <v>1</v>
      </c>
      <c r="N49" s="270"/>
      <c r="O49" s="614"/>
    </row>
    <row r="50" spans="3:20" s="10" customFormat="1" x14ac:dyDescent="0.25">
      <c r="C50" s="1036"/>
      <c r="D50" s="394"/>
      <c r="E50" s="33" t="s">
        <v>14</v>
      </c>
      <c r="F50" s="425">
        <v>13</v>
      </c>
      <c r="G50" s="644"/>
      <c r="H50" s="603"/>
      <c r="I50" s="614"/>
      <c r="J50" s="614"/>
      <c r="K50" s="630"/>
      <c r="L50" s="614"/>
      <c r="M50" s="652"/>
      <c r="N50" s="270"/>
      <c r="O50" s="614"/>
    </row>
    <row r="51" spans="3:20" s="10" customFormat="1" x14ac:dyDescent="0.25">
      <c r="C51" s="1036"/>
      <c r="D51" s="394"/>
      <c r="E51" s="33" t="s">
        <v>16</v>
      </c>
      <c r="F51" s="425">
        <v>0</v>
      </c>
      <c r="G51" s="644"/>
      <c r="H51" s="603"/>
      <c r="I51" s="614"/>
      <c r="J51" s="614"/>
      <c r="K51" s="630"/>
      <c r="L51" s="614"/>
      <c r="M51" s="652"/>
      <c r="N51" s="270"/>
      <c r="O51" s="614"/>
    </row>
    <row r="52" spans="3:20" s="10" customFormat="1" x14ac:dyDescent="0.25">
      <c r="C52" s="27" t="s">
        <v>15</v>
      </c>
      <c r="D52" s="27"/>
      <c r="E52" s="30"/>
      <c r="F52" s="425"/>
      <c r="G52" s="644"/>
      <c r="H52" s="603"/>
      <c r="I52" s="614"/>
      <c r="J52" s="614"/>
      <c r="K52" s="630"/>
      <c r="L52" s="614"/>
      <c r="M52" s="652"/>
      <c r="N52" s="270"/>
      <c r="O52" s="614"/>
    </row>
    <row r="53" spans="3:20" s="10" customFormat="1" ht="15" customHeight="1" x14ac:dyDescent="0.25">
      <c r="C53" s="394">
        <v>17</v>
      </c>
      <c r="D53" s="394"/>
      <c r="E53" s="29" t="s">
        <v>17</v>
      </c>
      <c r="F53" s="425" t="s">
        <v>47</v>
      </c>
      <c r="G53" s="622">
        <f>+VBP_TS!L16*TUNSUP!G16</f>
        <v>302437833.9025225</v>
      </c>
      <c r="H53" s="609">
        <f>+VBP_TS!L19*TUNSUP!H16</f>
        <v>109579224.68620844</v>
      </c>
      <c r="I53" s="622">
        <f>+VBP_TS!L11*TUNSUP!I$16</f>
        <v>85855912.616032496</v>
      </c>
      <c r="J53" s="622">
        <f>VBP_TS!L8*TUNSUP!J$16</f>
        <v>140717716.22813281</v>
      </c>
      <c r="K53" s="622">
        <f>VBP_TS!L21*TUNSUP!K$16</f>
        <v>182321115.08711186</v>
      </c>
      <c r="L53" s="622">
        <f>VBP_TS!L20*TUNSUP!L$16</f>
        <v>176749361.65468666</v>
      </c>
      <c r="M53" s="609">
        <f>VBP_TS!L22*TUNSUP!M$16</f>
        <v>56331090.538611919</v>
      </c>
      <c r="N53" s="667">
        <f>+N16*VBP_TS!L40</f>
        <v>684730745.12923443</v>
      </c>
      <c r="O53" s="622">
        <f>VBP_TS!L23*TUNSUP!O$16</f>
        <v>85917691.085237369</v>
      </c>
    </row>
    <row r="54" spans="3:20" s="10" customFormat="1" ht="15.75" customHeight="1" x14ac:dyDescent="0.25">
      <c r="C54" s="1045">
        <v>18</v>
      </c>
      <c r="D54" s="394">
        <v>18.100000000000001</v>
      </c>
      <c r="E54" s="29" t="s">
        <v>170</v>
      </c>
      <c r="F54" s="429" t="s">
        <v>53</v>
      </c>
      <c r="G54" s="643" t="s">
        <v>323</v>
      </c>
      <c r="H54" s="602" t="s">
        <v>1003</v>
      </c>
      <c r="I54" s="619" t="s">
        <v>1172</v>
      </c>
      <c r="J54" s="619" t="s">
        <v>1172</v>
      </c>
      <c r="K54" s="619" t="s">
        <v>323</v>
      </c>
      <c r="L54" s="618" t="s">
        <v>854</v>
      </c>
      <c r="M54" s="654" t="s">
        <v>323</v>
      </c>
      <c r="N54" s="419" t="s">
        <v>1100</v>
      </c>
      <c r="O54" s="626" t="s">
        <v>1175</v>
      </c>
    </row>
    <row r="55" spans="3:20" s="10" customFormat="1" ht="15.75" customHeight="1" x14ac:dyDescent="0.25">
      <c r="C55" s="1045"/>
      <c r="D55" s="394">
        <v>18.2</v>
      </c>
      <c r="E55" s="29" t="s">
        <v>171</v>
      </c>
      <c r="F55" s="429" t="s">
        <v>53</v>
      </c>
      <c r="G55" s="643">
        <v>0.75</v>
      </c>
      <c r="H55" s="602">
        <v>0.68</v>
      </c>
      <c r="I55" s="619">
        <v>0.63</v>
      </c>
      <c r="J55" s="619">
        <v>0.7</v>
      </c>
      <c r="K55" s="619">
        <v>0.85</v>
      </c>
      <c r="L55" s="618">
        <v>0.6</v>
      </c>
      <c r="M55" s="654">
        <v>0.7</v>
      </c>
      <c r="N55" s="668">
        <v>0.8</v>
      </c>
      <c r="O55" s="626">
        <v>0.67</v>
      </c>
    </row>
    <row r="56" spans="3:20" s="10" customFormat="1" ht="18" customHeight="1" x14ac:dyDescent="0.25">
      <c r="C56" s="394">
        <v>19</v>
      </c>
      <c r="D56" s="394"/>
      <c r="E56" s="29" t="s">
        <v>27</v>
      </c>
      <c r="F56" s="32" t="s">
        <v>52</v>
      </c>
      <c r="G56" s="644">
        <v>26</v>
      </c>
      <c r="H56" s="603">
        <v>26</v>
      </c>
      <c r="I56" s="619">
        <v>26</v>
      </c>
      <c r="J56" s="614">
        <v>26</v>
      </c>
      <c r="K56" s="630">
        <v>13</v>
      </c>
      <c r="L56" s="614">
        <v>26</v>
      </c>
      <c r="M56" s="652">
        <v>26</v>
      </c>
      <c r="N56" s="419">
        <v>26</v>
      </c>
      <c r="O56" s="614">
        <v>26</v>
      </c>
    </row>
    <row r="57" spans="3:20" s="10" customFormat="1" ht="15.75" customHeight="1" x14ac:dyDescent="0.25">
      <c r="C57" s="394">
        <v>20</v>
      </c>
      <c r="D57" s="394"/>
      <c r="E57" s="29" t="s">
        <v>18</v>
      </c>
      <c r="F57" s="429" t="s">
        <v>53</v>
      </c>
      <c r="G57" s="618" t="s">
        <v>850</v>
      </c>
      <c r="H57" s="610" t="s">
        <v>850</v>
      </c>
      <c r="I57" s="458" t="s">
        <v>850</v>
      </c>
      <c r="J57" s="458" t="s">
        <v>850</v>
      </c>
      <c r="K57" s="458" t="s">
        <v>850</v>
      </c>
      <c r="L57" s="626" t="s">
        <v>850</v>
      </c>
      <c r="M57" s="652" t="s">
        <v>850</v>
      </c>
      <c r="N57" s="419" t="s">
        <v>850</v>
      </c>
      <c r="O57" s="626" t="s">
        <v>850</v>
      </c>
    </row>
    <row r="58" spans="3:20" s="10" customFormat="1" ht="15" customHeight="1" x14ac:dyDescent="0.25">
      <c r="C58" s="394">
        <v>21</v>
      </c>
      <c r="D58" s="394"/>
      <c r="E58" s="29" t="s">
        <v>20</v>
      </c>
      <c r="F58" s="425" t="s">
        <v>49</v>
      </c>
      <c r="G58" s="645">
        <v>0.45</v>
      </c>
      <c r="H58" s="604">
        <v>0.45</v>
      </c>
      <c r="I58" s="623">
        <v>0.15</v>
      </c>
      <c r="J58" s="623">
        <v>0.05</v>
      </c>
      <c r="K58" s="636">
        <v>0.45</v>
      </c>
      <c r="L58" s="623">
        <v>0.3</v>
      </c>
      <c r="M58" s="661">
        <v>0.45</v>
      </c>
      <c r="N58" s="420"/>
      <c r="O58" s="623">
        <v>0.08</v>
      </c>
    </row>
    <row r="59" spans="3:20" s="10" customFormat="1" ht="18.75" customHeight="1" thickBot="1" x14ac:dyDescent="0.35">
      <c r="C59" s="39">
        <v>22</v>
      </c>
      <c r="D59" s="39"/>
      <c r="E59" s="34" t="s">
        <v>177</v>
      </c>
      <c r="F59" s="430" t="s">
        <v>51</v>
      </c>
      <c r="G59" s="650">
        <v>40</v>
      </c>
      <c r="H59" s="611">
        <v>40</v>
      </c>
      <c r="I59" s="624">
        <v>40</v>
      </c>
      <c r="J59" s="624">
        <v>40</v>
      </c>
      <c r="K59" s="637" t="s">
        <v>1173</v>
      </c>
      <c r="L59" s="624">
        <v>40</v>
      </c>
      <c r="M59" s="662">
        <v>40</v>
      </c>
      <c r="N59" s="423">
        <v>40</v>
      </c>
      <c r="O59" s="624">
        <v>40</v>
      </c>
    </row>
    <row r="60" spans="3:20" x14ac:dyDescent="0.25">
      <c r="C60" s="1"/>
      <c r="D60" s="1"/>
    </row>
    <row r="61" spans="3:20" x14ac:dyDescent="0.25">
      <c r="E61" s="108" t="s">
        <v>58</v>
      </c>
      <c r="F61" s="135" t="s">
        <v>58</v>
      </c>
      <c r="G61" s="19">
        <f>G9</f>
        <v>1</v>
      </c>
      <c r="H61" s="109">
        <f t="shared" ref="H61:O61" si="9">H9</f>
        <v>2</v>
      </c>
      <c r="I61" s="109">
        <f t="shared" si="9"/>
        <v>3</v>
      </c>
      <c r="J61" s="109">
        <f t="shared" si="9"/>
        <v>4</v>
      </c>
      <c r="K61" s="109">
        <f t="shared" si="9"/>
        <v>5</v>
      </c>
      <c r="L61" s="109">
        <f t="shared" si="9"/>
        <v>6</v>
      </c>
      <c r="M61" s="109">
        <f t="shared" si="9"/>
        <v>7</v>
      </c>
      <c r="N61" s="496">
        <f t="shared" si="9"/>
        <v>8</v>
      </c>
      <c r="O61" s="496">
        <f t="shared" si="9"/>
        <v>9</v>
      </c>
    </row>
    <row r="62" spans="3:20" ht="34.5" customHeight="1" thickBot="1" x14ac:dyDescent="0.3">
      <c r="E62" s="108" t="s">
        <v>240</v>
      </c>
      <c r="F62" s="135" t="s">
        <v>240</v>
      </c>
      <c r="G62" s="19" t="str">
        <f t="shared" ref="G62:M62" si="10">G12</f>
        <v>Canal Vista Flores</v>
      </c>
      <c r="H62" s="19" t="str">
        <f t="shared" si="10"/>
        <v>Manantiales de Tunuyán - Z. Centro</v>
      </c>
      <c r="I62" s="19" t="str">
        <f t="shared" si="10"/>
        <v>Canal Capacho</v>
      </c>
      <c r="J62" s="19" t="str">
        <f t="shared" si="10"/>
        <v>Arroyo Guiñazú</v>
      </c>
      <c r="K62" s="19" t="str">
        <f t="shared" si="10"/>
        <v>Canal Mz. Valle de Uco Margen Derecha</v>
      </c>
      <c r="L62" s="19" t="str">
        <f t="shared" si="10"/>
        <v>Canal Mtz. Este Unif.</v>
      </c>
      <c r="M62" s="19" t="str">
        <f t="shared" si="10"/>
        <v>A° Río de la Pampa o Salto</v>
      </c>
      <c r="N62" s="19" t="str">
        <f t="shared" ref="N62" si="11">N12</f>
        <v>I.C.A.T.</v>
      </c>
      <c r="O62" s="19" t="str">
        <f t="shared" ref="O62" si="12">O12</f>
        <v>A° Yaucha - Aguanda</v>
      </c>
    </row>
    <row r="63" spans="3:20" ht="18.75" x14ac:dyDescent="0.25">
      <c r="C63" s="139" t="s">
        <v>271</v>
      </c>
      <c r="D63" s="1053" t="s">
        <v>97</v>
      </c>
      <c r="E63" s="1054"/>
      <c r="F63" s="135" t="s">
        <v>141</v>
      </c>
      <c r="G63" s="136">
        <f t="shared" ref="G63:O63" si="13">G58</f>
        <v>0.45</v>
      </c>
      <c r="H63" s="136">
        <f>H58</f>
        <v>0.45</v>
      </c>
      <c r="I63" s="136">
        <f t="shared" si="13"/>
        <v>0.15</v>
      </c>
      <c r="J63" s="136">
        <f t="shared" si="13"/>
        <v>0.05</v>
      </c>
      <c r="K63" s="136">
        <f t="shared" si="13"/>
        <v>0.45</v>
      </c>
      <c r="L63" s="136">
        <f t="shared" si="13"/>
        <v>0.3</v>
      </c>
      <c r="M63" s="136">
        <f t="shared" si="13"/>
        <v>0.45</v>
      </c>
      <c r="N63" s="136"/>
      <c r="O63" s="136">
        <f t="shared" si="13"/>
        <v>0.08</v>
      </c>
      <c r="P63" s="110"/>
      <c r="Q63" s="110"/>
      <c r="R63" s="110"/>
      <c r="S63" s="137">
        <f t="shared" ref="S63:S74" si="14">MAX(G63:O63)</f>
        <v>0.45</v>
      </c>
      <c r="T63" s="138">
        <f t="shared" ref="T63:T74" si="15">+MIN(G63:O63)</f>
        <v>0.05</v>
      </c>
    </row>
    <row r="64" spans="3:20" ht="18.75" x14ac:dyDescent="0.25">
      <c r="C64" s="139" t="s">
        <v>272</v>
      </c>
      <c r="D64" s="1053" t="s">
        <v>102</v>
      </c>
      <c r="E64" s="1054"/>
      <c r="F64" s="107" t="s">
        <v>241</v>
      </c>
      <c r="G64" s="122">
        <f t="shared" ref="G64:M64" si="16">+G37/G16</f>
        <v>1099.4889922145328</v>
      </c>
      <c r="H64" s="122">
        <f t="shared" si="16"/>
        <v>2100</v>
      </c>
      <c r="I64" s="122">
        <f t="shared" si="16"/>
        <v>739.84326315789474</v>
      </c>
      <c r="J64" s="122">
        <f t="shared" si="16"/>
        <v>2333.0111227154043</v>
      </c>
      <c r="K64" s="122">
        <f t="shared" si="16"/>
        <v>3363.6363636363635</v>
      </c>
      <c r="L64" s="122">
        <f t="shared" si="16"/>
        <v>2833.8367300079176</v>
      </c>
      <c r="M64" s="122">
        <f t="shared" si="16"/>
        <v>5945.9459459459458</v>
      </c>
      <c r="N64" s="122">
        <f t="shared" ref="N64" si="17">+N37/N16</f>
        <v>711.2</v>
      </c>
      <c r="O64" s="122">
        <f t="shared" ref="O64" si="18">+O37/O16</f>
        <v>5856.515373352855</v>
      </c>
      <c r="S64" s="126">
        <f t="shared" si="14"/>
        <v>5945.9459459459458</v>
      </c>
      <c r="T64" s="127">
        <f t="shared" si="15"/>
        <v>711.2</v>
      </c>
    </row>
    <row r="65" spans="3:20" ht="18.75" x14ac:dyDescent="0.25">
      <c r="C65" s="139" t="s">
        <v>273</v>
      </c>
      <c r="D65" s="1053" t="s">
        <v>106</v>
      </c>
      <c r="E65" s="1054"/>
      <c r="F65" s="107" t="s">
        <v>242</v>
      </c>
      <c r="G65" s="122"/>
      <c r="H65" s="122">
        <f t="shared" ref="H65:O65" si="19">+H37/H17</f>
        <v>20000</v>
      </c>
      <c r="I65" s="122">
        <f t="shared" si="19"/>
        <v>28114.043999999998</v>
      </c>
      <c r="J65" s="122">
        <f t="shared" si="19"/>
        <v>23514.29631578947</v>
      </c>
      <c r="K65" s="122">
        <f t="shared" si="19"/>
        <v>14800</v>
      </c>
      <c r="L65" s="122">
        <f t="shared" si="19"/>
        <v>11398.521624203822</v>
      </c>
      <c r="M65" s="122">
        <f t="shared" si="19"/>
        <v>129411.76470588235</v>
      </c>
      <c r="N65" s="122">
        <f t="shared" ref="N65" si="20">+N37/N17</f>
        <v>2125.5230125523012</v>
      </c>
      <c r="O65" s="122">
        <f t="shared" si="19"/>
        <v>42105.26315789474</v>
      </c>
      <c r="S65" s="126">
        <f t="shared" si="14"/>
        <v>129411.76470588235</v>
      </c>
      <c r="T65" s="127">
        <f t="shared" si="15"/>
        <v>2125.5230125523012</v>
      </c>
    </row>
    <row r="66" spans="3:20" ht="19.5" thickBot="1" x14ac:dyDescent="0.3">
      <c r="C66" s="139" t="s">
        <v>274</v>
      </c>
      <c r="D66" s="1053" t="s">
        <v>108</v>
      </c>
      <c r="E66" s="1054"/>
      <c r="F66" s="107" t="s">
        <v>243</v>
      </c>
      <c r="G66" s="122">
        <f t="shared" ref="G66:O66" si="21">+G37/(10000*G26*G18)</f>
        <v>52.461250046080139</v>
      </c>
      <c r="H66" s="122">
        <f t="shared" si="21"/>
        <v>1615.3780678595622</v>
      </c>
      <c r="I66" s="122">
        <f t="shared" si="21"/>
        <v>63.202031380420095</v>
      </c>
      <c r="J66" s="122">
        <f t="shared" si="21"/>
        <v>41.756630814611881</v>
      </c>
      <c r="K66" s="122">
        <f t="shared" si="21"/>
        <v>61.189805770109992</v>
      </c>
      <c r="L66" s="122">
        <f t="shared" si="21"/>
        <v>93.920937510472868</v>
      </c>
      <c r="M66" s="122">
        <f t="shared" si="21"/>
        <v>56.80414246105002</v>
      </c>
      <c r="N66" s="122"/>
      <c r="O66" s="122">
        <f t="shared" si="21"/>
        <v>633.4881079414281</v>
      </c>
      <c r="S66" s="126">
        <f t="shared" si="14"/>
        <v>1615.3780678595622</v>
      </c>
      <c r="T66" s="127">
        <f t="shared" si="15"/>
        <v>41.756630814611881</v>
      </c>
    </row>
    <row r="67" spans="3:20" ht="18.75" x14ac:dyDescent="0.25">
      <c r="C67" s="139" t="s">
        <v>279</v>
      </c>
      <c r="D67" s="1053" t="s">
        <v>238</v>
      </c>
      <c r="E67" s="1054"/>
      <c r="F67" s="107" t="s">
        <v>146</v>
      </c>
      <c r="G67" s="121">
        <f t="shared" ref="G67:O67" si="22">(G39+G40)/2</f>
        <v>0.57895000000000008</v>
      </c>
      <c r="H67" s="121">
        <f t="shared" si="22"/>
        <v>0.5</v>
      </c>
      <c r="I67" s="121">
        <f t="shared" si="22"/>
        <v>0.60840000000000005</v>
      </c>
      <c r="J67" s="121">
        <f t="shared" si="22"/>
        <v>0.89060000000000006</v>
      </c>
      <c r="K67" s="121">
        <f t="shared" si="22"/>
        <v>0.69350000000000001</v>
      </c>
      <c r="L67" s="121">
        <f t="shared" si="22"/>
        <v>0.67500000000000004</v>
      </c>
      <c r="M67" s="121">
        <f t="shared" si="22"/>
        <v>0.7350000000000001</v>
      </c>
      <c r="N67" s="121">
        <f t="shared" ref="N67" si="23">(N39+N40)/2</f>
        <v>0.7</v>
      </c>
      <c r="O67" s="121">
        <f t="shared" si="22"/>
        <v>0.66500000000000004</v>
      </c>
      <c r="S67" s="125">
        <f t="shared" si="14"/>
        <v>0.89060000000000006</v>
      </c>
      <c r="T67" s="128">
        <f t="shared" si="15"/>
        <v>0.5</v>
      </c>
    </row>
    <row r="68" spans="3:20" ht="18.75" x14ac:dyDescent="0.25">
      <c r="C68" s="139" t="s">
        <v>47</v>
      </c>
      <c r="D68" s="1053" t="s">
        <v>113</v>
      </c>
      <c r="E68" s="1054"/>
      <c r="F68" s="107" t="s">
        <v>147</v>
      </c>
      <c r="G68" s="123">
        <f t="shared" ref="G68:M68" si="24">+G53</f>
        <v>302437833.9025225</v>
      </c>
      <c r="H68" s="123">
        <f t="shared" si="24"/>
        <v>109579224.68620844</v>
      </c>
      <c r="I68" s="123">
        <f t="shared" si="24"/>
        <v>85855912.616032496</v>
      </c>
      <c r="J68" s="123">
        <f t="shared" si="24"/>
        <v>140717716.22813281</v>
      </c>
      <c r="K68" s="123">
        <v>6142135833.3736935</v>
      </c>
      <c r="L68" s="123">
        <f t="shared" si="24"/>
        <v>176749361.65468666</v>
      </c>
      <c r="M68" s="123">
        <f t="shared" si="24"/>
        <v>56331090.538611919</v>
      </c>
      <c r="N68" s="123">
        <f t="shared" ref="N68" si="25">+N53</f>
        <v>684730745.12923443</v>
      </c>
      <c r="O68" s="123">
        <f t="shared" ref="O68" si="26">+O53</f>
        <v>85917691.085237369</v>
      </c>
      <c r="S68" s="126">
        <f t="shared" si="14"/>
        <v>6142135833.3736935</v>
      </c>
      <c r="T68" s="129">
        <f t="shared" si="15"/>
        <v>56331090.538611919</v>
      </c>
    </row>
    <row r="69" spans="3:20" ht="18.75" x14ac:dyDescent="0.25">
      <c r="C69" s="139" t="s">
        <v>283</v>
      </c>
      <c r="D69" s="1053" t="s">
        <v>117</v>
      </c>
      <c r="E69" s="1054"/>
      <c r="F69" s="107" t="s">
        <v>118</v>
      </c>
      <c r="G69" s="124">
        <f>VLOOKUP(G62,'CALIF HTA'!$A$129:$B$150,2,"FALSO")</f>
        <v>68</v>
      </c>
      <c r="H69" s="124">
        <f>VLOOKUP(H62,'CALIF HTA'!$A$129:$B$150,2,"FALSO")</f>
        <v>67</v>
      </c>
      <c r="I69" s="124">
        <f>VLOOKUP(I62,'CALIF HTA'!$A$129:$B$150,2,"FALSO")</f>
        <v>49</v>
      </c>
      <c r="J69" s="124">
        <f>VLOOKUP(J62,'CALIF HTA'!$A$129:$B$150,2,"FALSO")</f>
        <v>74</v>
      </c>
      <c r="K69" s="124">
        <f>VLOOKUP(K62,'CALIF HTA'!$A$129:$B$150,2,"FALSO")</f>
        <v>70</v>
      </c>
      <c r="L69" s="124">
        <f>VLOOKUP(L62,'CALIF HTA'!$A$129:$B$150,2,"FALSO")</f>
        <v>85</v>
      </c>
      <c r="M69" s="124">
        <f>VLOOKUP(M62,'CALIF HTA'!$A$129:$B$150,2,"FALSO")</f>
        <v>62</v>
      </c>
      <c r="N69" s="124">
        <f>VLOOKUP(N62,'CALIF HTA'!$A$129:$B$150,2,"FALSO")</f>
        <v>84</v>
      </c>
      <c r="O69" s="124">
        <f>VLOOKUP(O62,'CALIF HTA'!$A$129:$B$150,2,"FALSO")</f>
        <v>66</v>
      </c>
      <c r="S69" s="130">
        <f t="shared" si="14"/>
        <v>85</v>
      </c>
      <c r="T69" s="131">
        <f t="shared" si="15"/>
        <v>49</v>
      </c>
    </row>
    <row r="70" spans="3:20" ht="18.75" x14ac:dyDescent="0.25">
      <c r="C70" s="139" t="s">
        <v>285</v>
      </c>
      <c r="D70" s="1053" t="s">
        <v>122</v>
      </c>
      <c r="E70" s="1054"/>
      <c r="F70" s="107" t="s">
        <v>270</v>
      </c>
      <c r="G70" s="121">
        <f t="shared" ref="G70:O70" si="27">+G37/G41</f>
        <v>1.1865007584774439</v>
      </c>
      <c r="H70" s="121">
        <f t="shared" si="27"/>
        <v>1.2597091256046431</v>
      </c>
      <c r="I70" s="121">
        <f t="shared" si="27"/>
        <v>0.60606362408630776</v>
      </c>
      <c r="J70" s="121">
        <f t="shared" si="27"/>
        <v>1.3103536537079672</v>
      </c>
      <c r="K70" s="121">
        <f t="shared" si="27"/>
        <v>0.95726877661037413</v>
      </c>
      <c r="L70" s="121">
        <f t="shared" si="27"/>
        <v>0.56753853335783744</v>
      </c>
      <c r="M70" s="121">
        <f t="shared" si="27"/>
        <v>2.8205128205128207</v>
      </c>
      <c r="N70" s="121">
        <f t="shared" ref="N70" si="28">+N37/N41</f>
        <v>0.56386992364446442</v>
      </c>
      <c r="O70" s="121">
        <f t="shared" si="27"/>
        <v>0.54421855338191494</v>
      </c>
      <c r="S70" s="132">
        <f t="shared" si="14"/>
        <v>2.8205128205128207</v>
      </c>
      <c r="T70" s="128">
        <f t="shared" si="15"/>
        <v>0.54421855338191494</v>
      </c>
    </row>
    <row r="71" spans="3:20" ht="18.75" x14ac:dyDescent="0.25">
      <c r="C71" s="139" t="s">
        <v>288</v>
      </c>
      <c r="D71" s="1053" t="s">
        <v>126</v>
      </c>
      <c r="E71" s="1054"/>
      <c r="F71" s="107" t="s">
        <v>149</v>
      </c>
      <c r="G71" s="124">
        <f t="shared" ref="G71:M71" si="29">+G59</f>
        <v>40</v>
      </c>
      <c r="H71" s="124">
        <f t="shared" si="29"/>
        <v>40</v>
      </c>
      <c r="I71" s="124">
        <f t="shared" si="29"/>
        <v>40</v>
      </c>
      <c r="J71" s="124">
        <f t="shared" si="29"/>
        <v>40</v>
      </c>
      <c r="K71" s="124" t="str">
        <f t="shared" si="29"/>
        <v>medio</v>
      </c>
      <c r="L71" s="124">
        <f t="shared" si="29"/>
        <v>40</v>
      </c>
      <c r="M71" s="124">
        <f t="shared" si="29"/>
        <v>40</v>
      </c>
      <c r="N71" s="124">
        <f t="shared" ref="N71" si="30">+N59</f>
        <v>40</v>
      </c>
      <c r="O71" s="124">
        <f t="shared" ref="O71" si="31">+O59</f>
        <v>40</v>
      </c>
      <c r="S71" s="130">
        <f t="shared" si="14"/>
        <v>40</v>
      </c>
      <c r="T71" s="131">
        <f t="shared" si="15"/>
        <v>40</v>
      </c>
    </row>
    <row r="72" spans="3:20" ht="18.75" x14ac:dyDescent="0.25">
      <c r="C72" s="139" t="s">
        <v>289</v>
      </c>
      <c r="D72" s="1053" t="s">
        <v>129</v>
      </c>
      <c r="E72" s="1054"/>
      <c r="F72" s="107" t="s">
        <v>150</v>
      </c>
      <c r="G72" s="124">
        <f t="shared" ref="G72:M72" si="32">+G43*$F$43+G44*$F$44+G45*$F$45+G46*$F$46</f>
        <v>13</v>
      </c>
      <c r="H72" s="124">
        <f t="shared" si="32"/>
        <v>26</v>
      </c>
      <c r="I72" s="124">
        <f t="shared" si="32"/>
        <v>13</v>
      </c>
      <c r="J72" s="124">
        <f t="shared" si="32"/>
        <v>13</v>
      </c>
      <c r="K72" s="124">
        <f t="shared" si="32"/>
        <v>40</v>
      </c>
      <c r="L72" s="124">
        <f t="shared" si="32"/>
        <v>26</v>
      </c>
      <c r="M72" s="124">
        <f t="shared" si="32"/>
        <v>26</v>
      </c>
      <c r="N72" s="124">
        <f t="shared" ref="N72" si="33">+N43*$F$43+N44*$F$44+N45*$F$45+N46*$F$46</f>
        <v>26</v>
      </c>
      <c r="O72" s="124">
        <f t="shared" ref="O72" si="34">+O43*$F$43+O44*$F$44+O45*$F$45+O46*$F$46</f>
        <v>26</v>
      </c>
      <c r="S72" s="130">
        <f t="shared" si="14"/>
        <v>40</v>
      </c>
      <c r="T72" s="131">
        <f t="shared" si="15"/>
        <v>13</v>
      </c>
    </row>
    <row r="73" spans="3:20" ht="18.75" x14ac:dyDescent="0.25">
      <c r="C73" s="139" t="s">
        <v>291</v>
      </c>
      <c r="D73" s="1053" t="s">
        <v>133</v>
      </c>
      <c r="E73" s="1054"/>
      <c r="F73" s="107" t="s">
        <v>151</v>
      </c>
      <c r="G73" s="124">
        <f t="shared" ref="G73:M73" si="35">+G48*$F$48+G49*$F$49+G50*$F$50+G51*$F$51</f>
        <v>40</v>
      </c>
      <c r="H73" s="124">
        <f t="shared" si="35"/>
        <v>26</v>
      </c>
      <c r="I73" s="124">
        <f t="shared" si="35"/>
        <v>26</v>
      </c>
      <c r="J73" s="124">
        <f t="shared" si="35"/>
        <v>40</v>
      </c>
      <c r="K73" s="124">
        <f t="shared" si="35"/>
        <v>26</v>
      </c>
      <c r="L73" s="124">
        <f t="shared" si="35"/>
        <v>26</v>
      </c>
      <c r="M73" s="124">
        <f t="shared" si="35"/>
        <v>26</v>
      </c>
      <c r="N73" s="124">
        <f t="shared" ref="N73" si="36">+N48*$F$48+N49*$F$49+N50*$F$50+N51*$F$51</f>
        <v>40</v>
      </c>
      <c r="O73" s="124">
        <f t="shared" ref="O73" si="37">+O48*$F$48+O49*$F$49+O50*$F$50+O51*$F$51</f>
        <v>40</v>
      </c>
      <c r="S73" s="130">
        <f t="shared" si="14"/>
        <v>40</v>
      </c>
      <c r="T73" s="131">
        <f t="shared" si="15"/>
        <v>26</v>
      </c>
    </row>
    <row r="74" spans="3:20" ht="19.5" thickBot="1" x14ac:dyDescent="0.3">
      <c r="C74" s="139" t="s">
        <v>293</v>
      </c>
      <c r="D74" s="1053" t="s">
        <v>137</v>
      </c>
      <c r="E74" s="1054"/>
      <c r="F74" s="107" t="s">
        <v>149</v>
      </c>
      <c r="G74" s="124">
        <f t="shared" ref="G74:M74" si="38">+G59</f>
        <v>40</v>
      </c>
      <c r="H74" s="124">
        <f t="shared" si="38"/>
        <v>40</v>
      </c>
      <c r="I74" s="124">
        <f t="shared" si="38"/>
        <v>40</v>
      </c>
      <c r="J74" s="124">
        <f t="shared" si="38"/>
        <v>40</v>
      </c>
      <c r="K74" s="124" t="str">
        <f t="shared" si="38"/>
        <v>medio</v>
      </c>
      <c r="L74" s="124">
        <f t="shared" si="38"/>
        <v>40</v>
      </c>
      <c r="M74" s="124">
        <f t="shared" si="38"/>
        <v>40</v>
      </c>
      <c r="N74" s="124">
        <f t="shared" ref="N74" si="39">+N59</f>
        <v>40</v>
      </c>
      <c r="O74" s="124">
        <f t="shared" ref="O74" si="40">+O59</f>
        <v>40</v>
      </c>
      <c r="S74" s="133">
        <f t="shared" si="14"/>
        <v>40</v>
      </c>
      <c r="T74" s="134">
        <f t="shared" si="15"/>
        <v>40</v>
      </c>
    </row>
    <row r="77" spans="3:20" s="109" customFormat="1" ht="57" customHeight="1" x14ac:dyDescent="0.25">
      <c r="D77" s="109">
        <v>1</v>
      </c>
      <c r="E77" s="140" t="s">
        <v>280</v>
      </c>
      <c r="G77" s="201">
        <f t="shared" ref="G77:O77" si="41">100*((($S63-G63)/($S63-$T63)))</f>
        <v>0</v>
      </c>
      <c r="H77" s="119">
        <f t="shared" si="41"/>
        <v>0</v>
      </c>
      <c r="I77" s="119">
        <f t="shared" si="41"/>
        <v>75.000000000000014</v>
      </c>
      <c r="J77" s="119">
        <f t="shared" si="41"/>
        <v>100</v>
      </c>
      <c r="K77" s="119">
        <f t="shared" si="41"/>
        <v>0</v>
      </c>
      <c r="L77" s="119">
        <f t="shared" si="41"/>
        <v>37.500000000000007</v>
      </c>
      <c r="M77" s="119">
        <f t="shared" si="41"/>
        <v>0</v>
      </c>
      <c r="N77" s="119">
        <f t="shared" si="41"/>
        <v>112.5</v>
      </c>
      <c r="O77" s="119">
        <f t="shared" si="41"/>
        <v>92.5</v>
      </c>
    </row>
    <row r="78" spans="3:20" ht="45.75" customHeight="1" x14ac:dyDescent="0.25">
      <c r="D78" s="109">
        <v>2</v>
      </c>
      <c r="E78" s="140" t="s">
        <v>275</v>
      </c>
      <c r="F78"/>
      <c r="G78" s="201">
        <f t="shared" ref="G78:O78" si="42">100*(1-(($T64-G64)/($T64-$S64)))</f>
        <v>92.582467301679785</v>
      </c>
      <c r="H78" s="119">
        <f t="shared" si="42"/>
        <v>73.469581631262201</v>
      </c>
      <c r="I78" s="119">
        <f t="shared" si="42"/>
        <v>99.452824197130766</v>
      </c>
      <c r="J78" s="119">
        <f t="shared" si="42"/>
        <v>69.018341301330636</v>
      </c>
      <c r="K78" s="119">
        <f t="shared" si="42"/>
        <v>49.330179706418321</v>
      </c>
      <c r="L78" s="119">
        <f t="shared" si="42"/>
        <v>59.451007710282575</v>
      </c>
      <c r="M78" s="119">
        <f t="shared" si="42"/>
        <v>0</v>
      </c>
      <c r="N78" s="119">
        <f t="shared" si="42"/>
        <v>100</v>
      </c>
      <c r="O78" s="119">
        <f t="shared" si="42"/>
        <v>1.7084033020236755</v>
      </c>
    </row>
    <row r="79" spans="3:20" ht="49.5" customHeight="1" x14ac:dyDescent="0.25">
      <c r="D79" s="109">
        <v>3</v>
      </c>
      <c r="E79" s="140" t="s">
        <v>276</v>
      </c>
      <c r="F79"/>
      <c r="G79" s="201">
        <f t="shared" ref="G79:O79" si="43">100*(1-(($T65-G65)/($T65-$S65)))</f>
        <v>101.66987648018811</v>
      </c>
      <c r="H79" s="119">
        <f t="shared" si="43"/>
        <v>85.957259205977209</v>
      </c>
      <c r="I79" s="119">
        <f t="shared" si="43"/>
        <v>79.582615810071857</v>
      </c>
      <c r="J79" s="119">
        <f t="shared" si="43"/>
        <v>83.196319556068744</v>
      </c>
      <c r="K79" s="119">
        <f t="shared" si="43"/>
        <v>90.042539697272048</v>
      </c>
      <c r="L79" s="119">
        <f t="shared" si="43"/>
        <v>92.714846091541531</v>
      </c>
      <c r="M79" s="119">
        <f t="shared" si="43"/>
        <v>0</v>
      </c>
      <c r="N79" s="119">
        <f t="shared" si="43"/>
        <v>100</v>
      </c>
      <c r="O79" s="119">
        <f t="shared" si="43"/>
        <v>68.590682218691484</v>
      </c>
    </row>
    <row r="80" spans="3:20" ht="63" customHeight="1" x14ac:dyDescent="0.25">
      <c r="D80" s="109">
        <v>4</v>
      </c>
      <c r="E80" s="140" t="s">
        <v>278</v>
      </c>
      <c r="F80"/>
      <c r="G80" s="201">
        <f t="shared" ref="G80:O80" si="44">IF(G66=0,0,100*(1-(($T66-G66)/($T66-$S66))))</f>
        <v>99.319746224888107</v>
      </c>
      <c r="H80" s="119">
        <f t="shared" si="44"/>
        <v>0</v>
      </c>
      <c r="I80" s="119">
        <f t="shared" si="44"/>
        <v>98.637194431839987</v>
      </c>
      <c r="J80" s="119">
        <f t="shared" si="44"/>
        <v>100</v>
      </c>
      <c r="K80" s="119">
        <f t="shared" si="44"/>
        <v>98.765066711852185</v>
      </c>
      <c r="L80" s="119">
        <f t="shared" si="44"/>
        <v>96.685079049646234</v>
      </c>
      <c r="M80" s="119">
        <f t="shared" si="44"/>
        <v>99.043765464030827</v>
      </c>
      <c r="N80" s="119">
        <f t="shared" si="44"/>
        <v>0</v>
      </c>
      <c r="O80" s="119">
        <f t="shared" si="44"/>
        <v>62.396834257799092</v>
      </c>
    </row>
    <row r="81" spans="4:15" ht="30" x14ac:dyDescent="0.25">
      <c r="D81" s="109">
        <v>5</v>
      </c>
      <c r="E81" s="140" t="s">
        <v>277</v>
      </c>
      <c r="F81"/>
      <c r="G81" s="201">
        <f t="shared" ref="G81:O81" si="45">100*((G67-$T67)/($S67-$T67))</f>
        <v>20.212493599590388</v>
      </c>
      <c r="H81" s="201">
        <f t="shared" si="45"/>
        <v>0</v>
      </c>
      <c r="I81" s="201">
        <f t="shared" si="45"/>
        <v>27.752176139272922</v>
      </c>
      <c r="J81" s="201">
        <f t="shared" si="45"/>
        <v>100</v>
      </c>
      <c r="K81" s="201">
        <f t="shared" si="45"/>
        <v>49.539170506912441</v>
      </c>
      <c r="L81" s="201">
        <f t="shared" si="45"/>
        <v>44.802867383512549</v>
      </c>
      <c r="M81" s="201">
        <f t="shared" si="45"/>
        <v>60.163850486431144</v>
      </c>
      <c r="N81" s="201">
        <f t="shared" si="45"/>
        <v>51.203277009728595</v>
      </c>
      <c r="O81" s="201">
        <f t="shared" si="45"/>
        <v>42.242703533026116</v>
      </c>
    </row>
    <row r="82" spans="4:15" ht="30.75" x14ac:dyDescent="0.25">
      <c r="D82" s="109">
        <v>6</v>
      </c>
      <c r="E82" s="140" t="s">
        <v>281</v>
      </c>
      <c r="F82"/>
      <c r="G82" s="201">
        <f t="shared" ref="G82:O82" si="46">100*(1-(($S68-G68)/($S68-$T68)))</f>
        <v>4.0439474114521197</v>
      </c>
      <c r="H82" s="119">
        <f t="shared" si="46"/>
        <v>0.87495633523712035</v>
      </c>
      <c r="I82" s="171">
        <f t="shared" si="46"/>
        <v>0.48514244746646895</v>
      </c>
      <c r="J82" s="119">
        <f t="shared" si="46"/>
        <v>1.3866140840103403</v>
      </c>
      <c r="K82" s="119">
        <f t="shared" si="46"/>
        <v>100</v>
      </c>
      <c r="L82" s="119">
        <f t="shared" si="46"/>
        <v>1.9786745747609635</v>
      </c>
      <c r="M82" s="119">
        <f t="shared" si="46"/>
        <v>0</v>
      </c>
      <c r="N82" s="119">
        <f t="shared" si="46"/>
        <v>10.325662441445349</v>
      </c>
      <c r="O82" s="119">
        <f t="shared" si="46"/>
        <v>0.48615757154315542</v>
      </c>
    </row>
    <row r="83" spans="4:15" ht="30.75" x14ac:dyDescent="0.25">
      <c r="D83" s="109">
        <v>7</v>
      </c>
      <c r="E83" s="140" t="s">
        <v>282</v>
      </c>
      <c r="F83"/>
      <c r="G83" s="201">
        <f t="shared" ref="G83:O83" si="47">100*(1-(($S69-G69)/($S69-$T69)))</f>
        <v>52.777777777777779</v>
      </c>
      <c r="H83" s="201">
        <f t="shared" si="47"/>
        <v>50</v>
      </c>
      <c r="I83" s="201">
        <f t="shared" si="47"/>
        <v>0</v>
      </c>
      <c r="J83" s="201">
        <f t="shared" si="47"/>
        <v>69.444444444444443</v>
      </c>
      <c r="K83" s="201">
        <f t="shared" si="47"/>
        <v>58.333333333333329</v>
      </c>
      <c r="L83" s="201">
        <f t="shared" si="47"/>
        <v>100</v>
      </c>
      <c r="M83" s="201">
        <f t="shared" si="47"/>
        <v>36.111111111111114</v>
      </c>
      <c r="N83" s="201">
        <f t="shared" si="47"/>
        <v>97.222222222222214</v>
      </c>
      <c r="O83" s="201">
        <f t="shared" si="47"/>
        <v>47.222222222222221</v>
      </c>
    </row>
    <row r="84" spans="4:15" ht="42" customHeight="1" x14ac:dyDescent="0.25">
      <c r="D84" s="109">
        <v>8</v>
      </c>
      <c r="E84" s="140" t="s">
        <v>284</v>
      </c>
      <c r="F84"/>
      <c r="G84" s="201">
        <f>80*(($T$70-H70)/($T70-$S70))</f>
        <v>25.145802370255023</v>
      </c>
      <c r="H84" s="201">
        <f>80*(($T$70-I70)/($T70-$S70))</f>
        <v>2.1735351741616005</v>
      </c>
      <c r="I84" s="119">
        <f t="shared" ref="I84:O84" si="48">80*(1-(($T$70-I70)/($T70-$S70)))</f>
        <v>77.8264648258384</v>
      </c>
      <c r="J84" s="119">
        <f t="shared" si="48"/>
        <v>53.074303743980984</v>
      </c>
      <c r="K84" s="119">
        <f t="shared" si="48"/>
        <v>65.483415595503743</v>
      </c>
      <c r="L84" s="119">
        <f t="shared" si="48"/>
        <v>79.180423012519711</v>
      </c>
      <c r="M84" s="119">
        <f t="shared" si="48"/>
        <v>0</v>
      </c>
      <c r="N84" s="119">
        <f t="shared" si="48"/>
        <v>79.309355717446195</v>
      </c>
      <c r="O84" s="119">
        <f t="shared" si="48"/>
        <v>80</v>
      </c>
    </row>
    <row r="85" spans="4:15" ht="26.25" x14ac:dyDescent="0.25">
      <c r="D85" s="109">
        <v>9</v>
      </c>
      <c r="E85" s="140" t="s">
        <v>286</v>
      </c>
      <c r="F85" s="19" t="s">
        <v>149</v>
      </c>
      <c r="G85" s="19">
        <f>+G71</f>
        <v>40</v>
      </c>
      <c r="H85" s="109">
        <f t="shared" ref="H85:M85" si="49">+H71</f>
        <v>40</v>
      </c>
      <c r="I85" s="109">
        <f t="shared" si="49"/>
        <v>40</v>
      </c>
      <c r="J85" s="109">
        <f t="shared" si="49"/>
        <v>40</v>
      </c>
      <c r="K85" s="109" t="str">
        <f t="shared" si="49"/>
        <v>medio</v>
      </c>
      <c r="L85" s="109">
        <f t="shared" si="49"/>
        <v>40</v>
      </c>
      <c r="M85" s="109">
        <f t="shared" si="49"/>
        <v>40</v>
      </c>
      <c r="N85" s="496">
        <f t="shared" ref="N85" si="50">+N71</f>
        <v>40</v>
      </c>
      <c r="O85" s="496">
        <f t="shared" ref="O85" si="51">+O71</f>
        <v>40</v>
      </c>
    </row>
    <row r="86" spans="4:15" ht="26.25" x14ac:dyDescent="0.25">
      <c r="D86" s="109">
        <v>10</v>
      </c>
      <c r="E86" s="140" t="s">
        <v>287</v>
      </c>
      <c r="F86" s="19" t="s">
        <v>239</v>
      </c>
      <c r="G86" s="19">
        <f t="shared" ref="G86:K87" si="52">G72</f>
        <v>13</v>
      </c>
      <c r="H86" s="109">
        <f t="shared" si="52"/>
        <v>26</v>
      </c>
      <c r="I86" s="109">
        <f t="shared" si="52"/>
        <v>13</v>
      </c>
      <c r="J86" s="109">
        <f t="shared" si="52"/>
        <v>13</v>
      </c>
      <c r="K86" s="109">
        <f t="shared" ref="K86:M87" si="53">K72</f>
        <v>40</v>
      </c>
      <c r="L86" s="109">
        <f t="shared" si="53"/>
        <v>26</v>
      </c>
      <c r="M86" s="109">
        <f t="shared" si="53"/>
        <v>26</v>
      </c>
      <c r="N86" s="496">
        <f t="shared" ref="N86" si="54">N72</f>
        <v>26</v>
      </c>
      <c r="O86" s="496">
        <f t="shared" ref="O86" si="55">O72</f>
        <v>26</v>
      </c>
    </row>
    <row r="87" spans="4:15" ht="26.25" x14ac:dyDescent="0.25">
      <c r="D87" s="109">
        <v>11</v>
      </c>
      <c r="E87" s="140" t="s">
        <v>290</v>
      </c>
      <c r="F87" s="19" t="s">
        <v>292</v>
      </c>
      <c r="G87" s="19">
        <f>G73</f>
        <v>40</v>
      </c>
      <c r="H87" s="109">
        <f t="shared" si="52"/>
        <v>26</v>
      </c>
      <c r="I87" s="109">
        <f t="shared" si="52"/>
        <v>26</v>
      </c>
      <c r="J87" s="109">
        <f t="shared" si="52"/>
        <v>40</v>
      </c>
      <c r="K87" s="109">
        <f t="shared" si="52"/>
        <v>26</v>
      </c>
      <c r="L87" s="109">
        <f t="shared" si="53"/>
        <v>26</v>
      </c>
      <c r="M87" s="109">
        <f t="shared" si="53"/>
        <v>26</v>
      </c>
      <c r="N87" s="496">
        <f t="shared" ref="N87" si="56">N73</f>
        <v>40</v>
      </c>
      <c r="O87" s="496">
        <f t="shared" ref="O87" si="57">O73</f>
        <v>40</v>
      </c>
    </row>
    <row r="88" spans="4:15" ht="30.75" x14ac:dyDescent="0.25">
      <c r="D88" s="109">
        <v>12</v>
      </c>
      <c r="E88" s="140" t="s">
        <v>294</v>
      </c>
      <c r="F88" s="19" t="s">
        <v>149</v>
      </c>
      <c r="G88" s="19">
        <f>+G74</f>
        <v>40</v>
      </c>
      <c r="H88" s="109">
        <f t="shared" ref="H88:M88" si="58">+H74</f>
        <v>40</v>
      </c>
      <c r="I88" s="109">
        <f t="shared" si="58"/>
        <v>40</v>
      </c>
      <c r="J88" s="109">
        <f t="shared" si="58"/>
        <v>40</v>
      </c>
      <c r="K88" s="109" t="str">
        <f t="shared" si="58"/>
        <v>medio</v>
      </c>
      <c r="L88" s="109">
        <f t="shared" si="58"/>
        <v>40</v>
      </c>
      <c r="M88" s="109">
        <f t="shared" si="58"/>
        <v>40</v>
      </c>
      <c r="N88" s="496">
        <f t="shared" ref="N88" si="59">+N74</f>
        <v>40</v>
      </c>
      <c r="O88" s="496">
        <f t="shared" ref="O88" si="60">+O74</f>
        <v>40</v>
      </c>
    </row>
    <row r="89" spans="4:15" x14ac:dyDescent="0.25">
      <c r="D89" s="109"/>
    </row>
    <row r="90" spans="4:15" ht="23.25" x14ac:dyDescent="0.25">
      <c r="D90" s="109"/>
      <c r="F90" s="142" t="s">
        <v>295</v>
      </c>
      <c r="G90" s="202">
        <f>SUM(G77:G88)</f>
        <v>528.75211116583137</v>
      </c>
      <c r="H90" s="143">
        <f t="shared" ref="H90:M90" si="61">SUM(H77:H88)</f>
        <v>344.47533234663814</v>
      </c>
      <c r="I90" s="143">
        <f t="shared" si="61"/>
        <v>577.73641785162044</v>
      </c>
      <c r="J90" s="143">
        <f t="shared" si="61"/>
        <v>709.12002312983509</v>
      </c>
      <c r="K90" s="143">
        <f t="shared" si="61"/>
        <v>577.49370555129212</v>
      </c>
      <c r="L90" s="143">
        <f t="shared" si="61"/>
        <v>644.31289782226361</v>
      </c>
      <c r="M90" s="143">
        <f t="shared" si="61"/>
        <v>327.3187270615731</v>
      </c>
      <c r="N90" s="143">
        <f t="shared" ref="N90" si="62">SUM(N77:N88)</f>
        <v>696.56051739084239</v>
      </c>
      <c r="O90" s="143">
        <f t="shared" ref="O90" si="63">SUM(O77:O88)</f>
        <v>541.14700310530577</v>
      </c>
    </row>
    <row r="91" spans="4:15" x14ac:dyDescent="0.25">
      <c r="D91" s="109"/>
    </row>
    <row r="92" spans="4:15" x14ac:dyDescent="0.25">
      <c r="D92" s="109"/>
    </row>
    <row r="93" spans="4:15" x14ac:dyDescent="0.25">
      <c r="D93" s="109"/>
    </row>
    <row r="94" spans="4:15" x14ac:dyDescent="0.25">
      <c r="D94" s="109"/>
      <c r="F94"/>
      <c r="H94" s="145"/>
    </row>
    <row r="95" spans="4:15" x14ac:dyDescent="0.25">
      <c r="D95" s="109"/>
      <c r="F95"/>
    </row>
    <row r="96" spans="4:15" x14ac:dyDescent="0.25">
      <c r="E96" s="145"/>
      <c r="F96"/>
    </row>
    <row r="97" spans="3:15" ht="15.75" thickBot="1" x14ac:dyDescent="0.3">
      <c r="E97" s="145"/>
      <c r="F97"/>
    </row>
    <row r="98" spans="3:15" ht="33" customHeight="1" thickBot="1" x14ac:dyDescent="0.3">
      <c r="E98" s="145"/>
      <c r="F98"/>
      <c r="H98" s="1071" t="s">
        <v>1075</v>
      </c>
      <c r="I98" s="1072"/>
      <c r="J98" s="1072"/>
      <c r="K98" s="1072"/>
      <c r="L98" s="1072"/>
      <c r="M98" s="1073"/>
      <c r="N98" s="874"/>
    </row>
    <row r="99" spans="3:15" ht="36.75" customHeight="1" thickBot="1" x14ac:dyDescent="0.3">
      <c r="E99" s="145"/>
      <c r="F99"/>
      <c r="H99" s="444" t="s">
        <v>1096</v>
      </c>
      <c r="I99" s="445" t="s">
        <v>58</v>
      </c>
      <c r="J99" s="445" t="s">
        <v>296</v>
      </c>
      <c r="K99" s="445" t="s">
        <v>314</v>
      </c>
      <c r="L99" s="445" t="s">
        <v>297</v>
      </c>
      <c r="M99" s="446" t="s">
        <v>298</v>
      </c>
      <c r="N99" s="875"/>
    </row>
    <row r="100" spans="3:15" ht="24.95" customHeight="1" x14ac:dyDescent="0.25">
      <c r="C100" s="109">
        <v>1</v>
      </c>
      <c r="D100" s="109">
        <f>+HLOOKUP(C100,TUNSUP!$G$9:$O$90,82,"FALSO")</f>
        <v>528.75211116583137</v>
      </c>
      <c r="E100" s="109" t="str">
        <f>+HLOOKUP(C100,TUNSUP!$G$9:$O$90,2,"FALSO")</f>
        <v>REVESTIMIENTO CANAL VISTA FLORES</v>
      </c>
      <c r="F100" s="293">
        <f>+HLOOKUP(C100,TUNSUP!$G$9:$O$90,28,"FALSO")</f>
        <v>2542018.5499999998</v>
      </c>
      <c r="G100" s="293" t="str">
        <f>+HLOOKUP(C100,TUNSUP!$G$9:$O$90,4,"FALSO")</f>
        <v>Canal Vista Flores</v>
      </c>
      <c r="H100" s="884">
        <v>709.12002312983509</v>
      </c>
      <c r="I100" s="885" t="s">
        <v>299</v>
      </c>
      <c r="J100" s="886" t="str">
        <f t="shared" ref="J100:J107" si="64">+VLOOKUP(H100,$D$100:$G$108,2,"FALSO")</f>
        <v>REVESTIMIENTO CANAL MATRIZ A° GUIÑAZU</v>
      </c>
      <c r="K100" s="886" t="str">
        <f>VLOOKUP(H100,$D$100:$G$108,4,"FALSO")</f>
        <v>Arroyo Guiñazú</v>
      </c>
      <c r="L100" s="887">
        <f>+VLOOKUP(H100,$D$100:$G$108,3,"FALSO")</f>
        <v>2680629.7799999998</v>
      </c>
      <c r="M100" s="888">
        <f>+L100</f>
        <v>2680629.7799999998</v>
      </c>
      <c r="N100" s="876"/>
      <c r="O100" s="109"/>
    </row>
    <row r="101" spans="3:15" ht="24.95" customHeight="1" x14ac:dyDescent="0.25">
      <c r="C101" s="109">
        <v>2</v>
      </c>
      <c r="D101" s="496">
        <f>+HLOOKUP(C101,TUNSUP!$G$9:$O$90,82,"FALSO")</f>
        <v>344.47533234663814</v>
      </c>
      <c r="E101" s="496" t="str">
        <f>+HLOOKUP(C101,TUNSUP!$G$9:$O$90,2,"FALSO")</f>
        <v>REVESTIMIENTO Y/O REP. CANALETA HIJUELA PAREJAS</v>
      </c>
      <c r="F101" s="293">
        <f>+HLOOKUP(C101,TUNSUP!$G$9:$O$90,28,"FALSO")</f>
        <v>2100000</v>
      </c>
      <c r="G101" s="293" t="str">
        <f>+HLOOKUP(C101,TUNSUP!$G$9:$O$90,4,"FALSO")</f>
        <v>Manantiales de Tunuyán - Z. Centro</v>
      </c>
      <c r="H101" s="889">
        <v>696.56051739084239</v>
      </c>
      <c r="I101" s="890" t="s">
        <v>300</v>
      </c>
      <c r="J101" s="886" t="str">
        <f t="shared" si="64"/>
        <v>Dique Las Tunas- Mantenimiento y reparación de compuertas</v>
      </c>
      <c r="K101" s="886" t="str">
        <f t="shared" ref="K101:K108" si="65">VLOOKUP(H101,$D$100:$G$108,4,"FALSO")</f>
        <v>I.C.A.T.</v>
      </c>
      <c r="L101" s="887">
        <f t="shared" ref="L101:L108" si="66">+VLOOKUP(H101,$D$100:$G$108,3,"FALSO")</f>
        <v>3556000</v>
      </c>
      <c r="M101" s="858">
        <f>+M100+L101</f>
        <v>6236629.7799999993</v>
      </c>
      <c r="N101" s="876"/>
    </row>
    <row r="102" spans="3:15" ht="24.95" customHeight="1" x14ac:dyDescent="0.25">
      <c r="C102" s="496">
        <v>3</v>
      </c>
      <c r="D102" s="496">
        <f>+HLOOKUP(C102,TUNSUP!$G$9:$O$90,82,"FALSO")</f>
        <v>577.73641785162044</v>
      </c>
      <c r="E102" s="496" t="str">
        <f>+HLOOKUP(C102,TUNSUP!$G$9:$O$90,2,"FALSO")</f>
        <v>REVESTIMIENTO CANAL CAPACHO</v>
      </c>
      <c r="F102" s="293">
        <f>+HLOOKUP(C102,TUNSUP!$G$9:$O$90,28,"FALSO")</f>
        <v>702851.1</v>
      </c>
      <c r="G102" s="293" t="str">
        <f>+HLOOKUP(C102,TUNSUP!$G$9:$O$90,4,"FALSO")</f>
        <v>Canal Capacho</v>
      </c>
      <c r="H102" s="889">
        <v>644.31289782226361</v>
      </c>
      <c r="I102" s="890" t="s">
        <v>301</v>
      </c>
      <c r="J102" s="886" t="str">
        <f t="shared" si="64"/>
        <v xml:space="preserve">REVESTIMIENTO DE HIJUELAS </v>
      </c>
      <c r="K102" s="886" t="str">
        <f t="shared" si="65"/>
        <v>Canal Mtz. Este Unif.</v>
      </c>
      <c r="L102" s="887">
        <f t="shared" si="66"/>
        <v>3579135.79</v>
      </c>
      <c r="M102" s="858">
        <f t="shared" ref="M102:M108" si="67">+M101+L102</f>
        <v>9815765.5700000003</v>
      </c>
      <c r="N102" s="876"/>
    </row>
    <row r="103" spans="3:15" ht="24.95" customHeight="1" x14ac:dyDescent="0.25">
      <c r="C103" s="496">
        <v>4</v>
      </c>
      <c r="D103" s="496">
        <f>+HLOOKUP(C103,TUNSUP!$G$9:$O$90,82,"FALSO")</f>
        <v>709.12002312983509</v>
      </c>
      <c r="E103" s="496" t="str">
        <f>+HLOOKUP(C103,TUNSUP!$G$9:$O$90,2,"FALSO")</f>
        <v>REVESTIMIENTO CANAL MATRIZ A° GUIÑAZU</v>
      </c>
      <c r="F103" s="293">
        <f>+HLOOKUP(C103,TUNSUP!$G$9:$O$90,28,"FALSO")</f>
        <v>2680629.7799999998</v>
      </c>
      <c r="G103" s="293" t="str">
        <f>+HLOOKUP(C103,TUNSUP!$G$9:$O$90,4,"FALSO")</f>
        <v>Arroyo Guiñazú</v>
      </c>
      <c r="H103" s="889">
        <v>577.73641785162044</v>
      </c>
      <c r="I103" s="890" t="s">
        <v>302</v>
      </c>
      <c r="J103" s="886" t="str">
        <f t="shared" si="64"/>
        <v>REVESTIMIENTO CANAL CAPACHO</v>
      </c>
      <c r="K103" s="886" t="str">
        <f t="shared" si="65"/>
        <v>Canal Capacho</v>
      </c>
      <c r="L103" s="887">
        <f t="shared" si="66"/>
        <v>702851.1</v>
      </c>
      <c r="M103" s="858">
        <f t="shared" si="67"/>
        <v>10518616.67</v>
      </c>
      <c r="N103" s="876"/>
    </row>
    <row r="104" spans="3:15" ht="24.95" customHeight="1" x14ac:dyDescent="0.25">
      <c r="C104" s="496">
        <v>5</v>
      </c>
      <c r="D104" s="496">
        <f>+HLOOKUP(C104,TUNSUP!$G$9:$O$90,82,"FALSO")</f>
        <v>577.49370555129212</v>
      </c>
      <c r="E104" s="496" t="str">
        <f>+HLOOKUP(C104,TUNSUP!$G$9:$O$90,2,"FALSO")</f>
        <v>REVESTIMIENTO CANAL CONSULTA RAMA CENTRO</v>
      </c>
      <c r="F104" s="293">
        <f>+HLOOKUP(C104,TUNSUP!$G$9:$O$90,28,"FALSO")</f>
        <v>3700000</v>
      </c>
      <c r="G104" s="293" t="str">
        <f>+HLOOKUP(C104,TUNSUP!$G$9:$O$90,4,"FALSO")</f>
        <v>Canal Mz. Valle de Uco Margen Derecha</v>
      </c>
      <c r="H104" s="889">
        <v>577.49370555129212</v>
      </c>
      <c r="I104" s="890" t="s">
        <v>303</v>
      </c>
      <c r="J104" s="886" t="str">
        <f t="shared" si="64"/>
        <v>REVESTIMIENTO CANAL CONSULTA RAMA CENTRO</v>
      </c>
      <c r="K104" s="886" t="str">
        <f t="shared" si="65"/>
        <v>Canal Mz. Valle de Uco Margen Derecha</v>
      </c>
      <c r="L104" s="887">
        <f t="shared" si="66"/>
        <v>3700000</v>
      </c>
      <c r="M104" s="858">
        <f t="shared" si="67"/>
        <v>14218616.67</v>
      </c>
      <c r="N104" s="549"/>
    </row>
    <row r="105" spans="3:15" ht="24.95" customHeight="1" x14ac:dyDescent="0.25">
      <c r="C105" s="496">
        <v>6</v>
      </c>
      <c r="D105" s="496">
        <f>+HLOOKUP(C105,TUNSUP!$G$9:$O$90,82,"FALSO")</f>
        <v>644.31289782226361</v>
      </c>
      <c r="E105" s="496" t="str">
        <f>+HLOOKUP(C105,TUNSUP!$G$9:$O$90,2,"FALSO")</f>
        <v xml:space="preserve">REVESTIMIENTO DE HIJUELAS </v>
      </c>
      <c r="F105" s="293">
        <f>+HLOOKUP(C105,TUNSUP!$G$9:$O$90,28,"FALSO")</f>
        <v>3579135.79</v>
      </c>
      <c r="G105" s="293" t="str">
        <f>+HLOOKUP(C105,TUNSUP!$G$9:$O$90,4,"FALSO")</f>
        <v>Canal Mtz. Este Unif.</v>
      </c>
      <c r="H105" s="889">
        <v>541.14700310530577</v>
      </c>
      <c r="I105" s="890" t="s">
        <v>304</v>
      </c>
      <c r="J105" s="886" t="str">
        <f t="shared" si="64"/>
        <v>REVESTIMIENTO 10 PARTIDORES CANAL RAMA DE AFUERA</v>
      </c>
      <c r="K105" s="886" t="str">
        <f t="shared" si="65"/>
        <v>A° Yaucha - Aguanda</v>
      </c>
      <c r="L105" s="887">
        <f t="shared" si="66"/>
        <v>4000000</v>
      </c>
      <c r="M105" s="858">
        <f t="shared" si="67"/>
        <v>18218616.670000002</v>
      </c>
      <c r="N105" s="876"/>
    </row>
    <row r="106" spans="3:15" ht="24.95" customHeight="1" thickBot="1" x14ac:dyDescent="0.3">
      <c r="C106" s="496">
        <v>7</v>
      </c>
      <c r="D106" s="496">
        <f>+HLOOKUP(C106,TUNSUP!$G$9:$O$90,82,"FALSO")</f>
        <v>327.3187270615731</v>
      </c>
      <c r="E106" s="496" t="str">
        <f>+HLOOKUP(C106,TUNSUP!$G$9:$O$90,2,"FALSO")</f>
        <v>REVESTIMIENTO CANAL PAMPA O SALTO</v>
      </c>
      <c r="F106" s="293">
        <f>+HLOOKUP(C106,TUNSUP!$G$9:$O$90,28,"FALSO")</f>
        <v>2200000</v>
      </c>
      <c r="G106" s="293" t="str">
        <f>+HLOOKUP(C106,TUNSUP!$G$9:$O$90,4,"FALSO")</f>
        <v>A° Río de la Pampa o Salto</v>
      </c>
      <c r="H106" s="889">
        <v>528.75211116583137</v>
      </c>
      <c r="I106" s="890" t="s">
        <v>305</v>
      </c>
      <c r="J106" s="886" t="str">
        <f t="shared" si="64"/>
        <v>REVESTIMIENTO CANAL VISTA FLORES</v>
      </c>
      <c r="K106" s="886" t="str">
        <f t="shared" si="65"/>
        <v>Canal Vista Flores</v>
      </c>
      <c r="L106" s="887">
        <f t="shared" si="66"/>
        <v>2542018.5499999998</v>
      </c>
      <c r="M106" s="858">
        <f t="shared" si="67"/>
        <v>20760635.220000003</v>
      </c>
      <c r="N106" s="876"/>
    </row>
    <row r="107" spans="3:15" ht="24.95" customHeight="1" thickBot="1" x14ac:dyDescent="0.3">
      <c r="C107" s="496">
        <v>8</v>
      </c>
      <c r="D107" s="496">
        <f>+HLOOKUP(C107,TUNSUP!$G$9:$O$90,82,"FALSO")</f>
        <v>696.56051739084239</v>
      </c>
      <c r="E107" s="496" t="str">
        <f>+HLOOKUP(C107,TUNSUP!$G$9:$O$90,2,"FALSO")</f>
        <v>Dique Las Tunas- Mantenimiento y reparación de compuertas</v>
      </c>
      <c r="F107" s="293">
        <f>+HLOOKUP(C107,TUNSUP!$G$9:$O$90,28,"FALSO")</f>
        <v>3556000</v>
      </c>
      <c r="G107" s="293" t="str">
        <f>+HLOOKUP(C107,TUNSUP!$G$9:$O$90,4,"FALSO")</f>
        <v>I.C.A.T.</v>
      </c>
      <c r="H107" s="891">
        <v>344.47533234663814</v>
      </c>
      <c r="I107" s="892" t="s">
        <v>306</v>
      </c>
      <c r="J107" s="593" t="str">
        <f t="shared" si="64"/>
        <v>REVESTIMIENTO Y/O REP. CANALETA HIJUELA PAREJAS</v>
      </c>
      <c r="K107" s="593" t="str">
        <f t="shared" si="65"/>
        <v>Manantiales de Tunuyán - Z. Centro</v>
      </c>
      <c r="L107" s="860">
        <f t="shared" si="66"/>
        <v>2100000</v>
      </c>
      <c r="M107" s="861">
        <f t="shared" si="67"/>
        <v>22860635.220000003</v>
      </c>
      <c r="N107" s="883">
        <f>+FICHA!T12</f>
        <v>22400000.000000004</v>
      </c>
    </row>
    <row r="108" spans="3:15" ht="23.25" customHeight="1" thickBot="1" x14ac:dyDescent="0.3">
      <c r="C108" s="496">
        <v>9</v>
      </c>
      <c r="D108" s="496">
        <f>+HLOOKUP(C108,TUNSUP!$G$9:$O$90,82,"FALSO")</f>
        <v>541.14700310530577</v>
      </c>
      <c r="E108" s="496" t="str">
        <f>+HLOOKUP(C108,TUNSUP!$G$9:$O$90,2,"FALSO")</f>
        <v>REVESTIMIENTO 10 PARTIDORES CANAL RAMA DE AFUERA</v>
      </c>
      <c r="F108" s="293">
        <f>+HLOOKUP(C108,TUNSUP!$G$9:$O$90,28,"FALSO")</f>
        <v>4000000</v>
      </c>
      <c r="G108" s="293" t="str">
        <f>+HLOOKUP(C108,TUNSUP!$G$9:$O$90,4,"FALSO")</f>
        <v>A° Yaucha - Aguanda</v>
      </c>
      <c r="H108" s="893">
        <v>327.3187270615731</v>
      </c>
      <c r="I108" s="894" t="s">
        <v>307</v>
      </c>
      <c r="J108" s="895" t="str">
        <f>+VLOOKUP(H108,$D$100:$G$108,2,"FALSO")</f>
        <v>REVESTIMIENTO CANAL PAMPA O SALTO</v>
      </c>
      <c r="K108" s="895" t="str">
        <f t="shared" si="65"/>
        <v>A° Río de la Pampa o Salto</v>
      </c>
      <c r="L108" s="896">
        <f t="shared" si="66"/>
        <v>2200000</v>
      </c>
      <c r="M108" s="897">
        <f t="shared" si="67"/>
        <v>25060635.220000003</v>
      </c>
    </row>
    <row r="109" spans="3:15" x14ac:dyDescent="0.25">
      <c r="F109" s="435"/>
    </row>
    <row r="110" spans="3:15" x14ac:dyDescent="0.25">
      <c r="F110" s="435">
        <f>SUM(F100:F109)</f>
        <v>25060635.219999999</v>
      </c>
    </row>
  </sheetData>
  <mergeCells count="27">
    <mergeCell ref="C11:F11"/>
    <mergeCell ref="C6:E6"/>
    <mergeCell ref="C7:F7"/>
    <mergeCell ref="C8:F8"/>
    <mergeCell ref="C9:F9"/>
    <mergeCell ref="C10:F10"/>
    <mergeCell ref="D66:E66"/>
    <mergeCell ref="C12:F12"/>
    <mergeCell ref="C13:F13"/>
    <mergeCell ref="C14:F14"/>
    <mergeCell ref="C15:E15"/>
    <mergeCell ref="C36:C37"/>
    <mergeCell ref="C43:C46"/>
    <mergeCell ref="C48:C51"/>
    <mergeCell ref="C54:C55"/>
    <mergeCell ref="D63:E63"/>
    <mergeCell ref="D64:E64"/>
    <mergeCell ref="D65:E65"/>
    <mergeCell ref="D73:E73"/>
    <mergeCell ref="D74:E74"/>
    <mergeCell ref="H98:M98"/>
    <mergeCell ref="D67:E67"/>
    <mergeCell ref="D68:E68"/>
    <mergeCell ref="D69:E69"/>
    <mergeCell ref="D70:E70"/>
    <mergeCell ref="D71:E71"/>
    <mergeCell ref="D72:E7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20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9697" r:id="rId4">
          <objectPr defaultSize="0" autoPict="0" r:id="rId5">
            <anchor moveWithCells="1" sizeWithCells="1">
              <from>
                <xdr:col>5</xdr:col>
                <xdr:colOff>9525</xdr:colOff>
                <xdr:row>79</xdr:row>
                <xdr:rowOff>228600</xdr:rowOff>
              </from>
              <to>
                <xdr:col>5</xdr:col>
                <xdr:colOff>1733550</xdr:colOff>
                <xdr:row>79</xdr:row>
                <xdr:rowOff>628650</xdr:rowOff>
              </to>
            </anchor>
          </objectPr>
        </oleObject>
      </mc:Choice>
      <mc:Fallback>
        <oleObject progId="Equation.3" shapeId="29697" r:id="rId4"/>
      </mc:Fallback>
    </mc:AlternateContent>
    <mc:AlternateContent xmlns:mc="http://schemas.openxmlformats.org/markup-compatibility/2006">
      <mc:Choice Requires="x14">
        <oleObject progId="Equation.3" shapeId="29698" r:id="rId6">
          <objectPr defaultSize="0" autoPict="0" r:id="rId7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81</xdr:row>
                <xdr:rowOff>0</xdr:rowOff>
              </to>
            </anchor>
          </objectPr>
        </oleObject>
      </mc:Choice>
      <mc:Fallback>
        <oleObject progId="Equation.3" shapeId="29698" r:id="rId6"/>
      </mc:Fallback>
    </mc:AlternateContent>
    <mc:AlternateContent xmlns:mc="http://schemas.openxmlformats.org/markup-compatibility/2006">
      <mc:Choice Requires="x14">
        <oleObject progId="Equation.3" shapeId="29699" r:id="rId8">
          <objectPr defaultSize="0" autoPict="0" r:id="rId9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82</xdr:row>
                <xdr:rowOff>0</xdr:rowOff>
              </to>
            </anchor>
          </objectPr>
        </oleObject>
      </mc:Choice>
      <mc:Fallback>
        <oleObject progId="Equation.3" shapeId="29699" r:id="rId8"/>
      </mc:Fallback>
    </mc:AlternateContent>
    <mc:AlternateContent xmlns:mc="http://schemas.openxmlformats.org/markup-compatibility/2006">
      <mc:Choice Requires="x14">
        <oleObject progId="Equation.3" shapeId="29700" r:id="rId10">
          <objectPr defaultSize="0" autoPict="0" r:id="rId11">
            <anchor moveWithCells="1" sizeWithCells="1">
              <from>
                <xdr:col>5</xdr:col>
                <xdr:colOff>0</xdr:colOff>
                <xdr:row>82</xdr:row>
                <xdr:rowOff>0</xdr:rowOff>
              </from>
              <to>
                <xdr:col>6</xdr:col>
                <xdr:colOff>0</xdr:colOff>
                <xdr:row>83</xdr:row>
                <xdr:rowOff>0</xdr:rowOff>
              </to>
            </anchor>
          </objectPr>
        </oleObject>
      </mc:Choice>
      <mc:Fallback>
        <oleObject progId="Equation.3" shapeId="29700" r:id="rId10"/>
      </mc:Fallback>
    </mc:AlternateContent>
    <mc:AlternateContent xmlns:mc="http://schemas.openxmlformats.org/markup-compatibility/2006">
      <mc:Choice Requires="x14">
        <oleObject progId="Equation.3" shapeId="29701" r:id="rId12">
          <objectPr defaultSize="0" autoPict="0" r:id="rId13">
            <anchor moveWithCells="1" sizeWithCells="1">
              <from>
                <xdr:col>5</xdr:col>
                <xdr:colOff>285750</xdr:colOff>
                <xdr:row>83</xdr:row>
                <xdr:rowOff>76200</xdr:rowOff>
              </from>
              <to>
                <xdr:col>5</xdr:col>
                <xdr:colOff>1857375</xdr:colOff>
                <xdr:row>83</xdr:row>
                <xdr:rowOff>476250</xdr:rowOff>
              </to>
            </anchor>
          </objectPr>
        </oleObject>
      </mc:Choice>
      <mc:Fallback>
        <oleObject progId="Equation.3" shapeId="29701" r:id="rId12"/>
      </mc:Fallback>
    </mc:AlternateContent>
    <mc:AlternateContent xmlns:mc="http://schemas.openxmlformats.org/markup-compatibility/2006">
      <mc:Choice Requires="x14">
        <oleObject progId="Equation.3" shapeId="29702" r:id="rId14">
          <objectPr defaultSize="0" autoPict="0" r:id="rId15">
            <anchor moveWithCells="1" sizeWithCells="1">
              <from>
                <xdr:col>5</xdr:col>
                <xdr:colOff>228600</xdr:colOff>
                <xdr:row>76</xdr:row>
                <xdr:rowOff>133350</xdr:rowOff>
              </from>
              <to>
                <xdr:col>5</xdr:col>
                <xdr:colOff>1952625</xdr:colOff>
                <xdr:row>76</xdr:row>
                <xdr:rowOff>561975</xdr:rowOff>
              </to>
            </anchor>
          </objectPr>
        </oleObject>
      </mc:Choice>
      <mc:Fallback>
        <oleObject progId="Equation.3" shapeId="29702" r:id="rId14"/>
      </mc:Fallback>
    </mc:AlternateContent>
    <mc:AlternateContent xmlns:mc="http://schemas.openxmlformats.org/markup-compatibility/2006">
      <mc:Choice Requires="x14">
        <oleObject progId="Equation.3" shapeId="29703" r:id="rId16">
          <objectPr defaultSize="0" autoPict="0" r:id="rId17">
            <anchor moveWithCells="1" sizeWithCells="1">
              <from>
                <xdr:col>5</xdr:col>
                <xdr:colOff>76200</xdr:colOff>
                <xdr:row>77</xdr:row>
                <xdr:rowOff>114300</xdr:rowOff>
              </from>
              <to>
                <xdr:col>5</xdr:col>
                <xdr:colOff>2066925</xdr:colOff>
                <xdr:row>77</xdr:row>
                <xdr:rowOff>466725</xdr:rowOff>
              </to>
            </anchor>
          </objectPr>
        </oleObject>
      </mc:Choice>
      <mc:Fallback>
        <oleObject progId="Equation.3" shapeId="29703" r:id="rId16"/>
      </mc:Fallback>
    </mc:AlternateContent>
    <mc:AlternateContent xmlns:mc="http://schemas.openxmlformats.org/markup-compatibility/2006">
      <mc:Choice Requires="x14">
        <oleObject progId="Equation.3" shapeId="29704" r:id="rId18">
          <objectPr defaultSize="0" autoPict="0" r:id="rId19">
            <anchor moveWithCells="1" sizeWithCells="1">
              <from>
                <xdr:col>5</xdr:col>
                <xdr:colOff>76200</xdr:colOff>
                <xdr:row>78</xdr:row>
                <xdr:rowOff>161925</xdr:rowOff>
              </from>
              <to>
                <xdr:col>5</xdr:col>
                <xdr:colOff>2066925</xdr:colOff>
                <xdr:row>78</xdr:row>
                <xdr:rowOff>523875</xdr:rowOff>
              </to>
            </anchor>
          </objectPr>
        </oleObject>
      </mc:Choice>
      <mc:Fallback>
        <oleObject progId="Equation.3" shapeId="29704" r:id="rId18"/>
      </mc:Fallback>
    </mc:AlternateContent>
    <mc:AlternateContent xmlns:mc="http://schemas.openxmlformats.org/markup-compatibility/2006">
      <mc:Choice Requires="x14">
        <oleObject progId="Equation.3" shapeId="29705" r:id="rId20">
          <objectPr defaultSize="0" autoPict="0" r:id="rId7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81</xdr:row>
                <xdr:rowOff>0</xdr:rowOff>
              </to>
            </anchor>
          </objectPr>
        </oleObject>
      </mc:Choice>
      <mc:Fallback>
        <oleObject progId="Equation.3" shapeId="29705" r:id="rId20"/>
      </mc:Fallback>
    </mc:AlternateContent>
    <mc:AlternateContent xmlns:mc="http://schemas.openxmlformats.org/markup-compatibility/2006">
      <mc:Choice Requires="x14">
        <oleObject progId="Equation.3" shapeId="29706" r:id="rId21">
          <objectPr defaultSize="0" autoPict="0" r:id="rId9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82</xdr:row>
                <xdr:rowOff>0</xdr:rowOff>
              </to>
            </anchor>
          </objectPr>
        </oleObject>
      </mc:Choice>
      <mc:Fallback>
        <oleObject progId="Equation.3" shapeId="29706" r:id="rId21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8"/>
  <sheetViews>
    <sheetView topLeftCell="A74" zoomScale="55" zoomScaleNormal="55" workbookViewId="0">
      <selection activeCell="H100" sqref="H100:L107"/>
    </sheetView>
  </sheetViews>
  <sheetFormatPr baseColWidth="10" defaultRowHeight="15" x14ac:dyDescent="0.25"/>
  <cols>
    <col min="2" max="2" width="3.7109375" customWidth="1"/>
    <col min="3" max="3" width="12.28515625" customWidth="1"/>
    <col min="4" max="4" width="10.5703125" customWidth="1"/>
    <col min="5" max="5" width="45.28515625" customWidth="1"/>
    <col min="6" max="6" width="27.140625" style="19" customWidth="1"/>
    <col min="7" max="7" width="29.5703125" style="109" customWidth="1"/>
    <col min="8" max="8" width="15.28515625" style="109" customWidth="1"/>
    <col min="9" max="9" width="12.42578125" style="109" customWidth="1"/>
    <col min="10" max="10" width="88.85546875" style="109" customWidth="1"/>
    <col min="11" max="11" width="35.5703125" style="109" customWidth="1"/>
    <col min="12" max="12" width="23.140625" style="109" customWidth="1"/>
    <col min="13" max="13" width="26" style="109" customWidth="1"/>
    <col min="14" max="14" width="36.7109375" style="109" customWidth="1"/>
    <col min="15" max="15" width="46.5703125" customWidth="1"/>
    <col min="16" max="16" width="17.140625" customWidth="1"/>
    <col min="17" max="17" width="29.28515625" customWidth="1"/>
    <col min="18" max="18" width="22.7109375" customWidth="1"/>
    <col min="19" max="19" width="16.140625" customWidth="1"/>
  </cols>
  <sheetData>
    <row r="1" spans="1:14" x14ac:dyDescent="0.25">
      <c r="G1" s="109">
        <f t="shared" ref="G1:J1" si="0">+G18/1000</f>
        <v>7.5</v>
      </c>
      <c r="H1" s="109">
        <f t="shared" si="0"/>
        <v>1.7</v>
      </c>
      <c r="I1" s="109">
        <f t="shared" si="0"/>
        <v>0.4</v>
      </c>
      <c r="J1" s="109">
        <f t="shared" si="0"/>
        <v>44</v>
      </c>
      <c r="K1" s="109">
        <f t="shared" ref="K1:L1" si="1">+K18/1000</f>
        <v>1</v>
      </c>
      <c r="L1" s="109">
        <f t="shared" si="1"/>
        <v>5</v>
      </c>
      <c r="M1" s="109">
        <f t="shared" ref="M1:N1" si="2">+M18/1000</f>
        <v>48.9</v>
      </c>
      <c r="N1" s="109">
        <f t="shared" si="2"/>
        <v>48.9</v>
      </c>
    </row>
    <row r="2" spans="1:14" x14ac:dyDescent="0.25">
      <c r="G2" s="109">
        <v>0.2</v>
      </c>
      <c r="I2" s="109">
        <v>0.2</v>
      </c>
      <c r="J2" s="109">
        <v>0.2</v>
      </c>
      <c r="K2" s="109">
        <v>0.2</v>
      </c>
      <c r="L2" s="109">
        <v>0.2</v>
      </c>
      <c r="M2" s="109">
        <v>0.2</v>
      </c>
      <c r="N2" s="109">
        <v>0.2</v>
      </c>
    </row>
    <row r="3" spans="1:14" x14ac:dyDescent="0.25">
      <c r="G3" s="109">
        <f>+G1/(G23*(G21+G22*G23))</f>
        <v>1.7361111111111109</v>
      </c>
      <c r="I3" s="109">
        <f>+I1/(I23*(I21+I22*I23))</f>
        <v>0.43243243243243246</v>
      </c>
      <c r="K3" s="109">
        <f>+K1/(K23*(K21+K22*K23))</f>
        <v>0.7246376811594204</v>
      </c>
    </row>
    <row r="4" spans="1:14" x14ac:dyDescent="0.25">
      <c r="G4" s="449">
        <f>0.0375*G2*((G1/G3)^0.5)*1000*G29/1000/G18</f>
        <v>2.0784609690826525E-3</v>
      </c>
      <c r="H4" s="449"/>
      <c r="I4" s="449">
        <f>0.0375*I2*((I1/I3)^0.5)*1000*I29/1000/I18</f>
        <v>1.8033172557816887E-2</v>
      </c>
      <c r="J4" s="449"/>
      <c r="K4" s="449">
        <f>0.0375*K2*((K1/K3)^0.5)*1000*K29/1000/K18</f>
        <v>4.4052525466765236E-3</v>
      </c>
      <c r="L4" s="449"/>
      <c r="M4" s="449"/>
      <c r="N4" s="449"/>
    </row>
    <row r="5" spans="1:14" ht="15.75" thickBot="1" x14ac:dyDescent="0.3">
      <c r="C5" s="1"/>
      <c r="D5" s="1"/>
      <c r="E5" s="1"/>
      <c r="F5" s="18"/>
    </row>
    <row r="6" spans="1:14" ht="19.5" thickBot="1" x14ac:dyDescent="0.3">
      <c r="C6" s="1033" t="s">
        <v>154</v>
      </c>
      <c r="D6" s="1034"/>
      <c r="E6" s="1035"/>
      <c r="F6" s="481"/>
    </row>
    <row r="7" spans="1:14" ht="24" thickBot="1" x14ac:dyDescent="0.3">
      <c r="C7" s="1075" t="s">
        <v>59</v>
      </c>
      <c r="D7" s="1076"/>
      <c r="E7" s="1076"/>
      <c r="F7" s="1077"/>
    </row>
    <row r="8" spans="1:14" ht="21.75" thickBot="1" x14ac:dyDescent="0.3">
      <c r="C8" s="1017" t="s">
        <v>60</v>
      </c>
      <c r="D8" s="1018"/>
      <c r="E8" s="1018"/>
      <c r="F8" s="1078"/>
    </row>
    <row r="9" spans="1:14" ht="16.5" thickBot="1" x14ac:dyDescent="0.3">
      <c r="C9" s="1030" t="s">
        <v>58</v>
      </c>
      <c r="D9" s="1031"/>
      <c r="E9" s="1031"/>
      <c r="F9" s="1079"/>
      <c r="G9" s="470">
        <v>1</v>
      </c>
      <c r="H9" s="84">
        <v>2</v>
      </c>
      <c r="I9" s="84">
        <v>3</v>
      </c>
      <c r="J9" s="84">
        <v>4</v>
      </c>
      <c r="K9" s="84">
        <v>5</v>
      </c>
      <c r="L9" s="84">
        <v>6</v>
      </c>
      <c r="M9" s="84">
        <v>7</v>
      </c>
      <c r="N9" s="84">
        <v>8</v>
      </c>
    </row>
    <row r="10" spans="1:14" s="10" customFormat="1" ht="75" customHeight="1" thickBot="1" x14ac:dyDescent="0.3">
      <c r="A10" s="65"/>
      <c r="B10" s="65"/>
      <c r="C10" s="1062" t="s">
        <v>89</v>
      </c>
      <c r="D10" s="1063"/>
      <c r="E10" s="1063"/>
      <c r="F10" s="1080"/>
      <c r="G10" s="431" t="s">
        <v>317</v>
      </c>
      <c r="H10" s="150" t="s">
        <v>325</v>
      </c>
      <c r="I10" s="150" t="s">
        <v>330</v>
      </c>
      <c r="J10" s="150" t="s">
        <v>334</v>
      </c>
      <c r="K10" s="150" t="s">
        <v>337</v>
      </c>
      <c r="L10" s="150" t="s">
        <v>339</v>
      </c>
      <c r="M10" s="150" t="s">
        <v>341</v>
      </c>
      <c r="N10" s="170" t="s">
        <v>364</v>
      </c>
    </row>
    <row r="11" spans="1:14" ht="16.5" thickBot="1" x14ac:dyDescent="0.3">
      <c r="A11" s="89"/>
      <c r="B11" s="89"/>
      <c r="C11" s="1058" t="s">
        <v>28</v>
      </c>
      <c r="D11" s="1059"/>
      <c r="E11" s="1059"/>
      <c r="F11" s="1074"/>
      <c r="G11" s="469" t="s">
        <v>318</v>
      </c>
      <c r="H11" s="236" t="s">
        <v>326</v>
      </c>
      <c r="I11" s="236" t="s">
        <v>318</v>
      </c>
      <c r="J11" s="236" t="s">
        <v>335</v>
      </c>
      <c r="K11" s="236" t="s">
        <v>318</v>
      </c>
      <c r="L11" s="236" t="s">
        <v>326</v>
      </c>
      <c r="M11" s="236" t="s">
        <v>342</v>
      </c>
      <c r="N11" s="236" t="s">
        <v>342</v>
      </c>
    </row>
    <row r="12" spans="1:14" ht="16.5" thickBot="1" x14ac:dyDescent="0.3">
      <c r="C12" s="1030" t="s">
        <v>269</v>
      </c>
      <c r="D12" s="1031"/>
      <c r="E12" s="1031"/>
      <c r="F12" s="1079"/>
      <c r="G12" s="469" t="s">
        <v>354</v>
      </c>
      <c r="H12" s="236" t="s">
        <v>344</v>
      </c>
      <c r="I12" s="236" t="s">
        <v>359</v>
      </c>
      <c r="J12" s="236" t="s">
        <v>363</v>
      </c>
      <c r="K12" s="236" t="s">
        <v>358</v>
      </c>
      <c r="L12" s="236" t="s">
        <v>349</v>
      </c>
      <c r="M12" s="236" t="s">
        <v>363</v>
      </c>
      <c r="N12" s="236" t="s">
        <v>363</v>
      </c>
    </row>
    <row r="13" spans="1:14" ht="16.5" thickBot="1" x14ac:dyDescent="0.3">
      <c r="C13" s="1030" t="s">
        <v>55</v>
      </c>
      <c r="D13" s="1031"/>
      <c r="E13" s="1031"/>
      <c r="F13" s="1079"/>
      <c r="G13" s="469" t="s">
        <v>319</v>
      </c>
      <c r="H13" s="236" t="s">
        <v>327</v>
      </c>
      <c r="I13" s="236" t="s">
        <v>331</v>
      </c>
      <c r="J13" s="236" t="s">
        <v>222</v>
      </c>
      <c r="K13" s="236" t="s">
        <v>338</v>
      </c>
      <c r="L13" s="236" t="s">
        <v>340</v>
      </c>
      <c r="M13" s="236" t="s">
        <v>222</v>
      </c>
      <c r="N13" s="236" t="s">
        <v>222</v>
      </c>
    </row>
    <row r="14" spans="1:14" ht="16.5" thickBot="1" x14ac:dyDescent="0.3">
      <c r="C14" s="1030" t="s">
        <v>38</v>
      </c>
      <c r="D14" s="1031"/>
      <c r="E14" s="1031"/>
      <c r="F14" s="1079"/>
      <c r="G14" s="468" t="s">
        <v>315</v>
      </c>
      <c r="H14" s="94" t="s">
        <v>315</v>
      </c>
      <c r="I14" s="94" t="s">
        <v>315</v>
      </c>
      <c r="J14" s="94" t="s">
        <v>315</v>
      </c>
      <c r="K14" s="94" t="s">
        <v>315</v>
      </c>
      <c r="L14" s="94" t="s">
        <v>315</v>
      </c>
      <c r="M14" s="94" t="s">
        <v>315</v>
      </c>
      <c r="N14" s="94" t="s">
        <v>315</v>
      </c>
    </row>
    <row r="15" spans="1:14" x14ac:dyDescent="0.25">
      <c r="C15" s="1020" t="s">
        <v>0</v>
      </c>
      <c r="D15" s="1021"/>
      <c r="E15" s="1022"/>
      <c r="F15" s="482"/>
      <c r="G15" s="470"/>
      <c r="H15" s="84"/>
      <c r="I15" s="84"/>
      <c r="J15" s="84"/>
      <c r="K15" s="84"/>
      <c r="L15" s="84"/>
      <c r="M15" s="84"/>
      <c r="N15" s="84"/>
    </row>
    <row r="16" spans="1:14" x14ac:dyDescent="0.25">
      <c r="A16" s="10"/>
      <c r="B16" s="10"/>
      <c r="C16" s="460">
        <v>1</v>
      </c>
      <c r="D16" s="460"/>
      <c r="E16" s="29" t="s">
        <v>23</v>
      </c>
      <c r="F16" s="483" t="s">
        <v>39</v>
      </c>
      <c r="G16" s="469">
        <v>7299</v>
      </c>
      <c r="H16" s="236">
        <v>1407</v>
      </c>
      <c r="I16" s="258">
        <v>440</v>
      </c>
      <c r="J16" s="258">
        <v>17260</v>
      </c>
      <c r="K16" s="236">
        <v>871</v>
      </c>
      <c r="L16" s="236">
        <v>5422</v>
      </c>
      <c r="M16" s="258">
        <v>71752</v>
      </c>
      <c r="N16" s="258">
        <v>71752</v>
      </c>
    </row>
    <row r="17" spans="1:14" x14ac:dyDescent="0.25">
      <c r="A17" s="10"/>
      <c r="B17" s="10"/>
      <c r="C17" s="460">
        <v>2</v>
      </c>
      <c r="D17" s="460"/>
      <c r="E17" s="29" t="s">
        <v>19</v>
      </c>
      <c r="F17" s="483" t="s">
        <v>41</v>
      </c>
      <c r="G17" s="469">
        <v>382</v>
      </c>
      <c r="H17" s="258">
        <v>344</v>
      </c>
      <c r="I17" s="258">
        <v>44</v>
      </c>
      <c r="J17" s="258">
        <v>38687</v>
      </c>
      <c r="K17" s="258">
        <v>168</v>
      </c>
      <c r="L17" s="258">
        <f>52+1636</f>
        <v>1688</v>
      </c>
      <c r="M17" s="258">
        <v>38687</v>
      </c>
      <c r="N17" s="258">
        <v>38687</v>
      </c>
    </row>
    <row r="18" spans="1:14" x14ac:dyDescent="0.25">
      <c r="A18" s="10"/>
      <c r="B18" s="10"/>
      <c r="C18" s="460">
        <v>3</v>
      </c>
      <c r="D18" s="460"/>
      <c r="E18" s="29" t="s">
        <v>24</v>
      </c>
      <c r="F18" s="483" t="s">
        <v>42</v>
      </c>
      <c r="G18" s="469">
        <v>7500</v>
      </c>
      <c r="H18" s="236">
        <v>1700</v>
      </c>
      <c r="I18" s="258">
        <v>400</v>
      </c>
      <c r="J18" s="258">
        <v>44000</v>
      </c>
      <c r="K18" s="236">
        <v>1000</v>
      </c>
      <c r="L18" s="236">
        <v>5000</v>
      </c>
      <c r="M18" s="258">
        <v>48900</v>
      </c>
      <c r="N18" s="258">
        <v>48900</v>
      </c>
    </row>
    <row r="19" spans="1:14" x14ac:dyDescent="0.25">
      <c r="A19" s="10"/>
      <c r="B19" s="10"/>
      <c r="C19" s="48">
        <v>4</v>
      </c>
      <c r="D19" s="48"/>
      <c r="E19" s="49" t="s">
        <v>62</v>
      </c>
      <c r="F19" s="484" t="s">
        <v>67</v>
      </c>
      <c r="G19" s="472">
        <v>1.5E-3</v>
      </c>
      <c r="H19" s="404"/>
      <c r="I19" s="258">
        <v>2.5999999999999999E-3</v>
      </c>
      <c r="J19" s="258"/>
      <c r="K19" s="404">
        <v>7.5000000000000002E-4</v>
      </c>
      <c r="L19" s="404"/>
      <c r="M19" s="258"/>
      <c r="N19" s="258"/>
    </row>
    <row r="20" spans="1:14" x14ac:dyDescent="0.25">
      <c r="A20" s="10"/>
      <c r="B20" s="10"/>
      <c r="C20" s="460">
        <v>5</v>
      </c>
      <c r="D20" s="460"/>
      <c r="E20" s="29" t="s">
        <v>63</v>
      </c>
      <c r="F20" s="483"/>
      <c r="G20" s="469"/>
      <c r="H20" s="236"/>
      <c r="I20" s="258"/>
      <c r="J20" s="258"/>
      <c r="K20" s="236"/>
      <c r="L20" s="236"/>
      <c r="M20" s="258"/>
      <c r="N20" s="258"/>
    </row>
    <row r="21" spans="1:14" x14ac:dyDescent="0.25">
      <c r="A21" s="10"/>
      <c r="B21" s="10"/>
      <c r="C21" s="48"/>
      <c r="D21" s="48" t="s">
        <v>64</v>
      </c>
      <c r="E21" s="49" t="s">
        <v>68</v>
      </c>
      <c r="F21" s="484" t="s">
        <v>71</v>
      </c>
      <c r="G21" s="472">
        <v>5</v>
      </c>
      <c r="H21" s="404"/>
      <c r="I21" s="258">
        <v>1.6</v>
      </c>
      <c r="J21" s="258"/>
      <c r="K21" s="404">
        <v>2</v>
      </c>
      <c r="L21" s="404"/>
      <c r="M21" s="258"/>
      <c r="N21" s="258"/>
    </row>
    <row r="22" spans="1:14" x14ac:dyDescent="0.25">
      <c r="A22" s="10"/>
      <c r="B22" s="10"/>
      <c r="C22" s="48"/>
      <c r="D22" s="48" t="s">
        <v>65</v>
      </c>
      <c r="E22" s="49" t="s">
        <v>69</v>
      </c>
      <c r="F22" s="484" t="s">
        <v>72</v>
      </c>
      <c r="G22" s="472">
        <v>0.5</v>
      </c>
      <c r="H22" s="404"/>
      <c r="I22" s="258">
        <v>0.5</v>
      </c>
      <c r="J22" s="258"/>
      <c r="K22" s="404">
        <v>0.5</v>
      </c>
      <c r="L22" s="404"/>
      <c r="M22" s="258"/>
      <c r="N22" s="258"/>
    </row>
    <row r="23" spans="1:14" x14ac:dyDescent="0.25">
      <c r="A23" s="10"/>
      <c r="B23" s="10"/>
      <c r="C23" s="48"/>
      <c r="D23" s="48" t="s">
        <v>66</v>
      </c>
      <c r="E23" s="49" t="s">
        <v>70</v>
      </c>
      <c r="F23" s="484" t="s">
        <v>167</v>
      </c>
      <c r="G23" s="472">
        <v>0.8</v>
      </c>
      <c r="H23" s="404"/>
      <c r="I23" s="258">
        <v>0.5</v>
      </c>
      <c r="J23" s="258"/>
      <c r="K23" s="404">
        <v>0.6</v>
      </c>
      <c r="L23" s="404"/>
      <c r="M23" s="258"/>
      <c r="N23" s="258"/>
    </row>
    <row r="24" spans="1:14" x14ac:dyDescent="0.25">
      <c r="A24" s="10"/>
      <c r="B24" s="10"/>
      <c r="C24" s="460">
        <v>6</v>
      </c>
      <c r="D24" s="460"/>
      <c r="E24" s="29" t="s">
        <v>73</v>
      </c>
      <c r="F24" s="483" t="s">
        <v>74</v>
      </c>
      <c r="G24" s="469" t="s">
        <v>320</v>
      </c>
      <c r="H24" s="236"/>
      <c r="I24" s="258" t="s">
        <v>332</v>
      </c>
      <c r="J24" s="258" t="s">
        <v>336</v>
      </c>
      <c r="K24" s="236" t="s">
        <v>320</v>
      </c>
      <c r="L24" s="236"/>
      <c r="M24" s="258" t="s">
        <v>336</v>
      </c>
      <c r="N24" s="258" t="s">
        <v>336</v>
      </c>
    </row>
    <row r="25" spans="1:14" x14ac:dyDescent="0.25">
      <c r="A25" s="10"/>
      <c r="B25" s="10"/>
      <c r="C25" s="460">
        <v>7</v>
      </c>
      <c r="D25" s="460"/>
      <c r="E25" s="29" t="s">
        <v>2</v>
      </c>
      <c r="F25" s="483" t="s">
        <v>44</v>
      </c>
      <c r="G25" s="473">
        <v>0.1</v>
      </c>
      <c r="H25" s="239">
        <v>0.15</v>
      </c>
      <c r="I25" s="259">
        <v>0.15</v>
      </c>
      <c r="J25" s="259">
        <v>1E-4</v>
      </c>
      <c r="K25" s="239">
        <v>0.15</v>
      </c>
      <c r="L25" s="239">
        <v>0.15</v>
      </c>
      <c r="M25" s="259">
        <v>1E-4</v>
      </c>
      <c r="N25" s="259">
        <v>0.1</v>
      </c>
    </row>
    <row r="26" spans="1:14" x14ac:dyDescent="0.25">
      <c r="A26" s="10"/>
      <c r="B26" s="10"/>
      <c r="C26" s="460"/>
      <c r="D26" s="460"/>
      <c r="E26" s="29"/>
      <c r="F26" s="483"/>
      <c r="G26" s="474">
        <f>+((G25+G4)/2)</f>
        <v>5.1039230484541329E-2</v>
      </c>
      <c r="H26" s="250">
        <f t="shared" ref="H26:N26" si="3">+((H25+H4)/2)</f>
        <v>7.4999999999999997E-2</v>
      </c>
      <c r="I26" s="250">
        <f t="shared" si="3"/>
        <v>8.4016586278908442E-2</v>
      </c>
      <c r="J26" s="250"/>
      <c r="K26" s="250">
        <f t="shared" si="3"/>
        <v>7.7202626273338265E-2</v>
      </c>
      <c r="L26" s="250">
        <f t="shared" si="3"/>
        <v>7.4999999999999997E-2</v>
      </c>
      <c r="M26" s="250"/>
      <c r="N26" s="250">
        <f t="shared" si="3"/>
        <v>0.05</v>
      </c>
    </row>
    <row r="27" spans="1:14" x14ac:dyDescent="0.25">
      <c r="A27" s="10"/>
      <c r="B27" s="10"/>
      <c r="C27" s="27" t="s">
        <v>3</v>
      </c>
      <c r="D27" s="27"/>
      <c r="E27" s="30"/>
      <c r="F27" s="483"/>
      <c r="G27" s="469"/>
      <c r="H27" s="236"/>
      <c r="I27" s="258"/>
      <c r="J27" s="258"/>
      <c r="K27" s="236"/>
      <c r="L27" s="236"/>
      <c r="M27" s="258"/>
      <c r="N27" s="258"/>
    </row>
    <row r="28" spans="1:14" x14ac:dyDescent="0.25">
      <c r="A28" s="10"/>
      <c r="B28" s="10"/>
      <c r="C28" s="460">
        <v>8</v>
      </c>
      <c r="D28" s="460"/>
      <c r="E28" s="29" t="s">
        <v>4</v>
      </c>
      <c r="F28" s="483"/>
      <c r="G28" s="469" t="s">
        <v>321</v>
      </c>
      <c r="H28" s="236" t="s">
        <v>328</v>
      </c>
      <c r="I28" s="258" t="s">
        <v>321</v>
      </c>
      <c r="J28" s="258" t="s">
        <v>321</v>
      </c>
      <c r="K28" s="236" t="s">
        <v>321</v>
      </c>
      <c r="L28" s="236" t="s">
        <v>328</v>
      </c>
      <c r="M28" s="258" t="s">
        <v>219</v>
      </c>
      <c r="N28" s="258" t="s">
        <v>219</v>
      </c>
    </row>
    <row r="29" spans="1:14" x14ac:dyDescent="0.25">
      <c r="A29" s="10"/>
      <c r="B29" s="10"/>
      <c r="C29" s="460">
        <v>9</v>
      </c>
      <c r="D29" s="460"/>
      <c r="E29" s="29" t="s">
        <v>25</v>
      </c>
      <c r="F29" s="483"/>
      <c r="G29" s="469">
        <v>1000</v>
      </c>
      <c r="H29" s="236">
        <v>11400</v>
      </c>
      <c r="I29" s="258">
        <v>1000</v>
      </c>
      <c r="J29" s="258"/>
      <c r="K29" s="236">
        <v>500</v>
      </c>
      <c r="L29" s="236">
        <v>14410</v>
      </c>
      <c r="M29" s="258"/>
      <c r="N29" s="258"/>
    </row>
    <row r="30" spans="1:14" x14ac:dyDescent="0.25">
      <c r="A30" s="10"/>
      <c r="B30" s="10"/>
      <c r="C30" s="460">
        <v>10</v>
      </c>
      <c r="D30" s="460"/>
      <c r="E30" s="29" t="s">
        <v>77</v>
      </c>
      <c r="F30" s="483"/>
      <c r="G30" s="469"/>
      <c r="H30" s="236"/>
      <c r="I30" s="258"/>
      <c r="J30" s="258"/>
      <c r="K30" s="236"/>
      <c r="L30" s="236"/>
      <c r="M30" s="258"/>
      <c r="N30" s="258"/>
    </row>
    <row r="31" spans="1:14" x14ac:dyDescent="0.25">
      <c r="A31" s="10"/>
      <c r="B31" s="10"/>
      <c r="C31" s="48"/>
      <c r="D31" s="48" t="s">
        <v>78</v>
      </c>
      <c r="E31" s="49" t="s">
        <v>79</v>
      </c>
      <c r="F31" s="484"/>
      <c r="G31" s="472" t="s">
        <v>322</v>
      </c>
      <c r="H31" s="404"/>
      <c r="I31" s="258" t="s">
        <v>333</v>
      </c>
      <c r="J31" s="258"/>
      <c r="K31" s="404" t="s">
        <v>322</v>
      </c>
      <c r="L31" s="404"/>
      <c r="M31" s="258"/>
      <c r="N31" s="258"/>
    </row>
    <row r="32" spans="1:14" x14ac:dyDescent="0.25">
      <c r="A32" s="10"/>
      <c r="B32" s="10"/>
      <c r="C32" s="48"/>
      <c r="D32" s="48" t="s">
        <v>80</v>
      </c>
      <c r="E32" s="49" t="s">
        <v>81</v>
      </c>
      <c r="F32" s="484" t="s">
        <v>71</v>
      </c>
      <c r="G32" s="472">
        <v>3</v>
      </c>
      <c r="H32" s="404"/>
      <c r="I32" s="258">
        <v>0.7</v>
      </c>
      <c r="J32" s="258"/>
      <c r="K32" s="404">
        <v>1.5</v>
      </c>
      <c r="L32" s="404"/>
      <c r="M32" s="258"/>
      <c r="N32" s="258"/>
    </row>
    <row r="33" spans="1:14" x14ac:dyDescent="0.25">
      <c r="A33" s="10"/>
      <c r="B33" s="10"/>
      <c r="C33" s="48"/>
      <c r="D33" s="48" t="s">
        <v>82</v>
      </c>
      <c r="E33" s="49" t="s">
        <v>85</v>
      </c>
      <c r="F33" s="484" t="s">
        <v>178</v>
      </c>
      <c r="G33" s="472">
        <v>1.2</v>
      </c>
      <c r="H33" s="404"/>
      <c r="I33" s="258">
        <v>0.7</v>
      </c>
      <c r="J33" s="258"/>
      <c r="K33" s="404">
        <v>0.9</v>
      </c>
      <c r="L33" s="404"/>
      <c r="M33" s="258"/>
      <c r="N33" s="258"/>
    </row>
    <row r="34" spans="1:14" x14ac:dyDescent="0.25">
      <c r="A34" s="10"/>
      <c r="B34" s="10"/>
      <c r="C34" s="48"/>
      <c r="D34" s="48" t="s">
        <v>83</v>
      </c>
      <c r="E34" s="49" t="s">
        <v>86</v>
      </c>
      <c r="F34" s="484" t="s">
        <v>179</v>
      </c>
      <c r="G34" s="472">
        <v>0</v>
      </c>
      <c r="H34" s="404"/>
      <c r="I34" s="258">
        <v>0</v>
      </c>
      <c r="J34" s="258"/>
      <c r="K34" s="404">
        <v>0</v>
      </c>
      <c r="L34" s="404"/>
      <c r="M34" s="258"/>
      <c r="N34" s="258"/>
    </row>
    <row r="35" spans="1:14" x14ac:dyDescent="0.25">
      <c r="A35" s="10"/>
      <c r="B35" s="10"/>
      <c r="C35" s="48"/>
      <c r="D35" s="48" t="s">
        <v>84</v>
      </c>
      <c r="E35" s="49" t="s">
        <v>87</v>
      </c>
      <c r="F35" s="484" t="s">
        <v>180</v>
      </c>
      <c r="G35" s="472">
        <v>0.12</v>
      </c>
      <c r="H35" s="404"/>
      <c r="I35" s="258">
        <v>0.1</v>
      </c>
      <c r="J35" s="258"/>
      <c r="K35" s="404">
        <v>0.12</v>
      </c>
      <c r="L35" s="404"/>
      <c r="M35" s="258"/>
      <c r="N35" s="258"/>
    </row>
    <row r="36" spans="1:14" x14ac:dyDescent="0.25">
      <c r="A36" s="10"/>
      <c r="B36" s="10"/>
      <c r="C36" s="1036">
        <v>11</v>
      </c>
      <c r="D36" s="460" t="s">
        <v>142</v>
      </c>
      <c r="E36" s="29" t="s">
        <v>29</v>
      </c>
      <c r="F36" s="483" t="s">
        <v>43</v>
      </c>
      <c r="G36" s="475">
        <v>13400000</v>
      </c>
      <c r="H36" s="261">
        <v>1020000</v>
      </c>
      <c r="I36" s="261">
        <v>4900000</v>
      </c>
      <c r="J36" s="261">
        <v>2300000</v>
      </c>
      <c r="K36" s="240">
        <v>4300000</v>
      </c>
      <c r="L36" s="261">
        <v>1750000</v>
      </c>
      <c r="M36" s="452">
        <v>8700000</v>
      </c>
      <c r="N36" s="452">
        <v>1400000</v>
      </c>
    </row>
    <row r="37" spans="1:14" x14ac:dyDescent="0.25">
      <c r="A37" s="10"/>
      <c r="B37" s="10"/>
      <c r="C37" s="1036"/>
      <c r="D37" s="460" t="s">
        <v>143</v>
      </c>
      <c r="E37" s="29" t="s">
        <v>30</v>
      </c>
      <c r="F37" s="483" t="s">
        <v>40</v>
      </c>
      <c r="G37" s="475">
        <f>+G36</f>
        <v>13400000</v>
      </c>
      <c r="H37" s="475">
        <f t="shared" ref="H37:N37" si="4">+H36</f>
        <v>1020000</v>
      </c>
      <c r="I37" s="475">
        <f t="shared" si="4"/>
        <v>4900000</v>
      </c>
      <c r="J37" s="475">
        <f t="shared" si="4"/>
        <v>2300000</v>
      </c>
      <c r="K37" s="475">
        <f t="shared" si="4"/>
        <v>4300000</v>
      </c>
      <c r="L37" s="475">
        <f t="shared" si="4"/>
        <v>1750000</v>
      </c>
      <c r="M37" s="475">
        <f t="shared" si="4"/>
        <v>8700000</v>
      </c>
      <c r="N37" s="475">
        <f t="shared" si="4"/>
        <v>1400000</v>
      </c>
    </row>
    <row r="38" spans="1:14" x14ac:dyDescent="0.25">
      <c r="A38" s="10"/>
      <c r="B38" s="10"/>
      <c r="C38" s="27" t="s">
        <v>5</v>
      </c>
      <c r="D38" s="27"/>
      <c r="E38" s="30"/>
      <c r="F38" s="485"/>
      <c r="G38" s="476"/>
      <c r="H38" s="241"/>
      <c r="I38" s="241"/>
      <c r="J38" s="241"/>
      <c r="K38" s="241"/>
      <c r="L38" s="241"/>
      <c r="M38" s="241"/>
      <c r="N38" s="241"/>
    </row>
    <row r="39" spans="1:14" x14ac:dyDescent="0.25">
      <c r="A39" s="10"/>
      <c r="B39" s="10"/>
      <c r="C39" s="460">
        <v>12</v>
      </c>
      <c r="D39" s="460"/>
      <c r="E39" s="29" t="s">
        <v>21</v>
      </c>
      <c r="F39" s="483" t="s">
        <v>45</v>
      </c>
      <c r="G39" s="473">
        <v>0.46</v>
      </c>
      <c r="H39" s="239">
        <v>0.57999999999999996</v>
      </c>
      <c r="I39" s="239">
        <v>0.63</v>
      </c>
      <c r="J39" s="239">
        <v>0.45</v>
      </c>
      <c r="K39" s="239">
        <v>0.41</v>
      </c>
      <c r="L39" s="239">
        <v>0.34</v>
      </c>
      <c r="M39" s="239">
        <v>0.45</v>
      </c>
      <c r="N39" s="239">
        <v>0.45</v>
      </c>
    </row>
    <row r="40" spans="1:14" x14ac:dyDescent="0.25">
      <c r="A40" s="10"/>
      <c r="B40" s="10"/>
      <c r="C40" s="460">
        <v>13</v>
      </c>
      <c r="D40" s="460"/>
      <c r="E40" s="29" t="s">
        <v>88</v>
      </c>
      <c r="F40" s="483" t="s">
        <v>48</v>
      </c>
      <c r="G40" s="477">
        <v>0.39839999999999998</v>
      </c>
      <c r="H40" s="239">
        <v>0.57999999999999996</v>
      </c>
      <c r="I40" s="239">
        <v>0.69</v>
      </c>
      <c r="J40" s="239">
        <v>0.5</v>
      </c>
      <c r="K40" s="239">
        <v>0.47</v>
      </c>
      <c r="L40" s="239">
        <v>0.35</v>
      </c>
      <c r="M40" s="239">
        <v>0.5</v>
      </c>
      <c r="N40" s="239">
        <v>0.5</v>
      </c>
    </row>
    <row r="41" spans="1:14" x14ac:dyDescent="0.25">
      <c r="A41" s="10"/>
      <c r="B41" s="10"/>
      <c r="C41" s="460">
        <v>14</v>
      </c>
      <c r="D41" s="460"/>
      <c r="E41" s="30" t="s">
        <v>22</v>
      </c>
      <c r="F41" s="483" t="s">
        <v>46</v>
      </c>
      <c r="G41" s="478">
        <v>3711960</v>
      </c>
      <c r="H41" s="240">
        <v>4011889.5</v>
      </c>
      <c r="I41" s="240">
        <v>376350</v>
      </c>
      <c r="J41" s="240">
        <v>10082860</v>
      </c>
      <c r="K41" s="240">
        <v>273500</v>
      </c>
      <c r="L41" s="240">
        <v>277342</v>
      </c>
      <c r="M41" s="240">
        <v>10082860</v>
      </c>
      <c r="N41" s="240">
        <v>10082860</v>
      </c>
    </row>
    <row r="42" spans="1:14" ht="18" x14ac:dyDescent="0.25">
      <c r="A42" s="10"/>
      <c r="B42" s="10"/>
      <c r="C42" s="28" t="s">
        <v>6</v>
      </c>
      <c r="D42" s="28"/>
      <c r="E42" s="31"/>
      <c r="F42" s="486" t="s">
        <v>54</v>
      </c>
      <c r="G42" s="469"/>
      <c r="H42" s="236"/>
      <c r="I42" s="236"/>
      <c r="J42" s="236"/>
      <c r="K42" s="236"/>
      <c r="L42" s="236"/>
      <c r="M42" s="236"/>
      <c r="N42" s="236"/>
    </row>
    <row r="43" spans="1:14" x14ac:dyDescent="0.25">
      <c r="A43" s="10"/>
      <c r="B43" s="10"/>
      <c r="C43" s="1036">
        <v>15</v>
      </c>
      <c r="D43" s="460"/>
      <c r="E43" s="33" t="s">
        <v>7</v>
      </c>
      <c r="F43" s="483">
        <v>40</v>
      </c>
      <c r="G43" s="469"/>
      <c r="H43" s="236"/>
      <c r="I43" s="236"/>
      <c r="J43" s="236"/>
      <c r="K43" s="236"/>
      <c r="L43" s="236"/>
      <c r="M43" s="236"/>
      <c r="N43" s="236"/>
    </row>
    <row r="44" spans="1:14" x14ac:dyDescent="0.25">
      <c r="A44" s="10"/>
      <c r="B44" s="10"/>
      <c r="C44" s="1036"/>
      <c r="D44" s="460"/>
      <c r="E44" s="33" t="s">
        <v>8</v>
      </c>
      <c r="F44" s="483">
        <v>26</v>
      </c>
      <c r="G44" s="469">
        <v>1</v>
      </c>
      <c r="H44" s="236">
        <v>1</v>
      </c>
      <c r="I44" s="236"/>
      <c r="J44" s="236"/>
      <c r="K44" s="236"/>
      <c r="L44" s="236">
        <v>1</v>
      </c>
      <c r="M44" s="236"/>
      <c r="N44" s="236">
        <v>1</v>
      </c>
    </row>
    <row r="45" spans="1:14" x14ac:dyDescent="0.25">
      <c r="A45" s="10"/>
      <c r="B45" s="10"/>
      <c r="C45" s="1036"/>
      <c r="D45" s="460"/>
      <c r="E45" s="33" t="s">
        <v>9</v>
      </c>
      <c r="F45" s="483">
        <v>13</v>
      </c>
      <c r="G45" s="469"/>
      <c r="H45" s="236"/>
      <c r="I45" s="236"/>
      <c r="J45" s="236">
        <v>1</v>
      </c>
      <c r="K45" s="236">
        <v>1</v>
      </c>
      <c r="L45" s="236"/>
      <c r="M45" s="236">
        <v>1</v>
      </c>
      <c r="N45" s="236"/>
    </row>
    <row r="46" spans="1:14" x14ac:dyDescent="0.25">
      <c r="A46" s="10"/>
      <c r="B46" s="10"/>
      <c r="C46" s="1036"/>
      <c r="D46" s="460"/>
      <c r="E46" s="33" t="s">
        <v>10</v>
      </c>
      <c r="F46" s="483">
        <v>0</v>
      </c>
      <c r="G46" s="469"/>
      <c r="H46" s="236"/>
      <c r="I46" s="236">
        <v>1</v>
      </c>
      <c r="J46" s="236"/>
      <c r="K46" s="236"/>
      <c r="L46" s="236"/>
      <c r="M46" s="236"/>
      <c r="N46" s="236"/>
    </row>
    <row r="47" spans="1:14" ht="18" x14ac:dyDescent="0.25">
      <c r="A47" s="10"/>
      <c r="B47" s="10"/>
      <c r="C47" s="28" t="s">
        <v>11</v>
      </c>
      <c r="D47" s="28"/>
      <c r="E47" s="31"/>
      <c r="F47" s="486" t="s">
        <v>50</v>
      </c>
      <c r="G47" s="469"/>
      <c r="H47" s="236"/>
      <c r="I47" s="236"/>
      <c r="J47" s="236"/>
      <c r="K47" s="236"/>
      <c r="L47" s="236"/>
      <c r="M47" s="236"/>
      <c r="N47" s="236"/>
    </row>
    <row r="48" spans="1:14" x14ac:dyDescent="0.25">
      <c r="A48" s="10"/>
      <c r="B48" s="10"/>
      <c r="C48" s="1036">
        <v>16</v>
      </c>
      <c r="D48" s="460"/>
      <c r="E48" s="33" t="s">
        <v>12</v>
      </c>
      <c r="F48" s="483">
        <v>40</v>
      </c>
      <c r="G48" s="469"/>
      <c r="H48" s="236"/>
      <c r="I48" s="236"/>
      <c r="J48" s="236">
        <v>1</v>
      </c>
      <c r="K48" s="236"/>
      <c r="L48" s="236"/>
      <c r="M48" s="236">
        <v>1</v>
      </c>
      <c r="N48" s="236">
        <v>1</v>
      </c>
    </row>
    <row r="49" spans="1:19" x14ac:dyDescent="0.25">
      <c r="A49" s="10"/>
      <c r="B49" s="10"/>
      <c r="C49" s="1036"/>
      <c r="D49" s="460"/>
      <c r="E49" s="33" t="s">
        <v>13</v>
      </c>
      <c r="F49" s="483">
        <v>26</v>
      </c>
      <c r="G49" s="469">
        <v>1</v>
      </c>
      <c r="H49" s="236">
        <v>1</v>
      </c>
      <c r="I49" s="236">
        <v>1</v>
      </c>
      <c r="J49" s="236"/>
      <c r="K49" s="236">
        <v>1</v>
      </c>
      <c r="L49" s="236">
        <v>1</v>
      </c>
      <c r="M49" s="236"/>
      <c r="N49" s="236"/>
    </row>
    <row r="50" spans="1:19" x14ac:dyDescent="0.25">
      <c r="A50" s="10"/>
      <c r="B50" s="10"/>
      <c r="C50" s="1036"/>
      <c r="D50" s="460"/>
      <c r="E50" s="33" t="s">
        <v>14</v>
      </c>
      <c r="F50" s="483">
        <v>13</v>
      </c>
      <c r="G50" s="469"/>
      <c r="H50" s="236"/>
      <c r="I50" s="236"/>
      <c r="J50" s="236"/>
      <c r="K50" s="236"/>
      <c r="L50" s="236"/>
      <c r="M50" s="236"/>
      <c r="N50" s="236"/>
    </row>
    <row r="51" spans="1:19" x14ac:dyDescent="0.25">
      <c r="A51" s="10"/>
      <c r="B51" s="10"/>
      <c r="C51" s="1036"/>
      <c r="D51" s="460"/>
      <c r="E51" s="33" t="s">
        <v>16</v>
      </c>
      <c r="F51" s="483">
        <v>0</v>
      </c>
      <c r="G51" s="469"/>
      <c r="H51" s="236"/>
      <c r="I51" s="236"/>
      <c r="J51" s="236"/>
      <c r="K51" s="236"/>
      <c r="L51" s="236"/>
      <c r="M51" s="236"/>
      <c r="N51" s="236"/>
    </row>
    <row r="52" spans="1:19" x14ac:dyDescent="0.25">
      <c r="A52" s="10"/>
      <c r="B52" s="10"/>
      <c r="C52" s="27" t="s">
        <v>15</v>
      </c>
      <c r="D52" s="27"/>
      <c r="E52" s="30"/>
      <c r="F52" s="483"/>
      <c r="G52" s="469"/>
      <c r="H52" s="236"/>
      <c r="I52" s="236"/>
      <c r="J52" s="236"/>
      <c r="K52" s="236"/>
      <c r="L52" s="236"/>
      <c r="M52" s="236"/>
      <c r="N52" s="236"/>
    </row>
    <row r="53" spans="1:19" x14ac:dyDescent="0.25">
      <c r="A53" s="10"/>
      <c r="B53" s="10"/>
      <c r="C53" s="460">
        <v>17</v>
      </c>
      <c r="D53" s="460"/>
      <c r="E53" s="29" t="s">
        <v>17</v>
      </c>
      <c r="F53" s="483" t="s">
        <v>47</v>
      </c>
      <c r="G53" s="475">
        <f>+G16*VBP_RD!L19</f>
        <v>1088985982.1788833</v>
      </c>
      <c r="H53" s="240">
        <f>+H16*VBP_RD!L60</f>
        <v>280969377.56053627</v>
      </c>
      <c r="I53" s="240">
        <f>+I16*VBP_RD!L32</f>
        <v>87584390.262507543</v>
      </c>
      <c r="J53" s="261">
        <f>+J16*VBP_RD!G43</f>
        <v>2161445158.3544216</v>
      </c>
      <c r="K53" s="240">
        <f>+K16*VBP_RD!L33</f>
        <v>116010851.71306422</v>
      </c>
      <c r="L53" s="240">
        <v>174978216</v>
      </c>
      <c r="M53" s="261">
        <f>+M16*VBP_RD!L41</f>
        <v>10975508303.972116</v>
      </c>
      <c r="N53" s="261">
        <f>+N16*VBP_RD!L41</f>
        <v>10975508303.972116</v>
      </c>
    </row>
    <row r="54" spans="1:19" ht="15.75" x14ac:dyDescent="0.25">
      <c r="A54" s="10"/>
      <c r="B54" s="10"/>
      <c r="C54" s="1045">
        <v>18</v>
      </c>
      <c r="D54" s="460">
        <v>18.100000000000001</v>
      </c>
      <c r="E54" s="29" t="s">
        <v>170</v>
      </c>
      <c r="F54" s="487" t="s">
        <v>53</v>
      </c>
      <c r="G54" s="469" t="s">
        <v>323</v>
      </c>
      <c r="H54" s="236" t="s">
        <v>329</v>
      </c>
      <c r="I54" s="236" t="s">
        <v>329</v>
      </c>
      <c r="J54" s="236" t="s">
        <v>329</v>
      </c>
      <c r="K54" s="236" t="s">
        <v>323</v>
      </c>
      <c r="L54" s="236" t="s">
        <v>323</v>
      </c>
      <c r="M54" s="236" t="s">
        <v>329</v>
      </c>
      <c r="N54" s="236" t="s">
        <v>329</v>
      </c>
    </row>
    <row r="55" spans="1:19" ht="15.75" x14ac:dyDescent="0.25">
      <c r="A55" s="10"/>
      <c r="B55" s="10"/>
      <c r="C55" s="1045"/>
      <c r="D55" s="460">
        <v>18.2</v>
      </c>
      <c r="E55" s="29" t="s">
        <v>171</v>
      </c>
      <c r="F55" s="487" t="s">
        <v>53</v>
      </c>
      <c r="G55" s="479">
        <v>0.1</v>
      </c>
      <c r="H55" s="208">
        <v>0.441</v>
      </c>
      <c r="I55" s="208">
        <v>0.309</v>
      </c>
      <c r="J55" s="208">
        <v>0.184</v>
      </c>
      <c r="K55" s="208">
        <v>0.31</v>
      </c>
      <c r="L55" s="208">
        <v>0.106</v>
      </c>
      <c r="M55" s="208">
        <v>0.184</v>
      </c>
      <c r="N55" s="208">
        <v>0.184</v>
      </c>
    </row>
    <row r="56" spans="1:19" ht="18" x14ac:dyDescent="0.25">
      <c r="A56" s="10"/>
      <c r="B56" s="10"/>
      <c r="C56" s="460">
        <v>19</v>
      </c>
      <c r="D56" s="460"/>
      <c r="E56" s="29" t="s">
        <v>27</v>
      </c>
      <c r="F56" s="486" t="s">
        <v>52</v>
      </c>
      <c r="G56" s="469">
        <v>13</v>
      </c>
      <c r="H56" s="236">
        <v>0</v>
      </c>
      <c r="I56" s="236">
        <v>13</v>
      </c>
      <c r="J56" s="236">
        <v>40</v>
      </c>
      <c r="K56" s="236">
        <v>13</v>
      </c>
      <c r="L56" s="236">
        <v>0</v>
      </c>
      <c r="M56" s="236">
        <v>13</v>
      </c>
      <c r="N56" s="236">
        <v>13</v>
      </c>
    </row>
    <row r="57" spans="1:19" ht="15.75" x14ac:dyDescent="0.25">
      <c r="A57" s="10"/>
      <c r="B57" s="10"/>
      <c r="C57" s="460">
        <v>20</v>
      </c>
      <c r="D57" s="460"/>
      <c r="E57" s="29" t="s">
        <v>18</v>
      </c>
      <c r="F57" s="487" t="s">
        <v>53</v>
      </c>
      <c r="G57" s="469" t="s">
        <v>324</v>
      </c>
      <c r="H57" s="236" t="s">
        <v>324</v>
      </c>
      <c r="I57" s="236" t="s">
        <v>324</v>
      </c>
      <c r="J57" s="236" t="s">
        <v>324</v>
      </c>
      <c r="K57" s="236" t="s">
        <v>324</v>
      </c>
      <c r="L57" s="236" t="s">
        <v>324</v>
      </c>
      <c r="M57" s="236" t="s">
        <v>324</v>
      </c>
      <c r="N57" s="236" t="s">
        <v>324</v>
      </c>
    </row>
    <row r="58" spans="1:19" x14ac:dyDescent="0.25">
      <c r="A58" s="10"/>
      <c r="B58" s="10"/>
      <c r="C58" s="460">
        <v>21</v>
      </c>
      <c r="D58" s="460"/>
      <c r="E58" s="29" t="s">
        <v>20</v>
      </c>
      <c r="F58" s="483" t="s">
        <v>49</v>
      </c>
      <c r="G58" s="473">
        <v>0.12</v>
      </c>
      <c r="H58" s="239">
        <v>0.04</v>
      </c>
      <c r="I58" s="239">
        <v>0.1</v>
      </c>
      <c r="J58" s="239">
        <v>7.0000000000000007E-2</v>
      </c>
      <c r="K58" s="239">
        <v>0.1</v>
      </c>
      <c r="L58" s="239">
        <v>7.0000000000000007E-2</v>
      </c>
      <c r="M58" s="239">
        <v>7.0000000000000007E-2</v>
      </c>
      <c r="N58" s="239">
        <v>7.0000000000000007E-2</v>
      </c>
    </row>
    <row r="59" spans="1:19" ht="18.75" thickBot="1" x14ac:dyDescent="0.35">
      <c r="A59" s="10"/>
      <c r="B59" s="10"/>
      <c r="C59" s="39">
        <v>22</v>
      </c>
      <c r="D59" s="39"/>
      <c r="E59" s="34" t="s">
        <v>177</v>
      </c>
      <c r="F59" s="488" t="s">
        <v>51</v>
      </c>
      <c r="G59" s="480">
        <v>0</v>
      </c>
      <c r="H59" s="243">
        <v>40</v>
      </c>
      <c r="I59" s="243">
        <v>0</v>
      </c>
      <c r="J59" s="243">
        <v>0</v>
      </c>
      <c r="K59" s="243">
        <v>13</v>
      </c>
      <c r="L59" s="243">
        <v>40</v>
      </c>
      <c r="M59" s="243">
        <v>0</v>
      </c>
      <c r="N59" s="243">
        <v>26</v>
      </c>
    </row>
    <row r="60" spans="1:19" x14ac:dyDescent="0.25">
      <c r="C60" s="1"/>
      <c r="D60" s="1"/>
    </row>
    <row r="61" spans="1:19" x14ac:dyDescent="0.25">
      <c r="E61" s="108" t="s">
        <v>58</v>
      </c>
      <c r="F61" s="135" t="s">
        <v>58</v>
      </c>
      <c r="G61" s="109">
        <f t="shared" ref="G61:N61" si="5">G9</f>
        <v>1</v>
      </c>
      <c r="H61" s="109">
        <f t="shared" si="5"/>
        <v>2</v>
      </c>
      <c r="I61" s="109">
        <f t="shared" si="5"/>
        <v>3</v>
      </c>
      <c r="J61" s="109">
        <f t="shared" si="5"/>
        <v>4</v>
      </c>
      <c r="K61" s="109">
        <f t="shared" si="5"/>
        <v>5</v>
      </c>
      <c r="L61" s="109">
        <f t="shared" si="5"/>
        <v>6</v>
      </c>
      <c r="M61" s="109">
        <f t="shared" si="5"/>
        <v>7</v>
      </c>
      <c r="N61" s="109">
        <f t="shared" si="5"/>
        <v>8</v>
      </c>
    </row>
    <row r="62" spans="1:19" ht="45.75" thickBot="1" x14ac:dyDescent="0.3">
      <c r="E62" s="108" t="s">
        <v>240</v>
      </c>
      <c r="F62" s="135" t="s">
        <v>240</v>
      </c>
      <c r="G62" s="19" t="str">
        <f t="shared" ref="G62:N62" si="6">G12</f>
        <v>Canal Mz. Goudge</v>
      </c>
      <c r="H62" s="19" t="str">
        <f t="shared" si="6"/>
        <v>Canal Santa María del Vencedor</v>
      </c>
      <c r="I62" s="19" t="str">
        <f t="shared" si="6"/>
        <v>Colonia Española Unif.</v>
      </c>
      <c r="J62" s="19" t="str">
        <f t="shared" si="6"/>
        <v>Subdelegacion Río Diamante</v>
      </c>
      <c r="K62" s="19" t="str">
        <f t="shared" si="6"/>
        <v>Canal Resolana</v>
      </c>
      <c r="L62" s="19" t="str">
        <f t="shared" si="6"/>
        <v>Canal El Cerrito</v>
      </c>
      <c r="M62" s="19" t="str">
        <f t="shared" si="6"/>
        <v>Subdelegacion Río Diamante</v>
      </c>
      <c r="N62" s="19" t="str">
        <f t="shared" si="6"/>
        <v>Subdelegacion Río Diamante</v>
      </c>
    </row>
    <row r="63" spans="1:19" ht="18.75" x14ac:dyDescent="0.25">
      <c r="C63" s="139" t="s">
        <v>271</v>
      </c>
      <c r="D63" s="1053" t="s">
        <v>97</v>
      </c>
      <c r="E63" s="1054"/>
      <c r="F63" s="135" t="s">
        <v>141</v>
      </c>
      <c r="G63" s="136">
        <f t="shared" ref="G63:H63" si="7">G58</f>
        <v>0.12</v>
      </c>
      <c r="H63" s="136">
        <f t="shared" si="7"/>
        <v>0.04</v>
      </c>
      <c r="I63" s="136">
        <f t="shared" ref="I63:J63" si="8">I58</f>
        <v>0.1</v>
      </c>
      <c r="J63" s="136">
        <f t="shared" si="8"/>
        <v>7.0000000000000007E-2</v>
      </c>
      <c r="K63" s="136">
        <f t="shared" ref="K63:L63" si="9">K58</f>
        <v>0.1</v>
      </c>
      <c r="L63" s="136">
        <f t="shared" si="9"/>
        <v>7.0000000000000007E-2</v>
      </c>
      <c r="M63" s="136">
        <f t="shared" ref="M63:N63" si="10">M58</f>
        <v>7.0000000000000007E-2</v>
      </c>
      <c r="N63" s="136">
        <f t="shared" si="10"/>
        <v>7.0000000000000007E-2</v>
      </c>
      <c r="R63" s="137">
        <f>MAX(G63:N63)</f>
        <v>0.12</v>
      </c>
      <c r="S63" s="138">
        <f>+MIN(G63:N63)</f>
        <v>0.04</v>
      </c>
    </row>
    <row r="64" spans="1:19" ht="18.75" x14ac:dyDescent="0.25">
      <c r="C64" s="139" t="s">
        <v>272</v>
      </c>
      <c r="D64" s="1053" t="s">
        <v>102</v>
      </c>
      <c r="E64" s="1054"/>
      <c r="F64" s="107" t="s">
        <v>241</v>
      </c>
      <c r="G64" s="122">
        <f t="shared" ref="G64:H64" si="11">+G37/G16</f>
        <v>1835.8679271133033</v>
      </c>
      <c r="H64" s="122">
        <f t="shared" si="11"/>
        <v>724.94669509594883</v>
      </c>
      <c r="I64" s="122">
        <f t="shared" ref="I64:J64" si="12">+I37/I16</f>
        <v>11136.363636363636</v>
      </c>
      <c r="J64" s="122">
        <f t="shared" si="12"/>
        <v>133.25608342989571</v>
      </c>
      <c r="K64" s="122">
        <f t="shared" ref="K64:L64" si="13">+K37/K16</f>
        <v>4936.8541905855336</v>
      </c>
      <c r="L64" s="122">
        <f t="shared" si="13"/>
        <v>322.75912947251936</v>
      </c>
      <c r="M64" s="122">
        <f t="shared" ref="M64:N64" si="14">+M37/M16</f>
        <v>121.25097558256216</v>
      </c>
      <c r="N64" s="122">
        <f t="shared" si="14"/>
        <v>19.51165124317092</v>
      </c>
      <c r="R64" s="126">
        <f t="shared" ref="R64:R74" si="15">MAX(G64:N64)</f>
        <v>11136.363636363636</v>
      </c>
      <c r="S64" s="127">
        <f t="shared" ref="S64:S74" si="16">+MIN(G64:N64)</f>
        <v>19.51165124317092</v>
      </c>
    </row>
    <row r="65" spans="1:19" ht="18.75" x14ac:dyDescent="0.25">
      <c r="C65" s="139" t="s">
        <v>273</v>
      </c>
      <c r="D65" s="1053" t="s">
        <v>106</v>
      </c>
      <c r="E65" s="1054"/>
      <c r="F65" s="107" t="s">
        <v>242</v>
      </c>
      <c r="G65" s="122">
        <f t="shared" ref="G65:H65" si="17">+G37/G17</f>
        <v>35078.534031413612</v>
      </c>
      <c r="H65" s="122">
        <f t="shared" si="17"/>
        <v>2965.1162790697676</v>
      </c>
      <c r="I65" s="122">
        <f t="shared" ref="I65:J65" si="18">+I37/I17</f>
        <v>111363.63636363637</v>
      </c>
      <c r="J65" s="122">
        <f t="shared" si="18"/>
        <v>59.451495334350042</v>
      </c>
      <c r="K65" s="122">
        <f t="shared" ref="K65:L65" si="19">+K37/K17</f>
        <v>25595.238095238095</v>
      </c>
      <c r="L65" s="122">
        <f t="shared" si="19"/>
        <v>1036.7298578199052</v>
      </c>
      <c r="M65" s="122">
        <f t="shared" ref="M65:N65" si="20">+M37/M17</f>
        <v>224.88174322123712</v>
      </c>
      <c r="N65" s="122">
        <f t="shared" si="20"/>
        <v>36.187866725256548</v>
      </c>
      <c r="R65" s="126">
        <f t="shared" si="15"/>
        <v>111363.63636363637</v>
      </c>
      <c r="S65" s="127">
        <f t="shared" si="16"/>
        <v>36.187866725256548</v>
      </c>
    </row>
    <row r="66" spans="1:19" ht="19.5" thickBot="1" x14ac:dyDescent="0.3">
      <c r="C66" s="139" t="s">
        <v>274</v>
      </c>
      <c r="D66" s="1053" t="s">
        <v>108</v>
      </c>
      <c r="E66" s="1054"/>
      <c r="F66" s="107" t="s">
        <v>243</v>
      </c>
      <c r="G66" s="157">
        <f t="shared" ref="G66:N66" si="21">+G37/(10000*G26*G18)</f>
        <v>3.5005752432098465</v>
      </c>
      <c r="H66" s="157">
        <f t="shared" si="21"/>
        <v>0.8</v>
      </c>
      <c r="I66" s="157">
        <f t="shared" si="21"/>
        <v>14.580454339496589</v>
      </c>
      <c r="J66" s="157"/>
      <c r="K66" s="157">
        <f t="shared" si="21"/>
        <v>5.5697587084352778</v>
      </c>
      <c r="L66" s="157">
        <f t="shared" si="21"/>
        <v>0.46666666666666667</v>
      </c>
      <c r="M66" s="157"/>
      <c r="N66" s="157">
        <f t="shared" si="21"/>
        <v>5.7259713701431493E-2</v>
      </c>
      <c r="R66" s="126">
        <f t="shared" si="15"/>
        <v>14.580454339496589</v>
      </c>
      <c r="S66" s="127">
        <f t="shared" si="16"/>
        <v>5.7259713701431493E-2</v>
      </c>
    </row>
    <row r="67" spans="1:19" ht="18.75" x14ac:dyDescent="0.25">
      <c r="C67" s="139" t="s">
        <v>279</v>
      </c>
      <c r="D67" s="1053" t="s">
        <v>238</v>
      </c>
      <c r="E67" s="1054"/>
      <c r="F67" s="107" t="s">
        <v>146</v>
      </c>
      <c r="G67" s="121">
        <f>(G39+G40)/2</f>
        <v>0.42920000000000003</v>
      </c>
      <c r="H67" s="121">
        <f t="shared" ref="H67" si="22">(H39+H40)/2</f>
        <v>0.57999999999999996</v>
      </c>
      <c r="I67" s="121">
        <f t="shared" ref="I67:J67" si="23">(I39+I40)/2</f>
        <v>0.65999999999999992</v>
      </c>
      <c r="J67" s="121">
        <f t="shared" si="23"/>
        <v>0.47499999999999998</v>
      </c>
      <c r="K67" s="121">
        <f t="shared" ref="K67:L67" si="24">(K39+K40)/2</f>
        <v>0.43999999999999995</v>
      </c>
      <c r="L67" s="121">
        <f t="shared" si="24"/>
        <v>0.34499999999999997</v>
      </c>
      <c r="M67" s="121">
        <f t="shared" ref="M67:N67" si="25">(M39+M40)/2</f>
        <v>0.47499999999999998</v>
      </c>
      <c r="N67" s="121">
        <f t="shared" si="25"/>
        <v>0.47499999999999998</v>
      </c>
      <c r="R67" s="125">
        <f t="shared" si="15"/>
        <v>0.65999999999999992</v>
      </c>
      <c r="S67" s="128">
        <f t="shared" si="16"/>
        <v>0.34499999999999997</v>
      </c>
    </row>
    <row r="68" spans="1:19" ht="18.75" x14ac:dyDescent="0.25">
      <c r="C68" s="139" t="s">
        <v>47</v>
      </c>
      <c r="D68" s="1053" t="s">
        <v>113</v>
      </c>
      <c r="E68" s="1054"/>
      <c r="F68" s="107" t="s">
        <v>147</v>
      </c>
      <c r="G68" s="123">
        <f>+G53</f>
        <v>1088985982.1788833</v>
      </c>
      <c r="H68" s="123">
        <f t="shared" ref="H68" si="26">+H53</f>
        <v>280969377.56053627</v>
      </c>
      <c r="I68" s="123">
        <f t="shared" ref="I68:J68" si="27">+I53</f>
        <v>87584390.262507543</v>
      </c>
      <c r="J68" s="123">
        <f t="shared" si="27"/>
        <v>2161445158.3544216</v>
      </c>
      <c r="K68" s="123">
        <f t="shared" ref="K68:L68" si="28">+K53</f>
        <v>116010851.71306422</v>
      </c>
      <c r="L68" s="123">
        <f t="shared" si="28"/>
        <v>174978216</v>
      </c>
      <c r="M68" s="123">
        <f t="shared" ref="M68:N68" si="29">+M53</f>
        <v>10975508303.972116</v>
      </c>
      <c r="N68" s="123">
        <f t="shared" si="29"/>
        <v>10975508303.972116</v>
      </c>
      <c r="R68" s="126">
        <f t="shared" si="15"/>
        <v>10975508303.972116</v>
      </c>
      <c r="S68" s="129">
        <f t="shared" si="16"/>
        <v>87584390.262507543</v>
      </c>
    </row>
    <row r="69" spans="1:19" ht="18.75" x14ac:dyDescent="0.25">
      <c r="C69" s="139" t="s">
        <v>283</v>
      </c>
      <c r="D69" s="1053" t="s">
        <v>117</v>
      </c>
      <c r="E69" s="1054"/>
      <c r="F69" s="107" t="s">
        <v>118</v>
      </c>
      <c r="G69" s="124">
        <f>VLOOKUP(G62,'CALIF HTA'!$A$25:$B$45,2,"FALSO")</f>
        <v>65</v>
      </c>
      <c r="H69" s="124">
        <f>VLOOKUP(H62,'CALIF HTA'!$A$25:$B$45,2,"FALSO")</f>
        <v>64</v>
      </c>
      <c r="I69" s="124">
        <f>VLOOKUP(I62,'CALIF HTA'!$A$25:$B$45,2,"FALSO")</f>
        <v>60</v>
      </c>
      <c r="J69" s="124">
        <f>VLOOKUP(J62,'CALIF HTA'!$A$25:$B$45,2,"FALSO")</f>
        <v>61.3</v>
      </c>
      <c r="K69" s="124">
        <f>VLOOKUP(K62,'CALIF HTA'!$A$25:$B$45,2,"FALSO")</f>
        <v>59</v>
      </c>
      <c r="L69" s="124">
        <f>VLOOKUP(L62,'CALIF HTA'!$A$25:$B$45,2,"FALSO")</f>
        <v>57</v>
      </c>
      <c r="M69" s="124">
        <f>VLOOKUP(M62,'CALIF HTA'!$A$25:$B$45,2,"FALSO")</f>
        <v>61.3</v>
      </c>
      <c r="N69" s="124">
        <f>VLOOKUP(N62,'CALIF HTA'!$A$25:$B$45,2,"FALSO")</f>
        <v>61.3</v>
      </c>
      <c r="R69" s="130">
        <f t="shared" si="15"/>
        <v>65</v>
      </c>
      <c r="S69" s="131">
        <f t="shared" si="16"/>
        <v>57</v>
      </c>
    </row>
    <row r="70" spans="1:19" ht="18.75" x14ac:dyDescent="0.25">
      <c r="C70" s="139" t="s">
        <v>285</v>
      </c>
      <c r="D70" s="1053" t="s">
        <v>122</v>
      </c>
      <c r="E70" s="1054"/>
      <c r="F70" s="107" t="s">
        <v>270</v>
      </c>
      <c r="G70" s="121">
        <f t="shared" ref="G70:H70" si="30">+G37/G41</f>
        <v>3.6099526934557487</v>
      </c>
      <c r="H70" s="121">
        <f t="shared" si="30"/>
        <v>0.25424429062664861</v>
      </c>
      <c r="I70" s="121">
        <f t="shared" ref="I70:J70" si="31">+I37/I41</f>
        <v>13.019795403215092</v>
      </c>
      <c r="J70" s="121">
        <f t="shared" si="31"/>
        <v>0.22810988152171111</v>
      </c>
      <c r="K70" s="121">
        <f t="shared" ref="K70:L70" si="32">+K37/K41</f>
        <v>15.722120658135283</v>
      </c>
      <c r="L70" s="121">
        <f t="shared" si="32"/>
        <v>6.3098989695033572</v>
      </c>
      <c r="M70" s="121">
        <f t="shared" ref="M70:N70" si="33">+M37/M41</f>
        <v>0.86285042140821155</v>
      </c>
      <c r="N70" s="121">
        <f t="shared" si="33"/>
        <v>0.13884949310017197</v>
      </c>
      <c r="R70" s="132">
        <f t="shared" si="15"/>
        <v>15.722120658135283</v>
      </c>
      <c r="S70" s="128">
        <f t="shared" si="16"/>
        <v>0.13884949310017197</v>
      </c>
    </row>
    <row r="71" spans="1:19" ht="18.75" x14ac:dyDescent="0.25">
      <c r="C71" s="139" t="s">
        <v>288</v>
      </c>
      <c r="D71" s="1053" t="s">
        <v>126</v>
      </c>
      <c r="E71" s="1054"/>
      <c r="F71" s="107" t="s">
        <v>149</v>
      </c>
      <c r="G71" s="124">
        <f t="shared" ref="G71:H71" si="34">+G59</f>
        <v>0</v>
      </c>
      <c r="H71" s="124">
        <f t="shared" si="34"/>
        <v>40</v>
      </c>
      <c r="I71" s="124">
        <f t="shared" ref="I71:J71" si="35">+I59</f>
        <v>0</v>
      </c>
      <c r="J71" s="124">
        <f t="shared" si="35"/>
        <v>0</v>
      </c>
      <c r="K71" s="124">
        <f t="shared" ref="K71:L71" si="36">+K59</f>
        <v>13</v>
      </c>
      <c r="L71" s="124">
        <f t="shared" si="36"/>
        <v>40</v>
      </c>
      <c r="M71" s="124">
        <f t="shared" ref="M71:N71" si="37">+M59</f>
        <v>0</v>
      </c>
      <c r="N71" s="124">
        <f t="shared" si="37"/>
        <v>26</v>
      </c>
      <c r="R71" s="130">
        <f t="shared" si="15"/>
        <v>40</v>
      </c>
      <c r="S71" s="131">
        <f t="shared" si="16"/>
        <v>0</v>
      </c>
    </row>
    <row r="72" spans="1:19" ht="18.75" x14ac:dyDescent="0.25">
      <c r="C72" s="139" t="s">
        <v>289</v>
      </c>
      <c r="D72" s="1053" t="s">
        <v>129</v>
      </c>
      <c r="E72" s="1054"/>
      <c r="F72" s="107" t="s">
        <v>150</v>
      </c>
      <c r="G72" s="124">
        <f>+G43*$F$43+G44*$F$44+G45*$F$45+G46*$F$46</f>
        <v>26</v>
      </c>
      <c r="H72" s="124">
        <f t="shared" ref="H72" si="38">+H43*$F$43+H44*$F$44+H45*$F$45+H46*$F$46</f>
        <v>26</v>
      </c>
      <c r="I72" s="124">
        <f t="shared" ref="I72:J72" si="39">+I43*$F$43+I44*$F$44+I45*$F$45+I46*$F$46</f>
        <v>0</v>
      </c>
      <c r="J72" s="124">
        <f t="shared" si="39"/>
        <v>13</v>
      </c>
      <c r="K72" s="124">
        <f t="shared" ref="K72:L72" si="40">+K43*$F$43+K44*$F$44+K45*$F$45+K46*$F$46</f>
        <v>13</v>
      </c>
      <c r="L72" s="124">
        <f t="shared" si="40"/>
        <v>26</v>
      </c>
      <c r="M72" s="124">
        <f t="shared" ref="M72:N72" si="41">+M43*$F$43+M44*$F$44+M45*$F$45+M46*$F$46</f>
        <v>13</v>
      </c>
      <c r="N72" s="124">
        <f t="shared" si="41"/>
        <v>26</v>
      </c>
      <c r="R72" s="130">
        <f t="shared" si="15"/>
        <v>26</v>
      </c>
      <c r="S72" s="131">
        <f t="shared" si="16"/>
        <v>0</v>
      </c>
    </row>
    <row r="73" spans="1:19" ht="18.75" x14ac:dyDescent="0.25">
      <c r="C73" s="139" t="s">
        <v>291</v>
      </c>
      <c r="D73" s="1053" t="s">
        <v>133</v>
      </c>
      <c r="E73" s="1054"/>
      <c r="F73" s="107" t="s">
        <v>151</v>
      </c>
      <c r="G73" s="124">
        <f>+G48*$F$48+G49*$F$49+G50*$F$50+G51*$F$51</f>
        <v>26</v>
      </c>
      <c r="H73" s="124">
        <f t="shared" ref="H73" si="42">+H48*$F$48+H49*$F$49+H50*$F$50+H51*$F$51</f>
        <v>26</v>
      </c>
      <c r="I73" s="124">
        <f t="shared" ref="I73:J73" si="43">+I48*$F$48+I49*$F$49+I50*$F$50+I51*$F$51</f>
        <v>26</v>
      </c>
      <c r="J73" s="124">
        <f t="shared" si="43"/>
        <v>40</v>
      </c>
      <c r="K73" s="124">
        <f t="shared" ref="K73:L73" si="44">+K48*$F$48+K49*$F$49+K50*$F$50+K51*$F$51</f>
        <v>26</v>
      </c>
      <c r="L73" s="124">
        <f t="shared" si="44"/>
        <v>26</v>
      </c>
      <c r="M73" s="124">
        <f t="shared" ref="M73:N73" si="45">+M48*$F$48+M49*$F$49+M50*$F$50+M51*$F$51</f>
        <v>40</v>
      </c>
      <c r="N73" s="124">
        <f t="shared" si="45"/>
        <v>40</v>
      </c>
      <c r="R73" s="130">
        <f t="shared" si="15"/>
        <v>40</v>
      </c>
      <c r="S73" s="131">
        <f t="shared" si="16"/>
        <v>26</v>
      </c>
    </row>
    <row r="74" spans="1:19" ht="19.5" thickBot="1" x14ac:dyDescent="0.3">
      <c r="C74" s="139" t="s">
        <v>293</v>
      </c>
      <c r="D74" s="1053" t="s">
        <v>137</v>
      </c>
      <c r="E74" s="1054"/>
      <c r="F74" s="107" t="s">
        <v>149</v>
      </c>
      <c r="G74" s="124">
        <f>+G56</f>
        <v>13</v>
      </c>
      <c r="H74" s="124">
        <f t="shared" ref="H74:N74" si="46">+H56</f>
        <v>0</v>
      </c>
      <c r="I74" s="124">
        <f t="shared" si="46"/>
        <v>13</v>
      </c>
      <c r="J74" s="124">
        <f t="shared" si="46"/>
        <v>40</v>
      </c>
      <c r="K74" s="124">
        <f t="shared" si="46"/>
        <v>13</v>
      </c>
      <c r="L74" s="124">
        <f t="shared" si="46"/>
        <v>0</v>
      </c>
      <c r="M74" s="124">
        <f t="shared" si="46"/>
        <v>13</v>
      </c>
      <c r="N74" s="124">
        <f t="shared" si="46"/>
        <v>13</v>
      </c>
      <c r="R74" s="133">
        <f t="shared" si="15"/>
        <v>40</v>
      </c>
      <c r="S74" s="134">
        <f t="shared" si="16"/>
        <v>0</v>
      </c>
    </row>
    <row r="77" spans="1:19" ht="30.75" x14ac:dyDescent="0.25">
      <c r="A77" s="109"/>
      <c r="B77" s="109"/>
      <c r="C77" s="109"/>
      <c r="D77" s="109">
        <v>1</v>
      </c>
      <c r="E77" s="140" t="s">
        <v>280</v>
      </c>
      <c r="F77" s="109"/>
      <c r="G77" s="119">
        <f>100*((($R63-G63)/($R63-$S63)))</f>
        <v>0</v>
      </c>
      <c r="H77" s="119">
        <f t="shared" ref="H77:N77" si="47">100*((($R63-H63)/($R63-$S63)))</f>
        <v>100</v>
      </c>
      <c r="I77" s="119">
        <f t="shared" si="47"/>
        <v>24.999999999999993</v>
      </c>
      <c r="J77" s="119">
        <f t="shared" si="47"/>
        <v>62.5</v>
      </c>
      <c r="K77" s="119">
        <f t="shared" si="47"/>
        <v>24.999999999999993</v>
      </c>
      <c r="L77" s="119">
        <f t="shared" si="47"/>
        <v>62.5</v>
      </c>
      <c r="M77" s="119">
        <f t="shared" si="47"/>
        <v>62.5</v>
      </c>
      <c r="N77" s="119">
        <f t="shared" si="47"/>
        <v>62.5</v>
      </c>
    </row>
    <row r="78" spans="1:19" ht="30" x14ac:dyDescent="0.25">
      <c r="D78" s="109">
        <v>2</v>
      </c>
      <c r="E78" s="140" t="s">
        <v>275</v>
      </c>
      <c r="F78"/>
      <c r="G78" s="119">
        <f>100*(1-(($S64-G64)/($S64-$R64)))</f>
        <v>83.66123540817793</v>
      </c>
      <c r="H78" s="119">
        <f t="shared" ref="H78:N78" si="48">100*(1-(($S64-H64)/($S64-$R64)))</f>
        <v>93.654363260417796</v>
      </c>
      <c r="I78" s="119">
        <f t="shared" si="48"/>
        <v>0</v>
      </c>
      <c r="J78" s="119">
        <f t="shared" si="48"/>
        <v>98.976828761065022</v>
      </c>
      <c r="K78" s="119">
        <f t="shared" si="48"/>
        <v>55.766771511179044</v>
      </c>
      <c r="L78" s="119">
        <f t="shared" si="48"/>
        <v>97.272182101234819</v>
      </c>
      <c r="M78" s="119">
        <f t="shared" si="48"/>
        <v>99.084818935472327</v>
      </c>
      <c r="N78" s="119">
        <f t="shared" si="48"/>
        <v>100</v>
      </c>
    </row>
    <row r="79" spans="1:19" ht="30" x14ac:dyDescent="0.25">
      <c r="D79" s="109">
        <v>3</v>
      </c>
      <c r="E79" s="140" t="s">
        <v>276</v>
      </c>
      <c r="F79"/>
      <c r="G79" s="119">
        <f>100*(1-(($S65-G65)/($S65-$R65)))</f>
        <v>68.523174978127116</v>
      </c>
      <c r="H79" s="119">
        <f t="shared" ref="H79:N79" si="49">100*(1-(($S65-H65)/($S65-$R65)))</f>
        <v>97.369086912626244</v>
      </c>
      <c r="I79" s="119">
        <f t="shared" si="49"/>
        <v>0</v>
      </c>
      <c r="J79" s="119">
        <f t="shared" si="49"/>
        <v>99.979103420653942</v>
      </c>
      <c r="K79" s="119">
        <f t="shared" si="49"/>
        <v>77.041555722691328</v>
      </c>
      <c r="L79" s="119">
        <f t="shared" si="49"/>
        <v>99.101262083517156</v>
      </c>
      <c r="M79" s="119">
        <f t="shared" si="49"/>
        <v>99.83050552308201</v>
      </c>
      <c r="N79" s="119">
        <f t="shared" si="49"/>
        <v>100</v>
      </c>
    </row>
    <row r="80" spans="1:19" ht="30" x14ac:dyDescent="0.25">
      <c r="D80" s="109">
        <v>4</v>
      </c>
      <c r="E80" s="140" t="s">
        <v>278</v>
      </c>
      <c r="F80"/>
      <c r="G80" s="119">
        <f>IF(G66=0,0,100*(1-(($S66-G66)/($S66-$R66))))</f>
        <v>76.290922085471323</v>
      </c>
      <c r="H80" s="119">
        <f t="shared" ref="H80:N80" si="50">IF(H66=0,0,100*(1-(($S66-H66)/($S66-$R66))))</f>
        <v>94.885833968103952</v>
      </c>
      <c r="I80" s="119">
        <f t="shared" si="50"/>
        <v>0</v>
      </c>
      <c r="J80" s="119">
        <f t="shared" si="50"/>
        <v>0</v>
      </c>
      <c r="K80" s="119">
        <f t="shared" si="50"/>
        <v>62.043481914489362</v>
      </c>
      <c r="L80" s="119">
        <f t="shared" si="50"/>
        <v>97.18101310686788</v>
      </c>
      <c r="M80" s="119">
        <f t="shared" si="50"/>
        <v>0</v>
      </c>
      <c r="N80" s="119">
        <f t="shared" si="50"/>
        <v>100</v>
      </c>
    </row>
    <row r="81" spans="4:14" ht="30" x14ac:dyDescent="0.25">
      <c r="D81" s="109">
        <v>5</v>
      </c>
      <c r="E81" s="140" t="s">
        <v>277</v>
      </c>
      <c r="F81"/>
      <c r="G81" s="119">
        <f>100*((G67-$S67)/($R67-$S67))</f>
        <v>26.730158730158752</v>
      </c>
      <c r="H81" s="119">
        <f t="shared" ref="H81:N81" si="51">100*((H67-$S67)/($R67-$S67))</f>
        <v>74.603174603174622</v>
      </c>
      <c r="I81" s="119">
        <f t="shared" si="51"/>
        <v>100</v>
      </c>
      <c r="J81" s="119">
        <f t="shared" si="51"/>
        <v>41.26984126984128</v>
      </c>
      <c r="K81" s="119">
        <f t="shared" si="51"/>
        <v>30.158730158730158</v>
      </c>
      <c r="L81" s="119">
        <f t="shared" si="51"/>
        <v>0</v>
      </c>
      <c r="M81" s="119">
        <f t="shared" si="51"/>
        <v>41.26984126984128</v>
      </c>
      <c r="N81" s="119">
        <f t="shared" si="51"/>
        <v>41.26984126984128</v>
      </c>
    </row>
    <row r="82" spans="4:14" ht="30.75" x14ac:dyDescent="0.25">
      <c r="D82" s="109">
        <v>6</v>
      </c>
      <c r="E82" s="140" t="s">
        <v>281</v>
      </c>
      <c r="F82"/>
      <c r="G82" s="119">
        <f>100*(1-(($R68-G68)/($R68-$S68)))</f>
        <v>9.1973603035143565</v>
      </c>
      <c r="H82" s="119">
        <f t="shared" ref="H82:N82" si="52">100*(1-(($R68-H68)/($R68-$S68)))</f>
        <v>1.7761419792300837</v>
      </c>
      <c r="I82" s="119">
        <f t="shared" si="52"/>
        <v>0</v>
      </c>
      <c r="J82" s="119">
        <f t="shared" si="52"/>
        <v>19.047348094346951</v>
      </c>
      <c r="K82" s="119">
        <f t="shared" si="52"/>
        <v>0.26108247702542053</v>
      </c>
      <c r="L82" s="119">
        <f t="shared" si="52"/>
        <v>0.80266749134285664</v>
      </c>
      <c r="M82" s="119">
        <f t="shared" si="52"/>
        <v>100</v>
      </c>
      <c r="N82" s="119">
        <f t="shared" si="52"/>
        <v>100</v>
      </c>
    </row>
    <row r="83" spans="4:14" ht="30.75" x14ac:dyDescent="0.25">
      <c r="D83" s="109">
        <v>7</v>
      </c>
      <c r="E83" s="140" t="s">
        <v>282</v>
      </c>
      <c r="F83"/>
      <c r="G83" s="119">
        <f>100*(1-(($R69-G69)/($R69-$S69)))</f>
        <v>100</v>
      </c>
      <c r="H83" s="119">
        <f t="shared" ref="H83:N83" si="53">100*(1-(($R69-H69)/($R69-$S69)))</f>
        <v>87.5</v>
      </c>
      <c r="I83" s="119">
        <f t="shared" si="53"/>
        <v>37.5</v>
      </c>
      <c r="J83" s="119">
        <f t="shared" si="53"/>
        <v>53.749999999999964</v>
      </c>
      <c r="K83" s="119">
        <f t="shared" si="53"/>
        <v>25</v>
      </c>
      <c r="L83" s="119">
        <f t="shared" si="53"/>
        <v>0</v>
      </c>
      <c r="M83" s="119">
        <f t="shared" si="53"/>
        <v>53.749999999999964</v>
      </c>
      <c r="N83" s="119">
        <f t="shared" si="53"/>
        <v>53.749999999999964</v>
      </c>
    </row>
    <row r="84" spans="4:14" ht="26.25" x14ac:dyDescent="0.25">
      <c r="D84" s="109">
        <v>8</v>
      </c>
      <c r="E84" s="140" t="s">
        <v>284</v>
      </c>
      <c r="F84"/>
      <c r="G84" s="119">
        <f>80*(1-(($S$70-G70)/($S70-$R70)))</f>
        <v>62.180361678393439</v>
      </c>
      <c r="H84" s="119">
        <f t="shared" ref="H84:N84" si="54">80*(1-(($S$70-H70)/($S70-$R70)))</f>
        <v>79.407596537058836</v>
      </c>
      <c r="I84" s="119">
        <f t="shared" si="54"/>
        <v>13.872955049301954</v>
      </c>
      <c r="J84" s="119">
        <f t="shared" si="54"/>
        <v>79.541763022789127</v>
      </c>
      <c r="K84" s="119">
        <f t="shared" si="54"/>
        <v>0</v>
      </c>
      <c r="L84" s="119">
        <f t="shared" si="54"/>
        <v>48.319619617480839</v>
      </c>
      <c r="M84" s="119">
        <f t="shared" si="54"/>
        <v>76.283188962622873</v>
      </c>
      <c r="N84" s="119">
        <f t="shared" si="54"/>
        <v>80</v>
      </c>
    </row>
    <row r="85" spans="4:14" ht="26.25" x14ac:dyDescent="0.25">
      <c r="D85" s="109">
        <v>9</v>
      </c>
      <c r="E85" s="140" t="s">
        <v>286</v>
      </c>
      <c r="F85" s="19" t="s">
        <v>149</v>
      </c>
      <c r="G85" s="109">
        <f t="shared" ref="G85:N85" si="55">+G71</f>
        <v>0</v>
      </c>
      <c r="H85" s="109">
        <f t="shared" si="55"/>
        <v>40</v>
      </c>
      <c r="I85" s="109">
        <f t="shared" si="55"/>
        <v>0</v>
      </c>
      <c r="J85" s="109">
        <f t="shared" si="55"/>
        <v>0</v>
      </c>
      <c r="K85" s="109">
        <f t="shared" si="55"/>
        <v>13</v>
      </c>
      <c r="L85" s="109">
        <f t="shared" si="55"/>
        <v>40</v>
      </c>
      <c r="M85" s="109">
        <f t="shared" si="55"/>
        <v>0</v>
      </c>
      <c r="N85" s="109">
        <f t="shared" si="55"/>
        <v>26</v>
      </c>
    </row>
    <row r="86" spans="4:14" ht="26.25" x14ac:dyDescent="0.25">
      <c r="D86" s="109">
        <v>10</v>
      </c>
      <c r="E86" s="140" t="s">
        <v>287</v>
      </c>
      <c r="F86" s="19" t="s">
        <v>239</v>
      </c>
      <c r="G86" s="109">
        <f t="shared" ref="G86:H86" si="56">G72</f>
        <v>26</v>
      </c>
      <c r="H86" s="109">
        <f t="shared" si="56"/>
        <v>26</v>
      </c>
      <c r="I86" s="109">
        <f t="shared" ref="I86:J86" si="57">I72</f>
        <v>0</v>
      </c>
      <c r="J86" s="109">
        <f t="shared" si="57"/>
        <v>13</v>
      </c>
      <c r="K86" s="109">
        <f t="shared" ref="K86:L86" si="58">K72</f>
        <v>13</v>
      </c>
      <c r="L86" s="109">
        <f t="shared" si="58"/>
        <v>26</v>
      </c>
      <c r="M86" s="109">
        <f t="shared" ref="M86:N86" si="59">M72</f>
        <v>13</v>
      </c>
      <c r="N86" s="109">
        <f t="shared" si="59"/>
        <v>26</v>
      </c>
    </row>
    <row r="87" spans="4:14" ht="26.25" x14ac:dyDescent="0.25">
      <c r="D87" s="109">
        <v>11</v>
      </c>
      <c r="E87" s="140" t="s">
        <v>290</v>
      </c>
      <c r="F87" s="19" t="s">
        <v>292</v>
      </c>
      <c r="G87" s="109">
        <f t="shared" ref="G87:N87" si="60">G73</f>
        <v>26</v>
      </c>
      <c r="H87" s="109">
        <f t="shared" si="60"/>
        <v>26</v>
      </c>
      <c r="I87" s="109">
        <f t="shared" si="60"/>
        <v>26</v>
      </c>
      <c r="J87" s="109">
        <f t="shared" si="60"/>
        <v>40</v>
      </c>
      <c r="K87" s="109">
        <f t="shared" si="60"/>
        <v>26</v>
      </c>
      <c r="L87" s="109">
        <f t="shared" si="60"/>
        <v>26</v>
      </c>
      <c r="M87" s="109">
        <f t="shared" si="60"/>
        <v>40</v>
      </c>
      <c r="N87" s="109">
        <f t="shared" si="60"/>
        <v>40</v>
      </c>
    </row>
    <row r="88" spans="4:14" ht="30.75" x14ac:dyDescent="0.25">
      <c r="D88" s="109">
        <v>12</v>
      </c>
      <c r="E88" s="140" t="s">
        <v>294</v>
      </c>
      <c r="F88" s="19" t="s">
        <v>149</v>
      </c>
      <c r="G88" s="109">
        <f t="shared" ref="G88:N88" si="61">+G74</f>
        <v>13</v>
      </c>
      <c r="H88" s="109">
        <f t="shared" si="61"/>
        <v>0</v>
      </c>
      <c r="I88" s="109">
        <f t="shared" si="61"/>
        <v>13</v>
      </c>
      <c r="J88" s="109">
        <f t="shared" si="61"/>
        <v>40</v>
      </c>
      <c r="K88" s="109">
        <f t="shared" si="61"/>
        <v>13</v>
      </c>
      <c r="L88" s="109">
        <f t="shared" si="61"/>
        <v>0</v>
      </c>
      <c r="M88" s="109">
        <f t="shared" si="61"/>
        <v>13</v>
      </c>
      <c r="N88" s="109">
        <f t="shared" si="61"/>
        <v>13</v>
      </c>
    </row>
    <row r="89" spans="4:14" x14ac:dyDescent="0.25">
      <c r="D89" s="109"/>
    </row>
    <row r="90" spans="4:14" ht="23.25" x14ac:dyDescent="0.25">
      <c r="D90" s="109"/>
      <c r="F90" s="142" t="s">
        <v>295</v>
      </c>
      <c r="G90" s="143">
        <f t="shared" ref="G90:N90" si="62">SUM(G77:G88)</f>
        <v>491.58321318384287</v>
      </c>
      <c r="H90" s="143">
        <f t="shared" si="62"/>
        <v>721.19619726061148</v>
      </c>
      <c r="I90" s="143">
        <f t="shared" si="62"/>
        <v>215.37295504930196</v>
      </c>
      <c r="J90" s="143">
        <f t="shared" si="62"/>
        <v>548.06488456869624</v>
      </c>
      <c r="K90" s="143">
        <f t="shared" si="62"/>
        <v>340.27162178411527</v>
      </c>
      <c r="L90" s="143">
        <f t="shared" si="62"/>
        <v>497.17674440044357</v>
      </c>
      <c r="M90" s="143">
        <f t="shared" si="62"/>
        <v>598.71835469101836</v>
      </c>
      <c r="N90" s="143">
        <f t="shared" si="62"/>
        <v>742.51984126984121</v>
      </c>
    </row>
    <row r="91" spans="4:14" x14ac:dyDescent="0.25">
      <c r="D91" s="109"/>
    </row>
    <row r="92" spans="4:14" x14ac:dyDescent="0.25">
      <c r="D92" s="109"/>
    </row>
    <row r="93" spans="4:14" x14ac:dyDescent="0.25">
      <c r="D93" s="109"/>
    </row>
    <row r="94" spans="4:14" x14ac:dyDescent="0.25">
      <c r="D94" s="109"/>
      <c r="F94"/>
    </row>
    <row r="95" spans="4:14" x14ac:dyDescent="0.25">
      <c r="D95" s="109"/>
      <c r="F95"/>
    </row>
    <row r="96" spans="4:14" x14ac:dyDescent="0.25">
      <c r="F96"/>
    </row>
    <row r="97" spans="3:18" ht="15.75" thickBot="1" x14ac:dyDescent="0.3">
      <c r="F97"/>
    </row>
    <row r="98" spans="3:18" ht="37.5" customHeight="1" thickBot="1" x14ac:dyDescent="0.3">
      <c r="F98"/>
      <c r="H98" s="1071" t="s">
        <v>972</v>
      </c>
      <c r="I98" s="1072"/>
      <c r="J98" s="1072"/>
      <c r="K98" s="1072"/>
      <c r="L98" s="1072"/>
      <c r="M98" s="1073"/>
      <c r="N98" s="925"/>
    </row>
    <row r="99" spans="3:18" ht="37.5" customHeight="1" thickBot="1" x14ac:dyDescent="0.3">
      <c r="F99"/>
      <c r="H99" s="444" t="s">
        <v>1096</v>
      </c>
      <c r="I99" s="445" t="s">
        <v>58</v>
      </c>
      <c r="J99" s="445" t="s">
        <v>296</v>
      </c>
      <c r="K99" s="445" t="s">
        <v>314</v>
      </c>
      <c r="L99" s="445" t="s">
        <v>297</v>
      </c>
      <c r="M99" s="446" t="s">
        <v>298</v>
      </c>
      <c r="N99" s="877"/>
    </row>
    <row r="100" spans="3:18" ht="50.1" customHeight="1" x14ac:dyDescent="0.25">
      <c r="C100" s="109">
        <v>1</v>
      </c>
      <c r="D100" s="109">
        <f>+HLOOKUP(C100,DIAMANTE!$G$9:$N$90,82,"FALSO")</f>
        <v>491.58321318384287</v>
      </c>
      <c r="E100" s="146" t="str">
        <f>+HLOOKUP(C100,DIAMANTE!$G$9:$N$90,2,"FALSO")</f>
        <v>Canal Matriz Goudge - Revestimiento de un Tramo</v>
      </c>
      <c r="F100" s="144">
        <f>+HLOOKUP(C100,DIAMANTE!$G$9:$N$90,29,"FALSO")</f>
        <v>13400000</v>
      </c>
      <c r="G100" s="109" t="str">
        <f>+HLOOKUP(C100,DIAMANTE!$G$9:$N$90,4,"FALSO")</f>
        <v>Canal Mz. Goudge</v>
      </c>
      <c r="H100" s="898">
        <v>742.51984126984121</v>
      </c>
      <c r="I100" s="899" t="s">
        <v>299</v>
      </c>
      <c r="J100" s="900" t="str">
        <f>+VLOOKUP(H100,$D$100:$G$107,2,"FALSO")</f>
        <v>Canal Matriz Rio Diamante - Reparacion Compuertas Toma Canal Secundarios</v>
      </c>
      <c r="K100" s="900" t="str">
        <f>VLOOKUP(H100,$D$100:$G$114,4,"FALSO")</f>
        <v>Subdelegacion Río Diamante</v>
      </c>
      <c r="L100" s="901">
        <f>+VLOOKUP(H100,$D$100:$G$114,3,"FALSO")</f>
        <v>1400000</v>
      </c>
      <c r="M100" s="902">
        <f>+L100</f>
        <v>1400000</v>
      </c>
      <c r="N100" s="877"/>
      <c r="R100" s="109"/>
    </row>
    <row r="101" spans="3:18" ht="50.1" customHeight="1" x14ac:dyDescent="0.25">
      <c r="C101" s="109">
        <v>2</v>
      </c>
      <c r="D101" s="109">
        <f>+HLOOKUP(C101,DIAMANTE!$G$9:$N$90,82,"FALSO")</f>
        <v>721.19619726061148</v>
      </c>
      <c r="E101" s="146" t="str">
        <f>+HLOOKUP(C101,DIAMANTE!$G$9:$N$90,2,"FALSO")</f>
        <v>Canal Sauce de la Leona - Modernizacion Sistema de Riego</v>
      </c>
      <c r="F101" s="144">
        <f>+HLOOKUP(C101,DIAMANTE!$G$9:$N$90,29,"FALSO")</f>
        <v>1020000</v>
      </c>
      <c r="G101" s="109" t="str">
        <f>+HLOOKUP(C101,DIAMANTE!$G$9:$N$90,4,"FALSO")</f>
        <v>Canal Santa María del Vencedor</v>
      </c>
      <c r="H101" s="903">
        <v>721.19619726061148</v>
      </c>
      <c r="I101" s="904" t="s">
        <v>300</v>
      </c>
      <c r="J101" s="905" t="str">
        <f t="shared" ref="J101:J107" si="63">+VLOOKUP(H101,$D$100:$G$107,2,"FALSO")</f>
        <v>Canal Sauce de la Leona - Modernizacion Sistema de Riego</v>
      </c>
      <c r="K101" s="905" t="str">
        <f t="shared" ref="K101:K107" si="64">VLOOKUP(H101,$D$100:$G$114,4,"FALSO")</f>
        <v>Canal Santa María del Vencedor</v>
      </c>
      <c r="L101" s="906">
        <f t="shared" ref="L101:L107" si="65">+VLOOKUP(H101,$D$100:$G$114,3,"FALSO")</f>
        <v>1020000</v>
      </c>
      <c r="M101" s="907">
        <f t="shared" ref="M101:M107" si="66">+M100+L101</f>
        <v>2420000</v>
      </c>
      <c r="N101" s="877"/>
    </row>
    <row r="102" spans="3:18" ht="50.1" customHeight="1" x14ac:dyDescent="0.25">
      <c r="C102" s="109">
        <v>3</v>
      </c>
      <c r="D102" s="109">
        <f>+HLOOKUP(C102,DIAMANTE!$G$9:$N$90,82,"FALSO")</f>
        <v>215.37295504930196</v>
      </c>
      <c r="E102" s="146" t="str">
        <f>+HLOOKUP(C102,DIAMANTE!$G$9:$N$90,2,"FALSO")</f>
        <v>Canal Retamito - Revestimiento de un Tramo</v>
      </c>
      <c r="F102" s="144">
        <f>+HLOOKUP(C102,DIAMANTE!$G$9:$N$90,29,"FALSO")</f>
        <v>4900000</v>
      </c>
      <c r="G102" s="109" t="str">
        <f>+HLOOKUP(C102,DIAMANTE!$G$9:$N$90,4,"FALSO")</f>
        <v>Colonia Española Unif.</v>
      </c>
      <c r="H102" s="903">
        <v>598.71835469101836</v>
      </c>
      <c r="I102" s="904" t="s">
        <v>301</v>
      </c>
      <c r="J102" s="905" t="str">
        <f t="shared" si="63"/>
        <v>Canal Matriz Rio Diamante - Reparacion Revestimientos y Compuertas</v>
      </c>
      <c r="K102" s="905" t="str">
        <f t="shared" si="64"/>
        <v>Subdelegacion Río Diamante</v>
      </c>
      <c r="L102" s="906">
        <f t="shared" si="65"/>
        <v>8700000</v>
      </c>
      <c r="M102" s="907">
        <f t="shared" si="66"/>
        <v>11120000</v>
      </c>
      <c r="N102" s="877"/>
    </row>
    <row r="103" spans="3:18" ht="50.1" customHeight="1" x14ac:dyDescent="0.25">
      <c r="C103" s="109">
        <v>4</v>
      </c>
      <c r="D103" s="109">
        <f>+HLOOKUP(C103,DIAMANTE!$G$9:$N$90,82,"FALSO")</f>
        <v>548.06488456869624</v>
      </c>
      <c r="E103" s="146" t="str">
        <f>+HLOOKUP(C103,DIAMANTE!$G$9:$N$90,2,"FALSO")</f>
        <v>Canal Marginal Izquierdo - Defensas en Descargador Jensen</v>
      </c>
      <c r="F103" s="144">
        <f>+HLOOKUP(C103,DIAMANTE!$G$9:$N$90,29,"FALSO")</f>
        <v>2300000</v>
      </c>
      <c r="G103" s="109" t="str">
        <f>+HLOOKUP(C103,DIAMANTE!$G$9:$N$90,4,"FALSO")</f>
        <v>Subdelegacion Río Diamante</v>
      </c>
      <c r="H103" s="903">
        <v>548.06488456869624</v>
      </c>
      <c r="I103" s="904" t="s">
        <v>302</v>
      </c>
      <c r="J103" s="905" t="str">
        <f t="shared" si="63"/>
        <v>Canal Marginal Izquierdo - Defensas en Descargador Jensen</v>
      </c>
      <c r="K103" s="905" t="str">
        <f t="shared" si="64"/>
        <v>Subdelegacion Río Diamante</v>
      </c>
      <c r="L103" s="906">
        <f t="shared" si="65"/>
        <v>2300000</v>
      </c>
      <c r="M103" s="907">
        <f t="shared" si="66"/>
        <v>13420000</v>
      </c>
      <c r="N103" s="877"/>
    </row>
    <row r="104" spans="3:18" ht="50.1" customHeight="1" thickBot="1" x14ac:dyDescent="0.3">
      <c r="C104" s="109">
        <v>5</v>
      </c>
      <c r="D104" s="109">
        <f>+HLOOKUP(C104,DIAMANTE!$G$9:$N$90,82,"FALSO")</f>
        <v>340.27162178411527</v>
      </c>
      <c r="E104" s="146" t="str">
        <f>+HLOOKUP(C104,DIAMANTE!$G$9:$N$90,2,"FALSO")</f>
        <v>Canal Resolana - Revestimiento de un Tramo</v>
      </c>
      <c r="F104" s="144">
        <f>+HLOOKUP(C104,DIAMANTE!$G$9:$N$90,29,"FALSO")</f>
        <v>4300000</v>
      </c>
      <c r="G104" s="109" t="str">
        <f>+HLOOKUP(C104,DIAMANTE!$G$9:$N$90,4,"FALSO")</f>
        <v>Canal Resolana</v>
      </c>
      <c r="H104" s="903">
        <v>497.17674440044357</v>
      </c>
      <c r="I104" s="904" t="s">
        <v>303</v>
      </c>
      <c r="J104" s="905" t="str">
        <f t="shared" si="63"/>
        <v>Canal Cerrito - Modernizacion Sistema de Riego</v>
      </c>
      <c r="K104" s="905" t="str">
        <f t="shared" si="64"/>
        <v>Canal El Cerrito</v>
      </c>
      <c r="L104" s="906">
        <f t="shared" si="65"/>
        <v>1750000</v>
      </c>
      <c r="M104" s="907">
        <f t="shared" si="66"/>
        <v>15170000</v>
      </c>
      <c r="N104" s="877"/>
    </row>
    <row r="105" spans="3:18" ht="50.1" customHeight="1" thickBot="1" x14ac:dyDescent="0.3">
      <c r="C105" s="109">
        <v>6</v>
      </c>
      <c r="D105" s="109">
        <f>+HLOOKUP(C105,DIAMANTE!$G$9:$N$90,82,"FALSO")</f>
        <v>497.17674440044357</v>
      </c>
      <c r="E105" s="146" t="str">
        <f>+HLOOKUP(C105,DIAMANTE!$G$9:$N$90,2,"FALSO")</f>
        <v>Canal Cerrito - Modernizacion Sistema de Riego</v>
      </c>
      <c r="F105" s="144">
        <f>+HLOOKUP(C105,DIAMANTE!$G$9:$N$90,29,"FALSO")</f>
        <v>1750000</v>
      </c>
      <c r="G105" s="109" t="str">
        <f>+HLOOKUP(C105,DIAMANTE!$G$9:$N$90,4,"FALSO")</f>
        <v>Canal El Cerrito</v>
      </c>
      <c r="H105" s="908">
        <v>491.58321318384287</v>
      </c>
      <c r="I105" s="909" t="s">
        <v>304</v>
      </c>
      <c r="J105" s="910" t="str">
        <f t="shared" si="63"/>
        <v>Canal Matriz Goudge - Revestimiento de un Tramo</v>
      </c>
      <c r="K105" s="910" t="str">
        <f t="shared" si="64"/>
        <v>Canal Mz. Goudge</v>
      </c>
      <c r="L105" s="911">
        <f t="shared" si="65"/>
        <v>13400000</v>
      </c>
      <c r="M105" s="912">
        <f t="shared" si="66"/>
        <v>28570000</v>
      </c>
      <c r="N105" s="926">
        <f>+FICHA!T13</f>
        <v>22400000.000000004</v>
      </c>
    </row>
    <row r="106" spans="3:18" ht="50.1" customHeight="1" x14ac:dyDescent="0.25">
      <c r="C106" s="109">
        <v>7</v>
      </c>
      <c r="D106" s="109">
        <f>+HLOOKUP(C106,DIAMANTE!$G$9:$N$90,82,"FALSO")</f>
        <v>598.71835469101836</v>
      </c>
      <c r="E106" s="146" t="str">
        <f>+HLOOKUP(C106,DIAMANTE!$G$9:$N$90,2,"FALSO")</f>
        <v>Canal Matriz Rio Diamante - Reparacion Revestimientos y Compuertas</v>
      </c>
      <c r="F106" s="144">
        <f>+HLOOKUP(C106,DIAMANTE!$G$9:$N$90,29,"FALSO")</f>
        <v>8700000</v>
      </c>
      <c r="G106" s="109" t="str">
        <f>+HLOOKUP(C106,DIAMANTE!$G$9:$N$90,4,"FALSO")</f>
        <v>Subdelegacion Río Diamante</v>
      </c>
      <c r="H106" s="913">
        <v>340.27162178411527</v>
      </c>
      <c r="I106" s="914" t="s">
        <v>305</v>
      </c>
      <c r="J106" s="915" t="str">
        <f t="shared" si="63"/>
        <v>Canal Resolana - Revestimiento de un Tramo</v>
      </c>
      <c r="K106" s="915" t="str">
        <f t="shared" si="64"/>
        <v>Canal Resolana</v>
      </c>
      <c r="L106" s="916">
        <f t="shared" si="65"/>
        <v>4300000</v>
      </c>
      <c r="M106" s="917">
        <f t="shared" si="66"/>
        <v>32870000</v>
      </c>
    </row>
    <row r="107" spans="3:18" ht="50.1" customHeight="1" thickBot="1" x14ac:dyDescent="0.3">
      <c r="C107" s="109">
        <v>8</v>
      </c>
      <c r="D107" s="109">
        <f>+HLOOKUP(C107,DIAMANTE!$G$9:$N$90,82,"FALSO")</f>
        <v>742.51984126984121</v>
      </c>
      <c r="E107" s="146" t="str">
        <f>+HLOOKUP(C107,DIAMANTE!$G$9:$N$90,2,"FALSO")</f>
        <v>Canal Matriz Rio Diamante - Reparacion Compuertas Toma Canal Secundarios</v>
      </c>
      <c r="F107" s="144">
        <f>+HLOOKUP(C107,DIAMANTE!$G$9:$N$90,29,"FALSO")</f>
        <v>1400000</v>
      </c>
      <c r="G107" s="109" t="str">
        <f>+HLOOKUP(C107,DIAMANTE!$G$9:$N$90,4,"FALSO")</f>
        <v>Subdelegacion Río Diamante</v>
      </c>
      <c r="H107" s="918">
        <v>215.37295504930196</v>
      </c>
      <c r="I107" s="919" t="s">
        <v>306</v>
      </c>
      <c r="J107" s="920" t="str">
        <f t="shared" si="63"/>
        <v>Canal Retamito - Revestimiento de un Tramo</v>
      </c>
      <c r="K107" s="920" t="str">
        <f t="shared" si="64"/>
        <v>Colonia Española Unif.</v>
      </c>
      <c r="L107" s="921">
        <f t="shared" si="65"/>
        <v>4900000</v>
      </c>
      <c r="M107" s="922">
        <f t="shared" si="66"/>
        <v>37770000</v>
      </c>
    </row>
    <row r="108" spans="3:18" x14ac:dyDescent="0.25">
      <c r="F108" s="109"/>
      <c r="H108" s="144"/>
    </row>
    <row r="109" spans="3:18" x14ac:dyDescent="0.25">
      <c r="F109" s="109"/>
      <c r="H109" s="144"/>
    </row>
    <row r="110" spans="3:18" x14ac:dyDescent="0.25">
      <c r="F110" s="109"/>
      <c r="H110" s="144"/>
    </row>
    <row r="111" spans="3:18" x14ac:dyDescent="0.25">
      <c r="F111" s="109"/>
      <c r="H111" s="471"/>
      <c r="I111" s="144"/>
    </row>
    <row r="112" spans="3:18" x14ac:dyDescent="0.25">
      <c r="F112" s="109"/>
      <c r="H112" s="471"/>
      <c r="I112" s="144"/>
    </row>
    <row r="113" spans="6:9" x14ac:dyDescent="0.25">
      <c r="F113" s="109"/>
      <c r="H113" s="471"/>
      <c r="I113" s="144"/>
    </row>
    <row r="114" spans="6:9" x14ac:dyDescent="0.25">
      <c r="F114" s="109"/>
      <c r="H114" s="471"/>
      <c r="I114" s="144"/>
    </row>
    <row r="115" spans="6:9" x14ac:dyDescent="0.25">
      <c r="F115"/>
    </row>
    <row r="116" spans="6:9" x14ac:dyDescent="0.25">
      <c r="F116"/>
    </row>
    <row r="117" spans="6:9" x14ac:dyDescent="0.25">
      <c r="F117"/>
    </row>
    <row r="118" spans="6:9" x14ac:dyDescent="0.25">
      <c r="F118"/>
    </row>
  </sheetData>
  <mergeCells count="27">
    <mergeCell ref="H98:M98"/>
    <mergeCell ref="D73:E73"/>
    <mergeCell ref="D74:E74"/>
    <mergeCell ref="D67:E67"/>
    <mergeCell ref="D68:E68"/>
    <mergeCell ref="D69:E69"/>
    <mergeCell ref="D70:E70"/>
    <mergeCell ref="D71:E71"/>
    <mergeCell ref="D72:E72"/>
    <mergeCell ref="D66:E66"/>
    <mergeCell ref="C12:F12"/>
    <mergeCell ref="C13:F13"/>
    <mergeCell ref="C14:F14"/>
    <mergeCell ref="C15:E15"/>
    <mergeCell ref="C36:C37"/>
    <mergeCell ref="C43:C46"/>
    <mergeCell ref="C48:C51"/>
    <mergeCell ref="C54:C55"/>
    <mergeCell ref="D63:E63"/>
    <mergeCell ref="D64:E64"/>
    <mergeCell ref="D65:E65"/>
    <mergeCell ref="C11:F11"/>
    <mergeCell ref="C6:E6"/>
    <mergeCell ref="C7:F7"/>
    <mergeCell ref="C8:F8"/>
    <mergeCell ref="C9:F9"/>
    <mergeCell ref="C10:F10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5</xdr:col>
                <xdr:colOff>0</xdr:colOff>
                <xdr:row>76</xdr:row>
                <xdr:rowOff>0</xdr:rowOff>
              </from>
              <to>
                <xdr:col>5</xdr:col>
                <xdr:colOff>1790700</xdr:colOff>
                <xdr:row>77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5</xdr:col>
                <xdr:colOff>0</xdr:colOff>
                <xdr:row>77</xdr:row>
                <xdr:rowOff>0</xdr:rowOff>
              </from>
              <to>
                <xdr:col>6</xdr:col>
                <xdr:colOff>0</xdr:colOff>
                <xdr:row>78</xdr:row>
                <xdr:rowOff>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5</xdr:col>
                <xdr:colOff>66675</xdr:colOff>
                <xdr:row>78</xdr:row>
                <xdr:rowOff>38100</xdr:rowOff>
              </from>
              <to>
                <xdr:col>6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autoPict="0" r:id="rId11">
            <anchor moveWithCells="1" sizeWithCells="1">
              <from>
                <xdr:col>5</xdr:col>
                <xdr:colOff>28575</xdr:colOff>
                <xdr:row>79</xdr:row>
                <xdr:rowOff>104775</xdr:rowOff>
              </from>
              <to>
                <xdr:col>6</xdr:col>
                <xdr:colOff>0</xdr:colOff>
                <xdr:row>80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  <mc:AlternateContent xmlns:mc="http://schemas.openxmlformats.org/markup-compatibility/2006">
      <mc:Choice Requires="x14">
        <oleObject progId="Equation.3" shapeId="6149" r:id="rId12">
          <objectPr defaultSize="0" autoPict="0" r:id="rId13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81</xdr:row>
                <xdr:rowOff>0</xdr:rowOff>
              </to>
            </anchor>
          </objectPr>
        </oleObject>
      </mc:Choice>
      <mc:Fallback>
        <oleObject progId="Equation.3" shapeId="6149" r:id="rId12"/>
      </mc:Fallback>
    </mc:AlternateContent>
    <mc:AlternateContent xmlns:mc="http://schemas.openxmlformats.org/markup-compatibility/2006">
      <mc:Choice Requires="x14">
        <oleObject progId="Equation.3" shapeId="6150" r:id="rId14">
          <objectPr defaultSize="0" autoPict="0" r:id="rId15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82</xdr:row>
                <xdr:rowOff>0</xdr:rowOff>
              </to>
            </anchor>
          </objectPr>
        </oleObject>
      </mc:Choice>
      <mc:Fallback>
        <oleObject progId="Equation.3" shapeId="6150" r:id="rId14"/>
      </mc:Fallback>
    </mc:AlternateContent>
    <mc:AlternateContent xmlns:mc="http://schemas.openxmlformats.org/markup-compatibility/2006">
      <mc:Choice Requires="x14">
        <oleObject progId="Equation.3" shapeId="6151" r:id="rId16">
          <objectPr defaultSize="0" autoPict="0" r:id="rId17">
            <anchor moveWithCells="1" sizeWithCells="1">
              <from>
                <xdr:col>5</xdr:col>
                <xdr:colOff>0</xdr:colOff>
                <xdr:row>82</xdr:row>
                <xdr:rowOff>0</xdr:rowOff>
              </from>
              <to>
                <xdr:col>6</xdr:col>
                <xdr:colOff>0</xdr:colOff>
                <xdr:row>83</xdr:row>
                <xdr:rowOff>0</xdr:rowOff>
              </to>
            </anchor>
          </objectPr>
        </oleObject>
      </mc:Choice>
      <mc:Fallback>
        <oleObject progId="Equation.3" shapeId="6151" r:id="rId16"/>
      </mc:Fallback>
    </mc:AlternateContent>
    <mc:AlternateContent xmlns:mc="http://schemas.openxmlformats.org/markup-compatibility/2006">
      <mc:Choice Requires="x14">
        <oleObject progId="Equation.3" shapeId="6192" r:id="rId18">
          <objectPr defaultSize="0" autoPict="0" r:id="rId19">
            <anchor moveWithCells="1" sizeWithCells="1">
              <from>
                <xdr:col>5</xdr:col>
                <xdr:colOff>133350</xdr:colOff>
                <xdr:row>83</xdr:row>
                <xdr:rowOff>9525</xdr:rowOff>
              </from>
              <to>
                <xdr:col>5</xdr:col>
                <xdr:colOff>1704975</xdr:colOff>
                <xdr:row>83</xdr:row>
                <xdr:rowOff>295275</xdr:rowOff>
              </to>
            </anchor>
          </objectPr>
        </oleObject>
      </mc:Choice>
      <mc:Fallback>
        <oleObject progId="Equation.3" shapeId="6192" r:id="rId1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C1:Z118"/>
  <sheetViews>
    <sheetView topLeftCell="F97" zoomScale="70" zoomScaleNormal="70" workbookViewId="0">
      <selection activeCell="K125" sqref="K125"/>
    </sheetView>
  </sheetViews>
  <sheetFormatPr baseColWidth="10" defaultRowHeight="15" x14ac:dyDescent="0.25"/>
  <cols>
    <col min="2" max="2" width="3.7109375" customWidth="1"/>
    <col min="3" max="3" width="12.28515625" customWidth="1"/>
    <col min="4" max="4" width="8.85546875" customWidth="1"/>
    <col min="5" max="5" width="134" customWidth="1"/>
    <col min="6" max="6" width="25.42578125" style="19" customWidth="1"/>
    <col min="7" max="7" width="39.140625" customWidth="1"/>
    <col min="8" max="8" width="11.5703125" customWidth="1"/>
    <col min="9" max="9" width="6.28515625" customWidth="1"/>
    <col min="10" max="10" width="95.5703125" customWidth="1"/>
    <col min="11" max="11" width="25.140625" customWidth="1"/>
    <col min="12" max="12" width="20.5703125" customWidth="1"/>
    <col min="13" max="13" width="18.5703125" customWidth="1"/>
    <col min="14" max="14" width="35.85546875" customWidth="1"/>
    <col min="15" max="15" width="42.5703125" customWidth="1"/>
    <col min="16" max="21" width="31.7109375" customWidth="1"/>
    <col min="22" max="22" width="49.5703125" customWidth="1"/>
    <col min="25" max="25" width="25.5703125" customWidth="1"/>
    <col min="26" max="26" width="17.42578125" customWidth="1"/>
  </cols>
  <sheetData>
    <row r="1" spans="3:21" x14ac:dyDescent="0.25">
      <c r="G1">
        <f>+G18/1000</f>
        <v>0.25</v>
      </c>
      <c r="H1">
        <f t="shared" ref="H1:I1" si="0">+H18/1000</f>
        <v>2.4</v>
      </c>
      <c r="I1">
        <f t="shared" si="0"/>
        <v>1.47</v>
      </c>
      <c r="K1">
        <f t="shared" ref="K1:L1" si="1">+K18/1000</f>
        <v>0.4</v>
      </c>
      <c r="L1">
        <f t="shared" si="1"/>
        <v>2.5</v>
      </c>
      <c r="Q1">
        <f t="shared" ref="Q1:R1" si="2">+Q18/1000</f>
        <v>1</v>
      </c>
      <c r="R1">
        <f t="shared" si="2"/>
        <v>0.4</v>
      </c>
      <c r="S1">
        <f t="shared" ref="S1:T1" si="3">+S18/1000</f>
        <v>3.2</v>
      </c>
      <c r="T1">
        <f t="shared" si="3"/>
        <v>0.35</v>
      </c>
    </row>
    <row r="2" spans="3:21" x14ac:dyDescent="0.25">
      <c r="I2">
        <v>0.2</v>
      </c>
      <c r="K2">
        <v>0.2</v>
      </c>
      <c r="L2">
        <v>0.2</v>
      </c>
      <c r="Q2">
        <v>0.2</v>
      </c>
      <c r="R2">
        <v>0.2</v>
      </c>
      <c r="S2">
        <v>0.2</v>
      </c>
      <c r="T2">
        <v>0.2</v>
      </c>
    </row>
    <row r="3" spans="3:21" x14ac:dyDescent="0.25">
      <c r="I3">
        <f>+I1/(I23*(I21+I22*I23))</f>
        <v>0.33108108108108103</v>
      </c>
      <c r="K3">
        <f>+K1/(K23*(K21+K22*K23))</f>
        <v>0.13333333333333333</v>
      </c>
      <c r="L3">
        <f>+L1/(L23*(L21+L22*L23))</f>
        <v>1.3227513227513228</v>
      </c>
      <c r="Q3">
        <f>+Q1/(Q23*(Q21+Q22*Q23))</f>
        <v>0.52910052910052918</v>
      </c>
      <c r="R3">
        <f>+R1/(R23*(R21+R22*R23))</f>
        <v>0.53333333333333333</v>
      </c>
      <c r="S3">
        <f>+S1/(S23*(S21+S22*S23))</f>
        <v>0.38787878787878788</v>
      </c>
      <c r="T3">
        <f>+T1/(T23*(T21+T22*T23))</f>
        <v>0.35</v>
      </c>
    </row>
    <row r="4" spans="3:21" x14ac:dyDescent="0.25">
      <c r="I4" s="105">
        <f>0.0375*I2*((I1/I3)^0.5)*1000*I29/1000/I18</f>
        <v>3.2252001284243069E-3</v>
      </c>
      <c r="K4" s="105">
        <f>0.0375*K2*((K1/K3)^0.5)*1000*K29/1000/K18</f>
        <v>2.5980762113533156E-2</v>
      </c>
      <c r="L4" s="105">
        <f>0.0375*L2*((L1/L3)^0.5)*1000*L29/1000/L18</f>
        <v>1.6497272501841025E-3</v>
      </c>
      <c r="Q4" s="105">
        <f>0.0375*Q2*((Q1/Q3)^0.5)*1000*Q29/1000/Q18</f>
        <v>4.1243181254602551E-3</v>
      </c>
      <c r="R4" s="105">
        <f t="shared" ref="R4:T4" si="4">0.0375*R2*((R1/R3)^0.5)*1000*R29/1000/R18</f>
        <v>6.495190528383289E-3</v>
      </c>
      <c r="S4" s="105">
        <f t="shared" si="4"/>
        <v>2.6927637405647002E-3</v>
      </c>
      <c r="T4" s="105">
        <f t="shared" si="4"/>
        <v>8.5714285714285719E-3</v>
      </c>
    </row>
    <row r="5" spans="3:21" ht="15.75" thickBot="1" x14ac:dyDescent="0.3">
      <c r="C5" s="1"/>
      <c r="D5" s="1"/>
      <c r="E5" s="1"/>
      <c r="F5" s="18"/>
    </row>
    <row r="6" spans="3:21" ht="42.75" customHeight="1" thickBot="1" x14ac:dyDescent="0.3">
      <c r="C6" s="1033" t="s">
        <v>154</v>
      </c>
      <c r="D6" s="1034"/>
      <c r="E6" s="1035"/>
      <c r="F6" s="24"/>
    </row>
    <row r="7" spans="3:21" ht="24" thickBot="1" x14ac:dyDescent="0.4">
      <c r="C7" s="1060" t="s">
        <v>59</v>
      </c>
      <c r="D7" s="1061"/>
      <c r="E7" s="1061"/>
      <c r="F7" s="1061"/>
    </row>
    <row r="8" spans="3:21" ht="21.75" thickBot="1" x14ac:dyDescent="0.3">
      <c r="C8" s="1017" t="s">
        <v>60</v>
      </c>
      <c r="D8" s="1018"/>
      <c r="E8" s="1018"/>
      <c r="F8" s="1019"/>
    </row>
    <row r="9" spans="3:21" ht="23.25" customHeight="1" thickBot="1" x14ac:dyDescent="0.3">
      <c r="C9" s="1030" t="s">
        <v>58</v>
      </c>
      <c r="D9" s="1031"/>
      <c r="E9" s="1031"/>
      <c r="F9" s="1032"/>
      <c r="G9" s="84">
        <v>1</v>
      </c>
      <c r="H9" s="84">
        <v>2</v>
      </c>
      <c r="I9" s="84">
        <v>3</v>
      </c>
      <c r="J9" s="84">
        <v>4</v>
      </c>
      <c r="K9" s="84">
        <v>5</v>
      </c>
      <c r="L9" s="84">
        <v>6</v>
      </c>
      <c r="M9" s="84">
        <v>7</v>
      </c>
      <c r="N9" s="84">
        <v>8</v>
      </c>
      <c r="O9" s="84">
        <v>9</v>
      </c>
      <c r="P9" s="84">
        <v>10</v>
      </c>
      <c r="Q9" s="84">
        <v>11</v>
      </c>
      <c r="R9" s="84">
        <v>12</v>
      </c>
      <c r="S9" s="84">
        <v>13</v>
      </c>
      <c r="T9" s="84">
        <v>14</v>
      </c>
      <c r="U9" s="84">
        <v>15</v>
      </c>
    </row>
    <row r="10" spans="3:21" s="89" customFormat="1" ht="128.25" customHeight="1" thickBot="1" x14ac:dyDescent="0.3">
      <c r="C10" s="1062" t="s">
        <v>89</v>
      </c>
      <c r="D10" s="1063"/>
      <c r="E10" s="1063"/>
      <c r="F10" s="1081"/>
      <c r="G10" s="85" t="s">
        <v>181</v>
      </c>
      <c r="H10" s="85" t="s">
        <v>189</v>
      </c>
      <c r="I10" s="85" t="s">
        <v>957</v>
      </c>
      <c r="J10" s="85" t="s">
        <v>1252</v>
      </c>
      <c r="K10" s="85" t="s">
        <v>958</v>
      </c>
      <c r="L10" s="85" t="s">
        <v>205</v>
      </c>
      <c r="M10" s="85" t="s">
        <v>956</v>
      </c>
      <c r="N10" s="85" t="s">
        <v>213</v>
      </c>
      <c r="O10" s="85" t="s">
        <v>221</v>
      </c>
      <c r="P10" s="85" t="s">
        <v>963</v>
      </c>
      <c r="Q10" s="85" t="s">
        <v>962</v>
      </c>
      <c r="R10" s="85" t="s">
        <v>960</v>
      </c>
      <c r="S10" s="85" t="s">
        <v>229</v>
      </c>
      <c r="T10" s="85" t="s">
        <v>959</v>
      </c>
      <c r="U10" s="106" t="s">
        <v>1091</v>
      </c>
    </row>
    <row r="11" spans="3:21" s="89" customFormat="1" ht="32.25" customHeight="1" thickBot="1" x14ac:dyDescent="0.3">
      <c r="C11" s="1058" t="s">
        <v>28</v>
      </c>
      <c r="D11" s="1059"/>
      <c r="E11" s="1059"/>
      <c r="F11" s="1082"/>
      <c r="G11" s="94" t="s">
        <v>182</v>
      </c>
      <c r="H11" s="94" t="s">
        <v>190</v>
      </c>
      <c r="I11" s="94" t="s">
        <v>195</v>
      </c>
      <c r="J11" s="94" t="s">
        <v>195</v>
      </c>
      <c r="K11" s="94" t="s">
        <v>202</v>
      </c>
      <c r="L11" s="94" t="s">
        <v>206</v>
      </c>
      <c r="M11" s="94" t="s">
        <v>212</v>
      </c>
      <c r="N11" s="94" t="s">
        <v>214</v>
      </c>
      <c r="O11" s="94" t="s">
        <v>218</v>
      </c>
      <c r="P11" s="94" t="s">
        <v>223</v>
      </c>
      <c r="Q11" s="500" t="s">
        <v>227</v>
      </c>
      <c r="R11" s="94" t="s">
        <v>961</v>
      </c>
      <c r="S11" s="94" t="s">
        <v>195</v>
      </c>
      <c r="T11" s="94" t="s">
        <v>231</v>
      </c>
      <c r="U11" s="94" t="s">
        <v>233</v>
      </c>
    </row>
    <row r="12" spans="3:21" ht="75.75" thickBot="1" x14ac:dyDescent="0.3">
      <c r="C12" s="1030" t="s">
        <v>269</v>
      </c>
      <c r="D12" s="1031"/>
      <c r="E12" s="1031"/>
      <c r="F12" s="1032"/>
      <c r="G12" s="94" t="s">
        <v>263</v>
      </c>
      <c r="H12" s="94" t="s">
        <v>265</v>
      </c>
      <c r="I12" s="94" t="s">
        <v>246</v>
      </c>
      <c r="J12" s="94" t="s">
        <v>247</v>
      </c>
      <c r="K12" s="94" t="s">
        <v>248</v>
      </c>
      <c r="L12" s="94" t="s">
        <v>264</v>
      </c>
      <c r="M12" s="94" t="s">
        <v>250</v>
      </c>
      <c r="N12" s="94" t="s">
        <v>251</v>
      </c>
      <c r="O12" s="94" t="s">
        <v>268</v>
      </c>
      <c r="P12" s="94" t="s">
        <v>254</v>
      </c>
      <c r="Q12" s="94" t="s">
        <v>253</v>
      </c>
      <c r="R12" s="94" t="s">
        <v>257</v>
      </c>
      <c r="S12" s="94" t="s">
        <v>259</v>
      </c>
      <c r="T12" s="94" t="s">
        <v>260</v>
      </c>
      <c r="U12" s="94" t="s">
        <v>261</v>
      </c>
    </row>
    <row r="13" spans="3:21" ht="22.5" customHeight="1" thickBot="1" x14ac:dyDescent="0.3">
      <c r="C13" s="1030" t="s">
        <v>55</v>
      </c>
      <c r="D13" s="1031"/>
      <c r="E13" s="1031"/>
      <c r="F13" s="1032"/>
      <c r="G13" s="94" t="s">
        <v>183</v>
      </c>
      <c r="H13" s="94" t="s">
        <v>191</v>
      </c>
      <c r="I13" s="236" t="s">
        <v>196</v>
      </c>
      <c r="J13" s="236" t="s">
        <v>201</v>
      </c>
      <c r="K13" s="236" t="s">
        <v>203</v>
      </c>
      <c r="L13" s="236" t="s">
        <v>207</v>
      </c>
      <c r="M13" s="94" t="s">
        <v>209</v>
      </c>
      <c r="N13" s="236" t="s">
        <v>215</v>
      </c>
      <c r="O13" s="94" t="s">
        <v>222</v>
      </c>
      <c r="P13" s="236" t="s">
        <v>224</v>
      </c>
      <c r="Q13" s="94" t="s">
        <v>225</v>
      </c>
      <c r="R13" s="94" t="s">
        <v>228</v>
      </c>
      <c r="S13" s="94" t="s">
        <v>230</v>
      </c>
      <c r="T13" s="94" t="s">
        <v>232</v>
      </c>
      <c r="U13" s="94" t="s">
        <v>234</v>
      </c>
    </row>
    <row r="14" spans="3:21" ht="30.75" customHeight="1" thickBot="1" x14ac:dyDescent="0.3">
      <c r="C14" s="1030" t="s">
        <v>38</v>
      </c>
      <c r="D14" s="1031"/>
      <c r="E14" s="1031"/>
      <c r="F14" s="1032"/>
      <c r="G14" s="94" t="s">
        <v>316</v>
      </c>
      <c r="H14" s="94" t="s">
        <v>316</v>
      </c>
      <c r="I14" s="94" t="s">
        <v>316</v>
      </c>
      <c r="J14" s="94" t="s">
        <v>316</v>
      </c>
      <c r="K14" s="94" t="s">
        <v>316</v>
      </c>
      <c r="L14" s="94" t="s">
        <v>316</v>
      </c>
      <c r="M14" s="94" t="s">
        <v>316</v>
      </c>
      <c r="N14" s="94" t="s">
        <v>316</v>
      </c>
      <c r="O14" s="94" t="s">
        <v>316</v>
      </c>
      <c r="P14" s="94" t="s">
        <v>316</v>
      </c>
      <c r="Q14" s="94" t="s">
        <v>316</v>
      </c>
      <c r="R14" s="94" t="s">
        <v>316</v>
      </c>
      <c r="S14" s="94" t="s">
        <v>316</v>
      </c>
      <c r="T14" s="94" t="s">
        <v>316</v>
      </c>
      <c r="U14" s="94" t="s">
        <v>316</v>
      </c>
    </row>
    <row r="15" spans="3:21" ht="15" customHeight="1" x14ac:dyDescent="0.25">
      <c r="C15" s="1020" t="s">
        <v>0</v>
      </c>
      <c r="D15" s="1021"/>
      <c r="E15" s="1022"/>
      <c r="F15" s="20"/>
      <c r="G15" s="66"/>
      <c r="H15" s="66"/>
      <c r="I15" s="86"/>
      <c r="J15" s="86"/>
      <c r="K15" s="86"/>
      <c r="L15" s="66"/>
      <c r="M15" s="66"/>
      <c r="N15" s="66"/>
      <c r="O15" s="86"/>
      <c r="P15" s="66"/>
      <c r="Q15" s="66"/>
      <c r="R15" s="66"/>
      <c r="S15" s="86"/>
      <c r="T15" s="86"/>
      <c r="U15" s="66"/>
    </row>
    <row r="16" spans="3:21" s="10" customFormat="1" ht="15" customHeight="1" x14ac:dyDescent="0.25">
      <c r="C16" s="63">
        <v>1</v>
      </c>
      <c r="D16" s="63"/>
      <c r="E16" s="29" t="s">
        <v>23</v>
      </c>
      <c r="F16" s="21" t="s">
        <v>39</v>
      </c>
      <c r="G16" s="67">
        <v>430</v>
      </c>
      <c r="H16" s="78">
        <v>4509</v>
      </c>
      <c r="I16" s="78">
        <v>3249</v>
      </c>
      <c r="J16" s="78">
        <v>1410</v>
      </c>
      <c r="K16" s="78">
        <v>644</v>
      </c>
      <c r="L16" s="78">
        <v>2788</v>
      </c>
      <c r="M16" s="67">
        <v>3097</v>
      </c>
      <c r="N16" s="95">
        <f>1075+2936</f>
        <v>4011</v>
      </c>
      <c r="O16" s="68">
        <v>81389.240000000005</v>
      </c>
      <c r="P16" s="78">
        <v>1623</v>
      </c>
      <c r="Q16" s="67">
        <f>63+282+336+84+193+930+205</f>
        <v>2093</v>
      </c>
      <c r="R16" s="78">
        <v>528</v>
      </c>
      <c r="S16" s="78">
        <f>2037+1668+1759</f>
        <v>5464</v>
      </c>
      <c r="T16" s="103">
        <v>805</v>
      </c>
      <c r="U16" s="78">
        <v>6078</v>
      </c>
    </row>
    <row r="17" spans="3:21" s="10" customFormat="1" x14ac:dyDescent="0.25">
      <c r="C17" s="63">
        <v>2</v>
      </c>
      <c r="D17" s="63"/>
      <c r="E17" s="29" t="s">
        <v>19</v>
      </c>
      <c r="F17" s="21" t="s">
        <v>41</v>
      </c>
      <c r="G17" s="67">
        <v>50</v>
      </c>
      <c r="H17" s="78">
        <v>420</v>
      </c>
      <c r="I17" s="67">
        <v>587</v>
      </c>
      <c r="J17" s="67">
        <v>621</v>
      </c>
      <c r="K17" s="67">
        <v>63</v>
      </c>
      <c r="L17" s="67">
        <v>383</v>
      </c>
      <c r="M17" s="67">
        <v>171</v>
      </c>
      <c r="N17" s="95">
        <f>63+136</f>
        <v>199</v>
      </c>
      <c r="O17" s="68">
        <v>8140</v>
      </c>
      <c r="P17" s="78">
        <v>321</v>
      </c>
      <c r="Q17" s="67">
        <f>6+43+68+24+54+109+30</f>
        <v>334</v>
      </c>
      <c r="R17" s="67">
        <v>54</v>
      </c>
      <c r="S17" s="67">
        <f>318+157+264</f>
        <v>739</v>
      </c>
      <c r="T17" s="103">
        <v>106</v>
      </c>
      <c r="U17" s="78">
        <v>300</v>
      </c>
    </row>
    <row r="18" spans="3:21" s="10" customFormat="1" ht="15" customHeight="1" x14ac:dyDescent="0.25">
      <c r="C18" s="63">
        <v>3</v>
      </c>
      <c r="D18" s="63"/>
      <c r="E18" s="29" t="s">
        <v>24</v>
      </c>
      <c r="F18" s="21" t="s">
        <v>42</v>
      </c>
      <c r="G18" s="67">
        <v>250</v>
      </c>
      <c r="H18" s="78">
        <v>2400</v>
      </c>
      <c r="I18" s="68">
        <v>1470</v>
      </c>
      <c r="J18" s="68">
        <v>700</v>
      </c>
      <c r="K18" s="68">
        <v>400</v>
      </c>
      <c r="L18" s="78">
        <v>2500</v>
      </c>
      <c r="M18" s="67">
        <v>2830</v>
      </c>
      <c r="N18" s="68">
        <v>2400</v>
      </c>
      <c r="O18" s="68">
        <v>55000</v>
      </c>
      <c r="P18" s="78">
        <v>800</v>
      </c>
      <c r="Q18" s="67">
        <v>1000</v>
      </c>
      <c r="R18" s="68">
        <v>400</v>
      </c>
      <c r="S18" s="68">
        <v>3200</v>
      </c>
      <c r="T18" s="68">
        <v>350</v>
      </c>
      <c r="U18" s="78">
        <v>2000</v>
      </c>
    </row>
    <row r="19" spans="3:21" s="10" customFormat="1" ht="15" customHeight="1" x14ac:dyDescent="0.25">
      <c r="C19" s="48">
        <v>4</v>
      </c>
      <c r="D19" s="48"/>
      <c r="E19" s="49" t="s">
        <v>62</v>
      </c>
      <c r="F19" s="50" t="s">
        <v>67</v>
      </c>
      <c r="G19" s="67">
        <v>2E-3</v>
      </c>
      <c r="H19" s="67">
        <v>8.0000000000000004E-4</v>
      </c>
      <c r="I19" s="67">
        <f>1/1000</f>
        <v>1E-3</v>
      </c>
      <c r="J19" s="67">
        <v>1E-3</v>
      </c>
      <c r="K19" s="67">
        <v>1E-3</v>
      </c>
      <c r="L19" s="67">
        <v>1.5E-3</v>
      </c>
      <c r="M19" s="67">
        <v>1E-3</v>
      </c>
      <c r="N19" s="67">
        <v>1E-3</v>
      </c>
      <c r="O19" s="67">
        <v>1E-3</v>
      </c>
      <c r="P19" s="67">
        <v>8.0000000000000004E-4</v>
      </c>
      <c r="Q19" s="67">
        <f>8/1000</f>
        <v>8.0000000000000002E-3</v>
      </c>
      <c r="R19" s="67">
        <v>1E-3</v>
      </c>
      <c r="S19" s="67">
        <f>1.7/1000</f>
        <v>1.6999999999999999E-3</v>
      </c>
      <c r="T19" s="67">
        <v>8.0000000000000004E-4</v>
      </c>
      <c r="U19" s="67">
        <v>8.0000000000000004E-4</v>
      </c>
    </row>
    <row r="20" spans="3:21" s="10" customFormat="1" x14ac:dyDescent="0.25">
      <c r="C20" s="63">
        <v>5</v>
      </c>
      <c r="D20" s="63"/>
      <c r="E20" s="29" t="s">
        <v>63</v>
      </c>
      <c r="F20" s="21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99"/>
      <c r="R20" s="68"/>
      <c r="S20" s="68"/>
      <c r="T20" s="68"/>
      <c r="U20" s="68"/>
    </row>
    <row r="21" spans="3:21" s="10" customFormat="1" x14ac:dyDescent="0.25">
      <c r="C21" s="48"/>
      <c r="D21" s="48" t="s">
        <v>64</v>
      </c>
      <c r="E21" s="49" t="s">
        <v>68</v>
      </c>
      <c r="F21" s="50" t="s">
        <v>71</v>
      </c>
      <c r="G21" s="69"/>
      <c r="H21" s="69"/>
      <c r="I21" s="69">
        <v>2.5</v>
      </c>
      <c r="J21" s="69"/>
      <c r="K21" s="69">
        <v>2</v>
      </c>
      <c r="L21" s="69">
        <v>2</v>
      </c>
      <c r="M21" s="69"/>
      <c r="N21" s="69"/>
      <c r="O21" s="69"/>
      <c r="P21" s="69"/>
      <c r="Q21" s="69">
        <v>2</v>
      </c>
      <c r="R21" s="69">
        <v>1</v>
      </c>
      <c r="S21" s="69">
        <v>4</v>
      </c>
      <c r="T21" s="69">
        <v>1.5</v>
      </c>
      <c r="U21" s="69"/>
    </row>
    <row r="22" spans="3:21" s="10" customFormat="1" ht="15" customHeight="1" x14ac:dyDescent="0.25">
      <c r="C22" s="48"/>
      <c r="D22" s="48" t="s">
        <v>65</v>
      </c>
      <c r="E22" s="49" t="s">
        <v>69</v>
      </c>
      <c r="F22" s="50" t="s">
        <v>72</v>
      </c>
      <c r="G22" s="69"/>
      <c r="H22" s="69"/>
      <c r="I22" s="69">
        <v>1</v>
      </c>
      <c r="J22" s="69"/>
      <c r="K22" s="69">
        <v>1</v>
      </c>
      <c r="L22" s="69">
        <v>1</v>
      </c>
      <c r="M22" s="69"/>
      <c r="N22" s="69"/>
      <c r="O22" s="69"/>
      <c r="P22" s="69"/>
      <c r="Q22" s="69">
        <v>1</v>
      </c>
      <c r="R22" s="69">
        <v>1</v>
      </c>
      <c r="S22" s="69">
        <v>1</v>
      </c>
      <c r="T22" s="69">
        <v>1</v>
      </c>
      <c r="U22" s="69"/>
    </row>
    <row r="23" spans="3:21" s="10" customFormat="1" ht="16.5" customHeight="1" x14ac:dyDescent="0.25">
      <c r="C23" s="48"/>
      <c r="D23" s="48" t="s">
        <v>66</v>
      </c>
      <c r="E23" s="49" t="s">
        <v>70</v>
      </c>
      <c r="F23" s="50" t="s">
        <v>167</v>
      </c>
      <c r="G23" s="69"/>
      <c r="H23" s="69"/>
      <c r="I23" s="69">
        <v>1.2</v>
      </c>
      <c r="J23" s="69"/>
      <c r="K23" s="69">
        <v>1</v>
      </c>
      <c r="L23" s="69">
        <v>0.7</v>
      </c>
      <c r="M23" s="69"/>
      <c r="N23" s="69"/>
      <c r="O23" s="69"/>
      <c r="P23" s="69"/>
      <c r="Q23" s="69">
        <v>0.7</v>
      </c>
      <c r="R23" s="69">
        <v>0.5</v>
      </c>
      <c r="S23" s="69">
        <v>1.5</v>
      </c>
      <c r="T23" s="69">
        <v>0.5</v>
      </c>
      <c r="U23" s="69"/>
    </row>
    <row r="24" spans="3:21" s="10" customFormat="1" ht="16.5" customHeight="1" x14ac:dyDescent="0.25">
      <c r="C24" s="63">
        <v>6</v>
      </c>
      <c r="D24" s="63"/>
      <c r="E24" s="29" t="s">
        <v>73</v>
      </c>
      <c r="F24" s="21" t="s">
        <v>74</v>
      </c>
      <c r="G24" s="70" t="s">
        <v>184</v>
      </c>
      <c r="H24" s="70" t="s">
        <v>184</v>
      </c>
      <c r="I24" s="70" t="s">
        <v>197</v>
      </c>
      <c r="J24" s="70" t="s">
        <v>184</v>
      </c>
      <c r="K24" s="70" t="s">
        <v>197</v>
      </c>
      <c r="L24" s="70" t="s">
        <v>208</v>
      </c>
      <c r="M24" s="70" t="s">
        <v>184</v>
      </c>
      <c r="N24" s="70" t="s">
        <v>184</v>
      </c>
      <c r="O24" s="70"/>
      <c r="P24" s="70" t="s">
        <v>184</v>
      </c>
      <c r="Q24" s="72" t="s">
        <v>226</v>
      </c>
      <c r="R24" s="70" t="s">
        <v>184</v>
      </c>
      <c r="S24" s="70" t="s">
        <v>197</v>
      </c>
      <c r="T24" s="70" t="s">
        <v>208</v>
      </c>
      <c r="U24" s="70" t="s">
        <v>184</v>
      </c>
    </row>
    <row r="25" spans="3:21" s="10" customFormat="1" ht="15" customHeight="1" x14ac:dyDescent="0.25">
      <c r="C25" s="63">
        <v>7</v>
      </c>
      <c r="D25" s="63"/>
      <c r="E25" s="29" t="s">
        <v>2</v>
      </c>
      <c r="F25" s="21" t="s">
        <v>44</v>
      </c>
      <c r="G25" s="71">
        <v>0</v>
      </c>
      <c r="H25" s="71"/>
      <c r="I25" s="71">
        <v>0.02</v>
      </c>
      <c r="J25" s="71">
        <v>0</v>
      </c>
      <c r="K25" s="71">
        <v>0.1</v>
      </c>
      <c r="L25" s="71">
        <v>0.05</v>
      </c>
      <c r="M25" s="71">
        <v>0</v>
      </c>
      <c r="N25" s="71">
        <v>0</v>
      </c>
      <c r="O25" s="71">
        <v>0.04</v>
      </c>
      <c r="P25" s="71"/>
      <c r="Q25" s="100">
        <v>0.05</v>
      </c>
      <c r="R25" s="71">
        <v>0.1</v>
      </c>
      <c r="S25" s="71">
        <v>0.04</v>
      </c>
      <c r="T25" s="71">
        <v>0.05</v>
      </c>
      <c r="U25" s="71">
        <v>0.1</v>
      </c>
    </row>
    <row r="26" spans="3:21" s="10" customFormat="1" x14ac:dyDescent="0.25">
      <c r="C26" s="63"/>
      <c r="D26" s="63"/>
      <c r="E26" s="29"/>
      <c r="F26" s="21"/>
      <c r="H26" s="71"/>
      <c r="I26" s="71">
        <f>+((I25+I4)/2)</f>
        <v>1.1612600064212154E-2</v>
      </c>
      <c r="J26" s="71"/>
      <c r="K26" s="71">
        <f t="shared" ref="K26:L26" si="5">+((K25+K4)/2)</f>
        <v>6.2990381056766576E-2</v>
      </c>
      <c r="L26" s="71">
        <f t="shared" si="5"/>
        <v>2.5824863625092051E-2</v>
      </c>
      <c r="M26" s="71"/>
      <c r="N26" s="71"/>
      <c r="O26" s="70"/>
      <c r="P26" s="71"/>
      <c r="Q26" s="71">
        <f t="shared" ref="Q26" si="6">+((Q25+Q4)/2)</f>
        <v>2.7062159062730129E-2</v>
      </c>
      <c r="R26" s="71">
        <f t="shared" ref="R26" si="7">+((R25+R4)/2)</f>
        <v>5.3247595264191649E-2</v>
      </c>
      <c r="S26" s="71">
        <f t="shared" ref="S26" si="8">+((S25+S4)/2)</f>
        <v>2.1346381870282351E-2</v>
      </c>
      <c r="T26" s="71">
        <f t="shared" ref="T26" si="9">+((T25+T4)/2)</f>
        <v>2.9285714285714286E-2</v>
      </c>
      <c r="U26" s="71"/>
    </row>
    <row r="27" spans="3:21" s="10" customFormat="1" x14ac:dyDescent="0.25">
      <c r="C27" s="27" t="s">
        <v>3</v>
      </c>
      <c r="D27" s="27"/>
      <c r="E27" s="30"/>
      <c r="F27" s="21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101"/>
      <c r="R27" s="70"/>
      <c r="S27" s="70"/>
      <c r="T27" s="70"/>
      <c r="U27" s="70"/>
    </row>
    <row r="28" spans="3:21" s="10" customFormat="1" ht="15.75" customHeight="1" x14ac:dyDescent="0.25">
      <c r="C28" s="63">
        <v>8</v>
      </c>
      <c r="D28" s="63"/>
      <c r="E28" s="29" t="s">
        <v>4</v>
      </c>
      <c r="F28" s="21"/>
      <c r="G28" s="70" t="s">
        <v>185</v>
      </c>
      <c r="H28" s="70" t="s">
        <v>192</v>
      </c>
      <c r="I28" s="70" t="s">
        <v>198</v>
      </c>
      <c r="J28" s="70" t="s">
        <v>185</v>
      </c>
      <c r="K28" s="70" t="s">
        <v>198</v>
      </c>
      <c r="L28" s="70" t="s">
        <v>185</v>
      </c>
      <c r="M28" s="70" t="s">
        <v>185</v>
      </c>
      <c r="N28" s="70" t="s">
        <v>185</v>
      </c>
      <c r="O28" s="70" t="s">
        <v>219</v>
      </c>
      <c r="P28" s="70" t="s">
        <v>192</v>
      </c>
      <c r="Q28" s="72" t="s">
        <v>185</v>
      </c>
      <c r="R28" s="70" t="s">
        <v>185</v>
      </c>
      <c r="S28" s="70" t="s">
        <v>198</v>
      </c>
      <c r="T28" s="70" t="s">
        <v>185</v>
      </c>
      <c r="U28" s="70" t="s">
        <v>235</v>
      </c>
    </row>
    <row r="29" spans="3:21" s="10" customFormat="1" ht="15" customHeight="1" x14ac:dyDescent="0.25">
      <c r="C29" s="63">
        <v>9</v>
      </c>
      <c r="D29" s="63"/>
      <c r="E29" s="29" t="s">
        <v>25</v>
      </c>
      <c r="F29" s="21"/>
      <c r="G29" s="68"/>
      <c r="H29" s="68"/>
      <c r="I29" s="68">
        <v>300</v>
      </c>
      <c r="J29" s="68">
        <v>300</v>
      </c>
      <c r="K29" s="68">
        <v>800</v>
      </c>
      <c r="L29" s="68">
        <v>400</v>
      </c>
      <c r="M29" s="68"/>
      <c r="N29" s="68"/>
      <c r="O29" s="68">
        <v>350</v>
      </c>
      <c r="P29" s="68"/>
      <c r="Q29" s="69">
        <v>400</v>
      </c>
      <c r="R29" s="68">
        <v>400</v>
      </c>
      <c r="S29" s="68">
        <v>400</v>
      </c>
      <c r="T29" s="68">
        <v>400</v>
      </c>
      <c r="U29" s="68"/>
    </row>
    <row r="30" spans="3:21" s="10" customFormat="1" x14ac:dyDescent="0.25">
      <c r="C30" s="63">
        <v>10</v>
      </c>
      <c r="D30" s="63"/>
      <c r="E30" s="29" t="s">
        <v>77</v>
      </c>
      <c r="F30" s="21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99"/>
      <c r="R30" s="68"/>
      <c r="S30" s="68"/>
      <c r="T30" s="68"/>
      <c r="U30" s="68"/>
    </row>
    <row r="31" spans="3:21" s="10" customFormat="1" ht="15" customHeight="1" x14ac:dyDescent="0.25">
      <c r="C31" s="48"/>
      <c r="D31" s="48" t="s">
        <v>78</v>
      </c>
      <c r="E31" s="49" t="s">
        <v>79</v>
      </c>
      <c r="F31" s="50"/>
      <c r="G31" s="72" t="s">
        <v>186</v>
      </c>
      <c r="H31" s="72" t="s">
        <v>193</v>
      </c>
      <c r="I31" s="72" t="s">
        <v>199</v>
      </c>
      <c r="J31" s="72" t="s">
        <v>430</v>
      </c>
      <c r="K31" s="72" t="s">
        <v>204</v>
      </c>
      <c r="L31" s="72" t="s">
        <v>204</v>
      </c>
      <c r="M31" s="72" t="s">
        <v>210</v>
      </c>
      <c r="N31" s="72" t="s">
        <v>216</v>
      </c>
      <c r="O31" s="72" t="s">
        <v>204</v>
      </c>
      <c r="P31" s="72" t="s">
        <v>193</v>
      </c>
      <c r="Q31" s="72" t="s">
        <v>204</v>
      </c>
      <c r="R31" s="72" t="s">
        <v>204</v>
      </c>
      <c r="S31" s="72" t="s">
        <v>204</v>
      </c>
      <c r="T31" s="72" t="s">
        <v>204</v>
      </c>
      <c r="U31" s="72" t="s">
        <v>236</v>
      </c>
    </row>
    <row r="32" spans="3:21" s="10" customFormat="1" x14ac:dyDescent="0.25">
      <c r="C32" s="48"/>
      <c r="D32" s="48" t="s">
        <v>80</v>
      </c>
      <c r="E32" s="49" t="s">
        <v>81</v>
      </c>
      <c r="F32" s="50" t="s">
        <v>71</v>
      </c>
      <c r="G32" s="73"/>
      <c r="H32" s="73"/>
      <c r="I32" s="73">
        <v>1.5</v>
      </c>
      <c r="J32" s="73">
        <v>1.1000000000000001</v>
      </c>
      <c r="K32" s="73">
        <v>0.5</v>
      </c>
      <c r="L32" s="73">
        <v>1.2</v>
      </c>
      <c r="M32" s="73"/>
      <c r="N32" s="73"/>
      <c r="O32" s="97" t="s">
        <v>220</v>
      </c>
      <c r="P32" s="73"/>
      <c r="Q32" s="73">
        <v>0.6</v>
      </c>
      <c r="R32" s="73">
        <v>0.3</v>
      </c>
      <c r="S32" s="73">
        <v>1.4</v>
      </c>
      <c r="T32" s="73">
        <v>0.7</v>
      </c>
      <c r="U32" s="73"/>
    </row>
    <row r="33" spans="3:22" s="10" customFormat="1" x14ac:dyDescent="0.25">
      <c r="C33" s="48"/>
      <c r="D33" s="48" t="s">
        <v>82</v>
      </c>
      <c r="E33" s="49" t="s">
        <v>85</v>
      </c>
      <c r="F33" s="50" t="s">
        <v>178</v>
      </c>
      <c r="G33" s="73"/>
      <c r="H33" s="73"/>
      <c r="I33" s="73">
        <v>1</v>
      </c>
      <c r="J33" s="73">
        <v>0.9</v>
      </c>
      <c r="K33" s="73">
        <v>0.8</v>
      </c>
      <c r="L33" s="73">
        <v>1.2</v>
      </c>
      <c r="M33" s="73"/>
      <c r="N33" s="73"/>
      <c r="O33" s="97" t="s">
        <v>220</v>
      </c>
      <c r="P33" s="73"/>
      <c r="Q33" s="73">
        <v>1.1000000000000001</v>
      </c>
      <c r="R33" s="73">
        <v>0.8</v>
      </c>
      <c r="S33" s="73">
        <v>1.2</v>
      </c>
      <c r="T33" s="73">
        <v>0.7</v>
      </c>
      <c r="U33" s="73"/>
    </row>
    <row r="34" spans="3:22" s="10" customFormat="1" ht="15" customHeight="1" x14ac:dyDescent="0.25">
      <c r="C34" s="48"/>
      <c r="D34" s="48" t="s">
        <v>83</v>
      </c>
      <c r="E34" s="49" t="s">
        <v>86</v>
      </c>
      <c r="F34" s="50" t="s">
        <v>179</v>
      </c>
      <c r="G34" s="73"/>
      <c r="H34" s="73"/>
      <c r="I34" s="73">
        <v>0</v>
      </c>
      <c r="J34" s="73">
        <v>0</v>
      </c>
      <c r="K34" s="73">
        <v>1</v>
      </c>
      <c r="L34" s="73">
        <v>1</v>
      </c>
      <c r="M34" s="73"/>
      <c r="N34" s="73"/>
      <c r="O34" s="97" t="s">
        <v>220</v>
      </c>
      <c r="P34" s="73"/>
      <c r="Q34" s="73">
        <v>1</v>
      </c>
      <c r="R34" s="73">
        <v>1</v>
      </c>
      <c r="S34" s="73">
        <v>1</v>
      </c>
      <c r="T34" s="73">
        <v>1</v>
      </c>
      <c r="U34" s="73"/>
    </row>
    <row r="35" spans="3:22" s="10" customFormat="1" x14ac:dyDescent="0.25">
      <c r="C35" s="48"/>
      <c r="D35" s="48" t="s">
        <v>84</v>
      </c>
      <c r="E35" s="49" t="s">
        <v>87</v>
      </c>
      <c r="F35" s="50" t="s">
        <v>180</v>
      </c>
      <c r="G35" s="69"/>
      <c r="H35" s="69"/>
      <c r="I35" s="69">
        <v>0.12</v>
      </c>
      <c r="J35" s="69">
        <v>0.12</v>
      </c>
      <c r="K35" s="69">
        <v>0.08</v>
      </c>
      <c r="L35" s="69">
        <v>0.1</v>
      </c>
      <c r="M35" s="69"/>
      <c r="N35" s="69"/>
      <c r="O35" s="69">
        <v>0.12</v>
      </c>
      <c r="P35" s="69"/>
      <c r="Q35" s="69">
        <v>0.1</v>
      </c>
      <c r="R35" s="69">
        <v>0.08</v>
      </c>
      <c r="S35" s="69">
        <v>0.1</v>
      </c>
      <c r="T35" s="69">
        <v>0.08</v>
      </c>
      <c r="U35" s="69"/>
    </row>
    <row r="36" spans="3:22" s="10" customFormat="1" ht="15" customHeight="1" x14ac:dyDescent="0.25">
      <c r="C36" s="1036">
        <v>11</v>
      </c>
      <c r="D36" s="63" t="s">
        <v>142</v>
      </c>
      <c r="E36" s="29" t="s">
        <v>29</v>
      </c>
      <c r="F36" s="21" t="s">
        <v>43</v>
      </c>
      <c r="G36" s="74">
        <v>230000</v>
      </c>
      <c r="H36" s="74">
        <v>250000</v>
      </c>
      <c r="I36" s="87">
        <v>3200000</v>
      </c>
      <c r="J36" s="74">
        <v>2400000</v>
      </c>
      <c r="K36" s="93">
        <v>3700000</v>
      </c>
      <c r="L36" s="74">
        <v>3800000</v>
      </c>
      <c r="M36" s="74">
        <v>700000</v>
      </c>
      <c r="N36" s="96">
        <v>1700000</v>
      </c>
      <c r="O36" s="87">
        <v>12000000</v>
      </c>
      <c r="P36" s="74">
        <v>200000</v>
      </c>
      <c r="Q36" s="87">
        <v>3200000</v>
      </c>
      <c r="R36" s="93">
        <v>1800000</v>
      </c>
      <c r="S36" s="93">
        <v>3900000</v>
      </c>
      <c r="T36" s="93">
        <v>2100000</v>
      </c>
      <c r="U36" s="74">
        <v>270000</v>
      </c>
    </row>
    <row r="37" spans="3:22" s="10" customFormat="1" ht="15" customHeight="1" x14ac:dyDescent="0.25">
      <c r="C37" s="1036"/>
      <c r="D37" s="63" t="s">
        <v>143</v>
      </c>
      <c r="E37" s="29" t="s">
        <v>30</v>
      </c>
      <c r="F37" s="21" t="s">
        <v>40</v>
      </c>
      <c r="G37" s="74">
        <f t="shared" ref="G37:N37" si="10">+G36</f>
        <v>230000</v>
      </c>
      <c r="H37" s="74">
        <f t="shared" si="10"/>
        <v>250000</v>
      </c>
      <c r="I37" s="87">
        <f t="shared" si="10"/>
        <v>3200000</v>
      </c>
      <c r="J37" s="74">
        <v>2400000</v>
      </c>
      <c r="K37" s="93">
        <f t="shared" si="10"/>
        <v>3700000</v>
      </c>
      <c r="L37" s="74">
        <f t="shared" si="10"/>
        <v>3800000</v>
      </c>
      <c r="M37" s="74">
        <f t="shared" si="10"/>
        <v>700000</v>
      </c>
      <c r="N37" s="96">
        <f t="shared" si="10"/>
        <v>1700000</v>
      </c>
      <c r="O37" s="87">
        <v>12000000</v>
      </c>
      <c r="P37" s="74">
        <f t="shared" ref="P37:U37" si="11">+P36</f>
        <v>200000</v>
      </c>
      <c r="Q37" s="87">
        <f t="shared" si="11"/>
        <v>3200000</v>
      </c>
      <c r="R37" s="93">
        <f t="shared" si="11"/>
        <v>1800000</v>
      </c>
      <c r="S37" s="93">
        <f t="shared" si="11"/>
        <v>3900000</v>
      </c>
      <c r="T37" s="93">
        <f t="shared" si="11"/>
        <v>2100000</v>
      </c>
      <c r="U37" s="74">
        <f t="shared" si="11"/>
        <v>270000</v>
      </c>
      <c r="V37" s="104">
        <f>SUM(G37:U37)</f>
        <v>39450000</v>
      </c>
    </row>
    <row r="38" spans="3:22" s="10" customFormat="1" x14ac:dyDescent="0.25">
      <c r="C38" s="27" t="s">
        <v>5</v>
      </c>
      <c r="D38" s="27"/>
      <c r="E38" s="30"/>
      <c r="F38" s="22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102"/>
      <c r="R38" s="75"/>
      <c r="S38" s="75"/>
      <c r="T38" s="75"/>
      <c r="U38" s="75"/>
    </row>
    <row r="39" spans="3:22" s="10" customFormat="1" ht="15" customHeight="1" x14ac:dyDescent="0.25">
      <c r="C39" s="63">
        <v>12</v>
      </c>
      <c r="D39" s="63"/>
      <c r="E39" s="29" t="s">
        <v>21</v>
      </c>
      <c r="F39" s="21" t="s">
        <v>45</v>
      </c>
      <c r="G39" s="76">
        <v>0.37040000000000001</v>
      </c>
      <c r="H39" s="76">
        <v>0.41310000000000002</v>
      </c>
      <c r="I39" s="76">
        <v>0.40510000000000002</v>
      </c>
      <c r="J39" s="76">
        <v>0.48259999999999997</v>
      </c>
      <c r="K39" s="76">
        <v>0.38740000000000002</v>
      </c>
      <c r="L39" s="90">
        <v>0.32979999999999998</v>
      </c>
      <c r="M39" s="76">
        <v>0.43219999999999997</v>
      </c>
      <c r="N39" s="76">
        <v>0.44879999999999998</v>
      </c>
      <c r="O39" s="76">
        <v>0.47870000000000001</v>
      </c>
      <c r="P39" s="76">
        <v>0.31119999999999998</v>
      </c>
      <c r="Q39" s="90">
        <v>0.49569999999999997</v>
      </c>
      <c r="R39" s="76">
        <v>0.35980000000000001</v>
      </c>
      <c r="S39" s="76">
        <v>0.70199999999999996</v>
      </c>
      <c r="T39" s="90">
        <v>0.50460000000000005</v>
      </c>
      <c r="U39" s="76">
        <v>0.58360000000000001</v>
      </c>
    </row>
    <row r="40" spans="3:22" s="10" customFormat="1" ht="15" customHeight="1" x14ac:dyDescent="0.25">
      <c r="C40" s="63">
        <v>13</v>
      </c>
      <c r="D40" s="63"/>
      <c r="E40" s="29" t="s">
        <v>88</v>
      </c>
      <c r="F40" s="21" t="s">
        <v>48</v>
      </c>
      <c r="G40" s="76">
        <v>0.91210000000000002</v>
      </c>
      <c r="H40" s="76">
        <v>0.72740000000000005</v>
      </c>
      <c r="I40" s="76">
        <v>0.49759999999999999</v>
      </c>
      <c r="J40" s="76">
        <v>0.57589999999999997</v>
      </c>
      <c r="K40" s="76">
        <v>0.54449999999999998</v>
      </c>
      <c r="L40" s="90">
        <v>0.77890000000000004</v>
      </c>
      <c r="M40" s="76">
        <v>0.72440000000000004</v>
      </c>
      <c r="N40" s="76">
        <v>0.73670000000000002</v>
      </c>
      <c r="O40" s="76">
        <v>0.59960000000000002</v>
      </c>
      <c r="P40" s="76">
        <v>0.31630000000000003</v>
      </c>
      <c r="Q40" s="90">
        <v>0.70369999999999999</v>
      </c>
      <c r="R40" s="76">
        <v>0.45660000000000001</v>
      </c>
      <c r="S40" s="76">
        <v>0.81040000000000001</v>
      </c>
      <c r="T40" s="90">
        <v>0.84440000000000004</v>
      </c>
      <c r="U40" s="76">
        <v>0.49170000000000003</v>
      </c>
    </row>
    <row r="41" spans="3:22" s="10" customFormat="1" ht="15" customHeight="1" x14ac:dyDescent="0.25">
      <c r="C41" s="63">
        <v>14</v>
      </c>
      <c r="D41" s="63"/>
      <c r="E41" s="30" t="s">
        <v>22</v>
      </c>
      <c r="F41" s="21" t="s">
        <v>46</v>
      </c>
      <c r="G41" s="77">
        <v>271000</v>
      </c>
      <c r="H41" s="77">
        <v>807200</v>
      </c>
      <c r="I41" s="77">
        <v>963150</v>
      </c>
      <c r="J41" s="77">
        <v>899212</v>
      </c>
      <c r="K41" s="77">
        <v>943700</v>
      </c>
      <c r="L41" s="91">
        <v>1057000</v>
      </c>
      <c r="M41" s="77">
        <v>2557000</v>
      </c>
      <c r="N41" s="77">
        <v>1218600</v>
      </c>
      <c r="O41" s="98">
        <v>23491712</v>
      </c>
      <c r="P41" s="77">
        <v>696300</v>
      </c>
      <c r="Q41" s="91">
        <v>1269000</v>
      </c>
      <c r="R41" s="77">
        <v>1472350</v>
      </c>
      <c r="S41" s="77">
        <v>4440300</v>
      </c>
      <c r="T41" s="91">
        <v>2058100</v>
      </c>
      <c r="U41" s="77">
        <v>1644900</v>
      </c>
    </row>
    <row r="42" spans="3:22" s="10" customFormat="1" ht="18" customHeight="1" x14ac:dyDescent="0.25">
      <c r="C42" s="28" t="s">
        <v>6</v>
      </c>
      <c r="D42" s="28"/>
      <c r="E42" s="31"/>
      <c r="F42" s="32" t="s">
        <v>54</v>
      </c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</row>
    <row r="43" spans="3:22" s="10" customFormat="1" x14ac:dyDescent="0.25">
      <c r="C43" s="1036">
        <v>15</v>
      </c>
      <c r="D43" s="63"/>
      <c r="E43" s="33" t="s">
        <v>7</v>
      </c>
      <c r="F43" s="21">
        <v>40</v>
      </c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</row>
    <row r="44" spans="3:22" s="10" customFormat="1" x14ac:dyDescent="0.25">
      <c r="C44" s="1036"/>
      <c r="D44" s="63"/>
      <c r="E44" s="33" t="s">
        <v>8</v>
      </c>
      <c r="F44" s="21">
        <v>26</v>
      </c>
      <c r="G44" s="70">
        <v>1</v>
      </c>
      <c r="H44" s="70">
        <v>1</v>
      </c>
      <c r="I44" s="70">
        <v>1</v>
      </c>
      <c r="J44" s="70">
        <v>1</v>
      </c>
      <c r="K44" s="70">
        <v>1</v>
      </c>
      <c r="L44" s="70">
        <v>1</v>
      </c>
      <c r="M44" s="70">
        <v>1</v>
      </c>
      <c r="N44" s="70">
        <v>1</v>
      </c>
      <c r="O44" s="70">
        <v>1</v>
      </c>
      <c r="P44" s="70">
        <v>1</v>
      </c>
      <c r="Q44" s="70">
        <v>1</v>
      </c>
      <c r="R44" s="70">
        <v>1</v>
      </c>
      <c r="S44" s="70">
        <v>1</v>
      </c>
      <c r="T44" s="70">
        <v>1</v>
      </c>
      <c r="U44" s="70">
        <v>1</v>
      </c>
    </row>
    <row r="45" spans="3:22" s="10" customFormat="1" x14ac:dyDescent="0.25">
      <c r="C45" s="1036"/>
      <c r="D45" s="63"/>
      <c r="E45" s="33" t="s">
        <v>9</v>
      </c>
      <c r="F45" s="21">
        <v>13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</row>
    <row r="46" spans="3:22" s="10" customFormat="1" x14ac:dyDescent="0.25">
      <c r="C46" s="1036"/>
      <c r="D46" s="63"/>
      <c r="E46" s="33" t="s">
        <v>10</v>
      </c>
      <c r="F46" s="21">
        <v>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</row>
    <row r="47" spans="3:22" s="10" customFormat="1" ht="18" customHeight="1" x14ac:dyDescent="0.25">
      <c r="C47" s="28" t="s">
        <v>11</v>
      </c>
      <c r="D47" s="28"/>
      <c r="E47" s="31"/>
      <c r="F47" s="32" t="s">
        <v>50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</row>
    <row r="48" spans="3:22" s="10" customFormat="1" x14ac:dyDescent="0.25">
      <c r="C48" s="1036">
        <v>16</v>
      </c>
      <c r="D48" s="63"/>
      <c r="E48" s="33" t="s">
        <v>12</v>
      </c>
      <c r="F48" s="21">
        <v>40</v>
      </c>
      <c r="G48" s="78"/>
      <c r="H48" s="78"/>
      <c r="I48" s="68"/>
      <c r="J48" s="78"/>
      <c r="K48" s="68"/>
      <c r="L48" s="68">
        <v>1</v>
      </c>
      <c r="M48" s="78"/>
      <c r="N48" s="78"/>
      <c r="O48" s="70">
        <v>1</v>
      </c>
      <c r="P48" s="78"/>
      <c r="Q48" s="68"/>
      <c r="R48" s="68"/>
      <c r="S48" s="78">
        <v>1</v>
      </c>
      <c r="T48" s="68"/>
      <c r="U48" s="78"/>
    </row>
    <row r="49" spans="3:26" s="10" customFormat="1" x14ac:dyDescent="0.25">
      <c r="C49" s="1036"/>
      <c r="D49" s="63"/>
      <c r="E49" s="33" t="s">
        <v>13</v>
      </c>
      <c r="F49" s="21">
        <v>26</v>
      </c>
      <c r="G49" s="78">
        <v>1</v>
      </c>
      <c r="H49" s="78">
        <v>1</v>
      </c>
      <c r="I49" s="68">
        <v>1</v>
      </c>
      <c r="J49" s="78">
        <v>1</v>
      </c>
      <c r="K49" s="68"/>
      <c r="L49" s="78"/>
      <c r="M49" s="78">
        <v>1</v>
      </c>
      <c r="N49" s="78">
        <v>1</v>
      </c>
      <c r="P49" s="78">
        <v>1</v>
      </c>
      <c r="Q49" s="78">
        <v>1</v>
      </c>
      <c r="R49" s="68"/>
      <c r="S49" s="78"/>
      <c r="T49" s="78">
        <v>1</v>
      </c>
      <c r="U49" s="78">
        <v>1</v>
      </c>
    </row>
    <row r="50" spans="3:26" s="10" customFormat="1" x14ac:dyDescent="0.25">
      <c r="C50" s="1036"/>
      <c r="D50" s="63"/>
      <c r="E50" s="33" t="s">
        <v>14</v>
      </c>
      <c r="F50" s="21">
        <v>13</v>
      </c>
      <c r="G50" s="78"/>
      <c r="H50" s="78"/>
      <c r="I50" s="70"/>
      <c r="J50" s="78"/>
      <c r="K50" s="78">
        <v>1</v>
      </c>
      <c r="L50" s="78"/>
      <c r="M50" s="78"/>
      <c r="N50" s="78"/>
      <c r="O50" s="70"/>
      <c r="P50" s="78"/>
      <c r="Q50" s="78"/>
      <c r="R50" s="78">
        <v>1</v>
      </c>
      <c r="S50" s="70"/>
      <c r="T50" s="78"/>
      <c r="U50" s="78"/>
    </row>
    <row r="51" spans="3:26" s="10" customFormat="1" x14ac:dyDescent="0.25">
      <c r="C51" s="1036"/>
      <c r="D51" s="63"/>
      <c r="E51" s="33" t="s">
        <v>16</v>
      </c>
      <c r="F51" s="21">
        <v>0</v>
      </c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</row>
    <row r="52" spans="3:26" s="10" customFormat="1" x14ac:dyDescent="0.25">
      <c r="C52" s="27" t="s">
        <v>15</v>
      </c>
      <c r="D52" s="27"/>
      <c r="E52" s="30"/>
      <c r="F52" s="21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</row>
    <row r="53" spans="3:26" s="10" customFormat="1" ht="15" customHeight="1" x14ac:dyDescent="0.25">
      <c r="C53" s="63">
        <v>17</v>
      </c>
      <c r="D53" s="63"/>
      <c r="E53" s="29" t="s">
        <v>17</v>
      </c>
      <c r="F53" s="21" t="s">
        <v>47</v>
      </c>
      <c r="G53" s="79">
        <f>+G16*VBP_RA!O8</f>
        <v>39473499.67488984</v>
      </c>
      <c r="H53" s="79">
        <f>+H16*VBP_RA!O6</f>
        <v>350623228.38206172</v>
      </c>
      <c r="I53" s="79">
        <f>+I16*VBP_RA!O7</f>
        <v>253959973.13389954</v>
      </c>
      <c r="J53" s="79">
        <f>+J16*VBP_RA!O7</f>
        <v>110213469.41175695</v>
      </c>
      <c r="K53" s="79">
        <f>+K16*VBP_RA!O6</f>
        <v>50077923.947227262</v>
      </c>
      <c r="L53" s="92">
        <f>+L16*VBP_RA!O10</f>
        <v>267072446.00881046</v>
      </c>
      <c r="M53" s="79">
        <f>+M16*VBP_RA!O13</f>
        <v>286851705.38018608</v>
      </c>
      <c r="N53" s="79">
        <f>1.35*(327880601)</f>
        <v>442638811.35000002</v>
      </c>
      <c r="O53" s="79">
        <f>+O16*VBP_RA!O18</f>
        <v>6707862544.3055944</v>
      </c>
      <c r="P53" s="79">
        <f>+P16*VBP_RA!O7</f>
        <v>126862738.19523513</v>
      </c>
      <c r="Q53" s="92">
        <f>+Q16*VBP_RA!O6</f>
        <v>162753252.82848862</v>
      </c>
      <c r="R53" s="79">
        <f>+R16*VBP_RA!O7</f>
        <v>41271426.843551539</v>
      </c>
      <c r="S53" s="79">
        <f>+S16*VBP_RA!O14</f>
        <v>513618616.67143255</v>
      </c>
      <c r="T53" s="92">
        <f>+T16*VBP_RA!O12</f>
        <v>68414758.601426378</v>
      </c>
      <c r="U53" s="79">
        <f>+U16*VBP_RA!O15</f>
        <v>428401868.73396909</v>
      </c>
    </row>
    <row r="54" spans="3:26" s="10" customFormat="1" ht="15.75" customHeight="1" x14ac:dyDescent="0.25">
      <c r="C54" s="1045">
        <v>18</v>
      </c>
      <c r="D54" s="63">
        <v>18.100000000000001</v>
      </c>
      <c r="E54" s="29" t="s">
        <v>170</v>
      </c>
      <c r="F54" s="23" t="s">
        <v>53</v>
      </c>
      <c r="G54" s="70" t="s">
        <v>187</v>
      </c>
      <c r="H54" s="81" t="s">
        <v>194</v>
      </c>
      <c r="I54" s="70" t="s">
        <v>194</v>
      </c>
      <c r="J54" s="70" t="s">
        <v>194</v>
      </c>
      <c r="K54" s="70" t="s">
        <v>194</v>
      </c>
      <c r="L54" s="70" t="s">
        <v>187</v>
      </c>
      <c r="M54" s="70" t="s">
        <v>211</v>
      </c>
      <c r="N54" s="70" t="s">
        <v>217</v>
      </c>
      <c r="O54" s="70"/>
      <c r="P54" s="70" t="s">
        <v>194</v>
      </c>
      <c r="Q54" s="70" t="s">
        <v>194</v>
      </c>
      <c r="R54" s="70" t="s">
        <v>194</v>
      </c>
      <c r="S54" s="70" t="s">
        <v>194</v>
      </c>
      <c r="T54" s="70" t="s">
        <v>187</v>
      </c>
      <c r="U54" s="70" t="s">
        <v>237</v>
      </c>
    </row>
    <row r="55" spans="3:26" s="10" customFormat="1" ht="15.75" customHeight="1" x14ac:dyDescent="0.25">
      <c r="C55" s="1045"/>
      <c r="D55" s="63">
        <v>18.2</v>
      </c>
      <c r="E55" s="29" t="s">
        <v>171</v>
      </c>
      <c r="F55" s="23" t="s">
        <v>53</v>
      </c>
      <c r="G55" s="80">
        <v>0.34110000000000001</v>
      </c>
      <c r="H55" s="82">
        <v>0.17799999999999999</v>
      </c>
      <c r="I55" s="80">
        <v>0.29360000000000003</v>
      </c>
      <c r="J55" s="80">
        <v>0.17599999999999999</v>
      </c>
      <c r="K55" s="80">
        <v>0.2203</v>
      </c>
      <c r="L55" s="80">
        <v>0.17449999999999999</v>
      </c>
      <c r="M55" s="80">
        <v>0.20580000000000001</v>
      </c>
      <c r="N55" s="80">
        <v>0.1875</v>
      </c>
      <c r="O55" s="80"/>
      <c r="P55" s="80">
        <v>0.2361</v>
      </c>
      <c r="Q55" s="80">
        <v>0.25750000000000001</v>
      </c>
      <c r="R55" s="80">
        <v>0.34899999999999998</v>
      </c>
      <c r="S55" s="80">
        <v>0.30580000000000002</v>
      </c>
      <c r="T55" s="80">
        <v>0.30359999999999998</v>
      </c>
      <c r="U55" s="80">
        <v>0.121</v>
      </c>
    </row>
    <row r="56" spans="3:26" s="10" customFormat="1" ht="18" customHeight="1" x14ac:dyDescent="0.25">
      <c r="C56" s="63">
        <v>19</v>
      </c>
      <c r="D56" s="63"/>
      <c r="E56" s="29" t="s">
        <v>27</v>
      </c>
      <c r="F56" s="32" t="s">
        <v>52</v>
      </c>
      <c r="G56" s="81">
        <v>0</v>
      </c>
      <c r="H56" s="81">
        <v>0</v>
      </c>
      <c r="I56" s="70">
        <v>40</v>
      </c>
      <c r="J56" s="81">
        <v>0</v>
      </c>
      <c r="K56" s="70">
        <v>26</v>
      </c>
      <c r="L56" s="70">
        <v>0</v>
      </c>
      <c r="M56" s="81">
        <v>26</v>
      </c>
      <c r="N56" s="81">
        <v>0</v>
      </c>
      <c r="O56" s="70">
        <v>40</v>
      </c>
      <c r="P56" s="81">
        <v>0</v>
      </c>
      <c r="Q56" s="70">
        <v>0</v>
      </c>
      <c r="R56" s="81">
        <v>26</v>
      </c>
      <c r="S56" s="70">
        <v>40</v>
      </c>
      <c r="T56" s="70">
        <v>0</v>
      </c>
      <c r="U56" s="81">
        <v>0</v>
      </c>
    </row>
    <row r="57" spans="3:26" s="10" customFormat="1" ht="15.75" customHeight="1" x14ac:dyDescent="0.25">
      <c r="C57" s="63">
        <v>20</v>
      </c>
      <c r="D57" s="63"/>
      <c r="E57" s="29" t="s">
        <v>18</v>
      </c>
      <c r="F57" s="23" t="s">
        <v>53</v>
      </c>
      <c r="G57" s="492" t="s">
        <v>188</v>
      </c>
      <c r="H57" s="492" t="s">
        <v>188</v>
      </c>
      <c r="I57" s="494" t="s">
        <v>200</v>
      </c>
      <c r="J57" s="492" t="s">
        <v>188</v>
      </c>
      <c r="K57" s="492" t="s">
        <v>188</v>
      </c>
      <c r="L57" s="493" t="s">
        <v>188</v>
      </c>
      <c r="M57" s="492" t="s">
        <v>188</v>
      </c>
      <c r="N57" s="495" t="s">
        <v>200</v>
      </c>
      <c r="O57" s="495" t="s">
        <v>200</v>
      </c>
      <c r="P57" s="492" t="s">
        <v>188</v>
      </c>
      <c r="Q57" s="494" t="s">
        <v>200</v>
      </c>
      <c r="R57" s="492" t="s">
        <v>188</v>
      </c>
      <c r="S57" s="492" t="s">
        <v>188</v>
      </c>
      <c r="T57" s="492" t="s">
        <v>188</v>
      </c>
      <c r="U57" s="492" t="s">
        <v>188</v>
      </c>
    </row>
    <row r="58" spans="3:26" s="10" customFormat="1" ht="15" customHeight="1" x14ac:dyDescent="0.25">
      <c r="C58" s="63">
        <v>21</v>
      </c>
      <c r="D58" s="63"/>
      <c r="E58" s="29" t="s">
        <v>20</v>
      </c>
      <c r="F58" s="21" t="s">
        <v>49</v>
      </c>
      <c r="G58" s="82">
        <v>0</v>
      </c>
      <c r="H58" s="82">
        <f>+(4890+10469)/(4890+10469+98069)</f>
        <v>0.13540748316112425</v>
      </c>
      <c r="I58" s="80">
        <v>4.6300000000000001E-2</v>
      </c>
      <c r="J58" s="80">
        <v>6.8500000000000005E-2</v>
      </c>
      <c r="K58" s="80">
        <v>8.6999999999999994E-2</v>
      </c>
      <c r="L58" s="82">
        <v>0.02</v>
      </c>
      <c r="M58" s="82">
        <v>1.4E-2</v>
      </c>
      <c r="N58" s="82">
        <v>0.10199999999999999</v>
      </c>
      <c r="O58" s="82"/>
      <c r="P58" s="82">
        <v>9.5000000000000001E-2</v>
      </c>
      <c r="Q58" s="82">
        <v>0.115</v>
      </c>
      <c r="R58" s="82">
        <v>4.9000000000000002E-2</v>
      </c>
      <c r="S58" s="82">
        <v>7.0000000000000007E-2</v>
      </c>
      <c r="T58" s="82">
        <v>1.9E-2</v>
      </c>
      <c r="U58" s="82">
        <v>2.4E-2</v>
      </c>
    </row>
    <row r="59" spans="3:26" s="10" customFormat="1" ht="18.75" customHeight="1" thickBot="1" x14ac:dyDescent="0.35">
      <c r="C59" s="39">
        <v>22</v>
      </c>
      <c r="D59" s="39"/>
      <c r="E59" s="34" t="s">
        <v>177</v>
      </c>
      <c r="F59" s="45" t="s">
        <v>51</v>
      </c>
      <c r="G59" s="83">
        <v>40</v>
      </c>
      <c r="H59" s="83">
        <v>100</v>
      </c>
      <c r="I59" s="83">
        <v>13</v>
      </c>
      <c r="J59" s="83">
        <v>13</v>
      </c>
      <c r="K59" s="83">
        <v>13</v>
      </c>
      <c r="L59" s="83">
        <v>40</v>
      </c>
      <c r="M59" s="83">
        <v>100</v>
      </c>
      <c r="N59" s="83">
        <v>100</v>
      </c>
      <c r="O59" s="83">
        <v>40</v>
      </c>
      <c r="P59" s="83">
        <v>40</v>
      </c>
      <c r="Q59" s="83">
        <v>40</v>
      </c>
      <c r="R59" s="83">
        <v>13</v>
      </c>
      <c r="S59" s="83">
        <v>13</v>
      </c>
      <c r="T59" s="83">
        <v>13</v>
      </c>
      <c r="U59" s="83">
        <v>100</v>
      </c>
    </row>
    <row r="60" spans="3:26" x14ac:dyDescent="0.25">
      <c r="C60" s="1"/>
      <c r="D60" s="1"/>
    </row>
    <row r="61" spans="3:26" x14ac:dyDescent="0.25">
      <c r="E61" s="108" t="s">
        <v>58</v>
      </c>
      <c r="F61" s="135" t="s">
        <v>58</v>
      </c>
      <c r="G61" s="109">
        <f>G9</f>
        <v>1</v>
      </c>
      <c r="H61" s="109">
        <f t="shared" ref="H61:U61" si="12">H9</f>
        <v>2</v>
      </c>
      <c r="I61" s="109">
        <f t="shared" si="12"/>
        <v>3</v>
      </c>
      <c r="J61" s="109">
        <f t="shared" si="12"/>
        <v>4</v>
      </c>
      <c r="K61" s="109">
        <f t="shared" si="12"/>
        <v>5</v>
      </c>
      <c r="L61" s="109">
        <f t="shared" si="12"/>
        <v>6</v>
      </c>
      <c r="M61" s="109">
        <f t="shared" si="12"/>
        <v>7</v>
      </c>
      <c r="N61" s="109">
        <f t="shared" si="12"/>
        <v>8</v>
      </c>
      <c r="O61" s="109">
        <f t="shared" si="12"/>
        <v>9</v>
      </c>
      <c r="P61" s="109">
        <f t="shared" si="12"/>
        <v>10</v>
      </c>
      <c r="Q61" s="109">
        <f t="shared" si="12"/>
        <v>11</v>
      </c>
      <c r="R61" s="109">
        <f t="shared" si="12"/>
        <v>12</v>
      </c>
      <c r="S61" s="109">
        <f t="shared" si="12"/>
        <v>13</v>
      </c>
      <c r="T61" s="109">
        <f t="shared" si="12"/>
        <v>14</v>
      </c>
      <c r="U61" s="109">
        <f t="shared" si="12"/>
        <v>15</v>
      </c>
    </row>
    <row r="62" spans="3:26" ht="34.5" customHeight="1" thickBot="1" x14ac:dyDescent="0.3">
      <c r="E62" s="108" t="s">
        <v>240</v>
      </c>
      <c r="F62" s="135" t="s">
        <v>240</v>
      </c>
      <c r="G62" s="19" t="str">
        <f>G12</f>
        <v>Canal Arroyo</v>
      </c>
      <c r="H62" s="19" t="str">
        <f t="shared" ref="H62:U62" si="13">H12</f>
        <v>Rama Dr. Bosch</v>
      </c>
      <c r="I62" s="19" t="str">
        <f t="shared" si="13"/>
        <v>Rama Centro Auxiliar</v>
      </c>
      <c r="J62" s="19" t="str">
        <f t="shared" si="13"/>
        <v>Rama Centro Viejo</v>
      </c>
      <c r="K62" s="19" t="str">
        <f t="shared" si="13"/>
        <v>Rama Christophersen</v>
      </c>
      <c r="L62" s="19" t="str">
        <f t="shared" si="13"/>
        <v>Canal Matriz Correa</v>
      </c>
      <c r="M62" s="19" t="str">
        <f t="shared" si="13"/>
        <v>Camal Matriz Izuel</v>
      </c>
      <c r="N62" s="19" t="str">
        <f t="shared" si="13"/>
        <v>Canal Mz. Jáuregui Unif.</v>
      </c>
      <c r="O62" s="19" t="str">
        <f t="shared" si="13"/>
        <v>Subdelegacion Rio Atuel</v>
      </c>
      <c r="P62" s="19" t="str">
        <f t="shared" si="13"/>
        <v>Rama La Marzolina</v>
      </c>
      <c r="Q62" s="19" t="str">
        <f t="shared" si="13"/>
        <v>Rama Moss - Los Angeles Unif.</v>
      </c>
      <c r="R62" s="19" t="str">
        <f t="shared" si="13"/>
        <v>Rama Norte Unificada</v>
      </c>
      <c r="S62" s="19" t="str">
        <f t="shared" si="13"/>
        <v>Canal Real del Padre Unif.</v>
      </c>
      <c r="T62" s="19" t="str">
        <f t="shared" si="13"/>
        <v>Canal Concesión Regueira</v>
      </c>
      <c r="U62" s="19" t="str">
        <f t="shared" si="13"/>
        <v>Canal San Pedro</v>
      </c>
    </row>
    <row r="63" spans="3:26" ht="18.75" x14ac:dyDescent="0.25">
      <c r="C63" s="139" t="s">
        <v>271</v>
      </c>
      <c r="D63" s="1053" t="s">
        <v>97</v>
      </c>
      <c r="E63" s="1054"/>
      <c r="F63" s="135" t="s">
        <v>141</v>
      </c>
      <c r="G63" s="136">
        <f t="shared" ref="G63:T63" si="14">G58</f>
        <v>0</v>
      </c>
      <c r="H63" s="136">
        <f t="shared" si="14"/>
        <v>0.13540748316112425</v>
      </c>
      <c r="I63" s="136">
        <f t="shared" si="14"/>
        <v>4.6300000000000001E-2</v>
      </c>
      <c r="J63" s="136">
        <f t="shared" si="14"/>
        <v>6.8500000000000005E-2</v>
      </c>
      <c r="K63" s="136">
        <f t="shared" si="14"/>
        <v>8.6999999999999994E-2</v>
      </c>
      <c r="L63" s="136">
        <f t="shared" si="14"/>
        <v>0.02</v>
      </c>
      <c r="M63" s="136">
        <f t="shared" si="14"/>
        <v>1.4E-2</v>
      </c>
      <c r="N63" s="136">
        <f t="shared" si="14"/>
        <v>0.10199999999999999</v>
      </c>
      <c r="O63" s="136">
        <f t="shared" si="14"/>
        <v>0</v>
      </c>
      <c r="P63" s="136">
        <f t="shared" si="14"/>
        <v>9.5000000000000001E-2</v>
      </c>
      <c r="Q63" s="136">
        <f t="shared" si="14"/>
        <v>0.115</v>
      </c>
      <c r="R63" s="136">
        <f t="shared" si="14"/>
        <v>4.9000000000000002E-2</v>
      </c>
      <c r="S63" s="136">
        <f t="shared" si="14"/>
        <v>7.0000000000000007E-2</v>
      </c>
      <c r="T63" s="136">
        <f t="shared" si="14"/>
        <v>1.9E-2</v>
      </c>
      <c r="U63" s="136">
        <f t="shared" ref="U63" si="15">U58</f>
        <v>2.4E-2</v>
      </c>
      <c r="V63" s="110"/>
      <c r="W63" s="110"/>
      <c r="X63" s="110"/>
      <c r="Y63" s="137">
        <f>MAX(G63:U63)</f>
        <v>0.13540748316112425</v>
      </c>
      <c r="Z63" s="138">
        <f>+MIN(G63:U63)</f>
        <v>0</v>
      </c>
    </row>
    <row r="64" spans="3:26" ht="18.75" x14ac:dyDescent="0.25">
      <c r="C64" s="139" t="s">
        <v>272</v>
      </c>
      <c r="D64" s="1053" t="s">
        <v>102</v>
      </c>
      <c r="E64" s="1054"/>
      <c r="F64" s="107" t="s">
        <v>241</v>
      </c>
      <c r="G64" s="122">
        <f t="shared" ref="G64:T64" si="16">+G37/G16</f>
        <v>534.88372093023258</v>
      </c>
      <c r="H64" s="122">
        <f t="shared" si="16"/>
        <v>55.444666223109337</v>
      </c>
      <c r="I64" s="122">
        <f t="shared" si="16"/>
        <v>984.91843644198218</v>
      </c>
      <c r="J64" s="122">
        <f t="shared" si="16"/>
        <v>1702.127659574468</v>
      </c>
      <c r="K64" s="122">
        <f t="shared" si="16"/>
        <v>5745.3416149068325</v>
      </c>
      <c r="L64" s="122">
        <f t="shared" si="16"/>
        <v>1362.9842180774749</v>
      </c>
      <c r="M64" s="122">
        <f t="shared" si="16"/>
        <v>226.02518566354536</v>
      </c>
      <c r="N64" s="122">
        <f t="shared" si="16"/>
        <v>423.8344552480678</v>
      </c>
      <c r="O64" s="122">
        <f t="shared" si="16"/>
        <v>147.43963698395513</v>
      </c>
      <c r="P64" s="122">
        <f t="shared" si="16"/>
        <v>123.22858903265558</v>
      </c>
      <c r="Q64" s="122">
        <f t="shared" si="16"/>
        <v>1528.9058767319636</v>
      </c>
      <c r="R64" s="122">
        <f t="shared" si="16"/>
        <v>3409.090909090909</v>
      </c>
      <c r="S64" s="122">
        <f t="shared" si="16"/>
        <v>713.76281112737922</v>
      </c>
      <c r="T64" s="122">
        <f t="shared" si="16"/>
        <v>2608.695652173913</v>
      </c>
      <c r="U64" s="122">
        <f t="shared" ref="U64" si="17">+U37/U16</f>
        <v>44.422507403751233</v>
      </c>
      <c r="Y64" s="126">
        <f t="shared" ref="Y64:Y74" si="18">MAX(G64:U64)</f>
        <v>5745.3416149068325</v>
      </c>
      <c r="Z64" s="127">
        <f t="shared" ref="Z64:Z74" si="19">+MIN(G64:U64)</f>
        <v>44.422507403751233</v>
      </c>
    </row>
    <row r="65" spans="3:26" ht="18.75" x14ac:dyDescent="0.25">
      <c r="C65" s="139" t="s">
        <v>273</v>
      </c>
      <c r="D65" s="1053" t="s">
        <v>106</v>
      </c>
      <c r="E65" s="1054"/>
      <c r="F65" s="107" t="s">
        <v>242</v>
      </c>
      <c r="G65" s="122">
        <f t="shared" ref="G65:T65" si="20">+G37/G17</f>
        <v>4600</v>
      </c>
      <c r="H65" s="122">
        <f t="shared" si="20"/>
        <v>595.23809523809518</v>
      </c>
      <c r="I65" s="122">
        <f t="shared" si="20"/>
        <v>5451.4480408858599</v>
      </c>
      <c r="J65" s="122">
        <f t="shared" si="20"/>
        <v>3864.7342995169083</v>
      </c>
      <c r="K65" s="122">
        <f t="shared" si="20"/>
        <v>58730.158730158728</v>
      </c>
      <c r="L65" s="122">
        <f t="shared" si="20"/>
        <v>9921.671018276762</v>
      </c>
      <c r="M65" s="122">
        <f t="shared" si="20"/>
        <v>4093.5672514619882</v>
      </c>
      <c r="N65" s="122">
        <f t="shared" si="20"/>
        <v>8542.7135678391951</v>
      </c>
      <c r="O65" s="122">
        <f t="shared" si="20"/>
        <v>1474.2014742014742</v>
      </c>
      <c r="P65" s="122">
        <f t="shared" si="20"/>
        <v>623.05295950155767</v>
      </c>
      <c r="Q65" s="122">
        <f t="shared" si="20"/>
        <v>9580.8383233532932</v>
      </c>
      <c r="R65" s="122">
        <f t="shared" si="20"/>
        <v>33333.333333333336</v>
      </c>
      <c r="S65" s="122">
        <f t="shared" si="20"/>
        <v>5277.4018944519621</v>
      </c>
      <c r="T65" s="122">
        <f t="shared" si="20"/>
        <v>19811.32075471698</v>
      </c>
      <c r="U65" s="122">
        <f t="shared" ref="U65" si="21">+U37/U17</f>
        <v>900</v>
      </c>
      <c r="Y65" s="126">
        <f t="shared" si="18"/>
        <v>58730.158730158728</v>
      </c>
      <c r="Z65" s="127">
        <f t="shared" si="19"/>
        <v>595.23809523809518</v>
      </c>
    </row>
    <row r="66" spans="3:26" ht="19.5" thickBot="1" x14ac:dyDescent="0.3">
      <c r="C66" s="139" t="s">
        <v>274</v>
      </c>
      <c r="D66" s="1053" t="s">
        <v>108</v>
      </c>
      <c r="E66" s="1054"/>
      <c r="F66" s="107" t="s">
        <v>243</v>
      </c>
      <c r="G66" s="122"/>
      <c r="H66" s="122"/>
      <c r="I66" s="122">
        <f t="shared" ref="I66:T66" si="22">+I37/(10000*I26*I18)</f>
        <v>18.74576525724007</v>
      </c>
      <c r="J66" s="122"/>
      <c r="K66" s="122">
        <f t="shared" si="22"/>
        <v>14.684781779084574</v>
      </c>
      <c r="L66" s="122">
        <f t="shared" si="22"/>
        <v>5.8858006844347157</v>
      </c>
      <c r="M66" s="122"/>
      <c r="N66" s="122"/>
      <c r="O66" s="122"/>
      <c r="P66" s="122"/>
      <c r="Q66" s="122">
        <f t="shared" si="22"/>
        <v>11.824629337897226</v>
      </c>
      <c r="R66" s="122">
        <f t="shared" si="22"/>
        <v>8.451085870963631</v>
      </c>
      <c r="S66" s="122">
        <f t="shared" si="22"/>
        <v>5.7093984704578853</v>
      </c>
      <c r="T66" s="122">
        <f t="shared" si="22"/>
        <v>20.487804878048777</v>
      </c>
      <c r="U66" s="122"/>
      <c r="Y66" s="126">
        <f t="shared" si="18"/>
        <v>20.487804878048777</v>
      </c>
      <c r="Z66" s="127">
        <f t="shared" si="19"/>
        <v>5.7093984704578853</v>
      </c>
    </row>
    <row r="67" spans="3:26" ht="18.75" x14ac:dyDescent="0.25">
      <c r="C67" s="139" t="s">
        <v>279</v>
      </c>
      <c r="D67" s="1053" t="s">
        <v>238</v>
      </c>
      <c r="E67" s="1054"/>
      <c r="F67" s="107" t="s">
        <v>146</v>
      </c>
      <c r="G67" s="121">
        <f t="shared" ref="G67:T67" si="23">(G39+G40)/2</f>
        <v>0.64124999999999999</v>
      </c>
      <c r="H67" s="121">
        <f t="shared" si="23"/>
        <v>0.57025000000000003</v>
      </c>
      <c r="I67" s="121">
        <f t="shared" si="23"/>
        <v>0.45135000000000003</v>
      </c>
      <c r="J67" s="121">
        <f t="shared" si="23"/>
        <v>0.52925</v>
      </c>
      <c r="K67" s="121">
        <f t="shared" si="23"/>
        <v>0.46594999999999998</v>
      </c>
      <c r="L67" s="121">
        <f t="shared" si="23"/>
        <v>0.55435000000000001</v>
      </c>
      <c r="M67" s="121">
        <f t="shared" si="23"/>
        <v>0.57830000000000004</v>
      </c>
      <c r="N67" s="121">
        <f t="shared" si="23"/>
        <v>0.59275</v>
      </c>
      <c r="O67" s="121">
        <f t="shared" si="23"/>
        <v>0.53915000000000002</v>
      </c>
      <c r="P67" s="121">
        <f t="shared" si="23"/>
        <v>0.31374999999999997</v>
      </c>
      <c r="Q67" s="121">
        <f t="shared" si="23"/>
        <v>0.59970000000000001</v>
      </c>
      <c r="R67" s="121">
        <f t="shared" si="23"/>
        <v>0.40820000000000001</v>
      </c>
      <c r="S67" s="121">
        <f t="shared" si="23"/>
        <v>0.75619999999999998</v>
      </c>
      <c r="T67" s="121">
        <f t="shared" si="23"/>
        <v>0.6745000000000001</v>
      </c>
      <c r="U67" s="121">
        <f t="shared" ref="U67" si="24">(U39+U40)/2</f>
        <v>0.53764999999999996</v>
      </c>
      <c r="Y67" s="125">
        <f t="shared" si="18"/>
        <v>0.75619999999999998</v>
      </c>
      <c r="Z67" s="128">
        <f t="shared" si="19"/>
        <v>0.31374999999999997</v>
      </c>
    </row>
    <row r="68" spans="3:26" ht="18.75" x14ac:dyDescent="0.25">
      <c r="C68" s="139" t="s">
        <v>47</v>
      </c>
      <c r="D68" s="1053" t="s">
        <v>113</v>
      </c>
      <c r="E68" s="1054"/>
      <c r="F68" s="107" t="s">
        <v>147</v>
      </c>
      <c r="G68" s="123">
        <f t="shared" ref="G68:T68" si="25">+G53</f>
        <v>39473499.67488984</v>
      </c>
      <c r="H68" s="123">
        <f t="shared" si="25"/>
        <v>350623228.38206172</v>
      </c>
      <c r="I68" s="123">
        <f t="shared" si="25"/>
        <v>253959973.13389954</v>
      </c>
      <c r="J68" s="123">
        <f t="shared" si="25"/>
        <v>110213469.41175695</v>
      </c>
      <c r="K68" s="123">
        <f t="shared" si="25"/>
        <v>50077923.947227262</v>
      </c>
      <c r="L68" s="123">
        <f t="shared" si="25"/>
        <v>267072446.00881046</v>
      </c>
      <c r="M68" s="123">
        <f t="shared" si="25"/>
        <v>286851705.38018608</v>
      </c>
      <c r="N68" s="123">
        <f t="shared" si="25"/>
        <v>442638811.35000002</v>
      </c>
      <c r="O68" s="123">
        <v>6142135833.3736935</v>
      </c>
      <c r="P68" s="123">
        <f t="shared" si="25"/>
        <v>126862738.19523513</v>
      </c>
      <c r="Q68" s="123">
        <f t="shared" si="25"/>
        <v>162753252.82848862</v>
      </c>
      <c r="R68" s="123">
        <f t="shared" si="25"/>
        <v>41271426.843551539</v>
      </c>
      <c r="S68" s="123">
        <f t="shared" si="25"/>
        <v>513618616.67143255</v>
      </c>
      <c r="T68" s="123">
        <f t="shared" si="25"/>
        <v>68414758.601426378</v>
      </c>
      <c r="U68" s="123">
        <f t="shared" ref="U68" si="26">+U53</f>
        <v>428401868.73396909</v>
      </c>
      <c r="Y68" s="126">
        <f t="shared" si="18"/>
        <v>6142135833.3736935</v>
      </c>
      <c r="Z68" s="129">
        <f t="shared" si="19"/>
        <v>39473499.67488984</v>
      </c>
    </row>
    <row r="69" spans="3:26" ht="18.75" x14ac:dyDescent="0.25">
      <c r="C69" s="139" t="s">
        <v>283</v>
      </c>
      <c r="D69" s="1053" t="s">
        <v>117</v>
      </c>
      <c r="E69" s="1054"/>
      <c r="F69" s="107" t="s">
        <v>118</v>
      </c>
      <c r="G69" s="124">
        <f>VLOOKUP(G62,'CALIF HTA'!$A$2:$B$24,2,"FALSO")</f>
        <v>71</v>
      </c>
      <c r="H69" s="124">
        <f>VLOOKUP(H62,'CALIF HTA'!$A$2:$B$24,2,"FALSO")</f>
        <v>67</v>
      </c>
      <c r="I69" s="124">
        <f>VLOOKUP(I62,'CALIF HTA'!$A$2:$B$24,2,"FALSO")</f>
        <v>61</v>
      </c>
      <c r="J69" s="124">
        <f>VLOOKUP(J62,'CALIF HTA'!$A$2:$B$24,2,"FALSO")</f>
        <v>60</v>
      </c>
      <c r="K69" s="124">
        <f>VLOOKUP(K62,'CALIF HTA'!$A$2:$B$24,2,"FALSO")</f>
        <v>71</v>
      </c>
      <c r="L69" s="124">
        <f>VLOOKUP(L62,'CALIF HTA'!$A$2:$B$24,2,"FALSO")</f>
        <v>74</v>
      </c>
      <c r="M69" s="124">
        <f>VLOOKUP(M62,'CALIF HTA'!$A$2:$B$24,2,"FALSO")</f>
        <v>83</v>
      </c>
      <c r="N69" s="124">
        <f>VLOOKUP(N62,'CALIF HTA'!$A$2:$B$24,2,"FALSO")</f>
        <v>67</v>
      </c>
      <c r="O69" s="124">
        <f>VLOOKUP(O62,'CALIF HTA'!$A$2:$B$24,2,"FALSO")</f>
        <v>69.318181818181813</v>
      </c>
      <c r="P69" s="124">
        <f>VLOOKUP(P62,'CALIF HTA'!$A$2:$B$24,2,"FALSO")</f>
        <v>60</v>
      </c>
      <c r="Q69" s="124">
        <f>VLOOKUP(Q62,'CALIF HTA'!$A$2:$B$24,2,"FALSO")</f>
        <v>64</v>
      </c>
      <c r="R69" s="124">
        <f>VLOOKUP(R62,'CALIF HTA'!$A$2:$B$24,2,"FALSO")</f>
        <v>63</v>
      </c>
      <c r="S69" s="124">
        <f>VLOOKUP(S62,'CALIF HTA'!$A$2:$B$24,2,"FALSO")</f>
        <v>70</v>
      </c>
      <c r="T69" s="124">
        <f>VLOOKUP(T62,'CALIF HTA'!$A$2:$B$24,2,"FALSO")</f>
        <v>81</v>
      </c>
      <c r="U69" s="124">
        <f>VLOOKUP(U62,'CALIF HTA'!$A$2:$B$24,2,"FALSO")</f>
        <v>66</v>
      </c>
      <c r="Y69" s="130">
        <f t="shared" si="18"/>
        <v>83</v>
      </c>
      <c r="Z69" s="131">
        <f t="shared" si="19"/>
        <v>60</v>
      </c>
    </row>
    <row r="70" spans="3:26" ht="18.75" x14ac:dyDescent="0.25">
      <c r="C70" s="139" t="s">
        <v>285</v>
      </c>
      <c r="D70" s="1053" t="s">
        <v>122</v>
      </c>
      <c r="E70" s="1054"/>
      <c r="F70" s="107" t="s">
        <v>270</v>
      </c>
      <c r="G70" s="121">
        <f t="shared" ref="G70:T70" si="27">+G37/G41</f>
        <v>0.8487084870848709</v>
      </c>
      <c r="H70" s="121">
        <f t="shared" si="27"/>
        <v>0.30971258671952429</v>
      </c>
      <c r="I70" s="121">
        <f t="shared" si="27"/>
        <v>3.3224316046306392</v>
      </c>
      <c r="J70" s="121">
        <f t="shared" si="27"/>
        <v>2.6690035275329955</v>
      </c>
      <c r="K70" s="121">
        <f t="shared" si="27"/>
        <v>3.9207375225177494</v>
      </c>
      <c r="L70" s="121">
        <f t="shared" si="27"/>
        <v>3.5950804162724692</v>
      </c>
      <c r="M70" s="121">
        <f t="shared" si="27"/>
        <v>0.27375831052014077</v>
      </c>
      <c r="N70" s="121">
        <f t="shared" si="27"/>
        <v>1.3950434925324142</v>
      </c>
      <c r="O70" s="121">
        <f t="shared" si="27"/>
        <v>0.51081845375935142</v>
      </c>
      <c r="P70" s="121">
        <f t="shared" si="27"/>
        <v>0.28723251472066635</v>
      </c>
      <c r="Q70" s="121">
        <f t="shared" si="27"/>
        <v>2.5216706067769898</v>
      </c>
      <c r="R70" s="121">
        <f t="shared" si="27"/>
        <v>1.2225354025877</v>
      </c>
      <c r="S70" s="121">
        <f t="shared" si="27"/>
        <v>0.87831903249780419</v>
      </c>
      <c r="T70" s="121">
        <f t="shared" si="27"/>
        <v>1.0203585831592246</v>
      </c>
      <c r="U70" s="121">
        <f t="shared" ref="U70" si="28">+U37/U41</f>
        <v>0.16414371694327923</v>
      </c>
      <c r="Y70" s="132">
        <f t="shared" si="18"/>
        <v>3.9207375225177494</v>
      </c>
      <c r="Z70" s="128">
        <f t="shared" si="19"/>
        <v>0.16414371694327923</v>
      </c>
    </row>
    <row r="71" spans="3:26" ht="18.75" x14ac:dyDescent="0.25">
      <c r="C71" s="139" t="s">
        <v>288</v>
      </c>
      <c r="D71" s="1053" t="s">
        <v>126</v>
      </c>
      <c r="E71" s="1054"/>
      <c r="F71" s="107" t="s">
        <v>149</v>
      </c>
      <c r="G71" s="124">
        <f t="shared" ref="G71:T71" si="29">+G59</f>
        <v>40</v>
      </c>
      <c r="H71" s="124">
        <f t="shared" si="29"/>
        <v>100</v>
      </c>
      <c r="I71" s="124">
        <f t="shared" si="29"/>
        <v>13</v>
      </c>
      <c r="J71" s="124">
        <f t="shared" si="29"/>
        <v>13</v>
      </c>
      <c r="K71" s="124">
        <f t="shared" si="29"/>
        <v>13</v>
      </c>
      <c r="L71" s="124">
        <f t="shared" si="29"/>
        <v>40</v>
      </c>
      <c r="M71" s="124">
        <f t="shared" si="29"/>
        <v>100</v>
      </c>
      <c r="N71" s="124">
        <f t="shared" si="29"/>
        <v>100</v>
      </c>
      <c r="O71" s="124">
        <f t="shared" si="29"/>
        <v>40</v>
      </c>
      <c r="P71" s="124">
        <f t="shared" si="29"/>
        <v>40</v>
      </c>
      <c r="Q71" s="124">
        <f t="shared" si="29"/>
        <v>40</v>
      </c>
      <c r="R71" s="124">
        <f t="shared" si="29"/>
        <v>13</v>
      </c>
      <c r="S71" s="124">
        <f t="shared" si="29"/>
        <v>13</v>
      </c>
      <c r="T71" s="124">
        <f t="shared" si="29"/>
        <v>13</v>
      </c>
      <c r="U71" s="124">
        <f t="shared" ref="U71" si="30">+U59</f>
        <v>100</v>
      </c>
      <c r="Y71" s="130">
        <f t="shared" si="18"/>
        <v>100</v>
      </c>
      <c r="Z71" s="131">
        <f t="shared" si="19"/>
        <v>13</v>
      </c>
    </row>
    <row r="72" spans="3:26" ht="18.75" x14ac:dyDescent="0.25">
      <c r="C72" s="139" t="s">
        <v>289</v>
      </c>
      <c r="D72" s="1053" t="s">
        <v>129</v>
      </c>
      <c r="E72" s="1054"/>
      <c r="F72" s="107" t="s">
        <v>150</v>
      </c>
      <c r="G72" s="124">
        <f t="shared" ref="G72:T72" si="31">+G43*$F$43+G44*$F$44+G45*$F$45+G46*$F$46</f>
        <v>26</v>
      </c>
      <c r="H72" s="124">
        <f t="shared" si="31"/>
        <v>26</v>
      </c>
      <c r="I72" s="124">
        <f t="shared" si="31"/>
        <v>26</v>
      </c>
      <c r="J72" s="124">
        <f t="shared" si="31"/>
        <v>26</v>
      </c>
      <c r="K72" s="124">
        <f t="shared" si="31"/>
        <v>26</v>
      </c>
      <c r="L72" s="124">
        <f t="shared" si="31"/>
        <v>26</v>
      </c>
      <c r="M72" s="124">
        <f t="shared" si="31"/>
        <v>26</v>
      </c>
      <c r="N72" s="124">
        <f t="shared" si="31"/>
        <v>26</v>
      </c>
      <c r="O72" s="124">
        <f t="shared" si="31"/>
        <v>26</v>
      </c>
      <c r="P72" s="124">
        <f t="shared" si="31"/>
        <v>26</v>
      </c>
      <c r="Q72" s="124">
        <f t="shared" si="31"/>
        <v>26</v>
      </c>
      <c r="R72" s="124">
        <f t="shared" si="31"/>
        <v>26</v>
      </c>
      <c r="S72" s="124">
        <f t="shared" si="31"/>
        <v>26</v>
      </c>
      <c r="T72" s="124">
        <f t="shared" si="31"/>
        <v>26</v>
      </c>
      <c r="U72" s="124">
        <f t="shared" ref="U72" si="32">+U43*$F$43+U44*$F$44+U45*$F$45+U46*$F$46</f>
        <v>26</v>
      </c>
      <c r="Y72" s="130">
        <f t="shared" si="18"/>
        <v>26</v>
      </c>
      <c r="Z72" s="131">
        <f t="shared" si="19"/>
        <v>26</v>
      </c>
    </row>
    <row r="73" spans="3:26" ht="18.75" x14ac:dyDescent="0.25">
      <c r="C73" s="139" t="s">
        <v>291</v>
      </c>
      <c r="D73" s="1053" t="s">
        <v>133</v>
      </c>
      <c r="E73" s="1054"/>
      <c r="F73" s="107" t="s">
        <v>151</v>
      </c>
      <c r="G73" s="124">
        <f t="shared" ref="G73:T73" si="33">+G48*$F$48+G49*$F$49+G50*$F$50+G51*$F$51</f>
        <v>26</v>
      </c>
      <c r="H73" s="124">
        <f t="shared" si="33"/>
        <v>26</v>
      </c>
      <c r="I73" s="124">
        <f t="shared" si="33"/>
        <v>26</v>
      </c>
      <c r="J73" s="124">
        <f t="shared" si="33"/>
        <v>26</v>
      </c>
      <c r="K73" s="124">
        <f t="shared" si="33"/>
        <v>13</v>
      </c>
      <c r="L73" s="124">
        <f t="shared" si="33"/>
        <v>40</v>
      </c>
      <c r="M73" s="124">
        <f t="shared" si="33"/>
        <v>26</v>
      </c>
      <c r="N73" s="124">
        <f t="shared" si="33"/>
        <v>26</v>
      </c>
      <c r="O73" s="124">
        <f t="shared" si="33"/>
        <v>40</v>
      </c>
      <c r="P73" s="124">
        <f t="shared" si="33"/>
        <v>26</v>
      </c>
      <c r="Q73" s="124">
        <f t="shared" si="33"/>
        <v>26</v>
      </c>
      <c r="R73" s="124">
        <f t="shared" si="33"/>
        <v>13</v>
      </c>
      <c r="S73" s="124">
        <f t="shared" si="33"/>
        <v>40</v>
      </c>
      <c r="T73" s="124">
        <f t="shared" si="33"/>
        <v>26</v>
      </c>
      <c r="U73" s="124">
        <f t="shared" ref="U73" si="34">+U48*$F$48+U49*$F$49+U50*$F$50+U51*$F$51</f>
        <v>26</v>
      </c>
      <c r="Y73" s="130">
        <f t="shared" si="18"/>
        <v>40</v>
      </c>
      <c r="Z73" s="131">
        <f t="shared" si="19"/>
        <v>13</v>
      </c>
    </row>
    <row r="74" spans="3:26" ht="19.5" thickBot="1" x14ac:dyDescent="0.3">
      <c r="C74" s="139" t="s">
        <v>293</v>
      </c>
      <c r="D74" s="1053" t="s">
        <v>137</v>
      </c>
      <c r="E74" s="1054"/>
      <c r="F74" s="107" t="s">
        <v>149</v>
      </c>
      <c r="G74" s="124">
        <f t="shared" ref="G74:T74" si="35">+G59</f>
        <v>40</v>
      </c>
      <c r="H74" s="124">
        <f t="shared" si="35"/>
        <v>100</v>
      </c>
      <c r="I74" s="124">
        <f t="shared" si="35"/>
        <v>13</v>
      </c>
      <c r="J74" s="124">
        <f t="shared" si="35"/>
        <v>13</v>
      </c>
      <c r="K74" s="124">
        <f t="shared" si="35"/>
        <v>13</v>
      </c>
      <c r="L74" s="124">
        <f t="shared" si="35"/>
        <v>40</v>
      </c>
      <c r="M74" s="124">
        <f t="shared" si="35"/>
        <v>100</v>
      </c>
      <c r="N74" s="124">
        <f t="shared" si="35"/>
        <v>100</v>
      </c>
      <c r="O74" s="124">
        <f t="shared" si="35"/>
        <v>40</v>
      </c>
      <c r="P74" s="124">
        <f t="shared" si="35"/>
        <v>40</v>
      </c>
      <c r="Q74" s="124">
        <f t="shared" si="35"/>
        <v>40</v>
      </c>
      <c r="R74" s="124">
        <f t="shared" si="35"/>
        <v>13</v>
      </c>
      <c r="S74" s="124">
        <f t="shared" si="35"/>
        <v>13</v>
      </c>
      <c r="T74" s="124">
        <f t="shared" si="35"/>
        <v>13</v>
      </c>
      <c r="U74" s="124">
        <f t="shared" ref="U74" si="36">+U59</f>
        <v>100</v>
      </c>
      <c r="Y74" s="133">
        <f t="shared" si="18"/>
        <v>100</v>
      </c>
      <c r="Z74" s="134">
        <f t="shared" si="19"/>
        <v>13</v>
      </c>
    </row>
    <row r="77" spans="3:26" s="109" customFormat="1" ht="57" customHeight="1" x14ac:dyDescent="0.25">
      <c r="D77" s="109">
        <v>1</v>
      </c>
      <c r="E77" s="140" t="s">
        <v>280</v>
      </c>
      <c r="G77" s="119">
        <f>100*((($Y63-G63)/($Y63-$Z63)))</f>
        <v>100</v>
      </c>
      <c r="H77" s="119">
        <f t="shared" ref="H77:U77" si="37">100*((($Y63-H63)/($Y63-$Z63)))</f>
        <v>0</v>
      </c>
      <c r="I77" s="119">
        <f t="shared" si="37"/>
        <v>65.806911908327365</v>
      </c>
      <c r="J77" s="119">
        <f t="shared" si="37"/>
        <v>49.411953903248914</v>
      </c>
      <c r="K77" s="119">
        <f t="shared" si="37"/>
        <v>35.749488899016875</v>
      </c>
      <c r="L77" s="119">
        <f t="shared" si="37"/>
        <v>85.229767562992379</v>
      </c>
      <c r="M77" s="119">
        <f t="shared" si="37"/>
        <v>89.660837294094662</v>
      </c>
      <c r="N77" s="119">
        <f t="shared" si="37"/>
        <v>24.671814571261162</v>
      </c>
      <c r="O77" s="119">
        <f t="shared" si="37"/>
        <v>100</v>
      </c>
      <c r="P77" s="119">
        <f t="shared" si="37"/>
        <v>29.84139592421382</v>
      </c>
      <c r="Q77" s="119">
        <f t="shared" si="37"/>
        <v>15.071163487206201</v>
      </c>
      <c r="R77" s="119">
        <f t="shared" si="37"/>
        <v>63.812930529331332</v>
      </c>
      <c r="S77" s="119">
        <f t="shared" si="37"/>
        <v>48.30418647047334</v>
      </c>
      <c r="T77" s="119">
        <f t="shared" si="37"/>
        <v>85.968279184842771</v>
      </c>
      <c r="U77" s="119">
        <f t="shared" si="37"/>
        <v>82.275721075590866</v>
      </c>
    </row>
    <row r="78" spans="3:26" ht="45.75" customHeight="1" x14ac:dyDescent="0.25">
      <c r="D78" s="109">
        <v>2</v>
      </c>
      <c r="E78" s="140" t="s">
        <v>275</v>
      </c>
      <c r="F78"/>
      <c r="G78" s="119">
        <f>100*(1-(($Z64-G64)/($Z64-$Y64)))</f>
        <v>91.396804545411342</v>
      </c>
      <c r="H78" s="119">
        <f t="shared" ref="H78:U78" si="38">100*(1-(($Z64-H64)/($Z64-$Y64)))</f>
        <v>99.806659968129495</v>
      </c>
      <c r="I78" s="119">
        <f t="shared" si="38"/>
        <v>83.502731554278199</v>
      </c>
      <c r="J78" s="119">
        <f t="shared" si="38"/>
        <v>70.922142186003285</v>
      </c>
      <c r="K78" s="119">
        <f t="shared" si="38"/>
        <v>0</v>
      </c>
      <c r="L78" s="119">
        <f t="shared" si="38"/>
        <v>76.871067878540117</v>
      </c>
      <c r="M78" s="119">
        <f t="shared" si="38"/>
        <v>96.814501752519462</v>
      </c>
      <c r="N78" s="119">
        <f t="shared" si="38"/>
        <v>93.344723180776839</v>
      </c>
      <c r="O78" s="119">
        <f t="shared" si="38"/>
        <v>98.192973314695493</v>
      </c>
      <c r="P78" s="119">
        <f t="shared" si="38"/>
        <v>98.61766006247683</v>
      </c>
      <c r="Q78" s="119">
        <f t="shared" si="38"/>
        <v>73.960630885387275</v>
      </c>
      <c r="R78" s="119">
        <f t="shared" si="38"/>
        <v>40.980246549037027</v>
      </c>
      <c r="S78" s="119">
        <f t="shared" si="38"/>
        <v>88.259080841145462</v>
      </c>
      <c r="T78" s="119">
        <f t="shared" si="38"/>
        <v>55.020004732302262</v>
      </c>
      <c r="U78" s="119">
        <f t="shared" si="38"/>
        <v>100</v>
      </c>
    </row>
    <row r="79" spans="3:26" ht="49.5" customHeight="1" x14ac:dyDescent="0.25">
      <c r="D79" s="109">
        <v>3</v>
      </c>
      <c r="E79" s="140" t="s">
        <v>276</v>
      </c>
      <c r="F79"/>
      <c r="G79" s="119">
        <f>100*(1-(($Z65-G65)/($Z65-$Y65)))</f>
        <v>93.111262798634812</v>
      </c>
      <c r="H79" s="119">
        <f t="shared" ref="H79:U79" si="39">100*(1-(($Z65-H65)/($Z65-$Y65)))</f>
        <v>100</v>
      </c>
      <c r="I79" s="119">
        <f t="shared" si="39"/>
        <v>91.646655929670743</v>
      </c>
      <c r="J79" s="119">
        <f t="shared" si="39"/>
        <v>94.376020181035756</v>
      </c>
      <c r="K79" s="119">
        <f t="shared" si="39"/>
        <v>0</v>
      </c>
      <c r="L79" s="119">
        <f t="shared" si="39"/>
        <v>83.957262139209945</v>
      </c>
      <c r="M79" s="119">
        <f t="shared" si="39"/>
        <v>93.982396263696785</v>
      </c>
      <c r="N79" s="119">
        <f t="shared" si="39"/>
        <v>86.329257207539413</v>
      </c>
      <c r="O79" s="119">
        <f t="shared" si="39"/>
        <v>98.488062993182439</v>
      </c>
      <c r="P79" s="119">
        <f t="shared" si="39"/>
        <v>99.952154636215752</v>
      </c>
      <c r="Q79" s="119">
        <f t="shared" si="39"/>
        <v>84.543540904539043</v>
      </c>
      <c r="R79" s="119">
        <f t="shared" si="39"/>
        <v>43.686006825938563</v>
      </c>
      <c r="S79" s="119">
        <f t="shared" si="39"/>
        <v>91.946039062103111</v>
      </c>
      <c r="T79" s="119">
        <f t="shared" si="39"/>
        <v>66.945714469701855</v>
      </c>
      <c r="U79" s="119">
        <f t="shared" si="39"/>
        <v>99.475767918088735</v>
      </c>
    </row>
    <row r="80" spans="3:26" ht="63" customHeight="1" x14ac:dyDescent="0.25">
      <c r="D80" s="109">
        <v>4</v>
      </c>
      <c r="E80" s="140" t="s">
        <v>278</v>
      </c>
      <c r="F80"/>
      <c r="G80" s="119">
        <f>IF(G66=0,0,100*(1-(($Z66-G66)/($Z66-$Y66))))</f>
        <v>0</v>
      </c>
      <c r="H80" s="119">
        <f t="shared" ref="H80:U80" si="40">IF(H66=0,0,100*(1-(($Z66-H66)/($Z66-$Y66))))</f>
        <v>0</v>
      </c>
      <c r="I80" s="119">
        <f t="shared" si="40"/>
        <v>11.787736598676247</v>
      </c>
      <c r="J80" s="119">
        <f t="shared" si="40"/>
        <v>0</v>
      </c>
      <c r="K80" s="119">
        <f t="shared" si="40"/>
        <v>39.266906991971027</v>
      </c>
      <c r="L80" s="119">
        <f t="shared" si="40"/>
        <v>98.806351584117877</v>
      </c>
      <c r="M80" s="119">
        <f t="shared" si="40"/>
        <v>0</v>
      </c>
      <c r="N80" s="119">
        <f t="shared" si="40"/>
        <v>0</v>
      </c>
      <c r="O80" s="119">
        <f t="shared" si="40"/>
        <v>0</v>
      </c>
      <c r="P80" s="119">
        <f t="shared" si="40"/>
        <v>0</v>
      </c>
      <c r="Q80" s="119">
        <f t="shared" si="40"/>
        <v>58.62049872780419</v>
      </c>
      <c r="R80" s="119">
        <f t="shared" si="40"/>
        <v>81.448017297064695</v>
      </c>
      <c r="S80" s="119">
        <f t="shared" si="40"/>
        <v>100</v>
      </c>
      <c r="T80" s="119">
        <f t="shared" si="40"/>
        <v>0</v>
      </c>
      <c r="U80" s="119">
        <f t="shared" si="40"/>
        <v>0</v>
      </c>
    </row>
    <row r="81" spans="4:21" ht="52.5" customHeight="1" x14ac:dyDescent="0.25">
      <c r="D81" s="109">
        <v>5</v>
      </c>
      <c r="E81" s="140" t="s">
        <v>277</v>
      </c>
      <c r="F81"/>
      <c r="G81" s="119">
        <f>100*((G67-$Z67)/($Y67-$Z67))</f>
        <v>74.019663238784034</v>
      </c>
      <c r="H81" s="119">
        <f t="shared" ref="H81:U81" si="41">100*((H67-$Z67)/($Y67-$Z67))</f>
        <v>57.972652277093474</v>
      </c>
      <c r="I81" s="119">
        <f t="shared" si="41"/>
        <v>31.099559272234163</v>
      </c>
      <c r="J81" s="119">
        <f t="shared" si="41"/>
        <v>48.706068482314393</v>
      </c>
      <c r="K81" s="119">
        <f t="shared" si="41"/>
        <v>34.399367160131092</v>
      </c>
      <c r="L81" s="119">
        <f t="shared" si="41"/>
        <v>54.379025878630358</v>
      </c>
      <c r="M81" s="119">
        <f t="shared" si="41"/>
        <v>59.792066900214721</v>
      </c>
      <c r="N81" s="119">
        <f t="shared" si="41"/>
        <v>63.057972652277094</v>
      </c>
      <c r="O81" s="119">
        <f t="shared" si="41"/>
        <v>50.943609447395197</v>
      </c>
      <c r="P81" s="119">
        <f t="shared" si="41"/>
        <v>0</v>
      </c>
      <c r="Q81" s="119">
        <f t="shared" si="41"/>
        <v>64.628771612611601</v>
      </c>
      <c r="R81" s="119">
        <f t="shared" si="41"/>
        <v>21.347044863826429</v>
      </c>
      <c r="S81" s="119">
        <f t="shared" si="41"/>
        <v>100</v>
      </c>
      <c r="T81" s="119">
        <f t="shared" si="41"/>
        <v>81.534636682111</v>
      </c>
      <c r="U81" s="119">
        <f t="shared" si="41"/>
        <v>50.604588089049606</v>
      </c>
    </row>
    <row r="82" spans="4:21" ht="45" customHeight="1" x14ac:dyDescent="0.25">
      <c r="D82" s="109">
        <v>6</v>
      </c>
      <c r="E82" s="140" t="s">
        <v>281</v>
      </c>
      <c r="F82"/>
      <c r="G82" s="119">
        <f>100*(1-(($Y68-G68)/($Y68-$Z68)))</f>
        <v>0</v>
      </c>
      <c r="H82" s="119">
        <f t="shared" ref="H82:U82" si="42">100*(1-(($Y68-H68)/($Y68-$Z68)))</f>
        <v>5.0985899545680002</v>
      </c>
      <c r="I82" s="119">
        <f t="shared" si="42"/>
        <v>3.5146377389196015</v>
      </c>
      <c r="J82" s="119">
        <f t="shared" si="42"/>
        <v>1.1591657192999483</v>
      </c>
      <c r="K82" s="119">
        <f t="shared" si="42"/>
        <v>0.17376718049399997</v>
      </c>
      <c r="L82" s="119">
        <f t="shared" si="42"/>
        <v>3.7295025332980125</v>
      </c>
      <c r="M82" s="119">
        <f t="shared" si="42"/>
        <v>4.0536112302867906</v>
      </c>
      <c r="N82" s="119">
        <f t="shared" si="42"/>
        <v>6.6063840604261959</v>
      </c>
      <c r="O82" s="119">
        <f t="shared" si="42"/>
        <v>100</v>
      </c>
      <c r="P82" s="119">
        <f t="shared" si="42"/>
        <v>1.4319854801368215</v>
      </c>
      <c r="Q82" s="119">
        <f t="shared" si="42"/>
        <v>2.0200978919126866</v>
      </c>
      <c r="R82" s="119">
        <f t="shared" si="42"/>
        <v>2.946135752479595E-2</v>
      </c>
      <c r="S82" s="119">
        <f t="shared" si="42"/>
        <v>7.769479795372602</v>
      </c>
      <c r="T82" s="119">
        <f t="shared" si="42"/>
        <v>0.47423988652827154</v>
      </c>
      <c r="U82" s="119">
        <f t="shared" si="42"/>
        <v>6.3730933778102568</v>
      </c>
    </row>
    <row r="83" spans="4:21" ht="45" customHeight="1" x14ac:dyDescent="0.25">
      <c r="D83" s="109">
        <v>7</v>
      </c>
      <c r="E83" s="140" t="s">
        <v>282</v>
      </c>
      <c r="F83"/>
      <c r="G83" s="119">
        <f>100*(1-(($Y69-G69)/($Y69-$Z69)))</f>
        <v>47.826086956521742</v>
      </c>
      <c r="H83" s="119">
        <f t="shared" ref="H83:U83" si="43">100*(1-(($Y69-H69)/($Y69-$Z69)))</f>
        <v>30.434782608695656</v>
      </c>
      <c r="I83" s="119">
        <f t="shared" si="43"/>
        <v>4.3478260869565188</v>
      </c>
      <c r="J83" s="119">
        <f t="shared" si="43"/>
        <v>0</v>
      </c>
      <c r="K83" s="119">
        <f t="shared" si="43"/>
        <v>47.826086956521742</v>
      </c>
      <c r="L83" s="119">
        <f t="shared" si="43"/>
        <v>60.869565217391312</v>
      </c>
      <c r="M83" s="119">
        <f t="shared" si="43"/>
        <v>100</v>
      </c>
      <c r="N83" s="119">
        <f t="shared" si="43"/>
        <v>30.434782608695656</v>
      </c>
      <c r="O83" s="119">
        <f t="shared" si="43"/>
        <v>40.513833992094838</v>
      </c>
      <c r="P83" s="119">
        <f t="shared" si="43"/>
        <v>0</v>
      </c>
      <c r="Q83" s="119">
        <f t="shared" si="43"/>
        <v>17.391304347826086</v>
      </c>
      <c r="R83" s="119">
        <f t="shared" si="43"/>
        <v>13.043478260869568</v>
      </c>
      <c r="S83" s="119">
        <f t="shared" si="43"/>
        <v>43.478260869565219</v>
      </c>
      <c r="T83" s="119">
        <f t="shared" si="43"/>
        <v>91.304347826086968</v>
      </c>
      <c r="U83" s="119">
        <f t="shared" si="43"/>
        <v>26.086956521739136</v>
      </c>
    </row>
    <row r="84" spans="4:21" ht="53.25" customHeight="1" x14ac:dyDescent="0.25">
      <c r="D84" s="109">
        <v>8</v>
      </c>
      <c r="E84" s="140" t="s">
        <v>284</v>
      </c>
      <c r="F84"/>
      <c r="G84" s="119">
        <f>80*(1-(($Z$70-G70)/($Z70-$Y70)))</f>
        <v>65.421585498527847</v>
      </c>
      <c r="H84" s="119">
        <f t="shared" ref="H84:U84" si="44">80*(1-(($Z$70-H70)/($Z70-$Y70)))</f>
        <v>76.899981689577771</v>
      </c>
      <c r="I84" s="119">
        <f t="shared" si="44"/>
        <v>12.741455666551422</v>
      </c>
      <c r="J84" s="119">
        <f t="shared" si="44"/>
        <v>26.65678664810202</v>
      </c>
      <c r="K84" s="119">
        <f t="shared" si="44"/>
        <v>0</v>
      </c>
      <c r="L84" s="119">
        <f t="shared" si="44"/>
        <v>6.9351571790813793</v>
      </c>
      <c r="M84" s="119">
        <f t="shared" si="44"/>
        <v>77.665659919596251</v>
      </c>
      <c r="N84" s="119">
        <f t="shared" si="44"/>
        <v>53.786896549473454</v>
      </c>
      <c r="O84" s="119">
        <f t="shared" si="44"/>
        <v>72.617253719544848</v>
      </c>
      <c r="P84" s="119">
        <f t="shared" si="44"/>
        <v>77.378714779442305</v>
      </c>
      <c r="Q84" s="119">
        <f t="shared" si="44"/>
        <v>29.794371990171769</v>
      </c>
      <c r="R84" s="119">
        <f t="shared" si="44"/>
        <v>57.460609468633933</v>
      </c>
      <c r="S84" s="119">
        <f t="shared" si="44"/>
        <v>64.791002647243928</v>
      </c>
      <c r="T84" s="119">
        <f t="shared" si="44"/>
        <v>61.766144320519416</v>
      </c>
      <c r="U84" s="119">
        <f t="shared" si="44"/>
        <v>80</v>
      </c>
    </row>
    <row r="85" spans="4:21" ht="49.5" customHeight="1" x14ac:dyDescent="0.25">
      <c r="D85" s="109">
        <v>9</v>
      </c>
      <c r="E85" s="140" t="s">
        <v>286</v>
      </c>
      <c r="F85" s="19" t="s">
        <v>149</v>
      </c>
      <c r="G85" s="109">
        <f>+G71</f>
        <v>40</v>
      </c>
      <c r="H85" s="109">
        <f t="shared" ref="H85:U85" si="45">+H71</f>
        <v>100</v>
      </c>
      <c r="I85" s="109">
        <f t="shared" si="45"/>
        <v>13</v>
      </c>
      <c r="J85" s="109">
        <f t="shared" si="45"/>
        <v>13</v>
      </c>
      <c r="K85" s="109">
        <f t="shared" si="45"/>
        <v>13</v>
      </c>
      <c r="L85" s="109">
        <f t="shared" si="45"/>
        <v>40</v>
      </c>
      <c r="M85" s="109">
        <f t="shared" si="45"/>
        <v>100</v>
      </c>
      <c r="N85" s="109">
        <f t="shared" si="45"/>
        <v>100</v>
      </c>
      <c r="O85" s="109">
        <f t="shared" si="45"/>
        <v>40</v>
      </c>
      <c r="P85" s="109">
        <f t="shared" si="45"/>
        <v>40</v>
      </c>
      <c r="Q85" s="109">
        <f t="shared" si="45"/>
        <v>40</v>
      </c>
      <c r="R85" s="109">
        <f t="shared" si="45"/>
        <v>13</v>
      </c>
      <c r="S85" s="109">
        <f t="shared" si="45"/>
        <v>13</v>
      </c>
      <c r="T85" s="109">
        <f t="shared" si="45"/>
        <v>13</v>
      </c>
      <c r="U85" s="109">
        <f t="shared" si="45"/>
        <v>100</v>
      </c>
    </row>
    <row r="86" spans="4:21" ht="48" customHeight="1" x14ac:dyDescent="0.25">
      <c r="D86" s="109">
        <v>10</v>
      </c>
      <c r="E86" s="140" t="s">
        <v>287</v>
      </c>
      <c r="F86" s="19" t="s">
        <v>239</v>
      </c>
      <c r="G86" s="109">
        <f t="shared" ref="G86:M86" si="46">G72</f>
        <v>26</v>
      </c>
      <c r="H86" s="109">
        <f t="shared" si="46"/>
        <v>26</v>
      </c>
      <c r="I86" s="109">
        <f t="shared" si="46"/>
        <v>26</v>
      </c>
      <c r="J86" s="109">
        <f t="shared" si="46"/>
        <v>26</v>
      </c>
      <c r="K86" s="109">
        <f t="shared" si="46"/>
        <v>26</v>
      </c>
      <c r="L86" s="109">
        <f t="shared" si="46"/>
        <v>26</v>
      </c>
      <c r="M86" s="109">
        <f t="shared" si="46"/>
        <v>26</v>
      </c>
      <c r="N86" s="109">
        <f>N72</f>
        <v>26</v>
      </c>
      <c r="O86" s="109">
        <f t="shared" ref="O86:U86" si="47">O72</f>
        <v>26</v>
      </c>
      <c r="P86" s="109">
        <f t="shared" si="47"/>
        <v>26</v>
      </c>
      <c r="Q86" s="109">
        <f t="shared" si="47"/>
        <v>26</v>
      </c>
      <c r="R86" s="109">
        <f t="shared" si="47"/>
        <v>26</v>
      </c>
      <c r="S86" s="109">
        <f t="shared" si="47"/>
        <v>26</v>
      </c>
      <c r="T86" s="109">
        <f t="shared" si="47"/>
        <v>26</v>
      </c>
      <c r="U86" s="109">
        <f t="shared" si="47"/>
        <v>26</v>
      </c>
    </row>
    <row r="87" spans="4:21" ht="45" customHeight="1" x14ac:dyDescent="0.25">
      <c r="D87" s="109">
        <v>11</v>
      </c>
      <c r="E87" s="140" t="s">
        <v>290</v>
      </c>
      <c r="F87" s="19" t="s">
        <v>292</v>
      </c>
      <c r="G87" s="109">
        <f>G73</f>
        <v>26</v>
      </c>
      <c r="H87" s="109">
        <f t="shared" ref="H87:U87" si="48">H73</f>
        <v>26</v>
      </c>
      <c r="I87" s="109">
        <f t="shared" si="48"/>
        <v>26</v>
      </c>
      <c r="J87" s="109">
        <f t="shared" si="48"/>
        <v>26</v>
      </c>
      <c r="K87" s="109">
        <f t="shared" si="48"/>
        <v>13</v>
      </c>
      <c r="L87" s="109">
        <f t="shared" si="48"/>
        <v>40</v>
      </c>
      <c r="M87" s="109">
        <f t="shared" si="48"/>
        <v>26</v>
      </c>
      <c r="N87" s="109">
        <f t="shared" si="48"/>
        <v>26</v>
      </c>
      <c r="O87" s="109">
        <f t="shared" si="48"/>
        <v>40</v>
      </c>
      <c r="P87" s="109">
        <f t="shared" si="48"/>
        <v>26</v>
      </c>
      <c r="Q87" s="109">
        <f t="shared" si="48"/>
        <v>26</v>
      </c>
      <c r="R87" s="109">
        <f t="shared" si="48"/>
        <v>13</v>
      </c>
      <c r="S87" s="109">
        <f t="shared" si="48"/>
        <v>40</v>
      </c>
      <c r="T87" s="109">
        <f t="shared" si="48"/>
        <v>26</v>
      </c>
      <c r="U87" s="109">
        <f t="shared" si="48"/>
        <v>26</v>
      </c>
    </row>
    <row r="88" spans="4:21" ht="50.25" customHeight="1" x14ac:dyDescent="0.25">
      <c r="D88" s="109">
        <v>12</v>
      </c>
      <c r="E88" s="140" t="s">
        <v>294</v>
      </c>
      <c r="F88" s="19" t="s">
        <v>149</v>
      </c>
      <c r="G88" s="109">
        <f>+G74</f>
        <v>40</v>
      </c>
      <c r="H88" s="109">
        <f t="shared" ref="H88:U88" si="49">+H74</f>
        <v>100</v>
      </c>
      <c r="I88" s="109">
        <f t="shared" si="49"/>
        <v>13</v>
      </c>
      <c r="J88" s="109">
        <f t="shared" si="49"/>
        <v>13</v>
      </c>
      <c r="K88" s="109">
        <f t="shared" si="49"/>
        <v>13</v>
      </c>
      <c r="L88" s="109">
        <f t="shared" si="49"/>
        <v>40</v>
      </c>
      <c r="M88" s="109">
        <f t="shared" si="49"/>
        <v>100</v>
      </c>
      <c r="N88" s="109">
        <f t="shared" si="49"/>
        <v>100</v>
      </c>
      <c r="O88" s="109">
        <f t="shared" si="49"/>
        <v>40</v>
      </c>
      <c r="P88" s="109">
        <f t="shared" si="49"/>
        <v>40</v>
      </c>
      <c r="Q88" s="109">
        <f t="shared" si="49"/>
        <v>40</v>
      </c>
      <c r="R88" s="109">
        <f t="shared" si="49"/>
        <v>13</v>
      </c>
      <c r="S88" s="109">
        <f t="shared" si="49"/>
        <v>13</v>
      </c>
      <c r="T88" s="109">
        <f t="shared" si="49"/>
        <v>13</v>
      </c>
      <c r="U88" s="109">
        <f t="shared" si="49"/>
        <v>100</v>
      </c>
    </row>
    <row r="89" spans="4:21" ht="27.75" customHeight="1" x14ac:dyDescent="0.25">
      <c r="D89" s="109"/>
    </row>
    <row r="90" spans="4:21" ht="47.25" customHeight="1" x14ac:dyDescent="0.25">
      <c r="D90" s="109"/>
      <c r="F90" s="142" t="s">
        <v>295</v>
      </c>
      <c r="G90" s="143">
        <f>SUM(G77:G88)</f>
        <v>603.77540303787976</v>
      </c>
      <c r="H90" s="143">
        <f t="shared" ref="H90:U90" si="50">SUM(H77:H88)</f>
        <v>622.21266649806444</v>
      </c>
      <c r="I90" s="143">
        <f t="shared" si="50"/>
        <v>382.44751475561424</v>
      </c>
      <c r="J90" s="143">
        <f t="shared" si="50"/>
        <v>369.23213712000432</v>
      </c>
      <c r="K90" s="143">
        <f t="shared" si="50"/>
        <v>222.41561718813472</v>
      </c>
      <c r="L90" s="143">
        <f t="shared" si="50"/>
        <v>616.77769997326141</v>
      </c>
      <c r="M90" s="143">
        <f t="shared" si="50"/>
        <v>773.96907336040863</v>
      </c>
      <c r="N90" s="143">
        <f t="shared" si="50"/>
        <v>610.23183083044978</v>
      </c>
      <c r="O90" s="143">
        <f t="shared" si="50"/>
        <v>706.75573346691283</v>
      </c>
      <c r="P90" s="143">
        <f t="shared" si="50"/>
        <v>439.22191088248553</v>
      </c>
      <c r="Q90" s="143">
        <f t="shared" si="50"/>
        <v>478.0303798474589</v>
      </c>
      <c r="R90" s="143">
        <f t="shared" si="50"/>
        <v>386.80779515222639</v>
      </c>
      <c r="S90" s="143">
        <f t="shared" si="50"/>
        <v>636.54804968590361</v>
      </c>
      <c r="T90" s="143">
        <f t="shared" si="50"/>
        <v>521.0133671020925</v>
      </c>
      <c r="U90" s="143">
        <f t="shared" si="50"/>
        <v>696.81612698227855</v>
      </c>
    </row>
    <row r="91" spans="4:21" x14ac:dyDescent="0.25">
      <c r="D91" s="109"/>
    </row>
    <row r="92" spans="4:21" x14ac:dyDescent="0.25">
      <c r="D92" s="109"/>
    </row>
    <row r="93" spans="4:21" x14ac:dyDescent="0.25">
      <c r="D93" s="109"/>
    </row>
    <row r="94" spans="4:21" x14ac:dyDescent="0.25">
      <c r="D94" s="109"/>
      <c r="F94"/>
      <c r="H94" s="145"/>
    </row>
    <row r="95" spans="4:21" x14ac:dyDescent="0.25">
      <c r="D95" s="109"/>
      <c r="F95"/>
    </row>
    <row r="96" spans="4:21" x14ac:dyDescent="0.25">
      <c r="E96" s="145"/>
      <c r="F96"/>
    </row>
    <row r="97" spans="3:14" ht="15.75" thickBot="1" x14ac:dyDescent="0.3">
      <c r="E97" s="145"/>
      <c r="F97"/>
    </row>
    <row r="98" spans="3:14" ht="49.5" customHeight="1" thickBot="1" x14ac:dyDescent="0.3">
      <c r="E98" s="145"/>
      <c r="F98"/>
      <c r="H98" s="1071" t="s">
        <v>971</v>
      </c>
      <c r="I98" s="1072"/>
      <c r="J98" s="1072"/>
      <c r="K98" s="1072"/>
      <c r="L98" s="1072"/>
      <c r="M98" s="1073"/>
      <c r="N98" s="927"/>
    </row>
    <row r="99" spans="3:14" ht="21.75" thickBot="1" x14ac:dyDescent="0.3">
      <c r="E99" s="145"/>
      <c r="F99"/>
      <c r="H99" s="444" t="s">
        <v>1096</v>
      </c>
      <c r="I99" s="445" t="s">
        <v>58</v>
      </c>
      <c r="J99" s="445" t="s">
        <v>296</v>
      </c>
      <c r="K99" s="445" t="s">
        <v>314</v>
      </c>
      <c r="L99" s="445" t="s">
        <v>297</v>
      </c>
      <c r="M99" s="446" t="s">
        <v>298</v>
      </c>
      <c r="N99" s="928"/>
    </row>
    <row r="100" spans="3:14" ht="41.25" customHeight="1" x14ac:dyDescent="0.25">
      <c r="C100" s="109">
        <v>1</v>
      </c>
      <c r="D100" s="109">
        <f>+HLOOKUP(C100,ATUEL!$G$9:$U$90,82,"FALSO")</f>
        <v>603.77540303787976</v>
      </c>
      <c r="E100" s="146" t="str">
        <f>+HLOOKUP(C100,ATUEL!$G$9:$U$90,2,"FALSO")</f>
        <v>CONSTRUCCIÓN DE 3 SECCIONES DE AFORO Y SUS CASILLAS PARA TELEMETRÍA</v>
      </c>
      <c r="F100" s="144">
        <f>+HLOOKUP(C100,ATUEL!$G$9:$U$90,28,"FALSO")</f>
        <v>230000</v>
      </c>
      <c r="G100" s="109" t="str">
        <f>+HLOOKUP(C100,ATUEL!$G$9:$U$90,4,"FALSO")</f>
        <v>Canal Arroyo</v>
      </c>
      <c r="H100" s="851">
        <v>773.96907336040863</v>
      </c>
      <c r="I100" s="852" t="s">
        <v>299</v>
      </c>
      <c r="J100" s="853" t="str">
        <f t="shared" ref="J100:J114" si="51">+VLOOKUP(H100,$D$100:$G$114,2,"FALSO")</f>
        <v>RECONSTRUCCIÓN PARTIDOR SUR VASCONIA / FINCA SUR,  RECONSTRUCCIÓN ALCANTARILLA Y CONSTRUCCIÓN DE 10 CASILLAS PARA TELEMETRÍA</v>
      </c>
      <c r="K100" s="853" t="str">
        <f t="shared" ref="K100:K114" si="52">VLOOKUP(H100,$D$100:$G$114,4,"FALSO")</f>
        <v>Camal Matriz Izuel</v>
      </c>
      <c r="L100" s="854">
        <f t="shared" ref="L100:L114" si="53">+VLOOKUP(H100,$D$100:$G$114,3,"FALSO")</f>
        <v>700000</v>
      </c>
      <c r="M100" s="855">
        <f>+L100</f>
        <v>700000</v>
      </c>
      <c r="N100" s="929"/>
    </row>
    <row r="101" spans="3:14" ht="24.95" customHeight="1" x14ac:dyDescent="0.25">
      <c r="C101" s="109">
        <v>2</v>
      </c>
      <c r="D101" s="109">
        <f>+HLOOKUP(C101,ATUEL!$G$9:$U$90,82,"FALSO")</f>
        <v>622.21266649806444</v>
      </c>
      <c r="E101" s="146" t="str">
        <f>+HLOOKUP(C101,ATUEL!$G$9:$U$90,2,"FALSO")</f>
        <v>CONSTRUCCIÓN DE 5 COMPUERTAS PARA SECCIONADO INTERNO</v>
      </c>
      <c r="F101" s="144">
        <f>+HLOOKUP(C101,ATUEL!$G$9:$U$90,28,"FALSO")</f>
        <v>250000</v>
      </c>
      <c r="G101" s="109" t="str">
        <f>+HLOOKUP(C101,ATUEL!$G$9:$U$90,4,"FALSO")</f>
        <v>Rama Dr. Bosch</v>
      </c>
      <c r="H101" s="443">
        <v>706.75573346691283</v>
      </c>
      <c r="I101" s="147" t="s">
        <v>300</v>
      </c>
      <c r="J101" s="856" t="str">
        <f t="shared" si="51"/>
        <v>CANAL MARGINAL DEL ATUEL - TRABAJOS DE REPARACIÓN Y MANTENIMIENTO OCTAVA ETAPA</v>
      </c>
      <c r="K101" s="856" t="str">
        <f t="shared" si="52"/>
        <v>Subdelegacion Rio Atuel</v>
      </c>
      <c r="L101" s="857">
        <f t="shared" si="53"/>
        <v>12000000</v>
      </c>
      <c r="M101" s="858">
        <f>+M100+L101</f>
        <v>12700000</v>
      </c>
      <c r="N101" s="928"/>
    </row>
    <row r="102" spans="3:14" ht="24.95" customHeight="1" x14ac:dyDescent="0.25">
      <c r="C102" s="109">
        <v>3</v>
      </c>
      <c r="D102" s="109">
        <f>+HLOOKUP(C102,ATUEL!$G$9:$U$90,82,"FALSO")</f>
        <v>382.44751475561424</v>
      </c>
      <c r="E102" s="146" t="str">
        <f>+HLOOKUP(C102,ATUEL!$G$9:$U$90,2,"FALSO")</f>
        <v>RAMA CENTRO AUXILIAR  - REVESTIMIENTO DE UN TRAMO</v>
      </c>
      <c r="F102" s="144">
        <f>+HLOOKUP(C102,ATUEL!$G$9:$U$90,28,"FALSO")</f>
        <v>3200000</v>
      </c>
      <c r="G102" s="109" t="str">
        <f>+HLOOKUP(C102,ATUEL!$G$9:$U$90,4,"FALSO")</f>
        <v>Rama Centro Auxiliar</v>
      </c>
      <c r="H102" s="443">
        <v>696.81612698227855</v>
      </c>
      <c r="I102" s="147" t="s">
        <v>301</v>
      </c>
      <c r="J102" s="856" t="str">
        <f>+VLOOKUP(H102,$D$100:$G$114,2,"FALSO")</f>
        <v>RECONSTRUCCIÓN Y COMPUERTAS NUEVAS (9) Y HOJA MÓVILES (2)</v>
      </c>
      <c r="K102" s="856" t="str">
        <f t="shared" si="52"/>
        <v>Canal San Pedro</v>
      </c>
      <c r="L102" s="857">
        <f t="shared" si="53"/>
        <v>270000</v>
      </c>
      <c r="M102" s="858">
        <f t="shared" ref="M102:M114" si="54">+M101+L102</f>
        <v>12970000</v>
      </c>
      <c r="N102" s="928"/>
    </row>
    <row r="103" spans="3:14" ht="24.95" customHeight="1" x14ac:dyDescent="0.25">
      <c r="C103" s="109">
        <v>4</v>
      </c>
      <c r="D103" s="109">
        <f>+HLOOKUP(C103,ATUEL!$G$9:$U$90,82,"FALSO")</f>
        <v>369.23213712000432</v>
      </c>
      <c r="E103" s="146" t="str">
        <f>+HLOOKUP(C103,ATUEL!$G$9:$U$90,2,"FALSO")</f>
        <v>REVESTIMIENTO TRAMO CALLE F A CALLE G</v>
      </c>
      <c r="F103" s="144">
        <f>+HLOOKUP(C103,ATUEL!$G$9:$U$90,28,"FALSO")</f>
        <v>2400000</v>
      </c>
      <c r="G103" s="109" t="str">
        <f>+HLOOKUP(C103,ATUEL!$G$9:$U$90,4,"FALSO")</f>
        <v>Rama Centro Viejo</v>
      </c>
      <c r="H103" s="443">
        <v>636.54804968590361</v>
      </c>
      <c r="I103" s="147" t="s">
        <v>302</v>
      </c>
      <c r="J103" s="856" t="str">
        <f t="shared" si="51"/>
        <v>REVESTIMIENTO DE UN TRAMO Y MEJORA PARTICIÓN EN RAMA 3</v>
      </c>
      <c r="K103" s="856" t="str">
        <f t="shared" si="52"/>
        <v>Canal Real del Padre Unif.</v>
      </c>
      <c r="L103" s="857">
        <f t="shared" si="53"/>
        <v>3900000</v>
      </c>
      <c r="M103" s="858">
        <f t="shared" si="54"/>
        <v>16870000</v>
      </c>
      <c r="N103" s="928"/>
    </row>
    <row r="104" spans="3:14" ht="24.95" customHeight="1" thickBot="1" x14ac:dyDescent="0.3">
      <c r="C104" s="109">
        <v>5</v>
      </c>
      <c r="D104" s="109">
        <f>+HLOOKUP(C104,ATUEL!$G$9:$U$90,82,"FALSO")</f>
        <v>222.41561718813472</v>
      </c>
      <c r="E104" s="146" t="str">
        <f>+HLOOKUP(C104,ATUEL!$G$9:$U$90,2,"FALSO")</f>
        <v xml:space="preserve">HIJUELA LA URUGUAYA - REVESTIMIENTO DE UN TRAMO </v>
      </c>
      <c r="F104" s="144">
        <f>+HLOOKUP(C104,ATUEL!$G$9:$U$90,28,"FALSO")</f>
        <v>3700000</v>
      </c>
      <c r="G104" s="109" t="str">
        <f>+HLOOKUP(C104,ATUEL!$G$9:$U$90,4,"FALSO")</f>
        <v>Rama Christophersen</v>
      </c>
      <c r="H104" s="443">
        <v>622.21266649806444</v>
      </c>
      <c r="I104" s="147" t="s">
        <v>303</v>
      </c>
      <c r="J104" s="856" t="str">
        <f t="shared" si="51"/>
        <v>CONSTRUCCIÓN DE 5 COMPUERTAS PARA SECCIONADO INTERNO</v>
      </c>
      <c r="K104" s="856" t="str">
        <f t="shared" si="52"/>
        <v>Rama Dr. Bosch</v>
      </c>
      <c r="L104" s="857">
        <f t="shared" si="53"/>
        <v>250000</v>
      </c>
      <c r="M104" s="858">
        <f t="shared" si="54"/>
        <v>17120000</v>
      </c>
      <c r="N104" s="928"/>
    </row>
    <row r="105" spans="3:14" ht="24.95" customHeight="1" thickBot="1" x14ac:dyDescent="0.3">
      <c r="C105" s="109">
        <v>6</v>
      </c>
      <c r="D105" s="109">
        <f>+HLOOKUP(C105,ATUEL!$G$9:$U$90,82,"FALSO")</f>
        <v>616.77769997326141</v>
      </c>
      <c r="E105" s="146" t="str">
        <f>+HLOOKUP(C105,ATUEL!$G$9:$U$90,2,"FALSO")</f>
        <v>CAMBIO TRAZA, REVESTIMIENTO TRAMO Y REUBICACIÓN TOMAS</v>
      </c>
      <c r="F105" s="144">
        <f>+HLOOKUP(C105,ATUEL!$G$9:$U$90,28,"FALSO")</f>
        <v>3800000</v>
      </c>
      <c r="G105" s="109" t="str">
        <f>+HLOOKUP(C105,ATUEL!$G$9:$U$90,4,"FALSO")</f>
        <v>Canal Matriz Correa</v>
      </c>
      <c r="H105" s="934">
        <v>616.77769997326141</v>
      </c>
      <c r="I105" s="935" t="s">
        <v>304</v>
      </c>
      <c r="J105" s="936" t="str">
        <f t="shared" si="51"/>
        <v>CAMBIO TRAZA, REVESTIMIENTO TRAMO Y REUBICACIÓN TOMAS</v>
      </c>
      <c r="K105" s="936" t="str">
        <f t="shared" si="52"/>
        <v>Canal Matriz Correa</v>
      </c>
      <c r="L105" s="937">
        <f t="shared" si="53"/>
        <v>3800000</v>
      </c>
      <c r="M105" s="938">
        <f t="shared" si="54"/>
        <v>20920000</v>
      </c>
      <c r="N105" s="532">
        <f>+FICHA!T14</f>
        <v>20800000</v>
      </c>
    </row>
    <row r="106" spans="3:14" ht="24.95" customHeight="1" x14ac:dyDescent="0.25">
      <c r="C106" s="109">
        <v>7</v>
      </c>
      <c r="D106" s="109">
        <f>+HLOOKUP(C106,ATUEL!$G$9:$U$90,82,"FALSO")</f>
        <v>773.96907336040863</v>
      </c>
      <c r="E106" s="146" t="str">
        <f>+HLOOKUP(C106,ATUEL!$G$9:$U$90,2,"FALSO")</f>
        <v>RECONSTRUCCIÓN PARTIDOR SUR VASCONIA / FINCA SUR,  RECONSTRUCCIÓN ALCANTARILLA Y CONSTRUCCIÓN DE 10 CASILLAS PARA TELEMETRÍA</v>
      </c>
      <c r="F106" s="144">
        <f>+HLOOKUP(C106,ATUEL!$G$9:$U$90,28,"FALSO")</f>
        <v>700000</v>
      </c>
      <c r="G106" s="109" t="str">
        <f>+HLOOKUP(C106,ATUEL!$G$9:$U$90,4,"FALSO")</f>
        <v>Camal Matriz Izuel</v>
      </c>
      <c r="H106" s="939">
        <v>610.23183083044978</v>
      </c>
      <c r="I106" s="940" t="s">
        <v>305</v>
      </c>
      <c r="J106" s="941" t="str">
        <f t="shared" si="51"/>
        <v>SECCIONES DE AFORO RAMA SOITUE Y RAMA CLAVELES</v>
      </c>
      <c r="K106" s="941" t="str">
        <f t="shared" si="52"/>
        <v>Canal Mz. Jáuregui Unif.</v>
      </c>
      <c r="L106" s="942">
        <f t="shared" si="53"/>
        <v>1700000</v>
      </c>
      <c r="M106" s="943">
        <f t="shared" si="54"/>
        <v>22620000</v>
      </c>
    </row>
    <row r="107" spans="3:14" ht="24.95" customHeight="1" x14ac:dyDescent="0.25">
      <c r="C107" s="109">
        <v>8</v>
      </c>
      <c r="D107" s="109">
        <f>+HLOOKUP(C107,ATUEL!$G$9:$U$90,82,"FALSO")</f>
        <v>610.23183083044978</v>
      </c>
      <c r="E107" s="146" t="str">
        <f>+HLOOKUP(C107,ATUEL!$G$9:$U$90,2,"FALSO")</f>
        <v>SECCIONES DE AFORO RAMA SOITUE Y RAMA CLAVELES</v>
      </c>
      <c r="F107" s="144">
        <f>+HLOOKUP(C107,ATUEL!$G$9:$U$90,28,"FALSO")</f>
        <v>1700000</v>
      </c>
      <c r="G107" s="109" t="str">
        <f>+HLOOKUP(C107,ATUEL!$G$9:$U$90,4,"FALSO")</f>
        <v>Canal Mz. Jáuregui Unif.</v>
      </c>
      <c r="H107" s="881">
        <v>603.77540303787976</v>
      </c>
      <c r="I107" s="882" t="s">
        <v>306</v>
      </c>
      <c r="J107" s="862" t="str">
        <f t="shared" si="51"/>
        <v>CONSTRUCCIÓN DE 3 SECCIONES DE AFORO Y SUS CASILLAS PARA TELEMETRÍA</v>
      </c>
      <c r="K107" s="862" t="str">
        <f t="shared" si="52"/>
        <v>Canal Arroyo</v>
      </c>
      <c r="L107" s="863">
        <f t="shared" si="53"/>
        <v>230000</v>
      </c>
      <c r="M107" s="864">
        <f t="shared" si="54"/>
        <v>22850000</v>
      </c>
    </row>
    <row r="108" spans="3:14" ht="24.95" customHeight="1" x14ac:dyDescent="0.25">
      <c r="C108" s="109">
        <v>9</v>
      </c>
      <c r="D108" s="109">
        <f>+HLOOKUP(C108,ATUEL!$G$9:$U$90,82,"FALSO")</f>
        <v>706.75573346691283</v>
      </c>
      <c r="E108" s="146" t="str">
        <f>+HLOOKUP(C108,ATUEL!$G$9:$U$90,2,"FALSO")</f>
        <v>CANAL MARGINAL DEL ATUEL - TRABAJOS DE REPARACIÓN Y MANTENIMIENTO OCTAVA ETAPA</v>
      </c>
      <c r="F108" s="144">
        <f>+HLOOKUP(C108,ATUEL!$G$9:$U$90,28,"FALSO")</f>
        <v>12000000</v>
      </c>
      <c r="G108" s="109" t="str">
        <f>+HLOOKUP(C108,ATUEL!$G$9:$U$90,4,"FALSO")</f>
        <v>Subdelegacion Rio Atuel</v>
      </c>
      <c r="H108" s="881">
        <v>521.0133671020925</v>
      </c>
      <c r="I108" s="882" t="s">
        <v>307</v>
      </c>
      <c r="J108" s="862" t="str">
        <f t="shared" si="51"/>
        <v>CANAL CONCESIÓN REGUEIRA - REVESTIMIENTO DE UN TRAMO</v>
      </c>
      <c r="K108" s="862" t="str">
        <f t="shared" si="52"/>
        <v>Canal Concesión Regueira</v>
      </c>
      <c r="L108" s="863">
        <f t="shared" si="53"/>
        <v>2100000</v>
      </c>
      <c r="M108" s="864">
        <f t="shared" si="54"/>
        <v>24950000</v>
      </c>
    </row>
    <row r="109" spans="3:14" ht="24.95" customHeight="1" x14ac:dyDescent="0.25">
      <c r="C109" s="109">
        <v>10</v>
      </c>
      <c r="D109" s="109">
        <f>+HLOOKUP(C109,ATUEL!$G$9:$U$90,82,"FALSO")</f>
        <v>439.22191088248553</v>
      </c>
      <c r="E109" s="146" t="str">
        <f>+HLOOKUP(C109,ATUEL!$G$9:$U$90,2,"FALSO")</f>
        <v>RAMA LA MARZOLINA - REPOSICIÓN DE 12 COMPUERTAS</v>
      </c>
      <c r="F109" s="144">
        <f>+HLOOKUP(C109,ATUEL!$G$9:$U$90,28,"FALSO")</f>
        <v>200000</v>
      </c>
      <c r="G109" s="109" t="str">
        <f>+HLOOKUP(C109,ATUEL!$G$9:$U$90,4,"FALSO")</f>
        <v>Rama La Marzolina</v>
      </c>
      <c r="H109" s="881">
        <v>478.0303798474589</v>
      </c>
      <c r="I109" s="882" t="s">
        <v>308</v>
      </c>
      <c r="J109" s="862" t="str">
        <f t="shared" si="51"/>
        <v xml:space="preserve">RAMA LOS ÁNGELES - REVESTIMIENTO TRAMO Y ADECUACIÓN COMPARTO </v>
      </c>
      <c r="K109" s="862" t="str">
        <f t="shared" si="52"/>
        <v>Rama Moss - Los Angeles Unif.</v>
      </c>
      <c r="L109" s="863">
        <f t="shared" si="53"/>
        <v>3200000</v>
      </c>
      <c r="M109" s="864">
        <f t="shared" si="54"/>
        <v>28150000</v>
      </c>
    </row>
    <row r="110" spans="3:14" ht="24.95" customHeight="1" x14ac:dyDescent="0.25">
      <c r="C110" s="109">
        <v>11</v>
      </c>
      <c r="D110" s="109">
        <f>+HLOOKUP(C110,ATUEL!$G$9:$U$90,82,"FALSO")</f>
        <v>478.0303798474589</v>
      </c>
      <c r="E110" s="146" t="str">
        <f>+HLOOKUP(C110,ATUEL!$G$9:$U$90,2,"FALSO")</f>
        <v xml:space="preserve">RAMA LOS ÁNGELES - REVESTIMIENTO TRAMO Y ADECUACIÓN COMPARTO </v>
      </c>
      <c r="F110" s="144">
        <f>+HLOOKUP(C110,ATUEL!$G$9:$U$90,28,"FALSO")</f>
        <v>3200000</v>
      </c>
      <c r="G110" s="109" t="str">
        <f>+HLOOKUP(C110,ATUEL!$G$9:$U$90,4,"FALSO")</f>
        <v>Rama Moss - Los Angeles Unif.</v>
      </c>
      <c r="H110" s="881">
        <v>439.22191088248553</v>
      </c>
      <c r="I110" s="882" t="s">
        <v>309</v>
      </c>
      <c r="J110" s="862" t="str">
        <f t="shared" si="51"/>
        <v>RAMA LA MARZOLINA - REPOSICIÓN DE 12 COMPUERTAS</v>
      </c>
      <c r="K110" s="862" t="str">
        <f t="shared" si="52"/>
        <v>Rama La Marzolina</v>
      </c>
      <c r="L110" s="863">
        <f t="shared" si="53"/>
        <v>200000</v>
      </c>
      <c r="M110" s="864">
        <f t="shared" si="54"/>
        <v>28350000</v>
      </c>
    </row>
    <row r="111" spans="3:14" ht="24.95" customHeight="1" x14ac:dyDescent="0.25">
      <c r="C111" s="109">
        <v>12</v>
      </c>
      <c r="D111" s="109">
        <f>+HLOOKUP(C111,ATUEL!$G$9:$U$90,82,"FALSO")</f>
        <v>386.80779515222639</v>
      </c>
      <c r="E111" s="146" t="str">
        <f>+HLOOKUP(C111,ATUEL!$G$9:$U$90,2,"FALSO")</f>
        <v>RAMA NORTE UNIFICADA - REVESTIMIENTO  TRAMO ZANGRANDI</v>
      </c>
      <c r="F111" s="144">
        <f>+HLOOKUP(C111,ATUEL!$G$9:$U$90,28,"FALSO")</f>
        <v>1800000</v>
      </c>
      <c r="G111" s="109" t="str">
        <f>+HLOOKUP(C111,ATUEL!$G$9:$U$90,4,"FALSO")</f>
        <v>Rama Norte Unificada</v>
      </c>
      <c r="H111" s="881">
        <v>386.80779515222639</v>
      </c>
      <c r="I111" s="882" t="s">
        <v>310</v>
      </c>
      <c r="J111" s="862" t="str">
        <f t="shared" si="51"/>
        <v>RAMA NORTE UNIFICADA - REVESTIMIENTO  TRAMO ZANGRANDI</v>
      </c>
      <c r="K111" s="862" t="str">
        <f t="shared" si="52"/>
        <v>Rama Norte Unificada</v>
      </c>
      <c r="L111" s="863">
        <f t="shared" si="53"/>
        <v>1800000</v>
      </c>
      <c r="M111" s="864">
        <f t="shared" si="54"/>
        <v>30150000</v>
      </c>
    </row>
    <row r="112" spans="3:14" ht="24.95" customHeight="1" x14ac:dyDescent="0.25">
      <c r="C112" s="109">
        <v>13</v>
      </c>
      <c r="D112" s="109">
        <f>+HLOOKUP(C112,ATUEL!$G$9:$U$90,82,"FALSO")</f>
        <v>636.54804968590361</v>
      </c>
      <c r="E112" s="146" t="str">
        <f>+HLOOKUP(C112,ATUEL!$G$9:$U$90,2,"FALSO")</f>
        <v>REVESTIMIENTO DE UN TRAMO Y MEJORA PARTICIÓN EN RAMA 3</v>
      </c>
      <c r="F112" s="144">
        <f>+HLOOKUP(C112,ATUEL!$G$9:$U$90,28,"FALSO")</f>
        <v>3900000</v>
      </c>
      <c r="G112" s="109" t="str">
        <f>+HLOOKUP(C112,ATUEL!$G$9:$U$90,4,"FALSO")</f>
        <v>Canal Real del Padre Unif.</v>
      </c>
      <c r="H112" s="881">
        <v>382.44751475561424</v>
      </c>
      <c r="I112" s="882" t="s">
        <v>311</v>
      </c>
      <c r="J112" s="862" t="str">
        <f t="shared" si="51"/>
        <v>RAMA CENTRO AUXILIAR  - REVESTIMIENTO DE UN TRAMO</v>
      </c>
      <c r="K112" s="862" t="str">
        <f t="shared" si="52"/>
        <v>Rama Centro Auxiliar</v>
      </c>
      <c r="L112" s="863">
        <f t="shared" si="53"/>
        <v>3200000</v>
      </c>
      <c r="M112" s="864">
        <f t="shared" si="54"/>
        <v>33350000</v>
      </c>
    </row>
    <row r="113" spans="3:14" ht="24.95" customHeight="1" x14ac:dyDescent="0.25">
      <c r="C113" s="109">
        <v>14</v>
      </c>
      <c r="D113" s="109">
        <f>+HLOOKUP(C113,ATUEL!$G$9:$U$90,82,"FALSO")</f>
        <v>521.0133671020925</v>
      </c>
      <c r="E113" s="146" t="str">
        <f>+HLOOKUP(C113,ATUEL!$G$9:$U$90,2,"FALSO")</f>
        <v>CANAL CONCESIÓN REGUEIRA - REVESTIMIENTO DE UN TRAMO</v>
      </c>
      <c r="F113" s="144">
        <f>+HLOOKUP(C113,ATUEL!$G$9:$U$90,28,"FALSO")</f>
        <v>2100000</v>
      </c>
      <c r="G113" s="109" t="str">
        <f>+HLOOKUP(C113,ATUEL!$G$9:$U$90,4,"FALSO")</f>
        <v>Canal Concesión Regueira</v>
      </c>
      <c r="H113" s="881">
        <v>369.23213712000432</v>
      </c>
      <c r="I113" s="882" t="s">
        <v>312</v>
      </c>
      <c r="J113" s="862" t="str">
        <f t="shared" si="51"/>
        <v>REVESTIMIENTO TRAMO CALLE F A CALLE G</v>
      </c>
      <c r="K113" s="862" t="str">
        <f t="shared" si="52"/>
        <v>Rama Centro Viejo</v>
      </c>
      <c r="L113" s="863">
        <f t="shared" si="53"/>
        <v>2400000</v>
      </c>
      <c r="M113" s="864">
        <f t="shared" si="54"/>
        <v>35750000</v>
      </c>
      <c r="N113" s="868" t="s">
        <v>1253</v>
      </c>
    </row>
    <row r="114" spans="3:14" ht="24.95" customHeight="1" thickBot="1" x14ac:dyDescent="0.3">
      <c r="C114" s="109">
        <v>15</v>
      </c>
      <c r="D114" s="109">
        <f>+HLOOKUP(C114,ATUEL!$G$9:$U$90,82,"FALSO")</f>
        <v>696.81612698227855</v>
      </c>
      <c r="E114" s="146" t="str">
        <f>+HLOOKUP(C114,ATUEL!$G$9:$U$90,2,"FALSO")</f>
        <v>RECONSTRUCCIÓN Y COMPUERTAS NUEVAS (9) Y HOJA MÓVILES (2)</v>
      </c>
      <c r="F114" s="144">
        <f>+HLOOKUP(C114,ATUEL!$G$9:$U$90,28,"FALSO")</f>
        <v>270000</v>
      </c>
      <c r="G114" s="109" t="str">
        <f>+HLOOKUP(C114,ATUEL!$G$9:$U$90,4,"FALSO")</f>
        <v>Canal San Pedro</v>
      </c>
      <c r="H114" s="923">
        <v>222.41561718813472</v>
      </c>
      <c r="I114" s="924" t="s">
        <v>313</v>
      </c>
      <c r="J114" s="865" t="str">
        <f t="shared" si="51"/>
        <v xml:space="preserve">HIJUELA LA URUGUAYA - REVESTIMIENTO DE UN TRAMO </v>
      </c>
      <c r="K114" s="865" t="str">
        <f t="shared" si="52"/>
        <v>Rama Christophersen</v>
      </c>
      <c r="L114" s="866">
        <f t="shared" si="53"/>
        <v>3700000</v>
      </c>
      <c r="M114" s="867">
        <f t="shared" si="54"/>
        <v>39450000</v>
      </c>
    </row>
    <row r="115" spans="3:14" ht="15.75" x14ac:dyDescent="0.25">
      <c r="E115" s="145"/>
      <c r="F115"/>
      <c r="H115" s="148"/>
      <c r="I115" s="148"/>
      <c r="J115" s="148"/>
      <c r="K115" s="148"/>
      <c r="L115" s="148"/>
      <c r="M115" s="148"/>
    </row>
    <row r="116" spans="3:14" x14ac:dyDescent="0.25">
      <c r="E116" s="145"/>
      <c r="F116"/>
    </row>
    <row r="117" spans="3:14" x14ac:dyDescent="0.25">
      <c r="E117" s="145"/>
      <c r="F117"/>
    </row>
    <row r="118" spans="3:14" x14ac:dyDescent="0.25">
      <c r="E118" s="145"/>
      <c r="F118"/>
    </row>
  </sheetData>
  <mergeCells count="27">
    <mergeCell ref="H98:M98"/>
    <mergeCell ref="C6:E6"/>
    <mergeCell ref="C8:F8"/>
    <mergeCell ref="C7:F7"/>
    <mergeCell ref="C48:C51"/>
    <mergeCell ref="C54:C55"/>
    <mergeCell ref="C43:C46"/>
    <mergeCell ref="C36:C37"/>
    <mergeCell ref="C15:E15"/>
    <mergeCell ref="C12:F12"/>
    <mergeCell ref="C13:F13"/>
    <mergeCell ref="C14:F14"/>
    <mergeCell ref="C9:F9"/>
    <mergeCell ref="C10:F10"/>
    <mergeCell ref="C11:F11"/>
    <mergeCell ref="D74:E74"/>
    <mergeCell ref="D63:E63"/>
    <mergeCell ref="D64:E64"/>
    <mergeCell ref="D65:E65"/>
    <mergeCell ref="D66:E66"/>
    <mergeCell ref="D67:E67"/>
    <mergeCell ref="D73:E73"/>
    <mergeCell ref="D68:E68"/>
    <mergeCell ref="D69:E69"/>
    <mergeCell ref="D70:E70"/>
    <mergeCell ref="D71:E71"/>
    <mergeCell ref="D72:E72"/>
  </mergeCells>
  <pageMargins left="0.70866141732283472" right="0.70866141732283472" top="0.74803149606299213" bottom="0.74803149606299213" header="0.31496062992125984" footer="0.31496062992125984"/>
  <pageSetup paperSize="9" scale="15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5</xdr:col>
                <xdr:colOff>0</xdr:colOff>
                <xdr:row>76</xdr:row>
                <xdr:rowOff>0</xdr:rowOff>
              </from>
              <to>
                <xdr:col>6</xdr:col>
                <xdr:colOff>0</xdr:colOff>
                <xdr:row>76</xdr:row>
                <xdr:rowOff>695325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1" r:id="rId6">
          <objectPr defaultSize="0" autoPict="0" r:id="rId7">
            <anchor moveWithCells="1" sizeWithCells="1">
              <from>
                <xdr:col>5</xdr:col>
                <xdr:colOff>0</xdr:colOff>
                <xdr:row>77</xdr:row>
                <xdr:rowOff>0</xdr:rowOff>
              </from>
              <to>
                <xdr:col>6</xdr:col>
                <xdr:colOff>0</xdr:colOff>
                <xdr:row>77</xdr:row>
                <xdr:rowOff>542925</xdr:rowOff>
              </to>
            </anchor>
          </objectPr>
        </oleObject>
      </mc:Choice>
      <mc:Fallback>
        <oleObject progId="Equation.3" shapeId="2051" r:id="rId6"/>
      </mc:Fallback>
    </mc:AlternateContent>
    <mc:AlternateContent xmlns:mc="http://schemas.openxmlformats.org/markup-compatibility/2006">
      <mc:Choice Requires="x14">
        <oleObject progId="Equation.3" shapeId="2053" r:id="rId8">
          <objectPr defaultSize="0" autoPict="0" r:id="rId9">
            <anchor moveWithCells="1" sizeWithCells="1">
              <from>
                <xdr:col>5</xdr:col>
                <xdr:colOff>66675</xdr:colOff>
                <xdr:row>78</xdr:row>
                <xdr:rowOff>38100</xdr:rowOff>
              </from>
              <to>
                <xdr:col>6</xdr:col>
                <xdr:colOff>0</xdr:colOff>
                <xdr:row>78</xdr:row>
                <xdr:rowOff>571500</xdr:rowOff>
              </to>
            </anchor>
          </objectPr>
        </oleObject>
      </mc:Choice>
      <mc:Fallback>
        <oleObject progId="Equation.3" shapeId="2053" r:id="rId8"/>
      </mc:Fallback>
    </mc:AlternateContent>
    <mc:AlternateContent xmlns:mc="http://schemas.openxmlformats.org/markup-compatibility/2006">
      <mc:Choice Requires="x14">
        <oleObject progId="Equation.3" shapeId="2054" r:id="rId10">
          <objectPr defaultSize="0" autoPict="0" r:id="rId11">
            <anchor moveWithCells="1" sizeWithCells="1">
              <from>
                <xdr:col>5</xdr:col>
                <xdr:colOff>28575</xdr:colOff>
                <xdr:row>79</xdr:row>
                <xdr:rowOff>104775</xdr:rowOff>
              </from>
              <to>
                <xdr:col>6</xdr:col>
                <xdr:colOff>0</xdr:colOff>
                <xdr:row>79</xdr:row>
                <xdr:rowOff>657225</xdr:rowOff>
              </to>
            </anchor>
          </objectPr>
        </oleObject>
      </mc:Choice>
      <mc:Fallback>
        <oleObject progId="Equation.3" shapeId="2054" r:id="rId10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13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80</xdr:row>
                <xdr:rowOff>590550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9" r:id="rId14">
          <objectPr defaultSize="0" autoPict="0" r:id="rId15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81</xdr:row>
                <xdr:rowOff>542925</xdr:rowOff>
              </to>
            </anchor>
          </objectPr>
        </oleObject>
      </mc:Choice>
      <mc:Fallback>
        <oleObject progId="Equation.3" shapeId="2059" r:id="rId14"/>
      </mc:Fallback>
    </mc:AlternateContent>
    <mc:AlternateContent xmlns:mc="http://schemas.openxmlformats.org/markup-compatibility/2006">
      <mc:Choice Requires="x14">
        <oleObject progId="Equation.3" shapeId="2060" r:id="rId16">
          <objectPr defaultSize="0" autoPict="0" r:id="rId17">
            <anchor moveWithCells="1" sizeWithCells="1">
              <from>
                <xdr:col>5</xdr:col>
                <xdr:colOff>0</xdr:colOff>
                <xdr:row>82</xdr:row>
                <xdr:rowOff>0</xdr:rowOff>
              </from>
              <to>
                <xdr:col>6</xdr:col>
                <xdr:colOff>0</xdr:colOff>
                <xdr:row>82</xdr:row>
                <xdr:rowOff>552450</xdr:rowOff>
              </to>
            </anchor>
          </objectPr>
        </oleObject>
      </mc:Choice>
      <mc:Fallback>
        <oleObject progId="Equation.3" shapeId="2060" r:id="rId16"/>
      </mc:Fallback>
    </mc:AlternateContent>
    <mc:AlternateContent xmlns:mc="http://schemas.openxmlformats.org/markup-compatibility/2006">
      <mc:Choice Requires="x14">
        <oleObject progId="Equation.3" shapeId="2064" r:id="rId18">
          <objectPr defaultSize="0" autoPict="0" r:id="rId19">
            <anchor moveWithCells="1" sizeWithCells="1">
              <from>
                <xdr:col>5</xdr:col>
                <xdr:colOff>95250</xdr:colOff>
                <xdr:row>83</xdr:row>
                <xdr:rowOff>85725</xdr:rowOff>
              </from>
              <to>
                <xdr:col>6</xdr:col>
                <xdr:colOff>0</xdr:colOff>
                <xdr:row>83</xdr:row>
                <xdr:rowOff>628650</xdr:rowOff>
              </to>
            </anchor>
          </objectPr>
        </oleObject>
      </mc:Choice>
      <mc:Fallback>
        <oleObject progId="Equation.3" shapeId="2064" r:id="rId1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C1:V114"/>
  <sheetViews>
    <sheetView topLeftCell="E2" zoomScale="70" zoomScaleNormal="70" workbookViewId="0">
      <selection activeCell="G4" sqref="G4"/>
    </sheetView>
  </sheetViews>
  <sheetFormatPr baseColWidth="10" defaultRowHeight="15" x14ac:dyDescent="0.25"/>
  <cols>
    <col min="2" max="2" width="3.7109375" customWidth="1"/>
    <col min="3" max="3" width="12.28515625" customWidth="1"/>
    <col min="4" max="4" width="8.85546875" customWidth="1"/>
    <col min="5" max="5" width="134" customWidth="1"/>
    <col min="6" max="6" width="25.42578125" style="19" customWidth="1"/>
    <col min="7" max="7" width="39.140625" customWidth="1"/>
    <col min="8" max="8" width="28.140625" customWidth="1"/>
    <col min="9" max="9" width="17.85546875" customWidth="1"/>
    <col min="10" max="10" width="82.85546875" customWidth="1"/>
    <col min="11" max="11" width="37.5703125" customWidth="1"/>
    <col min="12" max="12" width="33" customWidth="1"/>
    <col min="13" max="13" width="39.5703125" customWidth="1"/>
    <col min="14" max="14" width="35.85546875" customWidth="1"/>
    <col min="15" max="19" width="31.7109375" customWidth="1"/>
    <col min="20" max="20" width="49.5703125" customWidth="1"/>
    <col min="21" max="21" width="23.85546875" customWidth="1"/>
    <col min="22" max="22" width="21" customWidth="1"/>
    <col min="23" max="23" width="25.5703125" customWidth="1"/>
    <col min="24" max="24" width="17.42578125" customWidth="1"/>
  </cols>
  <sheetData>
    <row r="1" spans="3:17" x14ac:dyDescent="0.25">
      <c r="G1">
        <f>+G18/1000</f>
        <v>2.4</v>
      </c>
      <c r="H1">
        <f t="shared" ref="H1" si="0">+H18/1000</f>
        <v>1.47</v>
      </c>
      <c r="I1">
        <f t="shared" ref="I1:Q1" si="1">+I18/1000</f>
        <v>0.7</v>
      </c>
      <c r="J1">
        <f t="shared" si="1"/>
        <v>0.4</v>
      </c>
      <c r="K1">
        <f t="shared" si="1"/>
        <v>2.5</v>
      </c>
      <c r="L1">
        <f t="shared" si="1"/>
        <v>2.83</v>
      </c>
      <c r="M1">
        <f t="shared" si="1"/>
        <v>0.8</v>
      </c>
      <c r="N1">
        <f t="shared" si="1"/>
        <v>1</v>
      </c>
      <c r="O1">
        <f t="shared" si="1"/>
        <v>0.4</v>
      </c>
      <c r="P1">
        <f t="shared" si="1"/>
        <v>3.2</v>
      </c>
      <c r="Q1">
        <f t="shared" si="1"/>
        <v>2</v>
      </c>
    </row>
    <row r="2" spans="3:17" x14ac:dyDescent="0.25"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</row>
    <row r="3" spans="3:17" x14ac:dyDescent="0.25">
      <c r="H3">
        <f>+H1/(H23*(H21+H22*H23))</f>
        <v>0.33108108108108103</v>
      </c>
      <c r="J3">
        <f t="shared" ref="J3:P3" si="2">+J1/(J23*(J21+J22*J23))</f>
        <v>0.13333333333333333</v>
      </c>
      <c r="K3">
        <f t="shared" si="2"/>
        <v>1.3227513227513228</v>
      </c>
      <c r="N3">
        <f t="shared" si="2"/>
        <v>0.52910052910052918</v>
      </c>
      <c r="O3">
        <f t="shared" si="2"/>
        <v>0.53333333333333333</v>
      </c>
      <c r="P3">
        <f t="shared" si="2"/>
        <v>0.38787878787878788</v>
      </c>
    </row>
    <row r="4" spans="3:17" x14ac:dyDescent="0.25">
      <c r="H4" s="105">
        <f>0.0375*I2*((I1/H3)^0.5)*1000*H29/1000/H18</f>
        <v>2.2255995306121523E-3</v>
      </c>
      <c r="I4" s="105"/>
      <c r="J4" s="105">
        <f t="shared" ref="J4:P4" si="3">0.0375*K2*((K1/J3)^0.5)*1000*J29/1000/J18</f>
        <v>6.4951905283832906E-2</v>
      </c>
      <c r="K4" s="105">
        <f t="shared" si="3"/>
        <v>1.7552353688323396E-3</v>
      </c>
      <c r="L4" s="105"/>
      <c r="M4" s="105"/>
      <c r="N4" s="105">
        <f t="shared" si="3"/>
        <v>2.6084478143140986E-3</v>
      </c>
      <c r="O4" s="105">
        <f t="shared" si="3"/>
        <v>1.8371173070873836E-2</v>
      </c>
      <c r="P4" s="105">
        <f t="shared" si="3"/>
        <v>2.1288166552247989E-3</v>
      </c>
      <c r="Q4" s="105"/>
    </row>
    <row r="5" spans="3:17" ht="15.75" thickBot="1" x14ac:dyDescent="0.3">
      <c r="C5" s="1"/>
      <c r="D5" s="1"/>
      <c r="E5" s="1"/>
      <c r="F5" s="18"/>
    </row>
    <row r="6" spans="3:17" ht="42.75" customHeight="1" thickBot="1" x14ac:dyDescent="0.3">
      <c r="C6" s="1033" t="s">
        <v>154</v>
      </c>
      <c r="D6" s="1034"/>
      <c r="E6" s="1035"/>
      <c r="F6" s="24"/>
    </row>
    <row r="7" spans="3:17" ht="24" thickBot="1" x14ac:dyDescent="0.4">
      <c r="C7" s="1060" t="s">
        <v>59</v>
      </c>
      <c r="D7" s="1061"/>
      <c r="E7" s="1061"/>
      <c r="F7" s="1061"/>
    </row>
    <row r="8" spans="3:17" ht="21.75" thickBot="1" x14ac:dyDescent="0.3">
      <c r="C8" s="1017" t="s">
        <v>60</v>
      </c>
      <c r="D8" s="1018"/>
      <c r="E8" s="1018"/>
      <c r="F8" s="1019"/>
    </row>
    <row r="9" spans="3:17" ht="23.25" customHeight="1" thickBot="1" x14ac:dyDescent="0.3">
      <c r="C9" s="1030" t="s">
        <v>58</v>
      </c>
      <c r="D9" s="1031"/>
      <c r="E9" s="1031"/>
      <c r="F9" s="1032"/>
      <c r="G9" s="84">
        <v>1</v>
      </c>
      <c r="H9" s="84">
        <v>2</v>
      </c>
      <c r="I9" s="84">
        <v>3</v>
      </c>
      <c r="J9" s="84">
        <v>4</v>
      </c>
      <c r="K9" s="84">
        <v>5</v>
      </c>
      <c r="L9" s="84">
        <v>6</v>
      </c>
      <c r="M9" s="84">
        <v>7</v>
      </c>
      <c r="N9" s="84">
        <v>8</v>
      </c>
      <c r="O9" s="84">
        <v>9</v>
      </c>
      <c r="P9" s="84">
        <v>10</v>
      </c>
      <c r="Q9" s="84">
        <v>11</v>
      </c>
    </row>
    <row r="10" spans="3:17" s="89" customFormat="1" ht="128.25" customHeight="1" thickBot="1" x14ac:dyDescent="0.3">
      <c r="C10" s="1062" t="s">
        <v>89</v>
      </c>
      <c r="D10" s="1063"/>
      <c r="E10" s="1063"/>
      <c r="F10" s="1081"/>
      <c r="G10" s="85" t="s">
        <v>189</v>
      </c>
      <c r="H10" s="85" t="s">
        <v>957</v>
      </c>
      <c r="I10" s="85" t="s">
        <v>1252</v>
      </c>
      <c r="J10" s="85" t="s">
        <v>958</v>
      </c>
      <c r="K10" s="85" t="s">
        <v>205</v>
      </c>
      <c r="L10" s="85" t="s">
        <v>956</v>
      </c>
      <c r="M10" s="85" t="s">
        <v>963</v>
      </c>
      <c r="N10" s="85" t="s">
        <v>962</v>
      </c>
      <c r="O10" s="85" t="s">
        <v>960</v>
      </c>
      <c r="P10" s="85" t="s">
        <v>229</v>
      </c>
      <c r="Q10" s="106" t="s">
        <v>1091</v>
      </c>
    </row>
    <row r="11" spans="3:17" s="89" customFormat="1" ht="32.25" customHeight="1" thickBot="1" x14ac:dyDescent="0.3">
      <c r="C11" s="1058" t="s">
        <v>28</v>
      </c>
      <c r="D11" s="1059"/>
      <c r="E11" s="1059"/>
      <c r="F11" s="1082"/>
      <c r="G11" s="94" t="s">
        <v>190</v>
      </c>
      <c r="H11" s="94" t="s">
        <v>195</v>
      </c>
      <c r="I11" s="94" t="s">
        <v>195</v>
      </c>
      <c r="J11" s="94" t="s">
        <v>202</v>
      </c>
      <c r="K11" s="94" t="s">
        <v>206</v>
      </c>
      <c r="L11" s="94" t="s">
        <v>212</v>
      </c>
      <c r="M11" s="94" t="s">
        <v>223</v>
      </c>
      <c r="N11" s="500" t="s">
        <v>227</v>
      </c>
      <c r="O11" s="94" t="s">
        <v>961</v>
      </c>
      <c r="P11" s="94" t="s">
        <v>195</v>
      </c>
      <c r="Q11" s="94" t="s">
        <v>233</v>
      </c>
    </row>
    <row r="12" spans="3:17" ht="16.5" thickBot="1" x14ac:dyDescent="0.3">
      <c r="C12" s="1030" t="s">
        <v>269</v>
      </c>
      <c r="D12" s="1031"/>
      <c r="E12" s="1031"/>
      <c r="F12" s="1032"/>
      <c r="G12" s="94" t="s">
        <v>265</v>
      </c>
      <c r="H12" s="94" t="s">
        <v>246</v>
      </c>
      <c r="I12" s="94" t="s">
        <v>247</v>
      </c>
      <c r="J12" s="94" t="s">
        <v>248</v>
      </c>
      <c r="K12" s="94" t="s">
        <v>264</v>
      </c>
      <c r="L12" s="94" t="s">
        <v>250</v>
      </c>
      <c r="M12" s="94" t="s">
        <v>254</v>
      </c>
      <c r="N12" s="94" t="s">
        <v>253</v>
      </c>
      <c r="O12" s="94" t="s">
        <v>257</v>
      </c>
      <c r="P12" s="94" t="s">
        <v>259</v>
      </c>
      <c r="Q12" s="94" t="s">
        <v>261</v>
      </c>
    </row>
    <row r="13" spans="3:17" ht="22.5" customHeight="1" thickBot="1" x14ac:dyDescent="0.3">
      <c r="C13" s="1030" t="s">
        <v>55</v>
      </c>
      <c r="D13" s="1031"/>
      <c r="E13" s="1031"/>
      <c r="F13" s="1032"/>
      <c r="G13" s="94" t="s">
        <v>191</v>
      </c>
      <c r="H13" s="236" t="s">
        <v>196</v>
      </c>
      <c r="I13" s="236" t="s">
        <v>201</v>
      </c>
      <c r="J13" s="236" t="s">
        <v>203</v>
      </c>
      <c r="K13" s="236" t="s">
        <v>207</v>
      </c>
      <c r="L13" s="94" t="s">
        <v>209</v>
      </c>
      <c r="M13" s="236" t="s">
        <v>224</v>
      </c>
      <c r="N13" s="94" t="s">
        <v>225</v>
      </c>
      <c r="O13" s="94" t="s">
        <v>228</v>
      </c>
      <c r="P13" s="94" t="s">
        <v>230</v>
      </c>
      <c r="Q13" s="94" t="s">
        <v>234</v>
      </c>
    </row>
    <row r="14" spans="3:17" ht="30.75" customHeight="1" thickBot="1" x14ac:dyDescent="0.3">
      <c r="C14" s="1030" t="s">
        <v>38</v>
      </c>
      <c r="D14" s="1031"/>
      <c r="E14" s="1031"/>
      <c r="F14" s="1032"/>
      <c r="G14" s="94" t="s">
        <v>316</v>
      </c>
      <c r="H14" s="94" t="s">
        <v>316</v>
      </c>
      <c r="I14" s="94" t="s">
        <v>316</v>
      </c>
      <c r="J14" s="94" t="s">
        <v>316</v>
      </c>
      <c r="K14" s="94" t="s">
        <v>316</v>
      </c>
      <c r="L14" s="94" t="s">
        <v>316</v>
      </c>
      <c r="M14" s="94" t="s">
        <v>316</v>
      </c>
      <c r="N14" s="94" t="s">
        <v>316</v>
      </c>
      <c r="O14" s="94" t="s">
        <v>316</v>
      </c>
      <c r="P14" s="94" t="s">
        <v>316</v>
      </c>
      <c r="Q14" s="94" t="s">
        <v>316</v>
      </c>
    </row>
    <row r="15" spans="3:17" ht="15" customHeight="1" x14ac:dyDescent="0.25">
      <c r="C15" s="1020" t="s">
        <v>0</v>
      </c>
      <c r="D15" s="1021"/>
      <c r="E15" s="1022"/>
      <c r="F15" s="20"/>
      <c r="G15" s="66"/>
      <c r="H15" s="86"/>
      <c r="I15" s="86"/>
      <c r="J15" s="86"/>
      <c r="K15" s="66"/>
      <c r="L15" s="66"/>
      <c r="M15" s="66"/>
      <c r="N15" s="66"/>
      <c r="O15" s="66"/>
      <c r="P15" s="86"/>
      <c r="Q15" s="66"/>
    </row>
    <row r="16" spans="3:17" s="10" customFormat="1" ht="15" customHeight="1" x14ac:dyDescent="0.25">
      <c r="C16" s="1009">
        <v>1</v>
      </c>
      <c r="D16" s="1009"/>
      <c r="E16" s="29" t="s">
        <v>23</v>
      </c>
      <c r="F16" s="21" t="s">
        <v>39</v>
      </c>
      <c r="G16" s="78">
        <v>4509</v>
      </c>
      <c r="H16" s="78">
        <v>3249</v>
      </c>
      <c r="I16" s="78">
        <v>1410</v>
      </c>
      <c r="J16" s="78">
        <v>644</v>
      </c>
      <c r="K16" s="78">
        <v>2788</v>
      </c>
      <c r="L16" s="67">
        <v>3097</v>
      </c>
      <c r="M16" s="78">
        <v>1623</v>
      </c>
      <c r="N16" s="67">
        <f>63+282+336+84+193+930+205</f>
        <v>2093</v>
      </c>
      <c r="O16" s="78">
        <v>528</v>
      </c>
      <c r="P16" s="78">
        <f>2037+1668+1759</f>
        <v>5464</v>
      </c>
      <c r="Q16" s="78">
        <v>6078</v>
      </c>
    </row>
    <row r="17" spans="3:17" s="10" customFormat="1" x14ac:dyDescent="0.25">
      <c r="C17" s="1009">
        <v>2</v>
      </c>
      <c r="D17" s="1009"/>
      <c r="E17" s="29" t="s">
        <v>19</v>
      </c>
      <c r="F17" s="21" t="s">
        <v>41</v>
      </c>
      <c r="G17" s="78">
        <v>420</v>
      </c>
      <c r="H17" s="67">
        <v>587</v>
      </c>
      <c r="I17" s="67">
        <v>621</v>
      </c>
      <c r="J17" s="67">
        <v>63</v>
      </c>
      <c r="K17" s="67">
        <v>383</v>
      </c>
      <c r="L17" s="67">
        <v>171</v>
      </c>
      <c r="M17" s="78">
        <v>321</v>
      </c>
      <c r="N17" s="67">
        <f>6+43+68+24+54+109+30</f>
        <v>334</v>
      </c>
      <c r="O17" s="67">
        <v>54</v>
      </c>
      <c r="P17" s="67">
        <f>318+157+264</f>
        <v>739</v>
      </c>
      <c r="Q17" s="78">
        <v>300</v>
      </c>
    </row>
    <row r="18" spans="3:17" s="10" customFormat="1" ht="15" customHeight="1" x14ac:dyDescent="0.25">
      <c r="C18" s="1009">
        <v>3</v>
      </c>
      <c r="D18" s="1009"/>
      <c r="E18" s="29" t="s">
        <v>24</v>
      </c>
      <c r="F18" s="21" t="s">
        <v>42</v>
      </c>
      <c r="G18" s="78">
        <v>2400</v>
      </c>
      <c r="H18" s="68">
        <v>1470</v>
      </c>
      <c r="I18" s="68">
        <v>700</v>
      </c>
      <c r="J18" s="68">
        <v>400</v>
      </c>
      <c r="K18" s="78">
        <v>2500</v>
      </c>
      <c r="L18" s="67">
        <v>2830</v>
      </c>
      <c r="M18" s="78">
        <v>800</v>
      </c>
      <c r="N18" s="67">
        <v>1000</v>
      </c>
      <c r="O18" s="68">
        <v>400</v>
      </c>
      <c r="P18" s="68">
        <v>3200</v>
      </c>
      <c r="Q18" s="78">
        <v>2000</v>
      </c>
    </row>
    <row r="19" spans="3:17" s="10" customFormat="1" ht="15" customHeight="1" x14ac:dyDescent="0.25">
      <c r="C19" s="48">
        <v>4</v>
      </c>
      <c r="D19" s="48"/>
      <c r="E19" s="49" t="s">
        <v>62</v>
      </c>
      <c r="F19" s="50" t="s">
        <v>67</v>
      </c>
      <c r="G19" s="67">
        <v>8.0000000000000004E-4</v>
      </c>
      <c r="H19" s="67">
        <f>1/1000</f>
        <v>1E-3</v>
      </c>
      <c r="I19" s="67">
        <v>1E-3</v>
      </c>
      <c r="J19" s="67">
        <v>1E-3</v>
      </c>
      <c r="K19" s="67">
        <v>1.5E-3</v>
      </c>
      <c r="L19" s="67">
        <v>1E-3</v>
      </c>
      <c r="M19" s="67">
        <v>8.0000000000000004E-4</v>
      </c>
      <c r="N19" s="67">
        <f>8/1000</f>
        <v>8.0000000000000002E-3</v>
      </c>
      <c r="O19" s="67">
        <v>1E-3</v>
      </c>
      <c r="P19" s="67">
        <f>1.7/1000</f>
        <v>1.6999999999999999E-3</v>
      </c>
      <c r="Q19" s="67">
        <v>8.0000000000000004E-4</v>
      </c>
    </row>
    <row r="20" spans="3:17" s="10" customFormat="1" x14ac:dyDescent="0.25">
      <c r="C20" s="1009">
        <v>5</v>
      </c>
      <c r="D20" s="1009"/>
      <c r="E20" s="29" t="s">
        <v>63</v>
      </c>
      <c r="F20" s="21"/>
      <c r="G20" s="68"/>
      <c r="H20" s="68"/>
      <c r="I20" s="68"/>
      <c r="J20" s="68"/>
      <c r="K20" s="68"/>
      <c r="L20" s="68"/>
      <c r="M20" s="68"/>
      <c r="N20" s="99"/>
      <c r="O20" s="68"/>
      <c r="P20" s="68"/>
      <c r="Q20" s="68"/>
    </row>
    <row r="21" spans="3:17" s="10" customFormat="1" x14ac:dyDescent="0.25">
      <c r="C21" s="48"/>
      <c r="D21" s="48" t="s">
        <v>64</v>
      </c>
      <c r="E21" s="49" t="s">
        <v>68</v>
      </c>
      <c r="F21" s="50" t="s">
        <v>71</v>
      </c>
      <c r="G21" s="69"/>
      <c r="H21" s="69">
        <v>2.5</v>
      </c>
      <c r="I21" s="69"/>
      <c r="J21" s="69">
        <v>2</v>
      </c>
      <c r="K21" s="69">
        <v>2</v>
      </c>
      <c r="L21" s="69"/>
      <c r="M21" s="69"/>
      <c r="N21" s="69">
        <v>2</v>
      </c>
      <c r="O21" s="69">
        <v>1</v>
      </c>
      <c r="P21" s="69">
        <v>4</v>
      </c>
      <c r="Q21" s="69"/>
    </row>
    <row r="22" spans="3:17" s="10" customFormat="1" ht="15" customHeight="1" x14ac:dyDescent="0.25">
      <c r="C22" s="48"/>
      <c r="D22" s="48" t="s">
        <v>65</v>
      </c>
      <c r="E22" s="49" t="s">
        <v>69</v>
      </c>
      <c r="F22" s="50" t="s">
        <v>72</v>
      </c>
      <c r="G22" s="69"/>
      <c r="H22" s="69">
        <v>1</v>
      </c>
      <c r="I22" s="69"/>
      <c r="J22" s="69">
        <v>1</v>
      </c>
      <c r="K22" s="69">
        <v>1</v>
      </c>
      <c r="L22" s="69"/>
      <c r="M22" s="69"/>
      <c r="N22" s="69">
        <v>1</v>
      </c>
      <c r="O22" s="69">
        <v>1</v>
      </c>
      <c r="P22" s="69">
        <v>1</v>
      </c>
      <c r="Q22" s="69"/>
    </row>
    <row r="23" spans="3:17" s="10" customFormat="1" ht="16.5" customHeight="1" x14ac:dyDescent="0.25">
      <c r="C23" s="48"/>
      <c r="D23" s="48" t="s">
        <v>66</v>
      </c>
      <c r="E23" s="49" t="s">
        <v>70</v>
      </c>
      <c r="F23" s="50" t="s">
        <v>167</v>
      </c>
      <c r="G23" s="69"/>
      <c r="H23" s="69">
        <v>1.2</v>
      </c>
      <c r="I23" s="69"/>
      <c r="J23" s="69">
        <v>1</v>
      </c>
      <c r="K23" s="69">
        <v>0.7</v>
      </c>
      <c r="L23" s="69"/>
      <c r="M23" s="69"/>
      <c r="N23" s="69">
        <v>0.7</v>
      </c>
      <c r="O23" s="69">
        <v>0.5</v>
      </c>
      <c r="P23" s="69">
        <v>1.5</v>
      </c>
      <c r="Q23" s="69"/>
    </row>
    <row r="24" spans="3:17" s="10" customFormat="1" ht="16.5" customHeight="1" x14ac:dyDescent="0.25">
      <c r="C24" s="1009">
        <v>6</v>
      </c>
      <c r="D24" s="1009"/>
      <c r="E24" s="29" t="s">
        <v>73</v>
      </c>
      <c r="F24" s="21" t="s">
        <v>74</v>
      </c>
      <c r="G24" s="70" t="s">
        <v>184</v>
      </c>
      <c r="H24" s="70" t="s">
        <v>197</v>
      </c>
      <c r="I24" s="70" t="s">
        <v>184</v>
      </c>
      <c r="J24" s="70" t="s">
        <v>197</v>
      </c>
      <c r="K24" s="70" t="s">
        <v>208</v>
      </c>
      <c r="L24" s="70" t="s">
        <v>184</v>
      </c>
      <c r="M24" s="70" t="s">
        <v>184</v>
      </c>
      <c r="N24" s="72" t="s">
        <v>226</v>
      </c>
      <c r="O24" s="70" t="s">
        <v>184</v>
      </c>
      <c r="P24" s="70" t="s">
        <v>197</v>
      </c>
      <c r="Q24" s="70" t="s">
        <v>184</v>
      </c>
    </row>
    <row r="25" spans="3:17" s="10" customFormat="1" ht="15" customHeight="1" x14ac:dyDescent="0.25">
      <c r="C25" s="1009">
        <v>7</v>
      </c>
      <c r="D25" s="1009"/>
      <c r="E25" s="29" t="s">
        <v>2</v>
      </c>
      <c r="F25" s="21" t="s">
        <v>44</v>
      </c>
      <c r="G25" s="1013"/>
      <c r="H25" s="1013">
        <v>0.02</v>
      </c>
      <c r="I25" s="1013">
        <v>0</v>
      </c>
      <c r="J25" s="1013">
        <v>0.1</v>
      </c>
      <c r="K25" s="1013">
        <v>0.05</v>
      </c>
      <c r="L25" s="1013">
        <v>0</v>
      </c>
      <c r="M25" s="1013"/>
      <c r="N25" s="1014">
        <v>0.05</v>
      </c>
      <c r="O25" s="1013">
        <v>0.1</v>
      </c>
      <c r="P25" s="1013">
        <v>0.04</v>
      </c>
      <c r="Q25" s="1013">
        <v>0.1</v>
      </c>
    </row>
    <row r="26" spans="3:17" s="10" customFormat="1" x14ac:dyDescent="0.25">
      <c r="C26" s="1009"/>
      <c r="D26" s="1009"/>
      <c r="E26" s="29"/>
      <c r="F26" s="21"/>
      <c r="G26" s="1012" t="e">
        <f>+#REF!*(1+G25)</f>
        <v>#REF!</v>
      </c>
      <c r="H26" s="1012">
        <f>+H4*(1+H25)</f>
        <v>2.2701115212243952E-3</v>
      </c>
      <c r="I26" s="1012">
        <f t="shared" ref="I26:Q26" si="4">+J4*(1+I25)</f>
        <v>6.4951905283832906E-2</v>
      </c>
      <c r="J26" s="1012">
        <f t="shared" si="4"/>
        <v>1.9307589057155738E-3</v>
      </c>
      <c r="K26" s="1012">
        <f t="shared" si="4"/>
        <v>0</v>
      </c>
      <c r="L26" s="1012">
        <f t="shared" si="4"/>
        <v>0</v>
      </c>
      <c r="M26" s="1012">
        <f t="shared" si="4"/>
        <v>2.6084478143140986E-3</v>
      </c>
      <c r="N26" s="1012">
        <f t="shared" si="4"/>
        <v>1.9289731724417527E-2</v>
      </c>
      <c r="O26" s="1012">
        <f t="shared" si="4"/>
        <v>2.3416983207472791E-3</v>
      </c>
      <c r="P26" s="1012">
        <f t="shared" si="4"/>
        <v>0</v>
      </c>
      <c r="Q26" s="1012">
        <f t="shared" si="4"/>
        <v>0</v>
      </c>
    </row>
    <row r="27" spans="3:17" s="10" customFormat="1" x14ac:dyDescent="0.25">
      <c r="C27" s="27" t="s">
        <v>3</v>
      </c>
      <c r="D27" s="27"/>
      <c r="E27" s="30"/>
      <c r="F27" s="21"/>
      <c r="G27" s="70"/>
      <c r="H27" s="70"/>
      <c r="I27" s="70"/>
      <c r="J27" s="70"/>
      <c r="K27" s="70"/>
      <c r="L27" s="70"/>
      <c r="M27" s="70"/>
      <c r="N27" s="101"/>
      <c r="O27" s="70"/>
      <c r="P27" s="70"/>
      <c r="Q27" s="70"/>
    </row>
    <row r="28" spans="3:17" s="10" customFormat="1" ht="15.75" customHeight="1" x14ac:dyDescent="0.25">
      <c r="C28" s="1009">
        <v>8</v>
      </c>
      <c r="D28" s="1009"/>
      <c r="E28" s="29" t="s">
        <v>4</v>
      </c>
      <c r="F28" s="21"/>
      <c r="G28" s="70" t="s">
        <v>192</v>
      </c>
      <c r="H28" s="70" t="s">
        <v>198</v>
      </c>
      <c r="I28" s="70" t="s">
        <v>185</v>
      </c>
      <c r="J28" s="70" t="s">
        <v>198</v>
      </c>
      <c r="K28" s="70" t="s">
        <v>185</v>
      </c>
      <c r="L28" s="70" t="s">
        <v>185</v>
      </c>
      <c r="M28" s="70" t="s">
        <v>192</v>
      </c>
      <c r="N28" s="72" t="s">
        <v>185</v>
      </c>
      <c r="O28" s="70" t="s">
        <v>185</v>
      </c>
      <c r="P28" s="70" t="s">
        <v>198</v>
      </c>
      <c r="Q28" s="70" t="s">
        <v>235</v>
      </c>
    </row>
    <row r="29" spans="3:17" s="10" customFormat="1" ht="15" customHeight="1" x14ac:dyDescent="0.25">
      <c r="C29" s="1009">
        <v>9</v>
      </c>
      <c r="D29" s="1009"/>
      <c r="E29" s="29" t="s">
        <v>25</v>
      </c>
      <c r="F29" s="21"/>
      <c r="G29" s="68"/>
      <c r="H29" s="68">
        <v>300</v>
      </c>
      <c r="I29" s="68">
        <v>300</v>
      </c>
      <c r="J29" s="68">
        <v>800</v>
      </c>
      <c r="K29" s="68">
        <v>400</v>
      </c>
      <c r="L29" s="68"/>
      <c r="M29" s="68"/>
      <c r="N29" s="69">
        <v>400</v>
      </c>
      <c r="O29" s="68">
        <v>400</v>
      </c>
      <c r="P29" s="68">
        <v>400</v>
      </c>
      <c r="Q29" s="68"/>
    </row>
    <row r="30" spans="3:17" s="10" customFormat="1" x14ac:dyDescent="0.25">
      <c r="C30" s="1009">
        <v>10</v>
      </c>
      <c r="D30" s="1009"/>
      <c r="E30" s="29" t="s">
        <v>77</v>
      </c>
      <c r="F30" s="21"/>
      <c r="G30" s="68"/>
      <c r="H30" s="68"/>
      <c r="I30" s="68"/>
      <c r="J30" s="68"/>
      <c r="K30" s="68"/>
      <c r="L30" s="68"/>
      <c r="M30" s="68"/>
      <c r="N30" s="99"/>
      <c r="O30" s="68"/>
      <c r="P30" s="68"/>
      <c r="Q30" s="68"/>
    </row>
    <row r="31" spans="3:17" s="10" customFormat="1" ht="15" customHeight="1" x14ac:dyDescent="0.25">
      <c r="C31" s="48"/>
      <c r="D31" s="48" t="s">
        <v>78</v>
      </c>
      <c r="E31" s="49" t="s">
        <v>79</v>
      </c>
      <c r="F31" s="50"/>
      <c r="G31" s="72" t="s">
        <v>193</v>
      </c>
      <c r="H31" s="72" t="s">
        <v>199</v>
      </c>
      <c r="I31" s="72" t="s">
        <v>430</v>
      </c>
      <c r="J31" s="72" t="s">
        <v>204</v>
      </c>
      <c r="K31" s="72" t="s">
        <v>204</v>
      </c>
      <c r="L31" s="72" t="s">
        <v>210</v>
      </c>
      <c r="M31" s="72" t="s">
        <v>193</v>
      </c>
      <c r="N31" s="72" t="s">
        <v>204</v>
      </c>
      <c r="O31" s="72" t="s">
        <v>204</v>
      </c>
      <c r="P31" s="72" t="s">
        <v>204</v>
      </c>
      <c r="Q31" s="72" t="s">
        <v>236</v>
      </c>
    </row>
    <row r="32" spans="3:17" s="10" customFormat="1" x14ac:dyDescent="0.25">
      <c r="C32" s="48"/>
      <c r="D32" s="48" t="s">
        <v>80</v>
      </c>
      <c r="E32" s="49" t="s">
        <v>81</v>
      </c>
      <c r="F32" s="50" t="s">
        <v>71</v>
      </c>
      <c r="G32" s="73"/>
      <c r="H32" s="73">
        <v>1.5</v>
      </c>
      <c r="I32" s="73">
        <v>1.1000000000000001</v>
      </c>
      <c r="J32" s="73">
        <v>0.5</v>
      </c>
      <c r="K32" s="73">
        <v>1.2</v>
      </c>
      <c r="L32" s="73"/>
      <c r="M32" s="73"/>
      <c r="N32" s="73">
        <v>0.6</v>
      </c>
      <c r="O32" s="73">
        <v>0.3</v>
      </c>
      <c r="P32" s="73">
        <v>1.4</v>
      </c>
      <c r="Q32" s="73"/>
    </row>
    <row r="33" spans="3:18" s="10" customFormat="1" x14ac:dyDescent="0.25">
      <c r="C33" s="48"/>
      <c r="D33" s="48" t="s">
        <v>82</v>
      </c>
      <c r="E33" s="49" t="s">
        <v>85</v>
      </c>
      <c r="F33" s="50" t="s">
        <v>178</v>
      </c>
      <c r="G33" s="73"/>
      <c r="H33" s="73">
        <v>1</v>
      </c>
      <c r="I33" s="73">
        <v>0.9</v>
      </c>
      <c r="J33" s="73">
        <v>0.8</v>
      </c>
      <c r="K33" s="73">
        <v>1.2</v>
      </c>
      <c r="L33" s="73"/>
      <c r="M33" s="73"/>
      <c r="N33" s="73">
        <v>1.1000000000000001</v>
      </c>
      <c r="O33" s="73">
        <v>0.8</v>
      </c>
      <c r="P33" s="73">
        <v>1.2</v>
      </c>
      <c r="Q33" s="73"/>
    </row>
    <row r="34" spans="3:18" s="10" customFormat="1" ht="15" customHeight="1" x14ac:dyDescent="0.25">
      <c r="C34" s="48"/>
      <c r="D34" s="48" t="s">
        <v>83</v>
      </c>
      <c r="E34" s="49" t="s">
        <v>86</v>
      </c>
      <c r="F34" s="50" t="s">
        <v>179</v>
      </c>
      <c r="G34" s="73"/>
      <c r="H34" s="73">
        <v>0</v>
      </c>
      <c r="I34" s="73">
        <v>0</v>
      </c>
      <c r="J34" s="73">
        <v>1</v>
      </c>
      <c r="K34" s="73">
        <v>1</v>
      </c>
      <c r="L34" s="73"/>
      <c r="M34" s="73"/>
      <c r="N34" s="73">
        <v>1</v>
      </c>
      <c r="O34" s="73">
        <v>1</v>
      </c>
      <c r="P34" s="73">
        <v>1</v>
      </c>
      <c r="Q34" s="73"/>
    </row>
    <row r="35" spans="3:18" s="10" customFormat="1" x14ac:dyDescent="0.25">
      <c r="C35" s="48"/>
      <c r="D35" s="48" t="s">
        <v>84</v>
      </c>
      <c r="E35" s="49" t="s">
        <v>87</v>
      </c>
      <c r="F35" s="50" t="s">
        <v>180</v>
      </c>
      <c r="G35" s="69"/>
      <c r="H35" s="69">
        <v>0.12</v>
      </c>
      <c r="I35" s="69">
        <v>0.12</v>
      </c>
      <c r="J35" s="69">
        <v>0.08</v>
      </c>
      <c r="K35" s="69">
        <v>0.1</v>
      </c>
      <c r="L35" s="69"/>
      <c r="M35" s="69"/>
      <c r="N35" s="69">
        <v>0.1</v>
      </c>
      <c r="O35" s="69">
        <v>0.08</v>
      </c>
      <c r="P35" s="69">
        <v>0.1</v>
      </c>
      <c r="Q35" s="69"/>
    </row>
    <row r="36" spans="3:18" s="10" customFormat="1" ht="15" customHeight="1" x14ac:dyDescent="0.25">
      <c r="C36" s="1036">
        <v>11</v>
      </c>
      <c r="D36" s="1009" t="s">
        <v>142</v>
      </c>
      <c r="E36" s="29" t="s">
        <v>29</v>
      </c>
      <c r="F36" s="21" t="s">
        <v>43</v>
      </c>
      <c r="G36" s="74">
        <v>250000</v>
      </c>
      <c r="H36" s="87">
        <v>3200000</v>
      </c>
      <c r="I36" s="74">
        <v>2400000</v>
      </c>
      <c r="J36" s="93">
        <v>3700000</v>
      </c>
      <c r="K36" s="74">
        <v>3800000</v>
      </c>
      <c r="L36" s="74">
        <v>700000</v>
      </c>
      <c r="M36" s="74">
        <v>200000</v>
      </c>
      <c r="N36" s="87">
        <v>3200000</v>
      </c>
      <c r="O36" s="93">
        <v>1800000</v>
      </c>
      <c r="P36" s="93">
        <v>3900000</v>
      </c>
      <c r="Q36" s="74">
        <v>270000</v>
      </c>
    </row>
    <row r="37" spans="3:18" s="10" customFormat="1" ht="15" customHeight="1" x14ac:dyDescent="0.25">
      <c r="C37" s="1036"/>
      <c r="D37" s="1009" t="s">
        <v>143</v>
      </c>
      <c r="E37" s="29" t="s">
        <v>30</v>
      </c>
      <c r="F37" s="21" t="s">
        <v>40</v>
      </c>
      <c r="G37" s="74">
        <f t="shared" ref="G37:L37" si="5">+G36</f>
        <v>250000</v>
      </c>
      <c r="H37" s="87">
        <f t="shared" si="5"/>
        <v>3200000</v>
      </c>
      <c r="I37" s="74">
        <v>2400000</v>
      </c>
      <c r="J37" s="93">
        <f t="shared" si="5"/>
        <v>3700000</v>
      </c>
      <c r="K37" s="74">
        <f t="shared" si="5"/>
        <v>3800000</v>
      </c>
      <c r="L37" s="74">
        <f t="shared" si="5"/>
        <v>700000</v>
      </c>
      <c r="M37" s="74">
        <f t="shared" ref="M37:Q37" si="6">+M36</f>
        <v>200000</v>
      </c>
      <c r="N37" s="87">
        <f t="shared" si="6"/>
        <v>3200000</v>
      </c>
      <c r="O37" s="93">
        <f t="shared" si="6"/>
        <v>1800000</v>
      </c>
      <c r="P37" s="93">
        <f t="shared" si="6"/>
        <v>3900000</v>
      </c>
      <c r="Q37" s="74">
        <f t="shared" si="6"/>
        <v>270000</v>
      </c>
      <c r="R37" s="104">
        <f>SUM(G37:Q37)</f>
        <v>23420000</v>
      </c>
    </row>
    <row r="38" spans="3:18" s="10" customFormat="1" x14ac:dyDescent="0.25">
      <c r="C38" s="27" t="s">
        <v>5</v>
      </c>
      <c r="D38" s="27"/>
      <c r="E38" s="30"/>
      <c r="F38" s="22"/>
      <c r="G38" s="75"/>
      <c r="H38" s="75"/>
      <c r="I38" s="75"/>
      <c r="J38" s="75"/>
      <c r="K38" s="75"/>
      <c r="L38" s="75"/>
      <c r="M38" s="75"/>
      <c r="N38" s="102"/>
      <c r="O38" s="75"/>
      <c r="P38" s="75"/>
      <c r="Q38" s="75"/>
    </row>
    <row r="39" spans="3:18" s="10" customFormat="1" ht="15" customHeight="1" x14ac:dyDescent="0.25">
      <c r="C39" s="1009">
        <v>12</v>
      </c>
      <c r="D39" s="1009"/>
      <c r="E39" s="29" t="s">
        <v>21</v>
      </c>
      <c r="F39" s="21" t="s">
        <v>45</v>
      </c>
      <c r="G39" s="76">
        <v>0.41310000000000002</v>
      </c>
      <c r="H39" s="76">
        <v>0.40510000000000002</v>
      </c>
      <c r="I39" s="76">
        <v>0.48259999999999997</v>
      </c>
      <c r="J39" s="76">
        <v>0.38740000000000002</v>
      </c>
      <c r="K39" s="90">
        <v>0.32979999999999998</v>
      </c>
      <c r="L39" s="76">
        <v>0.43219999999999997</v>
      </c>
      <c r="M39" s="76">
        <v>0.31119999999999998</v>
      </c>
      <c r="N39" s="90">
        <v>0.49569999999999997</v>
      </c>
      <c r="O39" s="76">
        <v>0.35980000000000001</v>
      </c>
      <c r="P39" s="76">
        <v>0.70199999999999996</v>
      </c>
      <c r="Q39" s="76">
        <v>0.58360000000000001</v>
      </c>
    </row>
    <row r="40" spans="3:18" s="10" customFormat="1" ht="15" customHeight="1" x14ac:dyDescent="0.25">
      <c r="C40" s="1009">
        <v>13</v>
      </c>
      <c r="D40" s="1009"/>
      <c r="E40" s="29" t="s">
        <v>88</v>
      </c>
      <c r="F40" s="21" t="s">
        <v>48</v>
      </c>
      <c r="G40" s="76">
        <v>0.72740000000000005</v>
      </c>
      <c r="H40" s="76">
        <v>0.49759999999999999</v>
      </c>
      <c r="I40" s="76">
        <v>0.57589999999999997</v>
      </c>
      <c r="J40" s="76">
        <v>0.54449999999999998</v>
      </c>
      <c r="K40" s="90">
        <v>0.77890000000000004</v>
      </c>
      <c r="L40" s="76">
        <v>0.72440000000000004</v>
      </c>
      <c r="M40" s="76">
        <v>0.31630000000000003</v>
      </c>
      <c r="N40" s="90">
        <v>0.70369999999999999</v>
      </c>
      <c r="O40" s="76">
        <v>0.45660000000000001</v>
      </c>
      <c r="P40" s="76">
        <v>0.81040000000000001</v>
      </c>
      <c r="Q40" s="76">
        <v>0.49170000000000003</v>
      </c>
    </row>
    <row r="41" spans="3:18" s="10" customFormat="1" ht="15" customHeight="1" x14ac:dyDescent="0.25">
      <c r="C41" s="1009">
        <v>14</v>
      </c>
      <c r="D41" s="1009"/>
      <c r="E41" s="30" t="s">
        <v>22</v>
      </c>
      <c r="F41" s="21" t="s">
        <v>46</v>
      </c>
      <c r="G41" s="77">
        <v>807200</v>
      </c>
      <c r="H41" s="77">
        <v>963150</v>
      </c>
      <c r="I41" s="77">
        <v>899212</v>
      </c>
      <c r="J41" s="77">
        <v>943700</v>
      </c>
      <c r="K41" s="91">
        <v>1057000</v>
      </c>
      <c r="L41" s="77">
        <v>2557000</v>
      </c>
      <c r="M41" s="77">
        <v>696300</v>
      </c>
      <c r="N41" s="91">
        <v>1269000</v>
      </c>
      <c r="O41" s="77">
        <v>1472350</v>
      </c>
      <c r="P41" s="77">
        <v>4440300</v>
      </c>
      <c r="Q41" s="77">
        <v>1644900</v>
      </c>
    </row>
    <row r="42" spans="3:18" s="10" customFormat="1" ht="18" customHeight="1" x14ac:dyDescent="0.25">
      <c r="C42" s="28" t="s">
        <v>6</v>
      </c>
      <c r="D42" s="28"/>
      <c r="E42" s="31"/>
      <c r="F42" s="32" t="s">
        <v>54</v>
      </c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3:18" s="10" customFormat="1" x14ac:dyDescent="0.25">
      <c r="C43" s="1036">
        <v>15</v>
      </c>
      <c r="D43" s="1009"/>
      <c r="E43" s="33" t="s">
        <v>7</v>
      </c>
      <c r="F43" s="21">
        <v>40</v>
      </c>
      <c r="G43" s="68"/>
      <c r="H43" s="68"/>
      <c r="I43" s="68"/>
      <c r="J43" s="68">
        <v>1</v>
      </c>
      <c r="K43" s="68"/>
      <c r="L43" s="68"/>
      <c r="M43" s="68"/>
      <c r="N43" s="68"/>
      <c r="O43" s="68"/>
      <c r="P43" s="68"/>
      <c r="Q43" s="68"/>
    </row>
    <row r="44" spans="3:18" s="10" customFormat="1" x14ac:dyDescent="0.25">
      <c r="C44" s="1036"/>
      <c r="D44" s="1009"/>
      <c r="E44" s="33" t="s">
        <v>8</v>
      </c>
      <c r="F44" s="21">
        <v>26</v>
      </c>
      <c r="G44" s="70">
        <v>1</v>
      </c>
      <c r="H44" s="70">
        <v>1</v>
      </c>
      <c r="I44" s="70">
        <v>1</v>
      </c>
      <c r="J44" s="70">
        <v>0</v>
      </c>
      <c r="K44" s="70">
        <v>1</v>
      </c>
      <c r="L44" s="70">
        <v>1</v>
      </c>
      <c r="M44" s="70">
        <v>1</v>
      </c>
      <c r="N44" s="70">
        <v>1</v>
      </c>
      <c r="O44" s="70">
        <v>1</v>
      </c>
      <c r="P44" s="70">
        <v>1</v>
      </c>
      <c r="Q44" s="70">
        <v>1</v>
      </c>
    </row>
    <row r="45" spans="3:18" s="10" customFormat="1" x14ac:dyDescent="0.25">
      <c r="C45" s="1036"/>
      <c r="D45" s="1009"/>
      <c r="E45" s="33" t="s">
        <v>9</v>
      </c>
      <c r="F45" s="21">
        <v>13</v>
      </c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</row>
    <row r="46" spans="3:18" s="10" customFormat="1" x14ac:dyDescent="0.25">
      <c r="C46" s="1036"/>
      <c r="D46" s="1009"/>
      <c r="E46" s="33" t="s">
        <v>10</v>
      </c>
      <c r="F46" s="21">
        <v>0</v>
      </c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</row>
    <row r="47" spans="3:18" s="10" customFormat="1" ht="18" customHeight="1" x14ac:dyDescent="0.25">
      <c r="C47" s="28" t="s">
        <v>11</v>
      </c>
      <c r="D47" s="28"/>
      <c r="E47" s="31"/>
      <c r="F47" s="32" t="s">
        <v>50</v>
      </c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</row>
    <row r="48" spans="3:18" s="10" customFormat="1" x14ac:dyDescent="0.25">
      <c r="C48" s="1036">
        <v>16</v>
      </c>
      <c r="D48" s="1009"/>
      <c r="E48" s="33" t="s">
        <v>12</v>
      </c>
      <c r="F48" s="21">
        <v>40</v>
      </c>
      <c r="G48" s="78"/>
      <c r="H48" s="68"/>
      <c r="I48" s="78"/>
      <c r="J48" s="68"/>
      <c r="K48" s="68">
        <v>1</v>
      </c>
      <c r="L48" s="78"/>
      <c r="M48" s="78"/>
      <c r="N48" s="68"/>
      <c r="O48" s="68"/>
      <c r="P48" s="78">
        <v>1</v>
      </c>
      <c r="Q48" s="78"/>
    </row>
    <row r="49" spans="3:22" s="10" customFormat="1" x14ac:dyDescent="0.25">
      <c r="C49" s="1036"/>
      <c r="D49" s="1009"/>
      <c r="E49" s="33" t="s">
        <v>13</v>
      </c>
      <c r="F49" s="21">
        <v>26</v>
      </c>
      <c r="G49" s="78">
        <v>1</v>
      </c>
      <c r="H49" s="68">
        <v>1</v>
      </c>
      <c r="I49" s="78">
        <v>1</v>
      </c>
      <c r="J49" s="68">
        <v>1</v>
      </c>
      <c r="K49" s="78"/>
      <c r="L49" s="78">
        <v>1</v>
      </c>
      <c r="M49" s="78">
        <v>1</v>
      </c>
      <c r="N49" s="78">
        <v>1</v>
      </c>
      <c r="O49" s="68"/>
      <c r="P49" s="78"/>
      <c r="Q49" s="78">
        <v>1</v>
      </c>
    </row>
    <row r="50" spans="3:22" s="10" customFormat="1" x14ac:dyDescent="0.25">
      <c r="C50" s="1036"/>
      <c r="D50" s="1009"/>
      <c r="E50" s="33" t="s">
        <v>14</v>
      </c>
      <c r="F50" s="21">
        <v>13</v>
      </c>
      <c r="G50" s="78"/>
      <c r="H50" s="70"/>
      <c r="I50" s="78"/>
      <c r="J50" s="78"/>
      <c r="K50" s="78"/>
      <c r="L50" s="78"/>
      <c r="M50" s="78"/>
      <c r="N50" s="78"/>
      <c r="O50" s="78">
        <v>1</v>
      </c>
      <c r="P50" s="70"/>
      <c r="Q50" s="78"/>
    </row>
    <row r="51" spans="3:22" s="10" customFormat="1" x14ac:dyDescent="0.25">
      <c r="C51" s="1036"/>
      <c r="D51" s="1009"/>
      <c r="E51" s="33" t="s">
        <v>16</v>
      </c>
      <c r="F51" s="21">
        <v>0</v>
      </c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3:22" s="10" customFormat="1" x14ac:dyDescent="0.25">
      <c r="C52" s="27" t="s">
        <v>15</v>
      </c>
      <c r="D52" s="27"/>
      <c r="E52" s="30"/>
      <c r="F52" s="21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</row>
    <row r="53" spans="3:22" s="10" customFormat="1" ht="15" customHeight="1" x14ac:dyDescent="0.25">
      <c r="C53" s="1009">
        <v>17</v>
      </c>
      <c r="D53" s="1009"/>
      <c r="E53" s="29" t="s">
        <v>17</v>
      </c>
      <c r="F53" s="21" t="s">
        <v>47</v>
      </c>
      <c r="G53" s="79">
        <f>+G16*VBP_RA!O6</f>
        <v>350623228.38206172</v>
      </c>
      <c r="H53" s="79">
        <f>+H16*VBP_RA!O7</f>
        <v>253959973.13389954</v>
      </c>
      <c r="I53" s="79">
        <f>+I16*VBP_RA!O7</f>
        <v>110213469.41175695</v>
      </c>
      <c r="J53" s="79">
        <f>+J16*VBP_RA!O6</f>
        <v>50077923.947227262</v>
      </c>
      <c r="K53" s="92">
        <f>+K16*VBP_RA!O10</f>
        <v>267072446.00881046</v>
      </c>
      <c r="L53" s="79">
        <f>+L16*VBP_RA!O13</f>
        <v>286851705.38018608</v>
      </c>
      <c r="M53" s="79">
        <f>+M16*VBP_RA!O7</f>
        <v>126862738.19523513</v>
      </c>
      <c r="N53" s="92">
        <f>+N16*VBP_RA!O6</f>
        <v>162753252.82848862</v>
      </c>
      <c r="O53" s="79">
        <f>+O16*VBP_RA!O7</f>
        <v>41271426.843551539</v>
      </c>
      <c r="P53" s="79">
        <f>+P16*VBP_RA!O14</f>
        <v>513618616.67143255</v>
      </c>
      <c r="Q53" s="79">
        <f>+Q16*VBP_RA!O15</f>
        <v>428401868.73396909</v>
      </c>
    </row>
    <row r="54" spans="3:22" s="10" customFormat="1" ht="15.75" customHeight="1" x14ac:dyDescent="0.25">
      <c r="C54" s="1045">
        <v>18</v>
      </c>
      <c r="D54" s="1009">
        <v>18.100000000000001</v>
      </c>
      <c r="E54" s="29" t="s">
        <v>170</v>
      </c>
      <c r="F54" s="23" t="s">
        <v>53</v>
      </c>
      <c r="G54" s="81" t="s">
        <v>194</v>
      </c>
      <c r="H54" s="70" t="s">
        <v>194</v>
      </c>
      <c r="I54" s="70" t="s">
        <v>194</v>
      </c>
      <c r="J54" s="70" t="s">
        <v>194</v>
      </c>
      <c r="K54" s="70" t="s">
        <v>187</v>
      </c>
      <c r="L54" s="70" t="s">
        <v>211</v>
      </c>
      <c r="M54" s="70" t="s">
        <v>194</v>
      </c>
      <c r="N54" s="70" t="s">
        <v>194</v>
      </c>
      <c r="O54" s="70" t="s">
        <v>194</v>
      </c>
      <c r="P54" s="70" t="s">
        <v>194</v>
      </c>
      <c r="Q54" s="70" t="s">
        <v>237</v>
      </c>
    </row>
    <row r="55" spans="3:22" s="10" customFormat="1" ht="15.75" customHeight="1" x14ac:dyDescent="0.25">
      <c r="C55" s="1045"/>
      <c r="D55" s="1009">
        <v>18.2</v>
      </c>
      <c r="E55" s="29" t="s">
        <v>171</v>
      </c>
      <c r="F55" s="23" t="s">
        <v>53</v>
      </c>
      <c r="G55" s="82">
        <v>0.17799999999999999</v>
      </c>
      <c r="H55" s="80">
        <v>0.29360000000000003</v>
      </c>
      <c r="I55" s="80">
        <v>0.17599999999999999</v>
      </c>
      <c r="J55" s="80">
        <v>0.2203</v>
      </c>
      <c r="K55" s="80">
        <v>0.17449999999999999</v>
      </c>
      <c r="L55" s="80">
        <v>0.20580000000000001</v>
      </c>
      <c r="M55" s="80">
        <v>0.2361</v>
      </c>
      <c r="N55" s="80">
        <v>0.25750000000000001</v>
      </c>
      <c r="O55" s="80">
        <v>0.34899999999999998</v>
      </c>
      <c r="P55" s="80">
        <v>0.30580000000000002</v>
      </c>
      <c r="Q55" s="80">
        <v>0.121</v>
      </c>
    </row>
    <row r="56" spans="3:22" s="10" customFormat="1" ht="18" customHeight="1" x14ac:dyDescent="0.25">
      <c r="C56" s="1009">
        <v>19</v>
      </c>
      <c r="D56" s="1009"/>
      <c r="E56" s="29" t="s">
        <v>27</v>
      </c>
      <c r="F56" s="32" t="s">
        <v>52</v>
      </c>
      <c r="G56" s="81">
        <v>0</v>
      </c>
      <c r="H56" s="70">
        <v>40</v>
      </c>
      <c r="I56" s="81">
        <v>0</v>
      </c>
      <c r="J56" s="70">
        <v>40</v>
      </c>
      <c r="K56" s="70">
        <v>0</v>
      </c>
      <c r="L56" s="81">
        <v>26</v>
      </c>
      <c r="M56" s="81">
        <v>0</v>
      </c>
      <c r="N56" s="70">
        <v>0</v>
      </c>
      <c r="O56" s="81">
        <v>26</v>
      </c>
      <c r="P56" s="70">
        <v>40</v>
      </c>
      <c r="Q56" s="81">
        <v>0</v>
      </c>
    </row>
    <row r="57" spans="3:22" s="10" customFormat="1" ht="15.75" customHeight="1" x14ac:dyDescent="0.25">
      <c r="C57" s="1009">
        <v>20</v>
      </c>
      <c r="D57" s="1009"/>
      <c r="E57" s="29" t="s">
        <v>18</v>
      </c>
      <c r="F57" s="23" t="s">
        <v>53</v>
      </c>
      <c r="G57" s="492" t="s">
        <v>188</v>
      </c>
      <c r="H57" s="494" t="s">
        <v>200</v>
      </c>
      <c r="I57" s="492" t="s">
        <v>188</v>
      </c>
      <c r="J57" s="492" t="s">
        <v>188</v>
      </c>
      <c r="K57" s="493" t="s">
        <v>188</v>
      </c>
      <c r="L57" s="492" t="s">
        <v>188</v>
      </c>
      <c r="M57" s="492" t="s">
        <v>188</v>
      </c>
      <c r="N57" s="494" t="s">
        <v>200</v>
      </c>
      <c r="O57" s="492" t="s">
        <v>188</v>
      </c>
      <c r="P57" s="492" t="s">
        <v>188</v>
      </c>
      <c r="Q57" s="492" t="s">
        <v>188</v>
      </c>
    </row>
    <row r="58" spans="3:22" s="10" customFormat="1" ht="15" customHeight="1" x14ac:dyDescent="0.25">
      <c r="C58" s="1009">
        <v>21</v>
      </c>
      <c r="D58" s="1009"/>
      <c r="E58" s="29" t="s">
        <v>20</v>
      </c>
      <c r="F58" s="21" t="s">
        <v>49</v>
      </c>
      <c r="G58" s="82">
        <f>+(4890+10469)/(4890+10469+98069)</f>
        <v>0.13540748316112425</v>
      </c>
      <c r="H58" s="80">
        <v>4.6300000000000001E-2</v>
      </c>
      <c r="I58" s="80">
        <v>6.8500000000000005E-2</v>
      </c>
      <c r="J58" s="80">
        <v>6.5000000000000002E-2</v>
      </c>
      <c r="K58" s="82">
        <v>0.02</v>
      </c>
      <c r="L58" s="82">
        <v>1.4E-2</v>
      </c>
      <c r="M58" s="82">
        <v>9.5000000000000001E-2</v>
      </c>
      <c r="N58" s="82">
        <v>0.115</v>
      </c>
      <c r="O58" s="82">
        <v>4.9000000000000002E-2</v>
      </c>
      <c r="P58" s="82">
        <v>7.0000000000000007E-2</v>
      </c>
      <c r="Q58" s="82">
        <v>2.4E-2</v>
      </c>
    </row>
    <row r="59" spans="3:22" s="10" customFormat="1" ht="18.75" customHeight="1" thickBot="1" x14ac:dyDescent="0.35">
      <c r="C59" s="39">
        <v>22</v>
      </c>
      <c r="D59" s="39"/>
      <c r="E59" s="34" t="s">
        <v>177</v>
      </c>
      <c r="F59" s="45" t="s">
        <v>51</v>
      </c>
      <c r="G59" s="83">
        <v>100</v>
      </c>
      <c r="H59" s="83">
        <v>13</v>
      </c>
      <c r="I59" s="83">
        <v>13</v>
      </c>
      <c r="J59" s="83">
        <v>40</v>
      </c>
      <c r="K59" s="83">
        <v>40</v>
      </c>
      <c r="L59" s="83">
        <v>100</v>
      </c>
      <c r="M59" s="83">
        <v>40</v>
      </c>
      <c r="N59" s="83">
        <v>40</v>
      </c>
      <c r="O59" s="83">
        <v>13</v>
      </c>
      <c r="P59" s="83">
        <v>13</v>
      </c>
      <c r="Q59" s="83">
        <v>100</v>
      </c>
    </row>
    <row r="60" spans="3:22" x14ac:dyDescent="0.25">
      <c r="C60" s="1"/>
      <c r="D60" s="1"/>
    </row>
    <row r="61" spans="3:22" x14ac:dyDescent="0.25">
      <c r="E61" s="108" t="s">
        <v>58</v>
      </c>
      <c r="F61" s="135" t="s">
        <v>58</v>
      </c>
      <c r="G61" s="496">
        <f t="shared" ref="G61:Q61" si="7">G9</f>
        <v>1</v>
      </c>
      <c r="H61" s="496">
        <f t="shared" si="7"/>
        <v>2</v>
      </c>
      <c r="I61" s="496">
        <f t="shared" si="7"/>
        <v>3</v>
      </c>
      <c r="J61" s="496">
        <f t="shared" si="7"/>
        <v>4</v>
      </c>
      <c r="K61" s="496">
        <f t="shared" si="7"/>
        <v>5</v>
      </c>
      <c r="L61" s="496">
        <f t="shared" si="7"/>
        <v>6</v>
      </c>
      <c r="M61" s="496">
        <f t="shared" si="7"/>
        <v>7</v>
      </c>
      <c r="N61" s="496">
        <f t="shared" si="7"/>
        <v>8</v>
      </c>
      <c r="O61" s="496">
        <f t="shared" si="7"/>
        <v>9</v>
      </c>
      <c r="P61" s="496">
        <f t="shared" si="7"/>
        <v>10</v>
      </c>
      <c r="Q61" s="496">
        <f t="shared" si="7"/>
        <v>11</v>
      </c>
    </row>
    <row r="62" spans="3:22" ht="34.5" customHeight="1" thickBot="1" x14ac:dyDescent="0.3">
      <c r="E62" s="108" t="s">
        <v>240</v>
      </c>
      <c r="F62" s="135" t="s">
        <v>240</v>
      </c>
      <c r="G62" s="19" t="str">
        <f t="shared" ref="G62:Q62" si="8">G12</f>
        <v>Rama Dr. Bosch</v>
      </c>
      <c r="H62" s="19" t="str">
        <f t="shared" si="8"/>
        <v>Rama Centro Auxiliar</v>
      </c>
      <c r="I62" s="19" t="str">
        <f t="shared" si="8"/>
        <v>Rama Centro Viejo</v>
      </c>
      <c r="J62" s="19" t="str">
        <f t="shared" si="8"/>
        <v>Rama Christophersen</v>
      </c>
      <c r="K62" s="19" t="str">
        <f t="shared" si="8"/>
        <v>Canal Matriz Correa</v>
      </c>
      <c r="L62" s="19" t="str">
        <f t="shared" si="8"/>
        <v>Camal Matriz Izuel</v>
      </c>
      <c r="M62" s="19" t="str">
        <f t="shared" si="8"/>
        <v>Rama La Marzolina</v>
      </c>
      <c r="N62" s="19" t="str">
        <f t="shared" si="8"/>
        <v>Rama Moss - Los Angeles Unif.</v>
      </c>
      <c r="O62" s="19" t="str">
        <f t="shared" si="8"/>
        <v>Rama Norte Unificada</v>
      </c>
      <c r="P62" s="19" t="str">
        <f t="shared" si="8"/>
        <v>Canal Real del Padre Unif.</v>
      </c>
      <c r="Q62" s="19" t="str">
        <f t="shared" si="8"/>
        <v>Canal San Pedro</v>
      </c>
    </row>
    <row r="63" spans="3:22" ht="18.75" x14ac:dyDescent="0.25">
      <c r="C63" s="139" t="s">
        <v>271</v>
      </c>
      <c r="D63" s="1053" t="s">
        <v>97</v>
      </c>
      <c r="E63" s="1054"/>
      <c r="F63" s="135" t="s">
        <v>141</v>
      </c>
      <c r="G63" s="136">
        <f t="shared" ref="G63:Q63" si="9">G58</f>
        <v>0.13540748316112425</v>
      </c>
      <c r="H63" s="136">
        <f t="shared" si="9"/>
        <v>4.6300000000000001E-2</v>
      </c>
      <c r="I63" s="136">
        <f t="shared" si="9"/>
        <v>6.8500000000000005E-2</v>
      </c>
      <c r="J63" s="136">
        <f t="shared" si="9"/>
        <v>6.5000000000000002E-2</v>
      </c>
      <c r="K63" s="136">
        <f t="shared" si="9"/>
        <v>0.02</v>
      </c>
      <c r="L63" s="136">
        <f t="shared" si="9"/>
        <v>1.4E-2</v>
      </c>
      <c r="M63" s="136">
        <f t="shared" si="9"/>
        <v>9.5000000000000001E-2</v>
      </c>
      <c r="N63" s="136">
        <f t="shared" si="9"/>
        <v>0.115</v>
      </c>
      <c r="O63" s="136">
        <f t="shared" si="9"/>
        <v>4.9000000000000002E-2</v>
      </c>
      <c r="P63" s="136">
        <f t="shared" si="9"/>
        <v>7.0000000000000007E-2</v>
      </c>
      <c r="Q63" s="136">
        <f t="shared" si="9"/>
        <v>2.4E-2</v>
      </c>
      <c r="R63" s="110"/>
      <c r="S63" s="110"/>
      <c r="T63" s="110"/>
      <c r="U63" s="137">
        <f t="shared" ref="U63:U74" si="10">MAX(G63:Q63)</f>
        <v>0.13540748316112425</v>
      </c>
      <c r="V63" s="138">
        <f t="shared" ref="V63:V74" si="11">+MIN(G63:Q63)</f>
        <v>1.4E-2</v>
      </c>
    </row>
    <row r="64" spans="3:22" ht="18.75" x14ac:dyDescent="0.25">
      <c r="C64" s="139" t="s">
        <v>272</v>
      </c>
      <c r="D64" s="1053" t="s">
        <v>102</v>
      </c>
      <c r="E64" s="1054"/>
      <c r="F64" s="107" t="s">
        <v>241</v>
      </c>
      <c r="G64" s="122">
        <f t="shared" ref="G64:Q64" si="12">+G37/G16</f>
        <v>55.444666223109337</v>
      </c>
      <c r="H64" s="122">
        <f t="shared" si="12"/>
        <v>984.91843644198218</v>
      </c>
      <c r="I64" s="122">
        <f t="shared" si="12"/>
        <v>1702.127659574468</v>
      </c>
      <c r="J64" s="122">
        <f t="shared" si="12"/>
        <v>5745.3416149068325</v>
      </c>
      <c r="K64" s="122">
        <f t="shared" si="12"/>
        <v>1362.9842180774749</v>
      </c>
      <c r="L64" s="122">
        <f t="shared" si="12"/>
        <v>226.02518566354536</v>
      </c>
      <c r="M64" s="122">
        <f t="shared" si="12"/>
        <v>123.22858903265558</v>
      </c>
      <c r="N64" s="122">
        <f t="shared" si="12"/>
        <v>1528.9058767319636</v>
      </c>
      <c r="O64" s="122">
        <f t="shared" si="12"/>
        <v>3409.090909090909</v>
      </c>
      <c r="P64" s="122">
        <f t="shared" si="12"/>
        <v>713.76281112737922</v>
      </c>
      <c r="Q64" s="122">
        <f t="shared" si="12"/>
        <v>44.422507403751233</v>
      </c>
      <c r="U64" s="126">
        <f t="shared" si="10"/>
        <v>5745.3416149068325</v>
      </c>
      <c r="V64" s="127">
        <f t="shared" si="11"/>
        <v>44.422507403751233</v>
      </c>
    </row>
    <row r="65" spans="3:22" ht="18.75" x14ac:dyDescent="0.25">
      <c r="C65" s="139" t="s">
        <v>273</v>
      </c>
      <c r="D65" s="1053" t="s">
        <v>106</v>
      </c>
      <c r="E65" s="1054"/>
      <c r="F65" s="107" t="s">
        <v>242</v>
      </c>
      <c r="G65" s="122">
        <f t="shared" ref="G65:Q65" si="13">+G37/G17</f>
        <v>595.23809523809518</v>
      </c>
      <c r="H65" s="122">
        <f t="shared" si="13"/>
        <v>5451.4480408858599</v>
      </c>
      <c r="I65" s="122">
        <f t="shared" si="13"/>
        <v>3864.7342995169083</v>
      </c>
      <c r="J65" s="122">
        <f t="shared" si="13"/>
        <v>58730.158730158728</v>
      </c>
      <c r="K65" s="122">
        <f t="shared" si="13"/>
        <v>9921.671018276762</v>
      </c>
      <c r="L65" s="122">
        <f t="shared" si="13"/>
        <v>4093.5672514619882</v>
      </c>
      <c r="M65" s="122">
        <f t="shared" si="13"/>
        <v>623.05295950155767</v>
      </c>
      <c r="N65" s="122">
        <f t="shared" si="13"/>
        <v>9580.8383233532932</v>
      </c>
      <c r="O65" s="122">
        <f t="shared" si="13"/>
        <v>33333.333333333336</v>
      </c>
      <c r="P65" s="122">
        <f t="shared" si="13"/>
        <v>5277.4018944519621</v>
      </c>
      <c r="Q65" s="122">
        <f t="shared" si="13"/>
        <v>900</v>
      </c>
      <c r="U65" s="126">
        <f t="shared" si="10"/>
        <v>58730.158730158728</v>
      </c>
      <c r="V65" s="127">
        <f t="shared" si="11"/>
        <v>595.23809523809518</v>
      </c>
    </row>
    <row r="66" spans="3:22" ht="19.5" thickBot="1" x14ac:dyDescent="0.3">
      <c r="C66" s="139" t="s">
        <v>274</v>
      </c>
      <c r="D66" s="1053" t="s">
        <v>108</v>
      </c>
      <c r="E66" s="1054"/>
      <c r="F66" s="107" t="s">
        <v>243</v>
      </c>
      <c r="G66" s="122"/>
      <c r="H66" s="122">
        <f t="shared" ref="H66:O66" si="14">+H37/(10000*H26*H18)</f>
        <v>95.892678749333612</v>
      </c>
      <c r="I66" s="122"/>
      <c r="J66" s="122">
        <f t="shared" si="14"/>
        <v>479.08622731804957</v>
      </c>
      <c r="K66" s="122"/>
      <c r="L66" s="122"/>
      <c r="M66" s="122"/>
      <c r="N66" s="122">
        <f t="shared" si="14"/>
        <v>16.589136882341101</v>
      </c>
      <c r="O66" s="122">
        <f t="shared" si="14"/>
        <v>192.16822082205562</v>
      </c>
      <c r="P66" s="122"/>
      <c r="Q66" s="122"/>
      <c r="U66" s="126">
        <f t="shared" si="10"/>
        <v>479.08622731804957</v>
      </c>
      <c r="V66" s="127">
        <f t="shared" si="11"/>
        <v>16.589136882341101</v>
      </c>
    </row>
    <row r="67" spans="3:22" ht="18.75" x14ac:dyDescent="0.25">
      <c r="C67" s="139" t="s">
        <v>279</v>
      </c>
      <c r="D67" s="1053" t="s">
        <v>238</v>
      </c>
      <c r="E67" s="1054"/>
      <c r="F67" s="107" t="s">
        <v>146</v>
      </c>
      <c r="G67" s="121">
        <f t="shared" ref="G67:Q67" si="15">(G39+G40)/2</f>
        <v>0.57025000000000003</v>
      </c>
      <c r="H67" s="121">
        <f t="shared" si="15"/>
        <v>0.45135000000000003</v>
      </c>
      <c r="I67" s="121">
        <f t="shared" si="15"/>
        <v>0.52925</v>
      </c>
      <c r="J67" s="121">
        <f t="shared" si="15"/>
        <v>0.46594999999999998</v>
      </c>
      <c r="K67" s="121">
        <f t="shared" si="15"/>
        <v>0.55435000000000001</v>
      </c>
      <c r="L67" s="121">
        <f t="shared" si="15"/>
        <v>0.57830000000000004</v>
      </c>
      <c r="M67" s="121">
        <f t="shared" si="15"/>
        <v>0.31374999999999997</v>
      </c>
      <c r="N67" s="121">
        <f t="shared" si="15"/>
        <v>0.59970000000000001</v>
      </c>
      <c r="O67" s="121">
        <f t="shared" si="15"/>
        <v>0.40820000000000001</v>
      </c>
      <c r="P67" s="121">
        <f t="shared" si="15"/>
        <v>0.75619999999999998</v>
      </c>
      <c r="Q67" s="121">
        <f t="shared" si="15"/>
        <v>0.53764999999999996</v>
      </c>
      <c r="U67" s="125">
        <f t="shared" si="10"/>
        <v>0.75619999999999998</v>
      </c>
      <c r="V67" s="128">
        <f t="shared" si="11"/>
        <v>0.31374999999999997</v>
      </c>
    </row>
    <row r="68" spans="3:22" ht="18.75" x14ac:dyDescent="0.25">
      <c r="C68" s="139" t="s">
        <v>47</v>
      </c>
      <c r="D68" s="1053" t="s">
        <v>113</v>
      </c>
      <c r="E68" s="1054"/>
      <c r="F68" s="107" t="s">
        <v>147</v>
      </c>
      <c r="G68" s="123">
        <f t="shared" ref="G68:Q68" si="16">+G53</f>
        <v>350623228.38206172</v>
      </c>
      <c r="H68" s="123">
        <f t="shared" si="16"/>
        <v>253959973.13389954</v>
      </c>
      <c r="I68" s="123">
        <f t="shared" si="16"/>
        <v>110213469.41175695</v>
      </c>
      <c r="J68" s="123">
        <f t="shared" si="16"/>
        <v>50077923.947227262</v>
      </c>
      <c r="K68" s="123">
        <f t="shared" si="16"/>
        <v>267072446.00881046</v>
      </c>
      <c r="L68" s="123">
        <f t="shared" si="16"/>
        <v>286851705.38018608</v>
      </c>
      <c r="M68" s="123">
        <f t="shared" si="16"/>
        <v>126862738.19523513</v>
      </c>
      <c r="N68" s="123">
        <f t="shared" si="16"/>
        <v>162753252.82848862</v>
      </c>
      <c r="O68" s="123">
        <f t="shared" si="16"/>
        <v>41271426.843551539</v>
      </c>
      <c r="P68" s="123">
        <f t="shared" si="16"/>
        <v>513618616.67143255</v>
      </c>
      <c r="Q68" s="123">
        <f t="shared" si="16"/>
        <v>428401868.73396909</v>
      </c>
      <c r="U68" s="126">
        <f t="shared" si="10"/>
        <v>513618616.67143255</v>
      </c>
      <c r="V68" s="129">
        <f t="shared" si="11"/>
        <v>41271426.843551539</v>
      </c>
    </row>
    <row r="69" spans="3:22" ht="18.75" x14ac:dyDescent="0.25">
      <c r="C69" s="139" t="s">
        <v>283</v>
      </c>
      <c r="D69" s="1053" t="s">
        <v>117</v>
      </c>
      <c r="E69" s="1054"/>
      <c r="F69" s="107" t="s">
        <v>118</v>
      </c>
      <c r="G69" s="124">
        <f>VLOOKUP(G62,'CALIF HTA'!$A$2:$B$24,2,"FALSO")</f>
        <v>67</v>
      </c>
      <c r="H69" s="124">
        <f>VLOOKUP(H62,'CALIF HTA'!$A$2:$B$24,2,"FALSO")</f>
        <v>61</v>
      </c>
      <c r="I69" s="124">
        <f>VLOOKUP(I62,'CALIF HTA'!$A$2:$B$24,2,"FALSO")</f>
        <v>60</v>
      </c>
      <c r="J69" s="124">
        <f>VLOOKUP(J62,'CALIF HTA'!$A$2:$B$24,2,"FALSO")</f>
        <v>71</v>
      </c>
      <c r="K69" s="124">
        <f>VLOOKUP(K62,'CALIF HTA'!$A$2:$B$24,2,"FALSO")</f>
        <v>74</v>
      </c>
      <c r="L69" s="124">
        <f>VLOOKUP(L62,'CALIF HTA'!$A$2:$B$24,2,"FALSO")</f>
        <v>83</v>
      </c>
      <c r="M69" s="124">
        <f>VLOOKUP(M62,'CALIF HTA'!$A$2:$B$24,2,"FALSO")</f>
        <v>60</v>
      </c>
      <c r="N69" s="124">
        <f>VLOOKUP(N62,'CALIF HTA'!$A$2:$B$24,2,"FALSO")</f>
        <v>64</v>
      </c>
      <c r="O69" s="124">
        <f>VLOOKUP(O62,'CALIF HTA'!$A$2:$B$24,2,"FALSO")</f>
        <v>63</v>
      </c>
      <c r="P69" s="124">
        <f>VLOOKUP(P62,'CALIF HTA'!$A$2:$B$24,2,"FALSO")</f>
        <v>70</v>
      </c>
      <c r="Q69" s="124">
        <f>VLOOKUP(Q62,'CALIF HTA'!$A$2:$B$24,2,"FALSO")</f>
        <v>66</v>
      </c>
      <c r="U69" s="130">
        <f t="shared" si="10"/>
        <v>83</v>
      </c>
      <c r="V69" s="131">
        <f t="shared" si="11"/>
        <v>60</v>
      </c>
    </row>
    <row r="70" spans="3:22" ht="18.75" x14ac:dyDescent="0.25">
      <c r="C70" s="139" t="s">
        <v>285</v>
      </c>
      <c r="D70" s="1053" t="s">
        <v>122</v>
      </c>
      <c r="E70" s="1054"/>
      <c r="F70" s="107" t="s">
        <v>270</v>
      </c>
      <c r="G70" s="121">
        <f t="shared" ref="G70:Q70" si="17">+G37/G41</f>
        <v>0.30971258671952429</v>
      </c>
      <c r="H70" s="121">
        <f t="shared" si="17"/>
        <v>3.3224316046306392</v>
      </c>
      <c r="I70" s="121">
        <f t="shared" si="17"/>
        <v>2.6690035275329955</v>
      </c>
      <c r="J70" s="121">
        <f>+J37/J41</f>
        <v>3.9207375225177494</v>
      </c>
      <c r="K70" s="121">
        <f t="shared" si="17"/>
        <v>3.5950804162724692</v>
      </c>
      <c r="L70" s="121">
        <f t="shared" si="17"/>
        <v>0.27375831052014077</v>
      </c>
      <c r="M70" s="121">
        <f t="shared" si="17"/>
        <v>0.28723251472066635</v>
      </c>
      <c r="N70" s="121">
        <f t="shared" si="17"/>
        <v>2.5216706067769898</v>
      </c>
      <c r="O70" s="121">
        <f t="shared" si="17"/>
        <v>1.2225354025877</v>
      </c>
      <c r="P70" s="121">
        <f t="shared" si="17"/>
        <v>0.87831903249780419</v>
      </c>
      <c r="Q70" s="121">
        <f t="shared" si="17"/>
        <v>0.16414371694327923</v>
      </c>
      <c r="U70" s="132">
        <f t="shared" si="10"/>
        <v>3.9207375225177494</v>
      </c>
      <c r="V70" s="128">
        <f t="shared" si="11"/>
        <v>0.16414371694327923</v>
      </c>
    </row>
    <row r="71" spans="3:22" ht="18.75" x14ac:dyDescent="0.25">
      <c r="C71" s="139" t="s">
        <v>288</v>
      </c>
      <c r="D71" s="1053" t="s">
        <v>126</v>
      </c>
      <c r="E71" s="1054"/>
      <c r="F71" s="107" t="s">
        <v>149</v>
      </c>
      <c r="G71" s="124">
        <f t="shared" ref="G71:Q71" si="18">+G59</f>
        <v>100</v>
      </c>
      <c r="H71" s="124">
        <f t="shared" si="18"/>
        <v>13</v>
      </c>
      <c r="I71" s="124">
        <f t="shared" si="18"/>
        <v>13</v>
      </c>
      <c r="J71" s="124">
        <f t="shared" si="18"/>
        <v>40</v>
      </c>
      <c r="K71" s="124">
        <f t="shared" si="18"/>
        <v>40</v>
      </c>
      <c r="L71" s="124">
        <f t="shared" si="18"/>
        <v>100</v>
      </c>
      <c r="M71" s="124">
        <f t="shared" si="18"/>
        <v>40</v>
      </c>
      <c r="N71" s="124">
        <f t="shared" si="18"/>
        <v>40</v>
      </c>
      <c r="O71" s="124">
        <f t="shared" si="18"/>
        <v>13</v>
      </c>
      <c r="P71" s="124">
        <f t="shared" si="18"/>
        <v>13</v>
      </c>
      <c r="Q71" s="124">
        <f t="shared" si="18"/>
        <v>100</v>
      </c>
      <c r="U71" s="130">
        <f t="shared" si="10"/>
        <v>100</v>
      </c>
      <c r="V71" s="131">
        <f t="shared" si="11"/>
        <v>13</v>
      </c>
    </row>
    <row r="72" spans="3:22" ht="18.75" x14ac:dyDescent="0.25">
      <c r="C72" s="139" t="s">
        <v>289</v>
      </c>
      <c r="D72" s="1053" t="s">
        <v>129</v>
      </c>
      <c r="E72" s="1054"/>
      <c r="F72" s="107" t="s">
        <v>150</v>
      </c>
      <c r="G72" s="124">
        <f t="shared" ref="G72:Q72" si="19">+G43*$F$43+G44*$F$44+G45*$F$45+G46*$F$46</f>
        <v>26</v>
      </c>
      <c r="H72" s="124">
        <f t="shared" si="19"/>
        <v>26</v>
      </c>
      <c r="I72" s="124">
        <f t="shared" si="19"/>
        <v>26</v>
      </c>
      <c r="J72" s="124">
        <f t="shared" si="19"/>
        <v>40</v>
      </c>
      <c r="K72" s="124">
        <f t="shared" si="19"/>
        <v>26</v>
      </c>
      <c r="L72" s="124">
        <f t="shared" si="19"/>
        <v>26</v>
      </c>
      <c r="M72" s="124">
        <f t="shared" si="19"/>
        <v>26</v>
      </c>
      <c r="N72" s="124">
        <f t="shared" si="19"/>
        <v>26</v>
      </c>
      <c r="O72" s="124">
        <f t="shared" si="19"/>
        <v>26</v>
      </c>
      <c r="P72" s="124">
        <f t="shared" si="19"/>
        <v>26</v>
      </c>
      <c r="Q72" s="124">
        <f t="shared" si="19"/>
        <v>26</v>
      </c>
      <c r="U72" s="130">
        <f t="shared" si="10"/>
        <v>40</v>
      </c>
      <c r="V72" s="131">
        <f t="shared" si="11"/>
        <v>26</v>
      </c>
    </row>
    <row r="73" spans="3:22" ht="18.75" x14ac:dyDescent="0.25">
      <c r="C73" s="139" t="s">
        <v>291</v>
      </c>
      <c r="D73" s="1053" t="s">
        <v>133</v>
      </c>
      <c r="E73" s="1054"/>
      <c r="F73" s="107" t="s">
        <v>151</v>
      </c>
      <c r="G73" s="124">
        <f t="shared" ref="G73:Q73" si="20">+G48*$F$48+G49*$F$49+G50*$F$50+G51*$F$51</f>
        <v>26</v>
      </c>
      <c r="H73" s="124">
        <f t="shared" si="20"/>
        <v>26</v>
      </c>
      <c r="I73" s="124">
        <f t="shared" si="20"/>
        <v>26</v>
      </c>
      <c r="J73" s="124">
        <f t="shared" si="20"/>
        <v>26</v>
      </c>
      <c r="K73" s="124">
        <f t="shared" si="20"/>
        <v>40</v>
      </c>
      <c r="L73" s="124">
        <f t="shared" si="20"/>
        <v>26</v>
      </c>
      <c r="M73" s="124">
        <f t="shared" si="20"/>
        <v>26</v>
      </c>
      <c r="N73" s="124">
        <f t="shared" si="20"/>
        <v>26</v>
      </c>
      <c r="O73" s="124">
        <f t="shared" si="20"/>
        <v>13</v>
      </c>
      <c r="P73" s="124">
        <f t="shared" si="20"/>
        <v>40</v>
      </c>
      <c r="Q73" s="124">
        <f t="shared" si="20"/>
        <v>26</v>
      </c>
      <c r="U73" s="130">
        <f t="shared" si="10"/>
        <v>40</v>
      </c>
      <c r="V73" s="131">
        <f t="shared" si="11"/>
        <v>13</v>
      </c>
    </row>
    <row r="74" spans="3:22" ht="19.5" thickBot="1" x14ac:dyDescent="0.3">
      <c r="C74" s="139" t="s">
        <v>293</v>
      </c>
      <c r="D74" s="1053" t="s">
        <v>137</v>
      </c>
      <c r="E74" s="1054"/>
      <c r="F74" s="107" t="s">
        <v>149</v>
      </c>
      <c r="G74" s="124">
        <f t="shared" ref="G74:Q74" si="21">+G59</f>
        <v>100</v>
      </c>
      <c r="H74" s="124">
        <f t="shared" si="21"/>
        <v>13</v>
      </c>
      <c r="I74" s="124">
        <f t="shared" si="21"/>
        <v>13</v>
      </c>
      <c r="J74" s="124">
        <f t="shared" si="21"/>
        <v>40</v>
      </c>
      <c r="K74" s="124">
        <f t="shared" si="21"/>
        <v>40</v>
      </c>
      <c r="L74" s="124">
        <f t="shared" si="21"/>
        <v>100</v>
      </c>
      <c r="M74" s="124">
        <f t="shared" si="21"/>
        <v>40</v>
      </c>
      <c r="N74" s="124">
        <f t="shared" si="21"/>
        <v>40</v>
      </c>
      <c r="O74" s="124">
        <f t="shared" si="21"/>
        <v>13</v>
      </c>
      <c r="P74" s="124">
        <f t="shared" si="21"/>
        <v>13</v>
      </c>
      <c r="Q74" s="124">
        <f t="shared" si="21"/>
        <v>100</v>
      </c>
      <c r="U74" s="133">
        <f t="shared" si="10"/>
        <v>100</v>
      </c>
      <c r="V74" s="134">
        <f t="shared" si="11"/>
        <v>13</v>
      </c>
    </row>
    <row r="77" spans="3:22" s="496" customFormat="1" ht="57" customHeight="1" x14ac:dyDescent="0.25">
      <c r="D77" s="496">
        <v>1</v>
      </c>
      <c r="E77" s="140" t="s">
        <v>280</v>
      </c>
      <c r="G77" s="119">
        <f t="shared" ref="G77:Q77" si="22">100*((($U63-G63)/($U63-$V63)))</f>
        <v>0</v>
      </c>
      <c r="H77" s="119">
        <f t="shared" si="22"/>
        <v>73.395379626531337</v>
      </c>
      <c r="I77" s="119">
        <f t="shared" si="22"/>
        <v>55.109851072630264</v>
      </c>
      <c r="J77" s="119">
        <f t="shared" si="22"/>
        <v>57.992704673470527</v>
      </c>
      <c r="K77" s="119">
        <f t="shared" si="22"/>
        <v>95.057965255702413</v>
      </c>
      <c r="L77" s="119">
        <f t="shared" si="22"/>
        <v>100</v>
      </c>
      <c r="M77" s="119">
        <f t="shared" si="22"/>
        <v>33.282530951982601</v>
      </c>
      <c r="N77" s="119">
        <f t="shared" si="22"/>
        <v>16.809081804323984</v>
      </c>
      <c r="O77" s="119">
        <f t="shared" si="22"/>
        <v>71.17146399159742</v>
      </c>
      <c r="P77" s="119">
        <f t="shared" si="22"/>
        <v>53.874342386555874</v>
      </c>
      <c r="Q77" s="119">
        <f t="shared" si="22"/>
        <v>91.763275426170694</v>
      </c>
    </row>
    <row r="78" spans="3:22" ht="45.75" customHeight="1" x14ac:dyDescent="0.25">
      <c r="D78" s="496">
        <v>2</v>
      </c>
      <c r="E78" s="140" t="s">
        <v>275</v>
      </c>
      <c r="F78"/>
      <c r="G78" s="119">
        <f>100*(1-(($V64-G64)/($V64-$U64)))</f>
        <v>99.806659968129495</v>
      </c>
      <c r="H78" s="119">
        <f>100*(1-(($V64-H64)/($V64-$U64)))</f>
        <v>83.502731554278199</v>
      </c>
      <c r="I78" s="119">
        <f t="shared" ref="I78" si="23">100*(1-(($V64-I64)/($V64-$U64)))</f>
        <v>70.922142186003285</v>
      </c>
      <c r="J78" s="119">
        <f t="shared" ref="J78:Q78" si="24">100*(1-(($V64-J64)/($V64-$U64)))</f>
        <v>0</v>
      </c>
      <c r="K78" s="119">
        <f t="shared" si="24"/>
        <v>76.871067878540117</v>
      </c>
      <c r="L78" s="119">
        <f t="shared" si="24"/>
        <v>96.814501752519462</v>
      </c>
      <c r="M78" s="119">
        <f t="shared" si="24"/>
        <v>98.61766006247683</v>
      </c>
      <c r="N78" s="119">
        <f t="shared" si="24"/>
        <v>73.960630885387275</v>
      </c>
      <c r="O78" s="119">
        <f t="shared" si="24"/>
        <v>40.980246549037027</v>
      </c>
      <c r="P78" s="119">
        <f t="shared" si="24"/>
        <v>88.259080841145462</v>
      </c>
      <c r="Q78" s="119">
        <f t="shared" si="24"/>
        <v>100</v>
      </c>
    </row>
    <row r="79" spans="3:22" ht="49.5" customHeight="1" x14ac:dyDescent="0.25">
      <c r="D79" s="496">
        <v>3</v>
      </c>
      <c r="E79" s="140" t="s">
        <v>276</v>
      </c>
      <c r="F79"/>
      <c r="G79" s="119">
        <f>100*(1-(($V65-G65)/($V65-$U65)))</f>
        <v>100</v>
      </c>
      <c r="H79" s="119">
        <f>100*(1-(($V65-H65)/($V65-$U65)))</f>
        <v>91.646655929670743</v>
      </c>
      <c r="I79" s="119">
        <f t="shared" ref="I79:J79" si="25">100*(1-(($V65-I65)/($V65-$U65)))</f>
        <v>94.376020181035756</v>
      </c>
      <c r="J79" s="119">
        <f t="shared" si="25"/>
        <v>0</v>
      </c>
      <c r="K79" s="119">
        <f t="shared" ref="K79:Q79" si="26">100*(1-(($V65-K65)/($V65-$U65)))</f>
        <v>83.957262139209945</v>
      </c>
      <c r="L79" s="119">
        <f t="shared" si="26"/>
        <v>93.982396263696785</v>
      </c>
      <c r="M79" s="119">
        <f t="shared" si="26"/>
        <v>99.952154636215752</v>
      </c>
      <c r="N79" s="119">
        <f t="shared" si="26"/>
        <v>84.543540904539043</v>
      </c>
      <c r="O79" s="119">
        <f t="shared" si="26"/>
        <v>43.686006825938563</v>
      </c>
      <c r="P79" s="119">
        <f t="shared" si="26"/>
        <v>91.946039062103111</v>
      </c>
      <c r="Q79" s="119">
        <f t="shared" si="26"/>
        <v>99.475767918088735</v>
      </c>
    </row>
    <row r="80" spans="3:22" ht="63" customHeight="1" x14ac:dyDescent="0.25">
      <c r="D80" s="496">
        <v>4</v>
      </c>
      <c r="E80" s="140" t="s">
        <v>278</v>
      </c>
      <c r="F80"/>
      <c r="G80" s="119">
        <f>IF(G66=0,0,100*(1-(($V66-G66)/($V66-$U66))))</f>
        <v>0</v>
      </c>
      <c r="H80" s="119">
        <f>IF(H66=0,0,100*(1-(($V66-H66)/($V66-$U66))))</f>
        <v>82.853180375192764</v>
      </c>
      <c r="I80" s="119">
        <f t="shared" ref="I80:J80" si="27">IF(I66=0,0,100*(1-(($V66-I66)/($V66-$U66))))</f>
        <v>0</v>
      </c>
      <c r="J80" s="119">
        <f t="shared" si="27"/>
        <v>0</v>
      </c>
      <c r="K80" s="119">
        <f t="shared" ref="K80:Q80" si="28">IF(K66=0,0,100*(1-(($V66-K66)/($V66-$U66))))</f>
        <v>0</v>
      </c>
      <c r="L80" s="119">
        <f t="shared" si="28"/>
        <v>0</v>
      </c>
      <c r="M80" s="119">
        <f t="shared" si="28"/>
        <v>0</v>
      </c>
      <c r="N80" s="119">
        <f t="shared" si="28"/>
        <v>100</v>
      </c>
      <c r="O80" s="119">
        <f t="shared" si="28"/>
        <v>62.036715998730877</v>
      </c>
      <c r="P80" s="119">
        <f t="shared" si="28"/>
        <v>0</v>
      </c>
      <c r="Q80" s="119">
        <f t="shared" si="28"/>
        <v>0</v>
      </c>
    </row>
    <row r="81" spans="4:17" ht="52.5" customHeight="1" x14ac:dyDescent="0.25">
      <c r="D81" s="496">
        <v>5</v>
      </c>
      <c r="E81" s="140" t="s">
        <v>277</v>
      </c>
      <c r="F81"/>
      <c r="G81" s="119">
        <f t="shared" ref="G81:Q81" si="29">100*((G67-$V67)/($U67-$V67))</f>
        <v>57.972652277093474</v>
      </c>
      <c r="H81" s="119">
        <f t="shared" si="29"/>
        <v>31.099559272234163</v>
      </c>
      <c r="I81" s="119">
        <f t="shared" si="29"/>
        <v>48.706068482314393</v>
      </c>
      <c r="J81" s="119">
        <f t="shared" si="29"/>
        <v>34.399367160131092</v>
      </c>
      <c r="K81" s="119">
        <f t="shared" si="29"/>
        <v>54.379025878630358</v>
      </c>
      <c r="L81" s="119">
        <f t="shared" si="29"/>
        <v>59.792066900214721</v>
      </c>
      <c r="M81" s="119">
        <f t="shared" si="29"/>
        <v>0</v>
      </c>
      <c r="N81" s="119">
        <f t="shared" si="29"/>
        <v>64.628771612611601</v>
      </c>
      <c r="O81" s="119">
        <f t="shared" si="29"/>
        <v>21.347044863826429</v>
      </c>
      <c r="P81" s="119">
        <f t="shared" si="29"/>
        <v>100</v>
      </c>
      <c r="Q81" s="119">
        <f t="shared" si="29"/>
        <v>50.604588089049606</v>
      </c>
    </row>
    <row r="82" spans="4:17" ht="45" customHeight="1" x14ac:dyDescent="0.25">
      <c r="D82" s="496">
        <v>6</v>
      </c>
      <c r="E82" s="140" t="s">
        <v>281</v>
      </c>
      <c r="F82"/>
      <c r="G82" s="119">
        <f t="shared" ref="G82:Q82" si="30">100*(1-(($U68-G68)/($U68-$V68)))</f>
        <v>65.492461519933059</v>
      </c>
      <c r="H82" s="119">
        <f t="shared" si="30"/>
        <v>45.028011359155059</v>
      </c>
      <c r="I82" s="119">
        <f t="shared" si="30"/>
        <v>14.595628819836371</v>
      </c>
      <c r="J82" s="119">
        <f t="shared" si="30"/>
        <v>1.864411876121197</v>
      </c>
      <c r="K82" s="119">
        <f t="shared" si="30"/>
        <v>47.804035681367928</v>
      </c>
      <c r="L82" s="119">
        <f t="shared" si="30"/>
        <v>51.991476571739902</v>
      </c>
      <c r="M82" s="119">
        <f t="shared" si="30"/>
        <v>18.120423534830877</v>
      </c>
      <c r="N82" s="119">
        <f t="shared" si="30"/>
        <v>25.718757007785729</v>
      </c>
      <c r="O82" s="119">
        <f t="shared" si="30"/>
        <v>0</v>
      </c>
      <c r="P82" s="119">
        <f t="shared" si="30"/>
        <v>100</v>
      </c>
      <c r="Q82" s="119">
        <f t="shared" si="30"/>
        <v>81.958874791122255</v>
      </c>
    </row>
    <row r="83" spans="4:17" ht="45" customHeight="1" x14ac:dyDescent="0.25">
      <c r="D83" s="496">
        <v>7</v>
      </c>
      <c r="E83" s="140" t="s">
        <v>282</v>
      </c>
      <c r="F83"/>
      <c r="G83" s="119">
        <f t="shared" ref="G83:Q83" si="31">100*(1-(($U69-G69)/($U69-$V69)))</f>
        <v>30.434782608695656</v>
      </c>
      <c r="H83" s="119">
        <f t="shared" si="31"/>
        <v>4.3478260869565188</v>
      </c>
      <c r="I83" s="119">
        <f t="shared" si="31"/>
        <v>0</v>
      </c>
      <c r="J83" s="119">
        <f t="shared" si="31"/>
        <v>47.826086956521742</v>
      </c>
      <c r="K83" s="119">
        <f t="shared" si="31"/>
        <v>60.869565217391312</v>
      </c>
      <c r="L83" s="119">
        <f t="shared" si="31"/>
        <v>100</v>
      </c>
      <c r="M83" s="119">
        <f t="shared" si="31"/>
        <v>0</v>
      </c>
      <c r="N83" s="119">
        <f t="shared" si="31"/>
        <v>17.391304347826086</v>
      </c>
      <c r="O83" s="119">
        <f t="shared" si="31"/>
        <v>13.043478260869568</v>
      </c>
      <c r="P83" s="119">
        <f t="shared" si="31"/>
        <v>43.478260869565219</v>
      </c>
      <c r="Q83" s="119">
        <f t="shared" si="31"/>
        <v>26.086956521739136</v>
      </c>
    </row>
    <row r="84" spans="4:17" ht="53.25" customHeight="1" x14ac:dyDescent="0.25">
      <c r="D84" s="496">
        <v>8</v>
      </c>
      <c r="E84" s="140" t="s">
        <v>284</v>
      </c>
      <c r="F84"/>
      <c r="G84" s="119">
        <f t="shared" ref="G84:Q84" si="32">80*(1-(($V$70-G70)/($V70-$U70)))</f>
        <v>76.899981689577771</v>
      </c>
      <c r="H84" s="119">
        <f t="shared" si="32"/>
        <v>12.741455666551422</v>
      </c>
      <c r="I84" s="119">
        <f t="shared" si="32"/>
        <v>26.65678664810202</v>
      </c>
      <c r="J84" s="119">
        <f t="shared" si="32"/>
        <v>0</v>
      </c>
      <c r="K84" s="119">
        <f t="shared" si="32"/>
        <v>6.9351571790813793</v>
      </c>
      <c r="L84" s="119">
        <f t="shared" si="32"/>
        <v>77.665659919596251</v>
      </c>
      <c r="M84" s="119">
        <f t="shared" si="32"/>
        <v>77.378714779442305</v>
      </c>
      <c r="N84" s="119">
        <f t="shared" si="32"/>
        <v>29.794371990171769</v>
      </c>
      <c r="O84" s="119">
        <f t="shared" si="32"/>
        <v>57.460609468633933</v>
      </c>
      <c r="P84" s="119">
        <f t="shared" si="32"/>
        <v>64.791002647243928</v>
      </c>
      <c r="Q84" s="119">
        <f t="shared" si="32"/>
        <v>80</v>
      </c>
    </row>
    <row r="85" spans="4:17" ht="49.5" customHeight="1" x14ac:dyDescent="0.25">
      <c r="D85" s="496">
        <v>9</v>
      </c>
      <c r="E85" s="140" t="s">
        <v>286</v>
      </c>
      <c r="F85" s="19" t="s">
        <v>149</v>
      </c>
      <c r="G85" s="496">
        <f t="shared" ref="G85:Q85" si="33">+G71</f>
        <v>100</v>
      </c>
      <c r="H85" s="496">
        <f t="shared" si="33"/>
        <v>13</v>
      </c>
      <c r="I85" s="496">
        <f t="shared" si="33"/>
        <v>13</v>
      </c>
      <c r="J85" s="496">
        <f t="shared" si="33"/>
        <v>40</v>
      </c>
      <c r="K85" s="496">
        <f t="shared" si="33"/>
        <v>40</v>
      </c>
      <c r="L85" s="496">
        <f t="shared" si="33"/>
        <v>100</v>
      </c>
      <c r="M85" s="496">
        <f t="shared" si="33"/>
        <v>40</v>
      </c>
      <c r="N85" s="496">
        <f t="shared" si="33"/>
        <v>40</v>
      </c>
      <c r="O85" s="496">
        <f t="shared" si="33"/>
        <v>13</v>
      </c>
      <c r="P85" s="496">
        <f t="shared" si="33"/>
        <v>13</v>
      </c>
      <c r="Q85" s="496">
        <f t="shared" si="33"/>
        <v>100</v>
      </c>
    </row>
    <row r="86" spans="4:17" ht="48" customHeight="1" x14ac:dyDescent="0.25">
      <c r="D86" s="496">
        <v>10</v>
      </c>
      <c r="E86" s="140" t="s">
        <v>287</v>
      </c>
      <c r="F86" s="19" t="s">
        <v>239</v>
      </c>
      <c r="G86" s="496">
        <f t="shared" ref="G86:Q87" si="34">G72</f>
        <v>26</v>
      </c>
      <c r="H86" s="496">
        <f t="shared" si="34"/>
        <v>26</v>
      </c>
      <c r="I86" s="496">
        <f t="shared" si="34"/>
        <v>26</v>
      </c>
      <c r="J86" s="496">
        <f t="shared" si="34"/>
        <v>40</v>
      </c>
      <c r="K86" s="496">
        <f t="shared" si="34"/>
        <v>26</v>
      </c>
      <c r="L86" s="496">
        <f t="shared" si="34"/>
        <v>26</v>
      </c>
      <c r="M86" s="496">
        <f t="shared" ref="M86:Q86" si="35">M72</f>
        <v>26</v>
      </c>
      <c r="N86" s="496">
        <f t="shared" si="35"/>
        <v>26</v>
      </c>
      <c r="O86" s="496">
        <f t="shared" si="35"/>
        <v>26</v>
      </c>
      <c r="P86" s="496">
        <f t="shared" si="35"/>
        <v>26</v>
      </c>
      <c r="Q86" s="496">
        <f t="shared" si="35"/>
        <v>26</v>
      </c>
    </row>
    <row r="87" spans="4:17" ht="45" customHeight="1" x14ac:dyDescent="0.25">
      <c r="D87" s="496">
        <v>11</v>
      </c>
      <c r="E87" s="140" t="s">
        <v>290</v>
      </c>
      <c r="F87" s="19" t="s">
        <v>292</v>
      </c>
      <c r="G87" s="496">
        <f t="shared" si="34"/>
        <v>26</v>
      </c>
      <c r="H87" s="496">
        <f t="shared" si="34"/>
        <v>26</v>
      </c>
      <c r="I87" s="496">
        <f t="shared" si="34"/>
        <v>26</v>
      </c>
      <c r="J87" s="496">
        <f t="shared" si="34"/>
        <v>26</v>
      </c>
      <c r="K87" s="496">
        <f t="shared" si="34"/>
        <v>40</v>
      </c>
      <c r="L87" s="496">
        <f t="shared" si="34"/>
        <v>26</v>
      </c>
      <c r="M87" s="496">
        <f t="shared" si="34"/>
        <v>26</v>
      </c>
      <c r="N87" s="496">
        <f t="shared" si="34"/>
        <v>26</v>
      </c>
      <c r="O87" s="496">
        <f t="shared" si="34"/>
        <v>13</v>
      </c>
      <c r="P87" s="496">
        <f t="shared" si="34"/>
        <v>40</v>
      </c>
      <c r="Q87" s="496">
        <f t="shared" si="34"/>
        <v>26</v>
      </c>
    </row>
    <row r="88" spans="4:17" ht="50.25" customHeight="1" x14ac:dyDescent="0.25">
      <c r="D88" s="496">
        <v>12</v>
      </c>
      <c r="E88" s="140" t="s">
        <v>294</v>
      </c>
      <c r="F88" s="19" t="s">
        <v>149</v>
      </c>
      <c r="G88" s="496">
        <f t="shared" ref="G88:Q88" si="36">+G74</f>
        <v>100</v>
      </c>
      <c r="H88" s="496">
        <f t="shared" si="36"/>
        <v>13</v>
      </c>
      <c r="I88" s="496">
        <f t="shared" si="36"/>
        <v>13</v>
      </c>
      <c r="J88" s="496">
        <f t="shared" si="36"/>
        <v>40</v>
      </c>
      <c r="K88" s="496">
        <f t="shared" si="36"/>
        <v>40</v>
      </c>
      <c r="L88" s="496">
        <f t="shared" si="36"/>
        <v>100</v>
      </c>
      <c r="M88" s="496">
        <f t="shared" si="36"/>
        <v>40</v>
      </c>
      <c r="N88" s="496">
        <f t="shared" si="36"/>
        <v>40</v>
      </c>
      <c r="O88" s="496">
        <f t="shared" si="36"/>
        <v>13</v>
      </c>
      <c r="P88" s="496">
        <f t="shared" si="36"/>
        <v>13</v>
      </c>
      <c r="Q88" s="496">
        <f t="shared" si="36"/>
        <v>100</v>
      </c>
    </row>
    <row r="89" spans="4:17" ht="27.75" customHeight="1" x14ac:dyDescent="0.25">
      <c r="D89" s="496"/>
    </row>
    <row r="90" spans="4:17" ht="47.25" customHeight="1" x14ac:dyDescent="0.25">
      <c r="D90" s="496"/>
      <c r="F90" s="142" t="s">
        <v>295</v>
      </c>
      <c r="G90" s="143">
        <f t="shared" ref="G90:Q90" si="37">SUM(G77:G88)</f>
        <v>682.60653806342941</v>
      </c>
      <c r="H90" s="143">
        <f t="shared" si="37"/>
        <v>502.61479987057021</v>
      </c>
      <c r="I90" s="143">
        <f t="shared" si="37"/>
        <v>388.36649738992207</v>
      </c>
      <c r="J90" s="143">
        <f t="shared" si="37"/>
        <v>288.08257066624458</v>
      </c>
      <c r="K90" s="143">
        <f t="shared" si="37"/>
        <v>571.87407922992338</v>
      </c>
      <c r="L90" s="143">
        <f t="shared" si="37"/>
        <v>832.24610140776713</v>
      </c>
      <c r="M90" s="143">
        <f t="shared" si="37"/>
        <v>459.35148396494839</v>
      </c>
      <c r="N90" s="143">
        <f t="shared" si="37"/>
        <v>544.84645855264546</v>
      </c>
      <c r="O90" s="143">
        <f t="shared" si="37"/>
        <v>374.72556595863381</v>
      </c>
      <c r="P90" s="143">
        <f t="shared" si="37"/>
        <v>634.34872580661352</v>
      </c>
      <c r="Q90" s="143">
        <f t="shared" si="37"/>
        <v>781.88946274617047</v>
      </c>
    </row>
    <row r="91" spans="4:17" x14ac:dyDescent="0.25">
      <c r="D91" s="496"/>
    </row>
    <row r="92" spans="4:17" x14ac:dyDescent="0.25">
      <c r="D92" s="496"/>
    </row>
    <row r="93" spans="4:17" x14ac:dyDescent="0.25">
      <c r="D93" s="496"/>
    </row>
    <row r="94" spans="4:17" x14ac:dyDescent="0.25">
      <c r="D94" s="496"/>
      <c r="F94"/>
      <c r="H94" s="145"/>
    </row>
    <row r="95" spans="4:17" x14ac:dyDescent="0.25">
      <c r="D95" s="496"/>
      <c r="F95"/>
    </row>
    <row r="96" spans="4:17" x14ac:dyDescent="0.25">
      <c r="E96" s="145"/>
      <c r="F96"/>
    </row>
    <row r="97" spans="3:14" ht="15.75" thickBot="1" x14ac:dyDescent="0.3">
      <c r="E97" s="145"/>
      <c r="F97"/>
    </row>
    <row r="98" spans="3:14" ht="49.5" customHeight="1" thickBot="1" x14ac:dyDescent="0.3">
      <c r="E98" s="145"/>
      <c r="F98"/>
      <c r="H98" s="1071" t="s">
        <v>971</v>
      </c>
      <c r="I98" s="1072"/>
      <c r="J98" s="1072"/>
      <c r="K98" s="1072"/>
      <c r="L98" s="1072"/>
      <c r="M98" s="1073"/>
      <c r="N98" s="927"/>
    </row>
    <row r="99" spans="3:14" ht="21.75" thickBot="1" x14ac:dyDescent="0.3">
      <c r="E99" s="145"/>
      <c r="F99"/>
      <c r="H99" s="444" t="s">
        <v>1096</v>
      </c>
      <c r="I99" s="445" t="s">
        <v>58</v>
      </c>
      <c r="J99" s="445" t="s">
        <v>296</v>
      </c>
      <c r="K99" s="445" t="s">
        <v>314</v>
      </c>
      <c r="L99" s="445" t="s">
        <v>297</v>
      </c>
      <c r="M99" s="446" t="s">
        <v>298</v>
      </c>
      <c r="N99" s="928"/>
    </row>
    <row r="100" spans="3:14" ht="41.25" customHeight="1" x14ac:dyDescent="0.25">
      <c r="C100" s="496">
        <v>1</v>
      </c>
      <c r="D100" s="496">
        <f>+HLOOKUP(C100,'ATUEL (2)'!$G$9:$Q$90,82,"FALSO")</f>
        <v>682.60653806342941</v>
      </c>
      <c r="E100" s="146" t="str">
        <f>+HLOOKUP(C100,'ATUEL (2)'!$G$9:$Q$90,2,"FALSO")</f>
        <v>CONSTRUCCIÓN DE 5 COMPUERTAS PARA SECCIONADO INTERNO</v>
      </c>
      <c r="F100" s="144">
        <f>+HLOOKUP(C100,'ATUEL (2)'!$G$9:$Q$90,28,"FALSO")</f>
        <v>250000</v>
      </c>
      <c r="G100" s="496" t="str">
        <f>+HLOOKUP(C100,'ATUEL (2)'!$G$9:$Q$90,4,"FALSO")</f>
        <v>Rama Dr. Bosch</v>
      </c>
      <c r="H100" s="851">
        <v>832.24610140776713</v>
      </c>
      <c r="I100" s="852" t="s">
        <v>299</v>
      </c>
      <c r="J100" s="853" t="str">
        <f t="shared" ref="J100:J110" si="38">+VLOOKUP(H100,$D$100:$G$110,2,"FALSO")</f>
        <v>RECONSTRUCCIÓN PARTIDOR SUR VASCONIA / FINCA SUR,  RECONSTRUCCIÓN ALCANTARILLA Y CONSTRUCCIÓN DE 10 CASILLAS PARA TELEMETRÍA</v>
      </c>
      <c r="K100" s="853" t="str">
        <f t="shared" ref="K100:K110" si="39">VLOOKUP(H100,$D$100:$G$110,4,"FALSO")</f>
        <v>Camal Matriz Izuel</v>
      </c>
      <c r="L100" s="854">
        <f t="shared" ref="L100:L110" si="40">+VLOOKUP(H100,$D$100:$G$110,3,"FALSO")</f>
        <v>700000</v>
      </c>
      <c r="M100" s="855">
        <f>+L100</f>
        <v>700000</v>
      </c>
      <c r="N100" s="929"/>
    </row>
    <row r="101" spans="3:14" ht="24.95" customHeight="1" x14ac:dyDescent="0.25">
      <c r="C101" s="496">
        <v>2</v>
      </c>
      <c r="D101" s="496">
        <f>+HLOOKUP(C101,'ATUEL (2)'!$G$9:$Q$90,82,"FALSO")</f>
        <v>502.61479987057021</v>
      </c>
      <c r="E101" s="146" t="str">
        <f>+HLOOKUP(C101,'ATUEL (2)'!$G$9:$Q$90,2,"FALSO")</f>
        <v>RAMA CENTRO AUXILIAR  - REVESTIMIENTO DE UN TRAMO</v>
      </c>
      <c r="F101" s="144">
        <f>+HLOOKUP(C101,'ATUEL (2)'!$G$9:$Q$90,28,"FALSO")</f>
        <v>3200000</v>
      </c>
      <c r="G101" s="496" t="str">
        <f>+HLOOKUP(C101,'ATUEL (2)'!$G$9:$Q$90,4,"FALSO")</f>
        <v>Rama Centro Auxiliar</v>
      </c>
      <c r="H101" s="443">
        <v>781.88946274617047</v>
      </c>
      <c r="I101" s="147" t="s">
        <v>300</v>
      </c>
      <c r="J101" s="856" t="str">
        <f t="shared" si="38"/>
        <v>RECONSTRUCCIÓN Y COMPUERTAS NUEVAS (9) Y HOJA MÓVILES (2)</v>
      </c>
      <c r="K101" s="856" t="str">
        <f t="shared" si="39"/>
        <v>Canal San Pedro</v>
      </c>
      <c r="L101" s="857">
        <f t="shared" si="40"/>
        <v>270000</v>
      </c>
      <c r="M101" s="858">
        <f>+M100+L101</f>
        <v>970000</v>
      </c>
      <c r="N101" s="928"/>
    </row>
    <row r="102" spans="3:14" ht="24.95" customHeight="1" x14ac:dyDescent="0.25">
      <c r="C102" s="496">
        <v>3</v>
      </c>
      <c r="D102" s="496">
        <f>+HLOOKUP(C102,'ATUEL (2)'!$G$9:$Q$90,82,"FALSO")</f>
        <v>388.36649738992207</v>
      </c>
      <c r="E102" s="146" t="str">
        <f>+HLOOKUP(C102,'ATUEL (2)'!$G$9:$Q$90,2,"FALSO")</f>
        <v>REVESTIMIENTO TRAMO CALLE F A CALLE G</v>
      </c>
      <c r="F102" s="144">
        <f>+HLOOKUP(C102,'ATUEL (2)'!$G$9:$Q$90,28,"FALSO")</f>
        <v>2400000</v>
      </c>
      <c r="G102" s="496" t="str">
        <f>+HLOOKUP(C102,'ATUEL (2)'!$G$9:$Q$90,4,"FALSO")</f>
        <v>Rama Centro Viejo</v>
      </c>
      <c r="H102" s="443">
        <v>682.60653806342941</v>
      </c>
      <c r="I102" s="147" t="s">
        <v>301</v>
      </c>
      <c r="J102" s="856" t="str">
        <f t="shared" si="38"/>
        <v>CONSTRUCCIÓN DE 5 COMPUERTAS PARA SECCIONADO INTERNO</v>
      </c>
      <c r="K102" s="856" t="str">
        <f t="shared" si="39"/>
        <v>Rama Dr. Bosch</v>
      </c>
      <c r="L102" s="857">
        <f t="shared" si="40"/>
        <v>250000</v>
      </c>
      <c r="M102" s="858">
        <f t="shared" ref="M102:M110" si="41">+M101+L102</f>
        <v>1220000</v>
      </c>
      <c r="N102" s="928"/>
    </row>
    <row r="103" spans="3:14" ht="24.95" customHeight="1" x14ac:dyDescent="0.25">
      <c r="C103" s="496">
        <v>4</v>
      </c>
      <c r="D103" s="496">
        <f>+HLOOKUP(C103,'ATUEL (2)'!$G$9:$Q$90,82,"FALSO")</f>
        <v>288.08257066624458</v>
      </c>
      <c r="E103" s="146" t="str">
        <f>+HLOOKUP(C103,'ATUEL (2)'!$G$9:$Q$90,2,"FALSO")</f>
        <v xml:space="preserve">HIJUELA LA URUGUAYA - REVESTIMIENTO DE UN TRAMO </v>
      </c>
      <c r="F103" s="144">
        <f>+HLOOKUP(C103,'ATUEL (2)'!$G$9:$Q$90,28,"FALSO")</f>
        <v>3700000</v>
      </c>
      <c r="G103" s="496" t="str">
        <f>+HLOOKUP(C103,'ATUEL (2)'!$G$9:$Q$90,4,"FALSO")</f>
        <v>Rama Christophersen</v>
      </c>
      <c r="H103" s="443">
        <v>634.34872580661352</v>
      </c>
      <c r="I103" s="147" t="s">
        <v>302</v>
      </c>
      <c r="J103" s="856" t="str">
        <f t="shared" si="38"/>
        <v>REVESTIMIENTO DE UN TRAMO Y MEJORA PARTICIÓN EN RAMA 3</v>
      </c>
      <c r="K103" s="856" t="str">
        <f t="shared" si="39"/>
        <v>Canal Real del Padre Unif.</v>
      </c>
      <c r="L103" s="857">
        <f t="shared" si="40"/>
        <v>3900000</v>
      </c>
      <c r="M103" s="858">
        <f t="shared" si="41"/>
        <v>5120000</v>
      </c>
      <c r="N103" s="928"/>
    </row>
    <row r="104" spans="3:14" ht="24.95" customHeight="1" thickBot="1" x14ac:dyDescent="0.3">
      <c r="C104" s="496">
        <v>5</v>
      </c>
      <c r="D104" s="496">
        <f>+HLOOKUP(C104,'ATUEL (2)'!$G$9:$Q$90,82,"FALSO")</f>
        <v>571.87407922992338</v>
      </c>
      <c r="E104" s="146" t="str">
        <f>+HLOOKUP(C104,'ATUEL (2)'!$G$9:$Q$90,2,"FALSO")</f>
        <v>CAMBIO TRAZA, REVESTIMIENTO TRAMO Y REUBICACIÓN TOMAS</v>
      </c>
      <c r="F104" s="144">
        <f>+HLOOKUP(C104,'ATUEL (2)'!$G$9:$Q$90,28,"FALSO")</f>
        <v>3800000</v>
      </c>
      <c r="G104" s="496" t="str">
        <f>+HLOOKUP(C104,'ATUEL (2)'!$G$9:$Q$90,4,"FALSO")</f>
        <v>Canal Matriz Correa</v>
      </c>
      <c r="H104" s="443">
        <v>571.87407922992338</v>
      </c>
      <c r="I104" s="147" t="s">
        <v>303</v>
      </c>
      <c r="J104" s="856" t="str">
        <f t="shared" si="38"/>
        <v>CAMBIO TRAZA, REVESTIMIENTO TRAMO Y REUBICACIÓN TOMAS</v>
      </c>
      <c r="K104" s="856" t="str">
        <f t="shared" si="39"/>
        <v>Canal Matriz Correa</v>
      </c>
      <c r="L104" s="857">
        <f t="shared" si="40"/>
        <v>3800000</v>
      </c>
      <c r="M104" s="858">
        <f t="shared" si="41"/>
        <v>8920000</v>
      </c>
      <c r="N104" s="928"/>
    </row>
    <row r="105" spans="3:14" ht="24.95" customHeight="1" thickBot="1" x14ac:dyDescent="0.3">
      <c r="C105" s="496">
        <v>6</v>
      </c>
      <c r="D105" s="496">
        <f>+HLOOKUP(C105,'ATUEL (2)'!$G$9:$Q$90,82,"FALSO")</f>
        <v>832.24610140776713</v>
      </c>
      <c r="E105" s="146" t="str">
        <f>+HLOOKUP(C105,'ATUEL (2)'!$G$9:$Q$90,2,"FALSO")</f>
        <v>RECONSTRUCCIÓN PARTIDOR SUR VASCONIA / FINCA SUR,  RECONSTRUCCIÓN ALCANTARILLA Y CONSTRUCCIÓN DE 10 CASILLAS PARA TELEMETRÍA</v>
      </c>
      <c r="F105" s="144">
        <f>+HLOOKUP(C105,'ATUEL (2)'!$G$9:$Q$90,28,"FALSO")</f>
        <v>700000</v>
      </c>
      <c r="G105" s="496" t="str">
        <f>+HLOOKUP(C105,'ATUEL (2)'!$G$9:$Q$90,4,"FALSO")</f>
        <v>Camal Matriz Izuel</v>
      </c>
      <c r="H105" s="934">
        <v>544.84645855264546</v>
      </c>
      <c r="I105" s="935" t="s">
        <v>304</v>
      </c>
      <c r="J105" s="936" t="str">
        <f t="shared" si="38"/>
        <v xml:space="preserve">RAMA LOS ÁNGELES - REVESTIMIENTO TRAMO Y ADECUACIÓN COMPARTO </v>
      </c>
      <c r="K105" s="936" t="str">
        <f t="shared" si="39"/>
        <v>Rama Moss - Los Angeles Unif.</v>
      </c>
      <c r="L105" s="937">
        <f t="shared" si="40"/>
        <v>3200000</v>
      </c>
      <c r="M105" s="938">
        <f t="shared" si="41"/>
        <v>12120000</v>
      </c>
      <c r="N105" s="532">
        <f>+FICHA!T14</f>
        <v>20800000</v>
      </c>
    </row>
    <row r="106" spans="3:14" ht="24.95" customHeight="1" x14ac:dyDescent="0.25">
      <c r="C106" s="496">
        <v>7</v>
      </c>
      <c r="D106" s="496">
        <f>+HLOOKUP(C106,'ATUEL (2)'!$G$9:$Q$90,82,"FALSO")</f>
        <v>459.35148396494839</v>
      </c>
      <c r="E106" s="146" t="str">
        <f>+HLOOKUP(C106,'ATUEL (2)'!$G$9:$Q$90,2,"FALSO")</f>
        <v>RAMA LA MARZOLINA - REPOSICIÓN DE 12 COMPUERTAS</v>
      </c>
      <c r="F106" s="144">
        <f>+HLOOKUP(C106,'ATUEL (2)'!$G$9:$Q$90,28,"FALSO")</f>
        <v>200000</v>
      </c>
      <c r="G106" s="496" t="str">
        <f>+HLOOKUP(C106,'ATUEL (2)'!$G$9:$Q$90,4,"FALSO")</f>
        <v>Rama La Marzolina</v>
      </c>
      <c r="H106" s="939">
        <v>502.61479987057021</v>
      </c>
      <c r="I106" s="940" t="s">
        <v>305</v>
      </c>
      <c r="J106" s="941" t="str">
        <f t="shared" si="38"/>
        <v>RAMA CENTRO AUXILIAR  - REVESTIMIENTO DE UN TRAMO</v>
      </c>
      <c r="K106" s="941" t="str">
        <f t="shared" si="39"/>
        <v>Rama Centro Auxiliar</v>
      </c>
      <c r="L106" s="942">
        <f t="shared" si="40"/>
        <v>3200000</v>
      </c>
      <c r="M106" s="943">
        <f t="shared" si="41"/>
        <v>15320000</v>
      </c>
    </row>
    <row r="107" spans="3:14" ht="24.95" customHeight="1" x14ac:dyDescent="0.25">
      <c r="C107" s="496">
        <v>8</v>
      </c>
      <c r="D107" s="496">
        <f>+HLOOKUP(C107,'ATUEL (2)'!$G$9:$Q$90,82,"FALSO")</f>
        <v>544.84645855264546</v>
      </c>
      <c r="E107" s="146" t="str">
        <f>+HLOOKUP(C107,'ATUEL (2)'!$G$9:$Q$90,2,"FALSO")</f>
        <v xml:space="preserve">RAMA LOS ÁNGELES - REVESTIMIENTO TRAMO Y ADECUACIÓN COMPARTO </v>
      </c>
      <c r="F107" s="144">
        <f>+HLOOKUP(C107,'ATUEL (2)'!$G$9:$Q$90,28,"FALSO")</f>
        <v>3200000</v>
      </c>
      <c r="G107" s="496" t="str">
        <f>+HLOOKUP(C107,'ATUEL (2)'!$G$9:$Q$90,4,"FALSO")</f>
        <v>Rama Moss - Los Angeles Unif.</v>
      </c>
      <c r="H107" s="881">
        <v>459.35148396494839</v>
      </c>
      <c r="I107" s="882" t="s">
        <v>306</v>
      </c>
      <c r="J107" s="862" t="str">
        <f t="shared" si="38"/>
        <v>RAMA LA MARZOLINA - REPOSICIÓN DE 12 COMPUERTAS</v>
      </c>
      <c r="K107" s="862" t="str">
        <f t="shared" si="39"/>
        <v>Rama La Marzolina</v>
      </c>
      <c r="L107" s="863">
        <f t="shared" si="40"/>
        <v>200000</v>
      </c>
      <c r="M107" s="864">
        <f t="shared" si="41"/>
        <v>15520000</v>
      </c>
    </row>
    <row r="108" spans="3:14" ht="24.95" customHeight="1" x14ac:dyDescent="0.25">
      <c r="C108" s="496">
        <v>9</v>
      </c>
      <c r="D108" s="496">
        <f>+HLOOKUP(C108,'ATUEL (2)'!$G$9:$Q$90,82,"FALSO")</f>
        <v>374.72556595863381</v>
      </c>
      <c r="E108" s="146" t="str">
        <f>+HLOOKUP(C108,'ATUEL (2)'!$G$9:$Q$90,2,"FALSO")</f>
        <v>RAMA NORTE UNIFICADA - REVESTIMIENTO  TRAMO ZANGRANDI</v>
      </c>
      <c r="F108" s="144">
        <f>+HLOOKUP(C108,'ATUEL (2)'!$G$9:$Q$90,28,"FALSO")</f>
        <v>1800000</v>
      </c>
      <c r="G108" s="496" t="str">
        <f>+HLOOKUP(C108,'ATUEL (2)'!$G$9:$Q$90,4,"FALSO")</f>
        <v>Rama Norte Unificada</v>
      </c>
      <c r="H108" s="881">
        <v>388.36649738992207</v>
      </c>
      <c r="I108" s="882" t="s">
        <v>307</v>
      </c>
      <c r="J108" s="862" t="str">
        <f t="shared" si="38"/>
        <v>REVESTIMIENTO TRAMO CALLE F A CALLE G</v>
      </c>
      <c r="K108" s="862" t="str">
        <f t="shared" si="39"/>
        <v>Rama Centro Viejo</v>
      </c>
      <c r="L108" s="863">
        <f t="shared" si="40"/>
        <v>2400000</v>
      </c>
      <c r="M108" s="864">
        <f t="shared" si="41"/>
        <v>17920000</v>
      </c>
    </row>
    <row r="109" spans="3:14" ht="24.95" customHeight="1" x14ac:dyDescent="0.25">
      <c r="C109" s="496">
        <v>10</v>
      </c>
      <c r="D109" s="496">
        <f>+HLOOKUP(C109,'ATUEL (2)'!$G$9:$Q$90,82,"FALSO")</f>
        <v>634.34872580661352</v>
      </c>
      <c r="E109" s="146" t="str">
        <f>+HLOOKUP(C109,'ATUEL (2)'!$G$9:$Q$90,2,"FALSO")</f>
        <v>REVESTIMIENTO DE UN TRAMO Y MEJORA PARTICIÓN EN RAMA 3</v>
      </c>
      <c r="F109" s="144">
        <f>+HLOOKUP(C109,'ATUEL (2)'!$G$9:$Q$90,28,"FALSO")</f>
        <v>3900000</v>
      </c>
      <c r="G109" s="496" t="str">
        <f>+HLOOKUP(C109,'ATUEL (2)'!$G$9:$Q$90,4,"FALSO")</f>
        <v>Canal Real del Padre Unif.</v>
      </c>
      <c r="H109" s="881">
        <v>374.72556595863381</v>
      </c>
      <c r="I109" s="882" t="s">
        <v>308</v>
      </c>
      <c r="J109" s="862" t="str">
        <f t="shared" si="38"/>
        <v>RAMA NORTE UNIFICADA - REVESTIMIENTO  TRAMO ZANGRANDI</v>
      </c>
      <c r="K109" s="862" t="str">
        <f t="shared" si="39"/>
        <v>Rama Norte Unificada</v>
      </c>
      <c r="L109" s="863">
        <f t="shared" si="40"/>
        <v>1800000</v>
      </c>
      <c r="M109" s="864">
        <f t="shared" si="41"/>
        <v>19720000</v>
      </c>
    </row>
    <row r="110" spans="3:14" ht="24.95" customHeight="1" x14ac:dyDescent="0.25">
      <c r="C110" s="496">
        <v>11</v>
      </c>
      <c r="D110" s="496">
        <f>+HLOOKUP(C110,'ATUEL (2)'!$G$9:$Q$90,82,"FALSO")</f>
        <v>781.88946274617047</v>
      </c>
      <c r="E110" s="146" t="str">
        <f>+HLOOKUP(C110,'ATUEL (2)'!$G$9:$Q$90,2,"FALSO")</f>
        <v>RECONSTRUCCIÓN Y COMPUERTAS NUEVAS (9) Y HOJA MÓVILES (2)</v>
      </c>
      <c r="F110" s="144">
        <f>+HLOOKUP(C110,'ATUEL (2)'!$G$9:$Q$90,28,"FALSO")</f>
        <v>270000</v>
      </c>
      <c r="G110" s="496" t="str">
        <f>+HLOOKUP(C110,'ATUEL (2)'!$G$9:$Q$90,4,"FALSO")</f>
        <v>Canal San Pedro</v>
      </c>
      <c r="H110" s="881">
        <v>281.08257066624458</v>
      </c>
      <c r="I110" s="882" t="s">
        <v>309</v>
      </c>
      <c r="J110" s="862" t="e">
        <f t="shared" si="38"/>
        <v>#N/A</v>
      </c>
      <c r="K110" s="862" t="e">
        <f t="shared" si="39"/>
        <v>#N/A</v>
      </c>
      <c r="L110" s="863" t="e">
        <f t="shared" si="40"/>
        <v>#N/A</v>
      </c>
      <c r="M110" s="864" t="e">
        <f t="shared" si="41"/>
        <v>#N/A</v>
      </c>
    </row>
    <row r="111" spans="3:14" ht="15.75" x14ac:dyDescent="0.25">
      <c r="E111" s="145"/>
      <c r="F111"/>
      <c r="H111" s="148"/>
      <c r="I111" s="148"/>
      <c r="J111" s="148"/>
      <c r="K111" s="148"/>
      <c r="L111" s="148"/>
      <c r="M111" s="148"/>
    </row>
    <row r="112" spans="3:14" x14ac:dyDescent="0.25">
      <c r="E112" s="145"/>
      <c r="F112"/>
    </row>
    <row r="113" spans="5:6" x14ac:dyDescent="0.25">
      <c r="E113" s="145"/>
      <c r="F113"/>
    </row>
    <row r="114" spans="5:6" x14ac:dyDescent="0.25">
      <c r="E114" s="145"/>
      <c r="F114"/>
    </row>
  </sheetData>
  <mergeCells count="27">
    <mergeCell ref="C11:F11"/>
    <mergeCell ref="C6:E6"/>
    <mergeCell ref="C7:F7"/>
    <mergeCell ref="C8:F8"/>
    <mergeCell ref="C9:F9"/>
    <mergeCell ref="C10:F10"/>
    <mergeCell ref="D66:E66"/>
    <mergeCell ref="C12:F12"/>
    <mergeCell ref="C13:F13"/>
    <mergeCell ref="C14:F14"/>
    <mergeCell ref="C15:E15"/>
    <mergeCell ref="C36:C37"/>
    <mergeCell ref="C43:C46"/>
    <mergeCell ref="C48:C51"/>
    <mergeCell ref="C54:C55"/>
    <mergeCell ref="D63:E63"/>
    <mergeCell ref="D64:E64"/>
    <mergeCell ref="D65:E65"/>
    <mergeCell ref="D73:E73"/>
    <mergeCell ref="D74:E74"/>
    <mergeCell ref="H98:M98"/>
    <mergeCell ref="D67:E67"/>
    <mergeCell ref="D68:E68"/>
    <mergeCell ref="D69:E69"/>
    <mergeCell ref="D70:E70"/>
    <mergeCell ref="D71:E71"/>
    <mergeCell ref="D72:E72"/>
  </mergeCells>
  <pageMargins left="0.70866141732283472" right="0.70866141732283472" top="0.74803149606299213" bottom="0.74803149606299213" header="0.31496062992125984" footer="0.31496062992125984"/>
  <pageSetup paperSize="9" scale="15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40961" r:id="rId4">
          <objectPr defaultSize="0" autoPict="0" r:id="rId5">
            <anchor moveWithCells="1" sizeWithCells="1">
              <from>
                <xdr:col>5</xdr:col>
                <xdr:colOff>0</xdr:colOff>
                <xdr:row>76</xdr:row>
                <xdr:rowOff>0</xdr:rowOff>
              </from>
              <to>
                <xdr:col>6</xdr:col>
                <xdr:colOff>0</xdr:colOff>
                <xdr:row>76</xdr:row>
                <xdr:rowOff>695325</xdr:rowOff>
              </to>
            </anchor>
          </objectPr>
        </oleObject>
      </mc:Choice>
      <mc:Fallback>
        <oleObject progId="Equation.3" shapeId="40961" r:id="rId4"/>
      </mc:Fallback>
    </mc:AlternateContent>
    <mc:AlternateContent xmlns:mc="http://schemas.openxmlformats.org/markup-compatibility/2006">
      <mc:Choice Requires="x14">
        <oleObject progId="Equation.3" shapeId="40962" r:id="rId6">
          <objectPr defaultSize="0" autoPict="0" r:id="rId7">
            <anchor moveWithCells="1" sizeWithCells="1">
              <from>
                <xdr:col>5</xdr:col>
                <xdr:colOff>0</xdr:colOff>
                <xdr:row>77</xdr:row>
                <xdr:rowOff>0</xdr:rowOff>
              </from>
              <to>
                <xdr:col>6</xdr:col>
                <xdr:colOff>0</xdr:colOff>
                <xdr:row>77</xdr:row>
                <xdr:rowOff>542925</xdr:rowOff>
              </to>
            </anchor>
          </objectPr>
        </oleObject>
      </mc:Choice>
      <mc:Fallback>
        <oleObject progId="Equation.3" shapeId="40962" r:id="rId6"/>
      </mc:Fallback>
    </mc:AlternateContent>
    <mc:AlternateContent xmlns:mc="http://schemas.openxmlformats.org/markup-compatibility/2006">
      <mc:Choice Requires="x14">
        <oleObject progId="Equation.3" shapeId="40963" r:id="rId8">
          <objectPr defaultSize="0" autoPict="0" r:id="rId9">
            <anchor moveWithCells="1" sizeWithCells="1">
              <from>
                <xdr:col>5</xdr:col>
                <xdr:colOff>66675</xdr:colOff>
                <xdr:row>78</xdr:row>
                <xdr:rowOff>38100</xdr:rowOff>
              </from>
              <to>
                <xdr:col>6</xdr:col>
                <xdr:colOff>0</xdr:colOff>
                <xdr:row>78</xdr:row>
                <xdr:rowOff>571500</xdr:rowOff>
              </to>
            </anchor>
          </objectPr>
        </oleObject>
      </mc:Choice>
      <mc:Fallback>
        <oleObject progId="Equation.3" shapeId="40963" r:id="rId8"/>
      </mc:Fallback>
    </mc:AlternateContent>
    <mc:AlternateContent xmlns:mc="http://schemas.openxmlformats.org/markup-compatibility/2006">
      <mc:Choice Requires="x14">
        <oleObject progId="Equation.3" shapeId="40964" r:id="rId10">
          <objectPr defaultSize="0" autoPict="0" r:id="rId11">
            <anchor moveWithCells="1" sizeWithCells="1">
              <from>
                <xdr:col>5</xdr:col>
                <xdr:colOff>28575</xdr:colOff>
                <xdr:row>79</xdr:row>
                <xdr:rowOff>104775</xdr:rowOff>
              </from>
              <to>
                <xdr:col>6</xdr:col>
                <xdr:colOff>0</xdr:colOff>
                <xdr:row>79</xdr:row>
                <xdr:rowOff>657225</xdr:rowOff>
              </to>
            </anchor>
          </objectPr>
        </oleObject>
      </mc:Choice>
      <mc:Fallback>
        <oleObject progId="Equation.3" shapeId="40964" r:id="rId10"/>
      </mc:Fallback>
    </mc:AlternateContent>
    <mc:AlternateContent xmlns:mc="http://schemas.openxmlformats.org/markup-compatibility/2006">
      <mc:Choice Requires="x14">
        <oleObject progId="Equation.3" shapeId="40965" r:id="rId12">
          <objectPr defaultSize="0" autoPict="0" r:id="rId13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80</xdr:row>
                <xdr:rowOff>590550</xdr:rowOff>
              </to>
            </anchor>
          </objectPr>
        </oleObject>
      </mc:Choice>
      <mc:Fallback>
        <oleObject progId="Equation.3" shapeId="40965" r:id="rId12"/>
      </mc:Fallback>
    </mc:AlternateContent>
    <mc:AlternateContent xmlns:mc="http://schemas.openxmlformats.org/markup-compatibility/2006">
      <mc:Choice Requires="x14">
        <oleObject progId="Equation.3" shapeId="40966" r:id="rId14">
          <objectPr defaultSize="0" autoPict="0" r:id="rId15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81</xdr:row>
                <xdr:rowOff>542925</xdr:rowOff>
              </to>
            </anchor>
          </objectPr>
        </oleObject>
      </mc:Choice>
      <mc:Fallback>
        <oleObject progId="Equation.3" shapeId="40966" r:id="rId14"/>
      </mc:Fallback>
    </mc:AlternateContent>
    <mc:AlternateContent xmlns:mc="http://schemas.openxmlformats.org/markup-compatibility/2006">
      <mc:Choice Requires="x14">
        <oleObject progId="Equation.3" shapeId="40967" r:id="rId16">
          <objectPr defaultSize="0" autoPict="0" r:id="rId17">
            <anchor moveWithCells="1" sizeWithCells="1">
              <from>
                <xdr:col>5</xdr:col>
                <xdr:colOff>0</xdr:colOff>
                <xdr:row>82</xdr:row>
                <xdr:rowOff>0</xdr:rowOff>
              </from>
              <to>
                <xdr:col>6</xdr:col>
                <xdr:colOff>0</xdr:colOff>
                <xdr:row>82</xdr:row>
                <xdr:rowOff>552450</xdr:rowOff>
              </to>
            </anchor>
          </objectPr>
        </oleObject>
      </mc:Choice>
      <mc:Fallback>
        <oleObject progId="Equation.3" shapeId="40967" r:id="rId16"/>
      </mc:Fallback>
    </mc:AlternateContent>
    <mc:AlternateContent xmlns:mc="http://schemas.openxmlformats.org/markup-compatibility/2006">
      <mc:Choice Requires="x14">
        <oleObject progId="Equation.3" shapeId="40968" r:id="rId18">
          <objectPr defaultSize="0" autoPict="0" r:id="rId19">
            <anchor moveWithCells="1" sizeWithCells="1">
              <from>
                <xdr:col>5</xdr:col>
                <xdr:colOff>95250</xdr:colOff>
                <xdr:row>83</xdr:row>
                <xdr:rowOff>85725</xdr:rowOff>
              </from>
              <to>
                <xdr:col>6</xdr:col>
                <xdr:colOff>0</xdr:colOff>
                <xdr:row>83</xdr:row>
                <xdr:rowOff>628650</xdr:rowOff>
              </to>
            </anchor>
          </objectPr>
        </oleObject>
      </mc:Choice>
      <mc:Fallback>
        <oleObject progId="Equation.3" shapeId="40968" r:id="rId1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topLeftCell="F94" workbookViewId="0">
      <selection activeCell="J121" sqref="J121"/>
    </sheetView>
  </sheetViews>
  <sheetFormatPr baseColWidth="10" defaultRowHeight="15" x14ac:dyDescent="0.25"/>
  <cols>
    <col min="2" max="2" width="3.7109375" customWidth="1"/>
    <col min="3" max="3" width="12.28515625" customWidth="1"/>
    <col min="4" max="4" width="10.5703125" customWidth="1"/>
    <col min="5" max="5" width="45.28515625" customWidth="1"/>
    <col min="6" max="6" width="27.140625" style="19" customWidth="1"/>
    <col min="7" max="7" width="29.5703125" customWidth="1"/>
    <col min="8" max="8" width="12.7109375" customWidth="1"/>
    <col min="9" max="9" width="9.5703125" customWidth="1"/>
    <col min="10" max="10" width="62" customWidth="1"/>
    <col min="11" max="11" width="31.140625" customWidth="1"/>
    <col min="12" max="12" width="18" customWidth="1"/>
    <col min="13" max="13" width="18.5703125" style="109" customWidth="1"/>
    <col min="14" max="15" width="26" customWidth="1"/>
    <col min="16" max="16" width="30" customWidth="1"/>
    <col min="17" max="17" width="36.7109375" customWidth="1"/>
    <col min="18" max="18" width="46.5703125" customWidth="1"/>
    <col min="19" max="19" width="17.140625" customWidth="1"/>
    <col min="20" max="20" width="29.28515625" customWidth="1"/>
    <col min="21" max="21" width="22.7109375" customWidth="1"/>
    <col min="22" max="22" width="19.42578125" customWidth="1"/>
  </cols>
  <sheetData>
    <row r="1" spans="1:13" x14ac:dyDescent="0.25">
      <c r="G1">
        <f t="shared" ref="G1:J1" si="0">+G18/1000</f>
        <v>4.3</v>
      </c>
      <c r="H1">
        <f t="shared" si="0"/>
        <v>15</v>
      </c>
      <c r="I1">
        <f t="shared" si="0"/>
        <v>1</v>
      </c>
      <c r="J1">
        <f t="shared" si="0"/>
        <v>15</v>
      </c>
      <c r="M1"/>
    </row>
    <row r="2" spans="1:13" x14ac:dyDescent="0.25">
      <c r="G2">
        <v>0.2</v>
      </c>
      <c r="H2">
        <v>0.2</v>
      </c>
      <c r="I2">
        <v>0.2</v>
      </c>
      <c r="J2">
        <v>0.2</v>
      </c>
      <c r="M2"/>
    </row>
    <row r="3" spans="1:13" x14ac:dyDescent="0.25">
      <c r="G3">
        <f>+G1/(G23*(G21+G22*G23))</f>
        <v>2.7044025157232707</v>
      </c>
      <c r="H3">
        <f>+H1/(H23*(H21+H22*H23))</f>
        <v>7.3529411764705879</v>
      </c>
      <c r="I3">
        <f>+I1/(I23*(I21+I22*I23))</f>
        <v>1.1904761904761905</v>
      </c>
      <c r="M3"/>
    </row>
    <row r="4" spans="1:13" x14ac:dyDescent="0.25">
      <c r="G4" s="105">
        <f>0.0375*G2*((G1/G3)^0.5)*1000*G29/1000/G18</f>
        <v>1.5351357747587975E-3</v>
      </c>
      <c r="H4" s="105">
        <f t="shared" ref="H4:I4" si="1">0.0375*H2*((H1/H3)^0.5)*1000*H29/1000/H18</f>
        <v>0</v>
      </c>
      <c r="I4" s="105">
        <f t="shared" si="1"/>
        <v>0</v>
      </c>
      <c r="J4" s="105"/>
      <c r="M4"/>
    </row>
    <row r="5" spans="1:13" ht="15.75" thickBot="1" x14ac:dyDescent="0.3">
      <c r="C5" s="1"/>
      <c r="D5" s="1"/>
      <c r="E5" s="1"/>
      <c r="F5" s="18"/>
      <c r="M5"/>
    </row>
    <row r="6" spans="1:13" ht="19.5" thickBot="1" x14ac:dyDescent="0.3">
      <c r="C6" s="1033" t="s">
        <v>154</v>
      </c>
      <c r="D6" s="1034"/>
      <c r="E6" s="1035"/>
      <c r="F6" s="24"/>
      <c r="M6"/>
    </row>
    <row r="7" spans="1:13" ht="24" thickBot="1" x14ac:dyDescent="0.4">
      <c r="C7" s="1060" t="s">
        <v>59</v>
      </c>
      <c r="D7" s="1061"/>
      <c r="E7" s="1061"/>
      <c r="F7" s="1061"/>
      <c r="M7"/>
    </row>
    <row r="8" spans="1:13" ht="21.75" thickBot="1" x14ac:dyDescent="0.3">
      <c r="C8" s="1017" t="s">
        <v>60</v>
      </c>
      <c r="D8" s="1018"/>
      <c r="E8" s="1018"/>
      <c r="F8" s="1019"/>
      <c r="M8"/>
    </row>
    <row r="9" spans="1:13" ht="16.5" thickBot="1" x14ac:dyDescent="0.3">
      <c r="C9" s="1030" t="s">
        <v>58</v>
      </c>
      <c r="D9" s="1031"/>
      <c r="E9" s="1031"/>
      <c r="F9" s="1031"/>
      <c r="G9" s="198">
        <v>1</v>
      </c>
      <c r="H9" s="198">
        <v>2</v>
      </c>
      <c r="I9" s="198">
        <v>3</v>
      </c>
      <c r="J9" s="198">
        <v>4</v>
      </c>
      <c r="M9"/>
    </row>
    <row r="10" spans="1:13" s="10" customFormat="1" ht="111" thickBot="1" x14ac:dyDescent="0.3">
      <c r="A10" s="295"/>
      <c r="B10" s="295"/>
      <c r="C10" s="1062" t="s">
        <v>89</v>
      </c>
      <c r="D10" s="1063"/>
      <c r="E10" s="1063"/>
      <c r="F10" s="1063"/>
      <c r="G10" s="377" t="s">
        <v>973</v>
      </c>
      <c r="H10" s="232" t="s">
        <v>994</v>
      </c>
      <c r="I10" s="232" t="s">
        <v>997</v>
      </c>
      <c r="J10" s="232" t="s">
        <v>999</v>
      </c>
    </row>
    <row r="11" spans="1:13" ht="23.25" thickBot="1" x14ac:dyDescent="0.3">
      <c r="A11" s="89"/>
      <c r="B11" s="89"/>
      <c r="C11" s="1058" t="s">
        <v>28</v>
      </c>
      <c r="D11" s="1059"/>
      <c r="E11" s="1059"/>
      <c r="F11" s="1059"/>
      <c r="G11" s="378" t="s">
        <v>968</v>
      </c>
      <c r="H11" s="378" t="s">
        <v>996</v>
      </c>
      <c r="I11" s="378" t="s">
        <v>998</v>
      </c>
      <c r="J11" s="378" t="s">
        <v>996</v>
      </c>
      <c r="M11"/>
    </row>
    <row r="12" spans="1:13" ht="45.75" thickBot="1" x14ac:dyDescent="0.3">
      <c r="C12" s="1030" t="s">
        <v>269</v>
      </c>
      <c r="D12" s="1031"/>
      <c r="E12" s="1031"/>
      <c r="F12" s="1031"/>
      <c r="G12" s="271" t="s">
        <v>806</v>
      </c>
      <c r="H12" s="223" t="s">
        <v>991</v>
      </c>
      <c r="I12" s="223" t="s">
        <v>991</v>
      </c>
      <c r="J12" s="223" t="s">
        <v>991</v>
      </c>
      <c r="M12"/>
    </row>
    <row r="13" spans="1:13" ht="16.5" thickBot="1" x14ac:dyDescent="0.3">
      <c r="C13" s="1030" t="s">
        <v>55</v>
      </c>
      <c r="D13" s="1031"/>
      <c r="E13" s="1031"/>
      <c r="F13" s="1031"/>
      <c r="G13" s="271" t="s">
        <v>974</v>
      </c>
      <c r="H13" s="271" t="s">
        <v>974</v>
      </c>
      <c r="I13" s="271" t="s">
        <v>974</v>
      </c>
      <c r="J13" s="223" t="s">
        <v>974</v>
      </c>
      <c r="M13"/>
    </row>
    <row r="14" spans="1:13" ht="16.5" thickBot="1" x14ac:dyDescent="0.3">
      <c r="C14" s="1030" t="s">
        <v>38</v>
      </c>
      <c r="D14" s="1031"/>
      <c r="E14" s="1031"/>
      <c r="F14" s="1031"/>
      <c r="G14" s="379" t="s">
        <v>993</v>
      </c>
      <c r="H14" s="379" t="s">
        <v>993</v>
      </c>
      <c r="I14" s="379" t="s">
        <v>993</v>
      </c>
      <c r="J14" s="379" t="s">
        <v>993</v>
      </c>
      <c r="M14"/>
    </row>
    <row r="15" spans="1:13" x14ac:dyDescent="0.25">
      <c r="C15" s="1020" t="s">
        <v>0</v>
      </c>
      <c r="D15" s="1021"/>
      <c r="E15" s="1022"/>
      <c r="F15" s="424"/>
      <c r="G15" s="380"/>
      <c r="H15" s="380"/>
      <c r="I15" s="380"/>
      <c r="J15" s="380"/>
      <c r="M15"/>
    </row>
    <row r="16" spans="1:13" x14ac:dyDescent="0.25">
      <c r="A16" s="10"/>
      <c r="B16" s="10"/>
      <c r="C16" s="296">
        <v>1</v>
      </c>
      <c r="D16" s="296"/>
      <c r="E16" s="29" t="s">
        <v>23</v>
      </c>
      <c r="F16" s="425" t="s">
        <v>39</v>
      </c>
      <c r="G16" s="381">
        <v>3471</v>
      </c>
      <c r="H16" s="381">
        <f>3471+2400</f>
        <v>5871</v>
      </c>
      <c r="I16" s="381">
        <f>3471+2400</f>
        <v>5871</v>
      </c>
      <c r="J16" s="381">
        <f>3471+2400</f>
        <v>5871</v>
      </c>
      <c r="M16"/>
    </row>
    <row r="17" spans="1:13" x14ac:dyDescent="0.25">
      <c r="A17" s="10"/>
      <c r="B17" s="10"/>
      <c r="C17" s="296">
        <v>2</v>
      </c>
      <c r="D17" s="296"/>
      <c r="E17" s="29" t="s">
        <v>19</v>
      </c>
      <c r="F17" s="425" t="s">
        <v>41</v>
      </c>
      <c r="G17" s="381">
        <v>865</v>
      </c>
      <c r="H17" s="381">
        <v>865</v>
      </c>
      <c r="I17" s="381">
        <v>3</v>
      </c>
      <c r="J17" s="381">
        <v>865</v>
      </c>
      <c r="M17"/>
    </row>
    <row r="18" spans="1:13" x14ac:dyDescent="0.25">
      <c r="A18" s="10"/>
      <c r="B18" s="10"/>
      <c r="C18" s="296">
        <v>3</v>
      </c>
      <c r="D18" s="296"/>
      <c r="E18" s="29" t="s">
        <v>24</v>
      </c>
      <c r="F18" s="425" t="s">
        <v>42</v>
      </c>
      <c r="G18" s="381">
        <v>4300</v>
      </c>
      <c r="H18" s="381">
        <f>15*1000</f>
        <v>15000</v>
      </c>
      <c r="I18" s="381">
        <v>1000</v>
      </c>
      <c r="J18" s="381">
        <f>15*1000</f>
        <v>15000</v>
      </c>
      <c r="M18"/>
    </row>
    <row r="19" spans="1:13" x14ac:dyDescent="0.25">
      <c r="A19" s="10"/>
      <c r="B19" s="10"/>
      <c r="C19" s="48">
        <v>4</v>
      </c>
      <c r="D19" s="48"/>
      <c r="E19" s="49" t="s">
        <v>62</v>
      </c>
      <c r="F19" s="426" t="s">
        <v>67</v>
      </c>
      <c r="G19" s="382">
        <f>7/1000</f>
        <v>7.0000000000000001E-3</v>
      </c>
      <c r="H19" s="382"/>
      <c r="I19" s="382"/>
      <c r="J19" s="382"/>
      <c r="M19"/>
    </row>
    <row r="20" spans="1:13" x14ac:dyDescent="0.25">
      <c r="A20" s="10"/>
      <c r="B20" s="10"/>
      <c r="C20" s="296">
        <v>5</v>
      </c>
      <c r="D20" s="296"/>
      <c r="E20" s="29" t="s">
        <v>63</v>
      </c>
      <c r="F20" s="425"/>
      <c r="G20" s="381"/>
      <c r="H20" s="383"/>
      <c r="I20" s="383"/>
      <c r="J20" s="383"/>
      <c r="M20"/>
    </row>
    <row r="21" spans="1:13" x14ac:dyDescent="0.25">
      <c r="A21" s="10"/>
      <c r="B21" s="10"/>
      <c r="C21" s="48"/>
      <c r="D21" s="48" t="s">
        <v>64</v>
      </c>
      <c r="E21" s="49" t="s">
        <v>68</v>
      </c>
      <c r="F21" s="426" t="s">
        <v>71</v>
      </c>
      <c r="G21" s="382">
        <v>5</v>
      </c>
      <c r="H21" s="382">
        <v>10</v>
      </c>
      <c r="I21" s="382">
        <v>4</v>
      </c>
      <c r="J21" s="382"/>
      <c r="M21"/>
    </row>
    <row r="22" spans="1:13" x14ac:dyDescent="0.25">
      <c r="A22" s="10"/>
      <c r="B22" s="10"/>
      <c r="C22" s="48"/>
      <c r="D22" s="48" t="s">
        <v>65</v>
      </c>
      <c r="E22" s="49" t="s">
        <v>69</v>
      </c>
      <c r="F22" s="426" t="s">
        <v>72</v>
      </c>
      <c r="G22" s="382">
        <v>1</v>
      </c>
      <c r="H22" s="382">
        <v>1</v>
      </c>
      <c r="I22" s="382">
        <v>1</v>
      </c>
      <c r="J22" s="382"/>
      <c r="M22"/>
    </row>
    <row r="23" spans="1:13" x14ac:dyDescent="0.25">
      <c r="A23" s="10"/>
      <c r="B23" s="10"/>
      <c r="C23" s="48"/>
      <c r="D23" s="48" t="s">
        <v>66</v>
      </c>
      <c r="E23" s="49" t="s">
        <v>70</v>
      </c>
      <c r="F23" s="426" t="s">
        <v>167</v>
      </c>
      <c r="G23" s="382">
        <v>0.3</v>
      </c>
      <c r="H23" s="382">
        <v>0.2</v>
      </c>
      <c r="I23" s="382">
        <v>0.2</v>
      </c>
      <c r="J23" s="382"/>
      <c r="M23"/>
    </row>
    <row r="24" spans="1:13" x14ac:dyDescent="0.25">
      <c r="A24" s="10"/>
      <c r="B24" s="10"/>
      <c r="C24" s="296">
        <v>6</v>
      </c>
      <c r="D24" s="296"/>
      <c r="E24" s="29" t="s">
        <v>73</v>
      </c>
      <c r="F24" s="425" t="s">
        <v>74</v>
      </c>
      <c r="G24" s="381" t="s">
        <v>975</v>
      </c>
      <c r="H24" s="381" t="s">
        <v>975</v>
      </c>
      <c r="I24" s="381" t="s">
        <v>975</v>
      </c>
      <c r="J24" s="381"/>
      <c r="M24"/>
    </row>
    <row r="25" spans="1:13" x14ac:dyDescent="0.25">
      <c r="A25" s="10"/>
      <c r="B25" s="10"/>
      <c r="C25" s="296">
        <v>7</v>
      </c>
      <c r="D25" s="296"/>
      <c r="E25" s="29" t="s">
        <v>2</v>
      </c>
      <c r="F25" s="425" t="s">
        <v>44</v>
      </c>
      <c r="G25" s="387">
        <v>0.09</v>
      </c>
      <c r="H25" s="387">
        <v>0</v>
      </c>
      <c r="I25" s="387">
        <v>0</v>
      </c>
      <c r="J25" s="387">
        <v>0.01</v>
      </c>
      <c r="M25"/>
    </row>
    <row r="26" spans="1:13" x14ac:dyDescent="0.25">
      <c r="A26" s="10"/>
      <c r="B26" s="10"/>
      <c r="C26" s="296"/>
      <c r="D26" s="296"/>
      <c r="E26" s="29"/>
      <c r="F26" s="425"/>
      <c r="G26" s="387">
        <f>+G4*(1+G25)</f>
        <v>1.6732979944870893E-3</v>
      </c>
      <c r="H26" s="387">
        <f t="shared" ref="H26:J26" si="2">+H4*(1+H25)</f>
        <v>0</v>
      </c>
      <c r="I26" s="387">
        <f t="shared" si="2"/>
        <v>0</v>
      </c>
      <c r="J26" s="387">
        <f t="shared" si="2"/>
        <v>0</v>
      </c>
      <c r="M26"/>
    </row>
    <row r="27" spans="1:13" x14ac:dyDescent="0.25">
      <c r="A27" s="10"/>
      <c r="B27" s="10"/>
      <c r="C27" s="27" t="s">
        <v>3</v>
      </c>
      <c r="D27" s="27"/>
      <c r="E27" s="30"/>
      <c r="F27" s="425"/>
      <c r="G27" s="381"/>
      <c r="H27" s="381"/>
      <c r="I27" s="381"/>
      <c r="J27" s="381"/>
      <c r="M27"/>
    </row>
    <row r="28" spans="1:13" x14ac:dyDescent="0.25">
      <c r="A28" s="10"/>
      <c r="B28" s="10"/>
      <c r="C28" s="296">
        <v>8</v>
      </c>
      <c r="D28" s="296"/>
      <c r="E28" s="29" t="s">
        <v>4</v>
      </c>
      <c r="F28" s="425"/>
      <c r="G28" s="381" t="s">
        <v>185</v>
      </c>
      <c r="H28" s="381" t="s">
        <v>185</v>
      </c>
      <c r="I28" s="381" t="s">
        <v>185</v>
      </c>
      <c r="J28" s="381" t="s">
        <v>185</v>
      </c>
      <c r="M28"/>
    </row>
    <row r="29" spans="1:13" x14ac:dyDescent="0.25">
      <c r="A29" s="10"/>
      <c r="B29" s="10"/>
      <c r="C29" s="296">
        <v>9</v>
      </c>
      <c r="D29" s="296"/>
      <c r="E29" s="29" t="s">
        <v>25</v>
      </c>
      <c r="F29" s="425"/>
      <c r="G29" s="381">
        <v>698</v>
      </c>
      <c r="H29" s="381"/>
      <c r="I29" s="381"/>
      <c r="J29" s="381"/>
      <c r="M29"/>
    </row>
    <row r="30" spans="1:13" x14ac:dyDescent="0.25">
      <c r="A30" s="10"/>
      <c r="B30" s="10"/>
      <c r="C30" s="296">
        <v>10</v>
      </c>
      <c r="D30" s="296"/>
      <c r="E30" s="29" t="s">
        <v>77</v>
      </c>
      <c r="F30" s="425"/>
      <c r="G30" s="381"/>
      <c r="H30" s="381"/>
      <c r="I30" s="381"/>
      <c r="J30" s="381"/>
      <c r="M30"/>
    </row>
    <row r="31" spans="1:13" x14ac:dyDescent="0.25">
      <c r="A31" s="10"/>
      <c r="B31" s="10"/>
      <c r="C31" s="48"/>
      <c r="D31" s="48" t="s">
        <v>78</v>
      </c>
      <c r="E31" s="49" t="s">
        <v>79</v>
      </c>
      <c r="F31" s="426"/>
      <c r="G31" s="382" t="s">
        <v>976</v>
      </c>
      <c r="H31" s="382" t="s">
        <v>995</v>
      </c>
      <c r="I31" s="382" t="s">
        <v>976</v>
      </c>
      <c r="J31" s="382" t="s">
        <v>1000</v>
      </c>
      <c r="M31"/>
    </row>
    <row r="32" spans="1:13" x14ac:dyDescent="0.25">
      <c r="A32" s="10"/>
      <c r="B32" s="10"/>
      <c r="C32" s="48"/>
      <c r="D32" s="48" t="s">
        <v>80</v>
      </c>
      <c r="E32" s="49" t="s">
        <v>81</v>
      </c>
      <c r="F32" s="426" t="s">
        <v>71</v>
      </c>
      <c r="G32" s="382">
        <v>1.8</v>
      </c>
      <c r="H32" s="382">
        <v>10</v>
      </c>
      <c r="I32" s="382">
        <v>2</v>
      </c>
      <c r="J32" s="382"/>
      <c r="M32"/>
    </row>
    <row r="33" spans="1:13" x14ac:dyDescent="0.25">
      <c r="A33" s="10"/>
      <c r="B33" s="10"/>
      <c r="C33" s="48"/>
      <c r="D33" s="48" t="s">
        <v>82</v>
      </c>
      <c r="E33" s="49" t="s">
        <v>85</v>
      </c>
      <c r="F33" s="426" t="s">
        <v>178</v>
      </c>
      <c r="G33" s="382">
        <v>1.2</v>
      </c>
      <c r="H33" s="382">
        <v>2</v>
      </c>
      <c r="I33" s="382">
        <v>1</v>
      </c>
      <c r="J33" s="382"/>
      <c r="M33"/>
    </row>
    <row r="34" spans="1:13" x14ac:dyDescent="0.25">
      <c r="A34" s="10"/>
      <c r="B34" s="10"/>
      <c r="C34" s="48"/>
      <c r="D34" s="48" t="s">
        <v>83</v>
      </c>
      <c r="E34" s="49" t="s">
        <v>86</v>
      </c>
      <c r="F34" s="426" t="s">
        <v>179</v>
      </c>
      <c r="G34" s="382">
        <v>1</v>
      </c>
      <c r="H34" s="382">
        <v>1</v>
      </c>
      <c r="I34" s="382">
        <v>1</v>
      </c>
      <c r="J34" s="382"/>
      <c r="M34"/>
    </row>
    <row r="35" spans="1:13" x14ac:dyDescent="0.25">
      <c r="A35" s="10"/>
      <c r="B35" s="10"/>
      <c r="C35" s="48"/>
      <c r="D35" s="48" t="s">
        <v>84</v>
      </c>
      <c r="E35" s="49" t="s">
        <v>87</v>
      </c>
      <c r="F35" s="426" t="s">
        <v>180</v>
      </c>
      <c r="G35" s="382">
        <v>0.12</v>
      </c>
      <c r="H35" s="382">
        <v>1</v>
      </c>
      <c r="I35" s="382">
        <v>0.15</v>
      </c>
      <c r="J35" s="382"/>
      <c r="M35"/>
    </row>
    <row r="36" spans="1:13" x14ac:dyDescent="0.25">
      <c r="A36" s="10"/>
      <c r="B36" s="10"/>
      <c r="C36" s="1036">
        <v>11</v>
      </c>
      <c r="D36" s="296" t="s">
        <v>142</v>
      </c>
      <c r="E36" s="29" t="s">
        <v>29</v>
      </c>
      <c r="F36" s="425" t="s">
        <v>43</v>
      </c>
      <c r="G36" s="385">
        <f>G29*13500</f>
        <v>9423000</v>
      </c>
      <c r="H36" s="385">
        <f>300*3500</f>
        <v>1050000</v>
      </c>
      <c r="I36" s="385">
        <v>969391.75</v>
      </c>
      <c r="J36" s="385">
        <f>300*3500*3</f>
        <v>3150000</v>
      </c>
      <c r="M36"/>
    </row>
    <row r="37" spans="1:13" x14ac:dyDescent="0.25">
      <c r="A37" s="10"/>
      <c r="B37" s="10"/>
      <c r="C37" s="1036"/>
      <c r="D37" s="296" t="s">
        <v>143</v>
      </c>
      <c r="E37" s="29" t="s">
        <v>30</v>
      </c>
      <c r="F37" s="425" t="s">
        <v>40</v>
      </c>
      <c r="G37" s="385">
        <f>G36+97500</f>
        <v>9520500</v>
      </c>
      <c r="H37" s="385">
        <f>H36+57500</f>
        <v>1107500</v>
      </c>
      <c r="I37" s="385">
        <f>I36+57500</f>
        <v>1026891.75</v>
      </c>
      <c r="J37" s="385">
        <f>J36+57500</f>
        <v>3207500</v>
      </c>
      <c r="M37"/>
    </row>
    <row r="38" spans="1:13" x14ac:dyDescent="0.25">
      <c r="A38" s="10"/>
      <c r="B38" s="10"/>
      <c r="C38" s="27" t="s">
        <v>5</v>
      </c>
      <c r="D38" s="27"/>
      <c r="E38" s="30"/>
      <c r="F38" s="428"/>
      <c r="G38" s="386"/>
      <c r="H38" s="386"/>
      <c r="I38" s="386"/>
      <c r="J38" s="386"/>
      <c r="M38"/>
    </row>
    <row r="39" spans="1:13" x14ac:dyDescent="0.25">
      <c r="A39" s="10"/>
      <c r="B39" s="10"/>
      <c r="C39" s="296">
        <v>12</v>
      </c>
      <c r="D39" s="296"/>
      <c r="E39" s="29" t="s">
        <v>21</v>
      </c>
      <c r="F39" s="425" t="s">
        <v>45</v>
      </c>
      <c r="G39" s="387">
        <v>0.438</v>
      </c>
      <c r="H39" s="387">
        <v>0.438</v>
      </c>
      <c r="I39" s="387">
        <v>0.438</v>
      </c>
      <c r="J39" s="387">
        <v>0.438</v>
      </c>
      <c r="M39"/>
    </row>
    <row r="40" spans="1:13" x14ac:dyDescent="0.25">
      <c r="A40" s="10"/>
      <c r="B40" s="10"/>
      <c r="C40" s="296">
        <v>13</v>
      </c>
      <c r="D40" s="296"/>
      <c r="E40" s="29" t="s">
        <v>88</v>
      </c>
      <c r="F40" s="425" t="s">
        <v>48</v>
      </c>
      <c r="G40" s="387">
        <v>0.3755</v>
      </c>
      <c r="H40" s="387">
        <v>0.3755</v>
      </c>
      <c r="I40" s="387">
        <v>0.3755</v>
      </c>
      <c r="J40" s="387">
        <v>0.3755</v>
      </c>
      <c r="M40"/>
    </row>
    <row r="41" spans="1:13" x14ac:dyDescent="0.25">
      <c r="A41" s="10"/>
      <c r="B41" s="10"/>
      <c r="C41" s="296">
        <v>14</v>
      </c>
      <c r="D41" s="296"/>
      <c r="E41" s="30" t="s">
        <v>22</v>
      </c>
      <c r="F41" s="425" t="s">
        <v>46</v>
      </c>
      <c r="G41" s="388">
        <v>3656199.77</v>
      </c>
      <c r="H41" s="388">
        <v>3656199.77</v>
      </c>
      <c r="I41" s="388">
        <v>3656199.77</v>
      </c>
      <c r="J41" s="388">
        <v>3656199.77</v>
      </c>
      <c r="M41"/>
    </row>
    <row r="42" spans="1:13" ht="18" x14ac:dyDescent="0.25">
      <c r="A42" s="10"/>
      <c r="B42" s="10"/>
      <c r="C42" s="28" t="s">
        <v>6</v>
      </c>
      <c r="D42" s="28"/>
      <c r="E42" s="31"/>
      <c r="F42" s="32" t="s">
        <v>54</v>
      </c>
      <c r="G42" s="383"/>
      <c r="H42" s="383"/>
      <c r="I42" s="383"/>
      <c r="J42" s="383"/>
      <c r="M42"/>
    </row>
    <row r="43" spans="1:13" x14ac:dyDescent="0.25">
      <c r="A43" s="10"/>
      <c r="B43" s="10"/>
      <c r="C43" s="1036">
        <v>15</v>
      </c>
      <c r="D43" s="296"/>
      <c r="E43" s="33" t="s">
        <v>7</v>
      </c>
      <c r="F43" s="425">
        <v>40</v>
      </c>
      <c r="G43" s="381">
        <v>1</v>
      </c>
      <c r="H43" s="381"/>
      <c r="I43" s="381"/>
      <c r="J43" s="381"/>
      <c r="M43"/>
    </row>
    <row r="44" spans="1:13" x14ac:dyDescent="0.25">
      <c r="A44" s="10"/>
      <c r="B44" s="10"/>
      <c r="C44" s="1036"/>
      <c r="D44" s="296"/>
      <c r="E44" s="33" t="s">
        <v>8</v>
      </c>
      <c r="F44" s="425">
        <v>26</v>
      </c>
      <c r="G44" s="389"/>
      <c r="H44" s="381">
        <v>1</v>
      </c>
      <c r="I44" s="381">
        <v>1</v>
      </c>
      <c r="J44" s="381">
        <v>1</v>
      </c>
      <c r="M44"/>
    </row>
    <row r="45" spans="1:13" x14ac:dyDescent="0.25">
      <c r="A45" s="10"/>
      <c r="B45" s="10"/>
      <c r="C45" s="1036"/>
      <c r="D45" s="296"/>
      <c r="E45" s="33" t="s">
        <v>9</v>
      </c>
      <c r="F45" s="425">
        <v>13</v>
      </c>
      <c r="G45" s="383"/>
      <c r="H45" s="383"/>
      <c r="I45" s="383"/>
      <c r="J45" s="383"/>
      <c r="M45"/>
    </row>
    <row r="46" spans="1:13" x14ac:dyDescent="0.25">
      <c r="A46" s="10"/>
      <c r="B46" s="10"/>
      <c r="C46" s="1036"/>
      <c r="D46" s="296"/>
      <c r="E46" s="33" t="s">
        <v>10</v>
      </c>
      <c r="F46" s="425">
        <v>0</v>
      </c>
      <c r="G46" s="383"/>
      <c r="H46" s="383"/>
      <c r="I46" s="383"/>
      <c r="J46" s="383"/>
      <c r="M46"/>
    </row>
    <row r="47" spans="1:13" ht="18" x14ac:dyDescent="0.25">
      <c r="A47" s="10"/>
      <c r="B47" s="10"/>
      <c r="C47" s="28" t="s">
        <v>11</v>
      </c>
      <c r="D47" s="28"/>
      <c r="E47" s="31"/>
      <c r="F47" s="32" t="s">
        <v>50</v>
      </c>
      <c r="G47" s="383"/>
      <c r="H47" s="383"/>
      <c r="I47" s="383"/>
      <c r="J47" s="383"/>
      <c r="M47"/>
    </row>
    <row r="48" spans="1:13" x14ac:dyDescent="0.25">
      <c r="A48" s="10"/>
      <c r="B48" s="10"/>
      <c r="C48" s="1036">
        <v>16</v>
      </c>
      <c r="D48" s="296"/>
      <c r="E48" s="33" t="s">
        <v>12</v>
      </c>
      <c r="F48" s="425">
        <v>40</v>
      </c>
      <c r="G48" s="381">
        <v>1</v>
      </c>
      <c r="H48" s="381">
        <v>1</v>
      </c>
      <c r="I48" s="381">
        <v>1</v>
      </c>
      <c r="J48" s="381">
        <v>1</v>
      </c>
      <c r="M48"/>
    </row>
    <row r="49" spans="1:15" x14ac:dyDescent="0.25">
      <c r="A49" s="10"/>
      <c r="B49" s="10"/>
      <c r="C49" s="1036"/>
      <c r="D49" s="296"/>
      <c r="E49" s="33" t="s">
        <v>13</v>
      </c>
      <c r="F49" s="425">
        <v>26</v>
      </c>
      <c r="G49" s="383"/>
      <c r="H49" s="381"/>
      <c r="I49" s="381"/>
      <c r="J49" s="381"/>
      <c r="M49"/>
    </row>
    <row r="50" spans="1:15" x14ac:dyDescent="0.25">
      <c r="A50" s="10"/>
      <c r="B50" s="10"/>
      <c r="C50" s="1036"/>
      <c r="D50" s="296"/>
      <c r="E50" s="33" t="s">
        <v>14</v>
      </c>
      <c r="F50" s="425">
        <v>13</v>
      </c>
      <c r="G50" s="389"/>
      <c r="H50" s="389"/>
      <c r="I50" s="389"/>
      <c r="J50" s="389"/>
      <c r="M50"/>
    </row>
    <row r="51" spans="1:15" x14ac:dyDescent="0.25">
      <c r="A51" s="10"/>
      <c r="B51" s="10"/>
      <c r="C51" s="1036"/>
      <c r="D51" s="296"/>
      <c r="E51" s="33" t="s">
        <v>16</v>
      </c>
      <c r="F51" s="425">
        <v>0</v>
      </c>
      <c r="G51" s="383"/>
      <c r="H51" s="383"/>
      <c r="I51" s="383"/>
      <c r="J51" s="383"/>
      <c r="M51"/>
    </row>
    <row r="52" spans="1:15" x14ac:dyDescent="0.25">
      <c r="A52" s="10"/>
      <c r="B52" s="10"/>
      <c r="C52" s="27" t="s">
        <v>15</v>
      </c>
      <c r="D52" s="27"/>
      <c r="E52" s="30"/>
      <c r="F52" s="425"/>
      <c r="G52" s="383"/>
      <c r="H52" s="383"/>
      <c r="I52" s="383"/>
      <c r="J52" s="383"/>
      <c r="M52"/>
    </row>
    <row r="53" spans="1:15" x14ac:dyDescent="0.25">
      <c r="A53" s="10"/>
      <c r="B53" s="10"/>
      <c r="C53" s="296">
        <v>17</v>
      </c>
      <c r="D53" s="296"/>
      <c r="E53" s="29" t="s">
        <v>17</v>
      </c>
      <c r="F53" s="425" t="s">
        <v>47</v>
      </c>
      <c r="G53" s="385">
        <f>+G16*VBP_MA!$J$6</f>
        <v>340367854.14424115</v>
      </c>
      <c r="H53" s="385">
        <f>+H16*VBP_MA!$J$9</f>
        <v>683466802.46911943</v>
      </c>
      <c r="I53" s="385">
        <f>+I16*VBP_MA!$J$9</f>
        <v>683466802.46911943</v>
      </c>
      <c r="J53" s="385">
        <f>+J16*VBP_MA!$J$9</f>
        <v>683466802.46911943</v>
      </c>
      <c r="M53"/>
    </row>
    <row r="54" spans="1:15" ht="15.75" x14ac:dyDescent="0.25">
      <c r="A54" s="10"/>
      <c r="B54" s="10"/>
      <c r="C54" s="1045">
        <v>18</v>
      </c>
      <c r="D54" s="296">
        <v>18.100000000000001</v>
      </c>
      <c r="E54" s="29" t="s">
        <v>170</v>
      </c>
      <c r="F54" s="429" t="s">
        <v>53</v>
      </c>
      <c r="G54" s="381" t="s">
        <v>992</v>
      </c>
      <c r="H54" s="381" t="s">
        <v>977</v>
      </c>
      <c r="I54" s="381" t="s">
        <v>977</v>
      </c>
      <c r="J54" s="381" t="s">
        <v>977</v>
      </c>
      <c r="M54"/>
    </row>
    <row r="55" spans="1:15" ht="15.75" x14ac:dyDescent="0.25">
      <c r="A55" s="10"/>
      <c r="B55" s="10"/>
      <c r="C55" s="1045"/>
      <c r="D55" s="296">
        <v>18.2</v>
      </c>
      <c r="E55" s="29" t="s">
        <v>171</v>
      </c>
      <c r="F55" s="429" t="s">
        <v>53</v>
      </c>
      <c r="G55" s="381" t="s">
        <v>978</v>
      </c>
      <c r="H55" s="381" t="s">
        <v>978</v>
      </c>
      <c r="I55" s="381" t="s">
        <v>978</v>
      </c>
      <c r="J55" s="381" t="s">
        <v>978</v>
      </c>
      <c r="M55"/>
    </row>
    <row r="56" spans="1:15" ht="18" x14ac:dyDescent="0.25">
      <c r="A56" s="10"/>
      <c r="B56" s="10"/>
      <c r="C56" s="296">
        <v>19</v>
      </c>
      <c r="D56" s="296"/>
      <c r="E56" s="29" t="s">
        <v>27</v>
      </c>
      <c r="F56" s="32" t="s">
        <v>52</v>
      </c>
      <c r="G56" s="381">
        <v>40</v>
      </c>
      <c r="H56" s="381">
        <v>40</v>
      </c>
      <c r="I56" s="381">
        <v>40</v>
      </c>
      <c r="J56" s="381">
        <v>40</v>
      </c>
      <c r="M56"/>
    </row>
    <row r="57" spans="1:15" ht="15.75" x14ac:dyDescent="0.25">
      <c r="A57" s="10"/>
      <c r="B57" s="10"/>
      <c r="C57" s="296">
        <v>20</v>
      </c>
      <c r="D57" s="296"/>
      <c r="E57" s="29" t="s">
        <v>18</v>
      </c>
      <c r="F57" s="429" t="s">
        <v>53</v>
      </c>
      <c r="G57" s="381" t="s">
        <v>200</v>
      </c>
      <c r="H57" s="381" t="s">
        <v>200</v>
      </c>
      <c r="I57" s="381" t="s">
        <v>200</v>
      </c>
      <c r="J57" s="381" t="s">
        <v>200</v>
      </c>
      <c r="M57"/>
    </row>
    <row r="58" spans="1:15" x14ac:dyDescent="0.25">
      <c r="A58" s="10"/>
      <c r="B58" s="10"/>
      <c r="C58" s="296">
        <v>21</v>
      </c>
      <c r="D58" s="296"/>
      <c r="E58" s="29" t="s">
        <v>20</v>
      </c>
      <c r="F58" s="425" t="s">
        <v>49</v>
      </c>
      <c r="G58" s="384">
        <v>0.05</v>
      </c>
      <c r="H58" s="384">
        <v>0</v>
      </c>
      <c r="I58" s="384">
        <v>0</v>
      </c>
      <c r="J58" s="384">
        <v>0.05</v>
      </c>
      <c r="M58"/>
    </row>
    <row r="59" spans="1:15" ht="18.75" thickBot="1" x14ac:dyDescent="0.35">
      <c r="A59" s="10"/>
      <c r="B59" s="10"/>
      <c r="C59" s="39">
        <v>22</v>
      </c>
      <c r="D59" s="39"/>
      <c r="E59" s="34" t="s">
        <v>177</v>
      </c>
      <c r="F59" s="430" t="s">
        <v>51</v>
      </c>
      <c r="G59" s="390">
        <v>40</v>
      </c>
      <c r="H59" s="390">
        <v>40</v>
      </c>
      <c r="I59" s="390">
        <v>100</v>
      </c>
      <c r="J59" s="390">
        <v>100</v>
      </c>
      <c r="M59"/>
    </row>
    <row r="60" spans="1:15" x14ac:dyDescent="0.25">
      <c r="C60" s="1"/>
      <c r="D60" s="1"/>
      <c r="M60"/>
    </row>
    <row r="61" spans="1:15" x14ac:dyDescent="0.25">
      <c r="E61" s="108" t="s">
        <v>58</v>
      </c>
      <c r="F61" s="135" t="s">
        <v>58</v>
      </c>
      <c r="G61" s="109">
        <f t="shared" ref="G61:J61" si="3">G9</f>
        <v>1</v>
      </c>
      <c r="H61" s="109">
        <f t="shared" si="3"/>
        <v>2</v>
      </c>
      <c r="I61" s="109">
        <f t="shared" si="3"/>
        <v>3</v>
      </c>
      <c r="J61" s="109">
        <f t="shared" si="3"/>
        <v>4</v>
      </c>
      <c r="M61"/>
    </row>
    <row r="62" spans="1:15" ht="45.75" thickBot="1" x14ac:dyDescent="0.3">
      <c r="E62" s="108" t="s">
        <v>240</v>
      </c>
      <c r="F62" s="135" t="s">
        <v>240</v>
      </c>
      <c r="G62" s="19" t="str">
        <f t="shared" ref="G62:J62" si="4">G12</f>
        <v>Canal Cañada Colorada</v>
      </c>
      <c r="H62" s="19" t="str">
        <f t="shared" si="4"/>
        <v>Jefatura de Zona Malagüe</v>
      </c>
      <c r="I62" s="19" t="str">
        <f t="shared" si="4"/>
        <v>Jefatura de Zona Malagüe</v>
      </c>
      <c r="J62" s="19" t="str">
        <f t="shared" si="4"/>
        <v>Jefatura de Zona Malagüe</v>
      </c>
      <c r="M62"/>
    </row>
    <row r="63" spans="1:15" ht="18.75" x14ac:dyDescent="0.25">
      <c r="C63" s="139" t="s">
        <v>271</v>
      </c>
      <c r="D63" s="1053" t="s">
        <v>97</v>
      </c>
      <c r="E63" s="1054"/>
      <c r="F63" s="135" t="s">
        <v>141</v>
      </c>
      <c r="G63" s="136">
        <f t="shared" ref="G63:J63" si="5">G58</f>
        <v>0.05</v>
      </c>
      <c r="H63" s="136">
        <f t="shared" si="5"/>
        <v>0</v>
      </c>
      <c r="I63" s="136">
        <f t="shared" si="5"/>
        <v>0</v>
      </c>
      <c r="J63" s="136">
        <f t="shared" si="5"/>
        <v>0.05</v>
      </c>
      <c r="M63"/>
      <c r="N63" s="137">
        <f t="shared" ref="N63:N74" si="6">MAX(G63:J63)</f>
        <v>0.05</v>
      </c>
      <c r="O63" s="138">
        <f t="shared" ref="O63:O74" si="7">+MIN(G63:J63)</f>
        <v>0</v>
      </c>
    </row>
    <row r="64" spans="1:15" ht="18.75" x14ac:dyDescent="0.25">
      <c r="C64" s="139" t="s">
        <v>272</v>
      </c>
      <c r="D64" s="1053" t="s">
        <v>102</v>
      </c>
      <c r="E64" s="1054"/>
      <c r="F64" s="107" t="s">
        <v>241</v>
      </c>
      <c r="G64" s="122">
        <f t="shared" ref="G64:J64" si="8">+G37/G16</f>
        <v>2742.8694900605014</v>
      </c>
      <c r="H64" s="122">
        <f t="shared" si="8"/>
        <v>188.63907341168456</v>
      </c>
      <c r="I64" s="122">
        <f t="shared" si="8"/>
        <v>174.90917220235053</v>
      </c>
      <c r="J64" s="122">
        <f t="shared" si="8"/>
        <v>546.32941577244083</v>
      </c>
      <c r="M64"/>
      <c r="N64" s="126">
        <f t="shared" si="6"/>
        <v>2742.8694900605014</v>
      </c>
      <c r="O64" s="127">
        <f t="shared" si="7"/>
        <v>174.90917220235053</v>
      </c>
    </row>
    <row r="65" spans="1:15" ht="18.75" x14ac:dyDescent="0.25">
      <c r="C65" s="139" t="s">
        <v>273</v>
      </c>
      <c r="D65" s="1053" t="s">
        <v>106</v>
      </c>
      <c r="E65" s="1054"/>
      <c r="F65" s="107" t="s">
        <v>242</v>
      </c>
      <c r="G65" s="122">
        <f t="shared" ref="G65:J65" si="9">+G37/G17</f>
        <v>11006.358381502891</v>
      </c>
      <c r="H65" s="122">
        <f t="shared" si="9"/>
        <v>1280.3468208092486</v>
      </c>
      <c r="I65" s="122">
        <f t="shared" si="9"/>
        <v>342297.25</v>
      </c>
      <c r="J65" s="122">
        <f t="shared" si="9"/>
        <v>3708.092485549133</v>
      </c>
      <c r="M65"/>
      <c r="N65" s="126">
        <f t="shared" si="6"/>
        <v>342297.25</v>
      </c>
      <c r="O65" s="127">
        <f t="shared" si="7"/>
        <v>1280.3468208092486</v>
      </c>
    </row>
    <row r="66" spans="1:15" ht="19.5" thickBot="1" x14ac:dyDescent="0.3">
      <c r="C66" s="139" t="s">
        <v>274</v>
      </c>
      <c r="D66" s="1053" t="s">
        <v>108</v>
      </c>
      <c r="E66" s="1054"/>
      <c r="F66" s="107" t="s">
        <v>243</v>
      </c>
      <c r="G66" s="157">
        <f>+G37/(10000*G26*G18)</f>
        <v>132.31772073691707</v>
      </c>
      <c r="H66" s="157">
        <v>0</v>
      </c>
      <c r="I66" s="157">
        <v>0</v>
      </c>
      <c r="J66" s="157">
        <v>0</v>
      </c>
      <c r="M66"/>
      <c r="N66" s="126">
        <f t="shared" si="6"/>
        <v>132.31772073691707</v>
      </c>
      <c r="O66" s="127">
        <f t="shared" si="7"/>
        <v>0</v>
      </c>
    </row>
    <row r="67" spans="1:15" ht="18.75" x14ac:dyDescent="0.25">
      <c r="C67" s="139" t="s">
        <v>279</v>
      </c>
      <c r="D67" s="1053" t="s">
        <v>238</v>
      </c>
      <c r="E67" s="1054"/>
      <c r="F67" s="107" t="s">
        <v>146</v>
      </c>
      <c r="G67" s="121">
        <f t="shared" ref="G67:J67" si="10">(G39+G40)/2</f>
        <v>0.40675</v>
      </c>
      <c r="H67" s="121">
        <f t="shared" si="10"/>
        <v>0.40675</v>
      </c>
      <c r="I67" s="121">
        <f t="shared" si="10"/>
        <v>0.40675</v>
      </c>
      <c r="J67" s="121">
        <f t="shared" si="10"/>
        <v>0.40675</v>
      </c>
      <c r="M67"/>
      <c r="N67" s="125">
        <f t="shared" si="6"/>
        <v>0.40675</v>
      </c>
      <c r="O67" s="128">
        <f t="shared" si="7"/>
        <v>0.40675</v>
      </c>
    </row>
    <row r="68" spans="1:15" ht="18.75" x14ac:dyDescent="0.25">
      <c r="C68" s="139" t="s">
        <v>47</v>
      </c>
      <c r="D68" s="1053" t="s">
        <v>113</v>
      </c>
      <c r="E68" s="1054"/>
      <c r="F68" s="107" t="s">
        <v>147</v>
      </c>
      <c r="G68" s="123">
        <f t="shared" ref="G68:J68" si="11">+G53</f>
        <v>340367854.14424115</v>
      </c>
      <c r="H68" s="123">
        <f t="shared" si="11"/>
        <v>683466802.46911943</v>
      </c>
      <c r="I68" s="123">
        <f t="shared" si="11"/>
        <v>683466802.46911943</v>
      </c>
      <c r="J68" s="123">
        <f t="shared" si="11"/>
        <v>683466802.46911943</v>
      </c>
      <c r="M68"/>
      <c r="N68" s="126">
        <f t="shared" si="6"/>
        <v>683466802.46911943</v>
      </c>
      <c r="O68" s="129">
        <f t="shared" si="7"/>
        <v>340367854.14424115</v>
      </c>
    </row>
    <row r="69" spans="1:15" ht="18.75" x14ac:dyDescent="0.25">
      <c r="C69" s="139" t="s">
        <v>283</v>
      </c>
      <c r="D69" s="1053" t="s">
        <v>117</v>
      </c>
      <c r="E69" s="1054"/>
      <c r="F69" s="107" t="s">
        <v>118</v>
      </c>
      <c r="G69" s="124">
        <f>VLOOKUP(G62,'CALIF HTA'!$A$126:$B$128,2,"FALSO")</f>
        <v>75</v>
      </c>
      <c r="H69" s="124">
        <f>VLOOKUP(H62,'CALIF HTA'!$A$126:$B$128,2,"FALSO")</f>
        <v>70</v>
      </c>
      <c r="I69" s="124">
        <f>VLOOKUP(I62,'CALIF HTA'!$A$126:$B$128,2,"FALSO")</f>
        <v>70</v>
      </c>
      <c r="J69" s="124">
        <f>VLOOKUP(J62,'CALIF HTA'!$A$126:$B$128,2,"FALSO")</f>
        <v>70</v>
      </c>
      <c r="M69"/>
      <c r="N69" s="130">
        <f t="shared" si="6"/>
        <v>75</v>
      </c>
      <c r="O69" s="131">
        <f t="shared" si="7"/>
        <v>70</v>
      </c>
    </row>
    <row r="70" spans="1:15" ht="18.75" x14ac:dyDescent="0.25">
      <c r="C70" s="139" t="s">
        <v>285</v>
      </c>
      <c r="D70" s="1053" t="s">
        <v>122</v>
      </c>
      <c r="E70" s="1054"/>
      <c r="F70" s="107" t="s">
        <v>270</v>
      </c>
      <c r="G70" s="121">
        <f t="shared" ref="G70:J70" si="12">+G37/G41</f>
        <v>2.6039332090434435</v>
      </c>
      <c r="H70" s="121">
        <f t="shared" si="12"/>
        <v>0.30291014432179125</v>
      </c>
      <c r="I70" s="121">
        <f t="shared" si="12"/>
        <v>0.28086314058271494</v>
      </c>
      <c r="J70" s="121">
        <f t="shared" si="12"/>
        <v>0.87727700940148579</v>
      </c>
      <c r="M70"/>
      <c r="N70" s="132">
        <f t="shared" si="6"/>
        <v>2.6039332090434435</v>
      </c>
      <c r="O70" s="128">
        <f t="shared" si="7"/>
        <v>0.28086314058271494</v>
      </c>
    </row>
    <row r="71" spans="1:15" ht="18.75" x14ac:dyDescent="0.25">
      <c r="C71" s="139" t="s">
        <v>288</v>
      </c>
      <c r="D71" s="1053" t="s">
        <v>126</v>
      </c>
      <c r="E71" s="1054"/>
      <c r="F71" s="107" t="s">
        <v>149</v>
      </c>
      <c r="G71" s="124">
        <f t="shared" ref="G71:J71" si="13">+G59</f>
        <v>40</v>
      </c>
      <c r="H71" s="124">
        <f t="shared" si="13"/>
        <v>40</v>
      </c>
      <c r="I71" s="124">
        <f t="shared" si="13"/>
        <v>100</v>
      </c>
      <c r="J71" s="124">
        <f t="shared" si="13"/>
        <v>100</v>
      </c>
      <c r="M71"/>
      <c r="N71" s="130">
        <f t="shared" si="6"/>
        <v>100</v>
      </c>
      <c r="O71" s="131">
        <f t="shared" si="7"/>
        <v>40</v>
      </c>
    </row>
    <row r="72" spans="1:15" ht="18.75" x14ac:dyDescent="0.25">
      <c r="C72" s="139" t="s">
        <v>289</v>
      </c>
      <c r="D72" s="1053" t="s">
        <v>129</v>
      </c>
      <c r="E72" s="1054"/>
      <c r="F72" s="107" t="s">
        <v>150</v>
      </c>
      <c r="G72" s="124">
        <f t="shared" ref="G72:J72" si="14">+G43*$F$43+G44*$F$44+G45*$F$45+G46*$F$46</f>
        <v>40</v>
      </c>
      <c r="H72" s="124">
        <f t="shared" si="14"/>
        <v>26</v>
      </c>
      <c r="I72" s="124">
        <f t="shared" si="14"/>
        <v>26</v>
      </c>
      <c r="J72" s="124">
        <f t="shared" si="14"/>
        <v>26</v>
      </c>
      <c r="M72"/>
      <c r="N72" s="130">
        <f t="shared" si="6"/>
        <v>40</v>
      </c>
      <c r="O72" s="131">
        <f t="shared" si="7"/>
        <v>26</v>
      </c>
    </row>
    <row r="73" spans="1:15" ht="18.75" x14ac:dyDescent="0.25">
      <c r="C73" s="139" t="s">
        <v>291</v>
      </c>
      <c r="D73" s="1053" t="s">
        <v>133</v>
      </c>
      <c r="E73" s="1054"/>
      <c r="F73" s="107" t="s">
        <v>151</v>
      </c>
      <c r="G73" s="124">
        <f t="shared" ref="G73:J73" si="15">+G48*$F$48+G49*$F$49+G50*$F$50+G51*$F$51</f>
        <v>40</v>
      </c>
      <c r="H73" s="124">
        <f t="shared" si="15"/>
        <v>40</v>
      </c>
      <c r="I73" s="124">
        <f t="shared" si="15"/>
        <v>40</v>
      </c>
      <c r="J73" s="124">
        <f t="shared" si="15"/>
        <v>40</v>
      </c>
      <c r="M73"/>
      <c r="N73" s="130">
        <f t="shared" si="6"/>
        <v>40</v>
      </c>
      <c r="O73" s="131">
        <f t="shared" si="7"/>
        <v>40</v>
      </c>
    </row>
    <row r="74" spans="1:15" ht="19.5" thickBot="1" x14ac:dyDescent="0.3">
      <c r="C74" s="139" t="s">
        <v>293</v>
      </c>
      <c r="D74" s="1053" t="s">
        <v>137</v>
      </c>
      <c r="E74" s="1054"/>
      <c r="F74" s="107" t="s">
        <v>149</v>
      </c>
      <c r="G74" s="124">
        <f t="shared" ref="G74:J74" si="16">+G56</f>
        <v>40</v>
      </c>
      <c r="H74" s="124">
        <f t="shared" si="16"/>
        <v>40</v>
      </c>
      <c r="I74" s="124">
        <f t="shared" si="16"/>
        <v>40</v>
      </c>
      <c r="J74" s="124">
        <f t="shared" si="16"/>
        <v>40</v>
      </c>
      <c r="M74"/>
      <c r="N74" s="133">
        <f t="shared" si="6"/>
        <v>40</v>
      </c>
      <c r="O74" s="134">
        <f t="shared" si="7"/>
        <v>40</v>
      </c>
    </row>
    <row r="75" spans="1:15" x14ac:dyDescent="0.25">
      <c r="M75"/>
    </row>
    <row r="76" spans="1:15" x14ac:dyDescent="0.25">
      <c r="M76"/>
    </row>
    <row r="77" spans="1:15" ht="30.75" x14ac:dyDescent="0.25">
      <c r="A77" s="109"/>
      <c r="B77" s="109"/>
      <c r="C77" s="109"/>
      <c r="D77" s="109">
        <v>1</v>
      </c>
      <c r="E77" s="140" t="s">
        <v>280</v>
      </c>
      <c r="F77" s="109"/>
      <c r="G77" s="119">
        <f>100*((($N63-G63)/($N63-$O63)))</f>
        <v>0</v>
      </c>
      <c r="H77" s="119">
        <f>100*((($N63-H63)/($N63-$O63)))</f>
        <v>100</v>
      </c>
      <c r="I77" s="119">
        <f>100*((($N63-I63)/($N63-$O63)))</f>
        <v>100</v>
      </c>
      <c r="J77" s="119">
        <f>100*((($N63-J63)/($N63-$O63)))</f>
        <v>0</v>
      </c>
      <c r="M77"/>
    </row>
    <row r="78" spans="1:15" ht="30" x14ac:dyDescent="0.25">
      <c r="D78" s="109">
        <v>2</v>
      </c>
      <c r="E78" s="140" t="s">
        <v>275</v>
      </c>
      <c r="F78"/>
      <c r="G78" s="119">
        <f t="shared" ref="G78:J79" si="17">100*(1-(($O64-G64)/($O64-$N64)))</f>
        <v>0</v>
      </c>
      <c r="H78" s="119">
        <f t="shared" si="17"/>
        <v>99.465338264230425</v>
      </c>
      <c r="I78" s="119">
        <f t="shared" si="17"/>
        <v>100</v>
      </c>
      <c r="J78" s="119">
        <f t="shared" si="17"/>
        <v>85.536371376646542</v>
      </c>
      <c r="M78"/>
    </row>
    <row r="79" spans="1:15" ht="30" x14ac:dyDescent="0.25">
      <c r="D79" s="109">
        <v>3</v>
      </c>
      <c r="E79" s="140" t="s">
        <v>276</v>
      </c>
      <c r="F79"/>
      <c r="G79" s="119">
        <f t="shared" si="17"/>
        <v>97.147938571366637</v>
      </c>
      <c r="H79" s="119">
        <f t="shared" si="17"/>
        <v>100</v>
      </c>
      <c r="I79" s="119">
        <f t="shared" si="17"/>
        <v>0</v>
      </c>
      <c r="J79" s="119">
        <f t="shared" si="17"/>
        <v>99.288086413867816</v>
      </c>
      <c r="M79"/>
    </row>
    <row r="80" spans="1:15" ht="30" x14ac:dyDescent="0.25">
      <c r="D80" s="109">
        <v>4</v>
      </c>
      <c r="E80" s="140" t="s">
        <v>278</v>
      </c>
      <c r="F80"/>
      <c r="G80" s="119">
        <f>IF(G66=0,0,100*(1-(($O66-G66)/($O66-$N66))))</f>
        <v>0</v>
      </c>
      <c r="H80" s="119">
        <f>IF(H66=0,0,100*(1-(($O66-H66)/($O66-$N66))))</f>
        <v>0</v>
      </c>
      <c r="I80" s="119">
        <f>IF(I66=0,0,100*(1-(($O66-I66)/($O66-$N66))))</f>
        <v>0</v>
      </c>
      <c r="J80" s="119">
        <f>IF(J66=0,0,100*(1-(($O66-J66)/($O66-$N66))))</f>
        <v>0</v>
      </c>
      <c r="M80"/>
    </row>
    <row r="81" spans="4:13" ht="30" x14ac:dyDescent="0.25">
      <c r="D81" s="109">
        <v>5</v>
      </c>
      <c r="E81" s="140" t="s">
        <v>277</v>
      </c>
      <c r="F81"/>
      <c r="G81" s="119">
        <f>100*((G66-$O66)/($N66-$O66))</f>
        <v>100</v>
      </c>
      <c r="H81" s="119">
        <f t="shared" ref="H81:J81" si="18">100*((H66-$O66)/($N66-$O66))</f>
        <v>0</v>
      </c>
      <c r="I81" s="119">
        <f t="shared" si="18"/>
        <v>0</v>
      </c>
      <c r="J81" s="119">
        <f t="shared" si="18"/>
        <v>0</v>
      </c>
      <c r="M81"/>
    </row>
    <row r="82" spans="4:13" ht="30.75" x14ac:dyDescent="0.25">
      <c r="D82" s="109">
        <v>6</v>
      </c>
      <c r="E82" s="140" t="s">
        <v>281</v>
      </c>
      <c r="F82"/>
      <c r="G82" s="119">
        <f t="shared" ref="G82:J83" si="19">100*(1-(($N68-G68)/($N68-$O68)))</f>
        <v>0</v>
      </c>
      <c r="H82" s="119">
        <f t="shared" si="19"/>
        <v>100</v>
      </c>
      <c r="I82" s="119">
        <f t="shared" si="19"/>
        <v>100</v>
      </c>
      <c r="J82" s="119">
        <f t="shared" si="19"/>
        <v>100</v>
      </c>
      <c r="M82"/>
    </row>
    <row r="83" spans="4:13" ht="30.75" x14ac:dyDescent="0.25">
      <c r="D83" s="109">
        <v>7</v>
      </c>
      <c r="E83" s="140" t="s">
        <v>282</v>
      </c>
      <c r="F83"/>
      <c r="G83" s="119">
        <f t="shared" si="19"/>
        <v>100</v>
      </c>
      <c r="H83" s="119">
        <f t="shared" si="19"/>
        <v>0</v>
      </c>
      <c r="I83" s="119">
        <f t="shared" si="19"/>
        <v>0</v>
      </c>
      <c r="J83" s="119">
        <f t="shared" si="19"/>
        <v>0</v>
      </c>
      <c r="M83"/>
    </row>
    <row r="84" spans="4:13" ht="26.25" x14ac:dyDescent="0.25">
      <c r="D84" s="109">
        <v>8</v>
      </c>
      <c r="E84" s="140" t="s">
        <v>284</v>
      </c>
      <c r="F84"/>
      <c r="G84" s="119">
        <f>80*(1-(($O$70-G70)/($O70-$N70)))</f>
        <v>0</v>
      </c>
      <c r="H84" s="119">
        <f>80*(1-(($O$70-H70)/($O70-$N70)))</f>
        <v>79.240763193899369</v>
      </c>
      <c r="I84" s="119">
        <f>80*(1-(($O$70-I70)/($O70-$N70)))</f>
        <v>80</v>
      </c>
      <c r="J84" s="119">
        <f>80*(1-(($O$70-J70)/($O70-$N70)))</f>
        <v>59.461183649481356</v>
      </c>
      <c r="M84"/>
    </row>
    <row r="85" spans="4:13" ht="26.25" x14ac:dyDescent="0.25">
      <c r="D85" s="109">
        <v>9</v>
      </c>
      <c r="E85" s="140" t="s">
        <v>286</v>
      </c>
      <c r="F85" s="19" t="s">
        <v>149</v>
      </c>
      <c r="G85" s="109">
        <f t="shared" ref="G85:J85" si="20">+G71</f>
        <v>40</v>
      </c>
      <c r="H85" s="109">
        <f t="shared" si="20"/>
        <v>40</v>
      </c>
      <c r="I85" s="109">
        <f t="shared" si="20"/>
        <v>100</v>
      </c>
      <c r="J85" s="109">
        <f t="shared" si="20"/>
        <v>100</v>
      </c>
      <c r="M85"/>
    </row>
    <row r="86" spans="4:13" ht="26.25" x14ac:dyDescent="0.25">
      <c r="D86" s="109">
        <v>10</v>
      </c>
      <c r="E86" s="140" t="s">
        <v>287</v>
      </c>
      <c r="F86" s="19" t="s">
        <v>239</v>
      </c>
      <c r="G86" s="109">
        <f t="shared" ref="G86:J86" si="21">G72</f>
        <v>40</v>
      </c>
      <c r="H86" s="109">
        <f t="shared" si="21"/>
        <v>26</v>
      </c>
      <c r="I86" s="109">
        <f t="shared" si="21"/>
        <v>26</v>
      </c>
      <c r="J86" s="109">
        <f t="shared" si="21"/>
        <v>26</v>
      </c>
      <c r="M86"/>
    </row>
    <row r="87" spans="4:13" ht="26.25" x14ac:dyDescent="0.25">
      <c r="D87" s="109">
        <v>11</v>
      </c>
      <c r="E87" s="140" t="s">
        <v>290</v>
      </c>
      <c r="F87" s="19" t="s">
        <v>292</v>
      </c>
      <c r="G87" s="109">
        <f t="shared" ref="G87:J87" si="22">G73</f>
        <v>40</v>
      </c>
      <c r="H87" s="109">
        <f t="shared" si="22"/>
        <v>40</v>
      </c>
      <c r="I87" s="109">
        <f t="shared" si="22"/>
        <v>40</v>
      </c>
      <c r="J87" s="109">
        <f t="shared" si="22"/>
        <v>40</v>
      </c>
      <c r="M87"/>
    </row>
    <row r="88" spans="4:13" ht="30.75" x14ac:dyDescent="0.25">
      <c r="D88" s="109">
        <v>12</v>
      </c>
      <c r="E88" s="140" t="s">
        <v>294</v>
      </c>
      <c r="F88" s="19" t="s">
        <v>149</v>
      </c>
      <c r="G88" s="109">
        <f t="shared" ref="G88:J88" si="23">+G74</f>
        <v>40</v>
      </c>
      <c r="H88" s="109">
        <f t="shared" si="23"/>
        <v>40</v>
      </c>
      <c r="I88" s="109">
        <f t="shared" si="23"/>
        <v>40</v>
      </c>
      <c r="J88" s="109">
        <f t="shared" si="23"/>
        <v>40</v>
      </c>
      <c r="M88"/>
    </row>
    <row r="89" spans="4:13" x14ac:dyDescent="0.25">
      <c r="D89" s="109"/>
      <c r="M89"/>
    </row>
    <row r="90" spans="4:13" ht="23.25" x14ac:dyDescent="0.25">
      <c r="D90" s="109"/>
      <c r="F90" s="142" t="s">
        <v>295</v>
      </c>
      <c r="G90" s="143">
        <f t="shared" ref="G90:I90" si="24">SUM(G77:G88)</f>
        <v>457.14793857136664</v>
      </c>
      <c r="H90" s="143">
        <f t="shared" si="24"/>
        <v>624.70610145812975</v>
      </c>
      <c r="I90" s="143">
        <f t="shared" si="24"/>
        <v>586</v>
      </c>
      <c r="J90" s="143">
        <f t="shared" ref="J90" si="25">SUM(J77:J88)</f>
        <v>550.28564143999574</v>
      </c>
      <c r="M90"/>
    </row>
    <row r="91" spans="4:13" x14ac:dyDescent="0.25">
      <c r="D91" s="109"/>
    </row>
    <row r="92" spans="4:13" x14ac:dyDescent="0.25">
      <c r="D92" s="109"/>
    </row>
    <row r="93" spans="4:13" x14ac:dyDescent="0.25">
      <c r="D93" s="109"/>
    </row>
    <row r="94" spans="4:13" x14ac:dyDescent="0.25">
      <c r="D94" s="109"/>
      <c r="F94"/>
      <c r="H94" s="145"/>
    </row>
    <row r="95" spans="4:13" x14ac:dyDescent="0.25">
      <c r="D95" s="109"/>
      <c r="F95"/>
      <c r="H95" s="145"/>
    </row>
    <row r="96" spans="4:13" x14ac:dyDescent="0.25">
      <c r="F96"/>
      <c r="H96" s="145"/>
    </row>
    <row r="97" spans="3:21" ht="15.75" thickBot="1" x14ac:dyDescent="0.3">
      <c r="F97"/>
    </row>
    <row r="98" spans="3:21" ht="37.5" customHeight="1" thickBot="1" x14ac:dyDescent="0.3">
      <c r="F98"/>
      <c r="H98" s="1071" t="s">
        <v>1001</v>
      </c>
      <c r="I98" s="1072"/>
      <c r="J98" s="1072"/>
      <c r="K98" s="1072"/>
      <c r="L98" s="1072"/>
      <c r="M98" s="1073"/>
      <c r="N98" s="930"/>
      <c r="O98" s="358"/>
      <c r="P98" s="358"/>
    </row>
    <row r="99" spans="3:21" ht="33.75" customHeight="1" thickBot="1" x14ac:dyDescent="0.3">
      <c r="F99"/>
      <c r="H99" s="529" t="s">
        <v>1096</v>
      </c>
      <c r="I99" s="530" t="s">
        <v>58</v>
      </c>
      <c r="J99" s="530" t="s">
        <v>296</v>
      </c>
      <c r="K99" s="530" t="s">
        <v>314</v>
      </c>
      <c r="L99" s="530" t="s">
        <v>297</v>
      </c>
      <c r="M99" s="531" t="s">
        <v>298</v>
      </c>
      <c r="N99" s="931"/>
      <c r="O99" s="359"/>
      <c r="P99" s="359"/>
    </row>
    <row r="100" spans="3:21" ht="40.5" customHeight="1" x14ac:dyDescent="0.25">
      <c r="C100" s="109">
        <v>1</v>
      </c>
      <c r="D100" s="109">
        <f>+HLOOKUP(C100,MALARGÜE!$G$9:$J$90,82,"FALSO")</f>
        <v>457.14793857136664</v>
      </c>
      <c r="E100" s="146" t="str">
        <f>+HLOOKUP(C100,MALARGÜE!$G$9:$J$90,2,"FALSO")</f>
        <v>REVESTIMIENTO CANAL MATRIZ CAÑADA COLORADA 2ª ETAPA – RÍO MALARGÜE</v>
      </c>
      <c r="F100" s="144">
        <f>+HLOOKUP(C100,MALARGÜE!$G$9:$J$90,29,"FALSO")</f>
        <v>9520500</v>
      </c>
      <c r="G100" s="109" t="str">
        <f>+HLOOKUP(C100,MALARGÜE!$G$9:$J$90,4,"FALSO")</f>
        <v>Canal Cañada Colorada</v>
      </c>
      <c r="H100" s="1010">
        <v>457.14793857136664</v>
      </c>
      <c r="I100" s="1011" t="s">
        <v>299</v>
      </c>
      <c r="J100" s="853" t="str">
        <f>+VLOOKUP(H100,$D$100:$G$103,2,"FALSO")</f>
        <v>REVESTIMIENTO CANAL MATRIZ CAÑADA COLORADA 2ª ETAPA – RÍO MALARGÜE</v>
      </c>
      <c r="K100" s="853" t="str">
        <f>VLOOKUP(H100,$D$100:$G$103,4,"FALSO")</f>
        <v>Canal Cañada Colorada</v>
      </c>
      <c r="L100" s="854">
        <f>+VLOOKUP(H100,$D$100:$G$103,3,"FALSO")</f>
        <v>9520500</v>
      </c>
      <c r="M100" s="855">
        <f>+L100</f>
        <v>9520500</v>
      </c>
      <c r="N100" s="876"/>
      <c r="O100" s="360"/>
      <c r="P100" s="360"/>
      <c r="U100" s="109"/>
    </row>
    <row r="101" spans="3:21" ht="24.95" customHeight="1" x14ac:dyDescent="0.25">
      <c r="C101" s="109">
        <v>2</v>
      </c>
      <c r="D101" s="109">
        <f>+HLOOKUP(C101,MALARGÜE!$G$9:$J$90,82,"FALSO")</f>
        <v>624.70610145812975</v>
      </c>
      <c r="E101" s="146" t="str">
        <f>+HLOOKUP(C101,MALARGÜE!$G$9:$J$90,2,"FALSO")</f>
        <v xml:space="preserve">SECCION DE AFORO LA BARDA </v>
      </c>
      <c r="F101" s="144">
        <f>+HLOOKUP(C101,MALARGÜE!$G$9:$J$90,29,"FALSO")</f>
        <v>1107500</v>
      </c>
      <c r="G101" s="109" t="str">
        <f>+HLOOKUP(C101,MALARGÜE!$G$9:$J$90,4,"FALSO")</f>
        <v>Jefatura de Zona Malagüe</v>
      </c>
      <c r="H101" s="879">
        <v>624.70610145812975</v>
      </c>
      <c r="I101" s="880" t="s">
        <v>300</v>
      </c>
      <c r="J101" s="856" t="str">
        <f>+VLOOKUP(H101,$D$100:$G$103,2,"FALSO")</f>
        <v xml:space="preserve">SECCION DE AFORO LA BARDA </v>
      </c>
      <c r="K101" s="856" t="str">
        <f>VLOOKUP(H101,$D$100:$G$103,4,"FALSO")</f>
        <v>Jefatura de Zona Malagüe</v>
      </c>
      <c r="L101" s="857">
        <f>+VLOOKUP(H101,$D$100:$G$103,3,"FALSO")</f>
        <v>1107500</v>
      </c>
      <c r="M101" s="858">
        <f t="shared" ref="M101:M103" si="26">+M100+L101</f>
        <v>10628000</v>
      </c>
      <c r="N101" s="876"/>
      <c r="O101" s="360"/>
      <c r="P101" s="360"/>
    </row>
    <row r="102" spans="3:21" ht="24.95" customHeight="1" thickBot="1" x14ac:dyDescent="0.3">
      <c r="C102" s="109">
        <v>3</v>
      </c>
      <c r="D102" s="109">
        <f>+HLOOKUP(C102,MALARGÜE!$G$9:$J$90,82,"FALSO")</f>
        <v>586</v>
      </c>
      <c r="E102" s="146" t="str">
        <f>+HLOOKUP(C102,MALARGÜE!$G$9:$J$90,2,"FALSO")</f>
        <v>TOMA Y REGULACIÓN CANAL LAS CHACRAS</v>
      </c>
      <c r="F102" s="144">
        <f>+HLOOKUP(C102,MALARGÜE!$G$9:$J$90,29,"FALSO")</f>
        <v>1026891.75</v>
      </c>
      <c r="G102" s="109" t="str">
        <f>+HLOOKUP(C102,MALARGÜE!$G$9:$J$90,4,"FALSO")</f>
        <v>Jefatura de Zona Malagüe</v>
      </c>
      <c r="H102" s="879">
        <v>586</v>
      </c>
      <c r="I102" s="880" t="s">
        <v>301</v>
      </c>
      <c r="J102" s="856" t="str">
        <f>+VLOOKUP(H102,$D$100:$G$103,2,"FALSO")</f>
        <v>TOMA Y REGULACIÓN CANAL LAS CHACRAS</v>
      </c>
      <c r="K102" s="856" t="str">
        <f>VLOOKUP(H102,$D$100:$G$103,4,"FALSO")</f>
        <v>Jefatura de Zona Malagüe</v>
      </c>
      <c r="L102" s="857">
        <f>+VLOOKUP(H102,$D$100:$G$103,3,"FALSO")</f>
        <v>1026891.75</v>
      </c>
      <c r="M102" s="858">
        <f t="shared" si="26"/>
        <v>11654891.75</v>
      </c>
      <c r="N102" s="876"/>
      <c r="O102" s="360"/>
      <c r="P102" s="360"/>
    </row>
    <row r="103" spans="3:21" ht="24.95" customHeight="1" thickBot="1" x14ac:dyDescent="0.3">
      <c r="C103" s="109">
        <v>4</v>
      </c>
      <c r="D103" s="109">
        <f>+HLOOKUP(C103,MALARGÜE!$G$9:$J$90,82,"FALSO")</f>
        <v>550.28564143999574</v>
      </c>
      <c r="E103" s="146" t="str">
        <f>+HLOOKUP(C103,MALARGÜE!$G$9:$J$90,2,"FALSO")</f>
        <v>REPARACIÓN COMPUERTAS 3,4,5,6 Y 7 DIQUE BLAS BRISOLI</v>
      </c>
      <c r="F103" s="144">
        <f>+HLOOKUP(C103,MALARGÜE!$G$9:$J$90,29,"FALSO")</f>
        <v>3207500</v>
      </c>
      <c r="G103" s="109" t="str">
        <f>+HLOOKUP(C103,MALARGÜE!$G$9:$J$90,4,"FALSO")</f>
        <v>Jefatura de Zona Malagüe</v>
      </c>
      <c r="H103" s="932">
        <v>550.28564143999574</v>
      </c>
      <c r="I103" s="933" t="s">
        <v>302</v>
      </c>
      <c r="J103" s="859" t="str">
        <f>+VLOOKUP(H103,$D$100:$G$103,2,"FALSO")</f>
        <v>REPARACIÓN COMPUERTAS 3,4,5,6 Y 7 DIQUE BLAS BRISOLI</v>
      </c>
      <c r="K103" s="859" t="str">
        <f>VLOOKUP(H103,$D$100:$G$103,4,"FALSO")</f>
        <v>Jefatura de Zona Malagüe</v>
      </c>
      <c r="L103" s="860">
        <f>+VLOOKUP(H103,$D$100:$G$103,3,"FALSO")</f>
        <v>3207500</v>
      </c>
      <c r="M103" s="861">
        <f t="shared" si="26"/>
        <v>14862391.75</v>
      </c>
      <c r="N103" s="532">
        <f>+FICHA!T15</f>
        <v>14400000</v>
      </c>
      <c r="O103" s="360"/>
      <c r="P103" s="360"/>
    </row>
    <row r="104" spans="3:21" x14ac:dyDescent="0.25">
      <c r="F104" s="109"/>
      <c r="G104" s="109"/>
      <c r="H104" s="146"/>
      <c r="I104" s="144"/>
      <c r="J104" s="109"/>
    </row>
    <row r="105" spans="3:21" x14ac:dyDescent="0.25">
      <c r="F105" s="109"/>
      <c r="G105" s="109"/>
      <c r="H105" s="146"/>
      <c r="I105" s="144"/>
      <c r="J105" s="109"/>
    </row>
    <row r="106" spans="3:21" x14ac:dyDescent="0.25">
      <c r="F106" s="109"/>
      <c r="G106" s="109"/>
      <c r="H106" s="146"/>
      <c r="I106" s="144"/>
      <c r="J106" s="109"/>
    </row>
    <row r="107" spans="3:21" x14ac:dyDescent="0.25">
      <c r="F107" s="109"/>
      <c r="G107" s="109"/>
      <c r="H107" s="146"/>
      <c r="I107" s="144"/>
      <c r="J107" s="109"/>
    </row>
    <row r="108" spans="3:21" x14ac:dyDescent="0.25">
      <c r="F108"/>
      <c r="H108" s="145"/>
    </row>
    <row r="109" spans="3:21" x14ac:dyDescent="0.25">
      <c r="F109"/>
      <c r="H109" s="145"/>
    </row>
    <row r="110" spans="3:21" x14ac:dyDescent="0.25">
      <c r="F110"/>
      <c r="H110" s="145"/>
    </row>
    <row r="111" spans="3:21" x14ac:dyDescent="0.25">
      <c r="F111"/>
      <c r="H111" s="145"/>
    </row>
  </sheetData>
  <mergeCells count="27">
    <mergeCell ref="D73:E73"/>
    <mergeCell ref="D74:E74"/>
    <mergeCell ref="H98:M98"/>
    <mergeCell ref="D67:E67"/>
    <mergeCell ref="D68:E68"/>
    <mergeCell ref="D69:E69"/>
    <mergeCell ref="D70:E70"/>
    <mergeCell ref="D71:E71"/>
    <mergeCell ref="D72:E72"/>
    <mergeCell ref="D66:E66"/>
    <mergeCell ref="C12:F12"/>
    <mergeCell ref="C13:F13"/>
    <mergeCell ref="C14:F14"/>
    <mergeCell ref="C15:E15"/>
    <mergeCell ref="C36:C37"/>
    <mergeCell ref="C43:C46"/>
    <mergeCell ref="C48:C51"/>
    <mergeCell ref="C54:C55"/>
    <mergeCell ref="D63:E63"/>
    <mergeCell ref="D64:E64"/>
    <mergeCell ref="D65:E65"/>
    <mergeCell ref="C11:F11"/>
    <mergeCell ref="C6:E6"/>
    <mergeCell ref="C7:F7"/>
    <mergeCell ref="C8:F8"/>
    <mergeCell ref="C9:F9"/>
    <mergeCell ref="C10:F10"/>
  </mergeCells>
  <pageMargins left="0.70866141732283472" right="0.70866141732283472" top="0.74803149606299213" bottom="0.74803149606299213" header="0.31496062992125984" footer="0.31496062992125984"/>
  <pageSetup paperSize="9" scale="22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1505" r:id="rId4">
          <objectPr defaultSize="0" autoPict="0" r:id="rId5">
            <anchor moveWithCells="1" sizeWithCells="1">
              <from>
                <xdr:col>5</xdr:col>
                <xdr:colOff>0</xdr:colOff>
                <xdr:row>76</xdr:row>
                <xdr:rowOff>0</xdr:rowOff>
              </from>
              <to>
                <xdr:col>5</xdr:col>
                <xdr:colOff>1790700</xdr:colOff>
                <xdr:row>77</xdr:row>
                <xdr:rowOff>0</xdr:rowOff>
              </to>
            </anchor>
          </objectPr>
        </oleObject>
      </mc:Choice>
      <mc:Fallback>
        <oleObject progId="Equation.3" shapeId="21505" r:id="rId4"/>
      </mc:Fallback>
    </mc:AlternateContent>
    <mc:AlternateContent xmlns:mc="http://schemas.openxmlformats.org/markup-compatibility/2006">
      <mc:Choice Requires="x14">
        <oleObject progId="Equation.3" shapeId="21506" r:id="rId6">
          <objectPr defaultSize="0" autoPict="0" r:id="rId7">
            <anchor moveWithCells="1" sizeWithCells="1">
              <from>
                <xdr:col>5</xdr:col>
                <xdr:colOff>0</xdr:colOff>
                <xdr:row>77</xdr:row>
                <xdr:rowOff>0</xdr:rowOff>
              </from>
              <to>
                <xdr:col>6</xdr:col>
                <xdr:colOff>0</xdr:colOff>
                <xdr:row>78</xdr:row>
                <xdr:rowOff>0</xdr:rowOff>
              </to>
            </anchor>
          </objectPr>
        </oleObject>
      </mc:Choice>
      <mc:Fallback>
        <oleObject progId="Equation.3" shapeId="21506" r:id="rId6"/>
      </mc:Fallback>
    </mc:AlternateContent>
    <mc:AlternateContent xmlns:mc="http://schemas.openxmlformats.org/markup-compatibility/2006">
      <mc:Choice Requires="x14">
        <oleObject progId="Equation.3" shapeId="21507" r:id="rId8">
          <objectPr defaultSize="0" autoPict="0" r:id="rId9">
            <anchor moveWithCells="1" sizeWithCells="1">
              <from>
                <xdr:col>5</xdr:col>
                <xdr:colOff>66675</xdr:colOff>
                <xdr:row>78</xdr:row>
                <xdr:rowOff>38100</xdr:rowOff>
              </from>
              <to>
                <xdr:col>6</xdr:col>
                <xdr:colOff>0</xdr:colOff>
                <xdr:row>79</xdr:row>
                <xdr:rowOff>0</xdr:rowOff>
              </to>
            </anchor>
          </objectPr>
        </oleObject>
      </mc:Choice>
      <mc:Fallback>
        <oleObject progId="Equation.3" shapeId="21507" r:id="rId8"/>
      </mc:Fallback>
    </mc:AlternateContent>
    <mc:AlternateContent xmlns:mc="http://schemas.openxmlformats.org/markup-compatibility/2006">
      <mc:Choice Requires="x14">
        <oleObject progId="Equation.3" shapeId="21508" r:id="rId10">
          <objectPr defaultSize="0" autoPict="0" r:id="rId11">
            <anchor moveWithCells="1" sizeWithCells="1">
              <from>
                <xdr:col>5</xdr:col>
                <xdr:colOff>9525</xdr:colOff>
                <xdr:row>79</xdr:row>
                <xdr:rowOff>104775</xdr:rowOff>
              </from>
              <to>
                <xdr:col>5</xdr:col>
                <xdr:colOff>1790700</xdr:colOff>
                <xdr:row>80</xdr:row>
                <xdr:rowOff>0</xdr:rowOff>
              </to>
            </anchor>
          </objectPr>
        </oleObject>
      </mc:Choice>
      <mc:Fallback>
        <oleObject progId="Equation.3" shapeId="21508" r:id="rId10"/>
      </mc:Fallback>
    </mc:AlternateContent>
    <mc:AlternateContent xmlns:mc="http://schemas.openxmlformats.org/markup-compatibility/2006">
      <mc:Choice Requires="x14">
        <oleObject progId="Equation.3" shapeId="21509" r:id="rId12">
          <objectPr defaultSize="0" autoPict="0" r:id="rId13">
            <anchor moveWithCells="1" sizeWithCells="1">
              <from>
                <xdr:col>5</xdr:col>
                <xdr:colOff>0</xdr:colOff>
                <xdr:row>80</xdr:row>
                <xdr:rowOff>0</xdr:rowOff>
              </from>
              <to>
                <xdr:col>6</xdr:col>
                <xdr:colOff>0</xdr:colOff>
                <xdr:row>81</xdr:row>
                <xdr:rowOff>0</xdr:rowOff>
              </to>
            </anchor>
          </objectPr>
        </oleObject>
      </mc:Choice>
      <mc:Fallback>
        <oleObject progId="Equation.3" shapeId="21509" r:id="rId12"/>
      </mc:Fallback>
    </mc:AlternateContent>
    <mc:AlternateContent xmlns:mc="http://schemas.openxmlformats.org/markup-compatibility/2006">
      <mc:Choice Requires="x14">
        <oleObject progId="Equation.3" shapeId="21510" r:id="rId14">
          <objectPr defaultSize="0" autoPict="0" r:id="rId15">
            <anchor moveWithCells="1" sizeWithCells="1">
              <from>
                <xdr:col>5</xdr:col>
                <xdr:colOff>0</xdr:colOff>
                <xdr:row>81</xdr:row>
                <xdr:rowOff>0</xdr:rowOff>
              </from>
              <to>
                <xdr:col>6</xdr:col>
                <xdr:colOff>0</xdr:colOff>
                <xdr:row>82</xdr:row>
                <xdr:rowOff>0</xdr:rowOff>
              </to>
            </anchor>
          </objectPr>
        </oleObject>
      </mc:Choice>
      <mc:Fallback>
        <oleObject progId="Equation.3" shapeId="21510" r:id="rId14"/>
      </mc:Fallback>
    </mc:AlternateContent>
    <mc:AlternateContent xmlns:mc="http://schemas.openxmlformats.org/markup-compatibility/2006">
      <mc:Choice Requires="x14">
        <oleObject progId="Equation.3" shapeId="21511" r:id="rId16">
          <objectPr defaultSize="0" autoPict="0" r:id="rId17">
            <anchor moveWithCells="1" sizeWithCells="1">
              <from>
                <xdr:col>5</xdr:col>
                <xdr:colOff>0</xdr:colOff>
                <xdr:row>82</xdr:row>
                <xdr:rowOff>0</xdr:rowOff>
              </from>
              <to>
                <xdr:col>6</xdr:col>
                <xdr:colOff>0</xdr:colOff>
                <xdr:row>83</xdr:row>
                <xdr:rowOff>0</xdr:rowOff>
              </to>
            </anchor>
          </objectPr>
        </oleObject>
      </mc:Choice>
      <mc:Fallback>
        <oleObject progId="Equation.3" shapeId="21511" r:id="rId16"/>
      </mc:Fallback>
    </mc:AlternateContent>
    <mc:AlternateContent xmlns:mc="http://schemas.openxmlformats.org/markup-compatibility/2006">
      <mc:Choice Requires="x14">
        <oleObject progId="Equation.3" shapeId="21512" r:id="rId18">
          <objectPr defaultSize="0" autoPict="0" r:id="rId19">
            <anchor moveWithCells="1" sizeWithCells="1">
              <from>
                <xdr:col>5</xdr:col>
                <xdr:colOff>133350</xdr:colOff>
                <xdr:row>83</xdr:row>
                <xdr:rowOff>9525</xdr:rowOff>
              </from>
              <to>
                <xdr:col>5</xdr:col>
                <xdr:colOff>1704975</xdr:colOff>
                <xdr:row>83</xdr:row>
                <xdr:rowOff>295275</xdr:rowOff>
              </to>
            </anchor>
          </objectPr>
        </oleObject>
      </mc:Choice>
      <mc:Fallback>
        <oleObject progId="Equation.3" shapeId="21512" r:id="rId1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opLeftCell="A61" workbookViewId="0">
      <selection activeCell="A96" sqref="A96"/>
    </sheetView>
  </sheetViews>
  <sheetFormatPr baseColWidth="10" defaultRowHeight="15" x14ac:dyDescent="0.25"/>
  <cols>
    <col min="1" max="1" width="44.140625" customWidth="1"/>
    <col min="2" max="2" width="31" customWidth="1"/>
    <col min="7" max="7" width="45.85546875" customWidth="1"/>
  </cols>
  <sheetData>
    <row r="1" spans="1:2" ht="15.75" thickBot="1" x14ac:dyDescent="0.3">
      <c r="A1" s="64" t="s">
        <v>244</v>
      </c>
      <c r="B1" s="64" t="s">
        <v>245</v>
      </c>
    </row>
    <row r="2" spans="1:2" x14ac:dyDescent="0.25">
      <c r="A2" s="111" t="s">
        <v>262</v>
      </c>
      <c r="B2" s="112">
        <v>81</v>
      </c>
    </row>
    <row r="3" spans="1:2" x14ac:dyDescent="0.25">
      <c r="A3" s="113" t="s">
        <v>260</v>
      </c>
      <c r="B3" s="114">
        <v>81</v>
      </c>
    </row>
    <row r="4" spans="1:2" x14ac:dyDescent="0.25">
      <c r="A4" s="115" t="s">
        <v>263</v>
      </c>
      <c r="B4" s="114">
        <v>71</v>
      </c>
    </row>
    <row r="5" spans="1:2" x14ac:dyDescent="0.25">
      <c r="A5" s="113" t="s">
        <v>264</v>
      </c>
      <c r="B5" s="114">
        <v>74</v>
      </c>
    </row>
    <row r="6" spans="1:2" x14ac:dyDescent="0.25">
      <c r="A6" s="113" t="s">
        <v>256</v>
      </c>
      <c r="B6" s="114">
        <v>81</v>
      </c>
    </row>
    <row r="7" spans="1:2" x14ac:dyDescent="0.25">
      <c r="A7" s="113" t="s">
        <v>258</v>
      </c>
      <c r="B7" s="114">
        <v>68</v>
      </c>
    </row>
    <row r="8" spans="1:2" x14ac:dyDescent="0.25">
      <c r="A8" s="113" t="s">
        <v>247</v>
      </c>
      <c r="B8" s="114">
        <v>60</v>
      </c>
    </row>
    <row r="9" spans="1:2" x14ac:dyDescent="0.25">
      <c r="A9" s="113" t="s">
        <v>257</v>
      </c>
      <c r="B9" s="114">
        <v>63</v>
      </c>
    </row>
    <row r="10" spans="1:2" x14ac:dyDescent="0.25">
      <c r="A10" s="113" t="s">
        <v>254</v>
      </c>
      <c r="B10" s="114">
        <v>60</v>
      </c>
    </row>
    <row r="11" spans="1:2" x14ac:dyDescent="0.25">
      <c r="A11" s="113" t="s">
        <v>252</v>
      </c>
      <c r="B11" s="114">
        <v>61</v>
      </c>
    </row>
    <row r="12" spans="1:2" x14ac:dyDescent="0.25">
      <c r="A12" s="113" t="s">
        <v>246</v>
      </c>
      <c r="B12" s="114">
        <v>61</v>
      </c>
    </row>
    <row r="13" spans="1:2" x14ac:dyDescent="0.25">
      <c r="A13" s="113" t="s">
        <v>248</v>
      </c>
      <c r="B13" s="114">
        <v>71</v>
      </c>
    </row>
    <row r="14" spans="1:2" x14ac:dyDescent="0.25">
      <c r="A14" s="113" t="s">
        <v>265</v>
      </c>
      <c r="B14" s="114">
        <v>67</v>
      </c>
    </row>
    <row r="15" spans="1:2" x14ac:dyDescent="0.25">
      <c r="A15" s="113" t="s">
        <v>249</v>
      </c>
      <c r="B15" s="114">
        <v>69</v>
      </c>
    </row>
    <row r="16" spans="1:2" x14ac:dyDescent="0.25">
      <c r="A16" s="113" t="s">
        <v>253</v>
      </c>
      <c r="B16" s="114">
        <v>64</v>
      </c>
    </row>
    <row r="17" spans="1:2" x14ac:dyDescent="0.25">
      <c r="A17" s="113" t="s">
        <v>255</v>
      </c>
      <c r="B17" s="114">
        <v>70</v>
      </c>
    </row>
    <row r="18" spans="1:2" x14ac:dyDescent="0.25">
      <c r="A18" s="113" t="s">
        <v>251</v>
      </c>
      <c r="B18" s="114">
        <v>67</v>
      </c>
    </row>
    <row r="19" spans="1:2" x14ac:dyDescent="0.25">
      <c r="A19" s="113" t="s">
        <v>266</v>
      </c>
      <c r="B19" s="114">
        <v>69</v>
      </c>
    </row>
    <row r="20" spans="1:2" x14ac:dyDescent="0.25">
      <c r="A20" s="113" t="s">
        <v>250</v>
      </c>
      <c r="B20" s="114">
        <v>83</v>
      </c>
    </row>
    <row r="21" spans="1:2" x14ac:dyDescent="0.25">
      <c r="A21" s="113" t="s">
        <v>261</v>
      </c>
      <c r="B21" s="114">
        <v>66</v>
      </c>
    </row>
    <row r="22" spans="1:2" x14ac:dyDescent="0.25">
      <c r="A22" s="115" t="s">
        <v>259</v>
      </c>
      <c r="B22" s="114">
        <v>70</v>
      </c>
    </row>
    <row r="23" spans="1:2" ht="15.75" thickBot="1" x14ac:dyDescent="0.3">
      <c r="A23" s="116" t="s">
        <v>267</v>
      </c>
      <c r="B23" s="117">
        <v>68</v>
      </c>
    </row>
    <row r="24" spans="1:2" ht="15.75" thickBot="1" x14ac:dyDescent="0.3">
      <c r="A24" s="151" t="s">
        <v>268</v>
      </c>
      <c r="B24" s="118">
        <f>AVERAGE(B2:B23)</f>
        <v>69.318181818181813</v>
      </c>
    </row>
    <row r="25" spans="1:2" x14ac:dyDescent="0.25">
      <c r="A25" s="152" t="s">
        <v>343</v>
      </c>
      <c r="B25" s="112">
        <v>79</v>
      </c>
    </row>
    <row r="26" spans="1:2" x14ac:dyDescent="0.25">
      <c r="A26" s="153" t="s">
        <v>344</v>
      </c>
      <c r="B26" s="114">
        <v>64</v>
      </c>
    </row>
    <row r="27" spans="1:2" x14ac:dyDescent="0.25">
      <c r="A27" s="153" t="s">
        <v>345</v>
      </c>
      <c r="B27" s="114">
        <v>63</v>
      </c>
    </row>
    <row r="28" spans="1:2" x14ac:dyDescent="0.25">
      <c r="A28" s="153" t="s">
        <v>346</v>
      </c>
      <c r="B28" s="114">
        <v>61</v>
      </c>
    </row>
    <row r="29" spans="1:2" x14ac:dyDescent="0.25">
      <c r="A29" s="153" t="s">
        <v>347</v>
      </c>
      <c r="B29" s="114">
        <v>64</v>
      </c>
    </row>
    <row r="30" spans="1:2" x14ac:dyDescent="0.25">
      <c r="A30" s="153" t="s">
        <v>348</v>
      </c>
      <c r="B30" s="114">
        <v>56</v>
      </c>
    </row>
    <row r="31" spans="1:2" x14ac:dyDescent="0.25">
      <c r="A31" s="153" t="s">
        <v>349</v>
      </c>
      <c r="B31" s="114">
        <v>57</v>
      </c>
    </row>
    <row r="32" spans="1:2" x14ac:dyDescent="0.25">
      <c r="A32" s="153" t="s">
        <v>350</v>
      </c>
      <c r="B32" s="114">
        <v>63</v>
      </c>
    </row>
    <row r="33" spans="1:2" x14ac:dyDescent="0.25">
      <c r="A33" s="153" t="s">
        <v>351</v>
      </c>
      <c r="B33" s="114">
        <v>58</v>
      </c>
    </row>
    <row r="34" spans="1:2" x14ac:dyDescent="0.25">
      <c r="A34" s="153" t="s">
        <v>352</v>
      </c>
      <c r="B34" s="114">
        <v>57</v>
      </c>
    </row>
    <row r="35" spans="1:2" x14ac:dyDescent="0.25">
      <c r="A35" s="153" t="s">
        <v>353</v>
      </c>
      <c r="B35" s="114">
        <v>58</v>
      </c>
    </row>
    <row r="36" spans="1:2" x14ac:dyDescent="0.25">
      <c r="A36" s="153" t="s">
        <v>354</v>
      </c>
      <c r="B36" s="114">
        <v>65</v>
      </c>
    </row>
    <row r="37" spans="1:2" x14ac:dyDescent="0.25">
      <c r="A37" s="153" t="s">
        <v>355</v>
      </c>
      <c r="B37" s="114">
        <v>62</v>
      </c>
    </row>
    <row r="38" spans="1:2" x14ac:dyDescent="0.25">
      <c r="A38" s="153" t="s">
        <v>356</v>
      </c>
      <c r="B38" s="114">
        <v>59</v>
      </c>
    </row>
    <row r="39" spans="1:2" x14ac:dyDescent="0.25">
      <c r="A39" s="153" t="s">
        <v>357</v>
      </c>
      <c r="B39" s="114">
        <v>60</v>
      </c>
    </row>
    <row r="40" spans="1:2" x14ac:dyDescent="0.25">
      <c r="A40" s="153" t="s">
        <v>358</v>
      </c>
      <c r="B40" s="114">
        <v>59</v>
      </c>
    </row>
    <row r="41" spans="1:2" x14ac:dyDescent="0.25">
      <c r="A41" s="153" t="s">
        <v>359</v>
      </c>
      <c r="B41" s="114">
        <v>60</v>
      </c>
    </row>
    <row r="42" spans="1:2" x14ac:dyDescent="0.25">
      <c r="A42" s="154" t="s">
        <v>360</v>
      </c>
      <c r="B42" s="114">
        <v>60</v>
      </c>
    </row>
    <row r="43" spans="1:2" x14ac:dyDescent="0.25">
      <c r="A43" s="153" t="s">
        <v>361</v>
      </c>
      <c r="B43" s="114">
        <v>60</v>
      </c>
    </row>
    <row r="44" spans="1:2" ht="15.75" thickBot="1" x14ac:dyDescent="0.3">
      <c r="A44" s="155" t="s">
        <v>362</v>
      </c>
      <c r="B44" s="117">
        <v>61</v>
      </c>
    </row>
    <row r="45" spans="1:2" ht="15.75" thickBot="1" x14ac:dyDescent="0.3">
      <c r="A45" s="158" t="s">
        <v>363</v>
      </c>
      <c r="B45" s="159">
        <v>61.3</v>
      </c>
    </row>
    <row r="46" spans="1:2" x14ac:dyDescent="0.25">
      <c r="A46" s="152" t="s">
        <v>372</v>
      </c>
      <c r="B46" s="162">
        <v>82</v>
      </c>
    </row>
    <row r="47" spans="1:2" x14ac:dyDescent="0.25">
      <c r="A47" s="153" t="s">
        <v>373</v>
      </c>
      <c r="B47" s="163">
        <v>81</v>
      </c>
    </row>
    <row r="48" spans="1:2" x14ac:dyDescent="0.25">
      <c r="A48" s="153" t="s">
        <v>374</v>
      </c>
      <c r="B48" s="163">
        <v>84</v>
      </c>
    </row>
    <row r="49" spans="1:2" x14ac:dyDescent="0.25">
      <c r="A49" s="153" t="s">
        <v>375</v>
      </c>
      <c r="B49" s="163">
        <v>84</v>
      </c>
    </row>
    <row r="50" spans="1:2" x14ac:dyDescent="0.25">
      <c r="A50" s="153" t="s">
        <v>376</v>
      </c>
      <c r="B50" s="163">
        <v>82.5</v>
      </c>
    </row>
    <row r="51" spans="1:2" x14ac:dyDescent="0.25">
      <c r="A51" s="153" t="s">
        <v>377</v>
      </c>
      <c r="B51" s="163">
        <v>83</v>
      </c>
    </row>
    <row r="52" spans="1:2" x14ac:dyDescent="0.25">
      <c r="A52" s="153" t="s">
        <v>378</v>
      </c>
      <c r="B52" s="163">
        <v>84</v>
      </c>
    </row>
    <row r="53" spans="1:2" x14ac:dyDescent="0.25">
      <c r="A53" s="153" t="s">
        <v>379</v>
      </c>
      <c r="B53" s="163">
        <v>70</v>
      </c>
    </row>
    <row r="54" spans="1:2" x14ac:dyDescent="0.25">
      <c r="A54" s="153" t="s">
        <v>380</v>
      </c>
      <c r="B54" s="163">
        <v>71</v>
      </c>
    </row>
    <row r="55" spans="1:2" x14ac:dyDescent="0.25">
      <c r="A55" s="153" t="s">
        <v>381</v>
      </c>
      <c r="B55" s="163">
        <v>70</v>
      </c>
    </row>
    <row r="56" spans="1:2" x14ac:dyDescent="0.25">
      <c r="A56" s="153" t="s">
        <v>382</v>
      </c>
      <c r="B56" s="163">
        <v>75</v>
      </c>
    </row>
    <row r="57" spans="1:2" x14ac:dyDescent="0.25">
      <c r="A57" s="153" t="s">
        <v>383</v>
      </c>
      <c r="B57" s="163">
        <v>72</v>
      </c>
    </row>
    <row r="58" spans="1:2" x14ac:dyDescent="0.25">
      <c r="A58" s="153" t="s">
        <v>384</v>
      </c>
      <c r="B58" s="163">
        <v>72</v>
      </c>
    </row>
    <row r="59" spans="1:2" x14ac:dyDescent="0.25">
      <c r="A59" s="153" t="s">
        <v>385</v>
      </c>
      <c r="B59" s="163">
        <v>75</v>
      </c>
    </row>
    <row r="60" spans="1:2" x14ac:dyDescent="0.25">
      <c r="A60" s="153" t="s">
        <v>386</v>
      </c>
      <c r="B60" s="163">
        <v>83</v>
      </c>
    </row>
    <row r="61" spans="1:2" x14ac:dyDescent="0.25">
      <c r="A61" s="153" t="s">
        <v>387</v>
      </c>
      <c r="B61" s="163">
        <v>84</v>
      </c>
    </row>
    <row r="62" spans="1:2" x14ac:dyDescent="0.25">
      <c r="A62" s="153" t="s">
        <v>388</v>
      </c>
      <c r="B62" s="163">
        <v>82</v>
      </c>
    </row>
    <row r="63" spans="1:2" x14ac:dyDescent="0.25">
      <c r="A63" s="153" t="s">
        <v>389</v>
      </c>
      <c r="B63" s="163">
        <v>84</v>
      </c>
    </row>
    <row r="64" spans="1:2" x14ac:dyDescent="0.25">
      <c r="A64" s="153" t="s">
        <v>390</v>
      </c>
      <c r="B64" s="163">
        <v>84</v>
      </c>
    </row>
    <row r="65" spans="1:2" x14ac:dyDescent="0.25">
      <c r="A65" s="153" t="s">
        <v>391</v>
      </c>
      <c r="B65" s="163">
        <v>84</v>
      </c>
    </row>
    <row r="66" spans="1:2" x14ac:dyDescent="0.25">
      <c r="A66" s="153" t="s">
        <v>392</v>
      </c>
      <c r="B66" s="163">
        <v>84</v>
      </c>
    </row>
    <row r="67" spans="1:2" x14ac:dyDescent="0.25">
      <c r="A67" s="153" t="s">
        <v>393</v>
      </c>
      <c r="B67" s="163">
        <v>79</v>
      </c>
    </row>
    <row r="68" spans="1:2" x14ac:dyDescent="0.25">
      <c r="A68" s="153" t="s">
        <v>394</v>
      </c>
      <c r="B68" s="163">
        <v>81</v>
      </c>
    </row>
    <row r="69" spans="1:2" x14ac:dyDescent="0.25">
      <c r="A69" s="153" t="s">
        <v>395</v>
      </c>
      <c r="B69" s="163">
        <v>79</v>
      </c>
    </row>
    <row r="70" spans="1:2" x14ac:dyDescent="0.25">
      <c r="A70" s="153" t="s">
        <v>396</v>
      </c>
      <c r="B70" s="163">
        <v>80</v>
      </c>
    </row>
    <row r="71" spans="1:2" x14ac:dyDescent="0.25">
      <c r="A71" s="153" t="s">
        <v>397</v>
      </c>
      <c r="B71" s="163">
        <v>79</v>
      </c>
    </row>
    <row r="72" spans="1:2" x14ac:dyDescent="0.25">
      <c r="A72" s="153" t="s">
        <v>398</v>
      </c>
      <c r="B72" s="163">
        <v>78</v>
      </c>
    </row>
    <row r="73" spans="1:2" x14ac:dyDescent="0.25">
      <c r="A73" s="153" t="s">
        <v>399</v>
      </c>
      <c r="B73" s="163">
        <v>79</v>
      </c>
    </row>
    <row r="74" spans="1:2" x14ac:dyDescent="0.25">
      <c r="A74" s="153" t="s">
        <v>400</v>
      </c>
      <c r="B74" s="163">
        <v>80</v>
      </c>
    </row>
    <row r="75" spans="1:2" x14ac:dyDescent="0.25">
      <c r="A75" s="153" t="s">
        <v>401</v>
      </c>
      <c r="B75" s="163">
        <v>79</v>
      </c>
    </row>
    <row r="76" spans="1:2" x14ac:dyDescent="0.25">
      <c r="A76" s="153" t="s">
        <v>402</v>
      </c>
      <c r="B76" s="163">
        <v>80</v>
      </c>
    </row>
    <row r="77" spans="1:2" x14ac:dyDescent="0.25">
      <c r="A77" s="153" t="s">
        <v>403</v>
      </c>
      <c r="B77" s="163">
        <v>80</v>
      </c>
    </row>
    <row r="78" spans="1:2" x14ac:dyDescent="0.25">
      <c r="A78" s="153" t="s">
        <v>404</v>
      </c>
      <c r="B78" s="163">
        <v>80</v>
      </c>
    </row>
    <row r="79" spans="1:2" x14ac:dyDescent="0.25">
      <c r="A79" s="153" t="s">
        <v>405</v>
      </c>
      <c r="B79" s="163">
        <v>78</v>
      </c>
    </row>
    <row r="80" spans="1:2" x14ac:dyDescent="0.25">
      <c r="A80" s="153" t="s">
        <v>406</v>
      </c>
      <c r="B80" s="163">
        <v>79</v>
      </c>
    </row>
    <row r="81" spans="1:2" x14ac:dyDescent="0.25">
      <c r="A81" s="153" t="s">
        <v>407</v>
      </c>
      <c r="B81" s="163">
        <v>75</v>
      </c>
    </row>
    <row r="82" spans="1:2" x14ac:dyDescent="0.25">
      <c r="A82" s="153" t="s">
        <v>408</v>
      </c>
      <c r="B82" s="163">
        <v>75</v>
      </c>
    </row>
    <row r="83" spans="1:2" x14ac:dyDescent="0.25">
      <c r="A83" s="153" t="s">
        <v>409</v>
      </c>
      <c r="B83" s="163">
        <v>74</v>
      </c>
    </row>
    <row r="84" spans="1:2" x14ac:dyDescent="0.25">
      <c r="A84" s="153" t="s">
        <v>410</v>
      </c>
      <c r="B84" s="163">
        <v>77</v>
      </c>
    </row>
    <row r="85" spans="1:2" x14ac:dyDescent="0.25">
      <c r="A85" s="153" t="s">
        <v>411</v>
      </c>
      <c r="B85" s="163">
        <v>74</v>
      </c>
    </row>
    <row r="86" spans="1:2" x14ac:dyDescent="0.25">
      <c r="A86" s="153" t="s">
        <v>412</v>
      </c>
      <c r="B86" s="163">
        <v>74</v>
      </c>
    </row>
    <row r="87" spans="1:2" x14ac:dyDescent="0.25">
      <c r="A87" s="153" t="s">
        <v>413</v>
      </c>
      <c r="B87" s="163">
        <v>75</v>
      </c>
    </row>
    <row r="88" spans="1:2" x14ac:dyDescent="0.25">
      <c r="A88" s="153" t="s">
        <v>414</v>
      </c>
      <c r="B88" s="163">
        <v>71</v>
      </c>
    </row>
    <row r="89" spans="1:2" x14ac:dyDescent="0.25">
      <c r="A89" s="153" t="s">
        <v>415</v>
      </c>
      <c r="B89" s="163">
        <v>72</v>
      </c>
    </row>
    <row r="90" spans="1:2" x14ac:dyDescent="0.25">
      <c r="A90" s="153" t="s">
        <v>416</v>
      </c>
      <c r="B90" s="163">
        <v>73</v>
      </c>
    </row>
    <row r="91" spans="1:2" x14ac:dyDescent="0.25">
      <c r="A91" s="153" t="s">
        <v>417</v>
      </c>
      <c r="B91" s="163">
        <v>71</v>
      </c>
    </row>
    <row r="92" spans="1:2" ht="30" x14ac:dyDescent="0.25">
      <c r="A92" s="153" t="s">
        <v>418</v>
      </c>
      <c r="B92" s="163">
        <v>60</v>
      </c>
    </row>
    <row r="93" spans="1:2" x14ac:dyDescent="0.25">
      <c r="A93" s="153" t="s">
        <v>419</v>
      </c>
      <c r="B93" s="163">
        <v>57</v>
      </c>
    </row>
    <row r="94" spans="1:2" x14ac:dyDescent="0.25">
      <c r="A94" s="153" t="s">
        <v>420</v>
      </c>
      <c r="B94" s="163">
        <v>59</v>
      </c>
    </row>
    <row r="95" spans="1:2" x14ac:dyDescent="0.25">
      <c r="A95" s="153" t="s">
        <v>421</v>
      </c>
      <c r="B95" s="163">
        <v>54</v>
      </c>
    </row>
    <row r="96" spans="1:2" x14ac:dyDescent="0.25">
      <c r="A96" s="153" t="s">
        <v>422</v>
      </c>
      <c r="B96" s="163">
        <v>61</v>
      </c>
    </row>
    <row r="97" spans="1:2" ht="15.75" thickBot="1" x14ac:dyDescent="0.3">
      <c r="A97" s="153" t="s">
        <v>423</v>
      </c>
      <c r="B97" s="163">
        <v>60</v>
      </c>
    </row>
    <row r="98" spans="1:2" ht="15.75" thickBot="1" x14ac:dyDescent="0.3">
      <c r="A98" s="151" t="s">
        <v>424</v>
      </c>
      <c r="B98" s="118">
        <v>75.836538461538495</v>
      </c>
    </row>
    <row r="99" spans="1:2" x14ac:dyDescent="0.25">
      <c r="A99" s="153" t="s">
        <v>630</v>
      </c>
      <c r="B99" s="163">
        <v>77</v>
      </c>
    </row>
    <row r="100" spans="1:2" x14ac:dyDescent="0.25">
      <c r="A100" s="153" t="s">
        <v>631</v>
      </c>
      <c r="B100" s="163">
        <v>77</v>
      </c>
    </row>
    <row r="101" spans="1:2" x14ac:dyDescent="0.25">
      <c r="A101" s="153" t="s">
        <v>632</v>
      </c>
      <c r="B101" s="163">
        <v>77</v>
      </c>
    </row>
    <row r="102" spans="1:2" x14ac:dyDescent="0.25">
      <c r="A102" s="153" t="s">
        <v>633</v>
      </c>
      <c r="B102" s="163">
        <v>78</v>
      </c>
    </row>
    <row r="103" spans="1:2" x14ac:dyDescent="0.25">
      <c r="A103" s="153" t="s">
        <v>634</v>
      </c>
      <c r="B103" s="163">
        <v>83</v>
      </c>
    </row>
    <row r="104" spans="1:2" x14ac:dyDescent="0.25">
      <c r="A104" s="153" t="s">
        <v>635</v>
      </c>
      <c r="B104" s="163">
        <v>82</v>
      </c>
    </row>
    <row r="105" spans="1:2" x14ac:dyDescent="0.25">
      <c r="A105" s="153" t="s">
        <v>636</v>
      </c>
      <c r="B105" s="163">
        <v>84</v>
      </c>
    </row>
    <row r="106" spans="1:2" x14ac:dyDescent="0.25">
      <c r="A106" s="153" t="s">
        <v>637</v>
      </c>
      <c r="B106" s="163">
        <v>84</v>
      </c>
    </row>
    <row r="107" spans="1:2" x14ac:dyDescent="0.25">
      <c r="A107" s="153" t="s">
        <v>638</v>
      </c>
      <c r="B107" s="163">
        <v>83</v>
      </c>
    </row>
    <row r="108" spans="1:2" x14ac:dyDescent="0.25">
      <c r="A108" s="153" t="s">
        <v>639</v>
      </c>
      <c r="B108" s="163">
        <v>81</v>
      </c>
    </row>
    <row r="109" spans="1:2" x14ac:dyDescent="0.25">
      <c r="A109" s="153" t="s">
        <v>640</v>
      </c>
      <c r="B109" s="163">
        <v>75</v>
      </c>
    </row>
    <row r="110" spans="1:2" x14ac:dyDescent="0.25">
      <c r="A110" s="153" t="s">
        <v>641</v>
      </c>
      <c r="B110" s="163">
        <v>83</v>
      </c>
    </row>
    <row r="111" spans="1:2" x14ac:dyDescent="0.25">
      <c r="A111" s="153" t="s">
        <v>642</v>
      </c>
      <c r="B111" s="163">
        <v>78</v>
      </c>
    </row>
    <row r="112" spans="1:2" x14ac:dyDescent="0.25">
      <c r="A112" s="153" t="s">
        <v>643</v>
      </c>
      <c r="B112" s="163">
        <v>78</v>
      </c>
    </row>
    <row r="113" spans="1:2" x14ac:dyDescent="0.25">
      <c r="A113" s="153" t="s">
        <v>644</v>
      </c>
      <c r="B113" s="163">
        <v>78</v>
      </c>
    </row>
    <row r="114" spans="1:2" x14ac:dyDescent="0.25">
      <c r="A114" s="153" t="s">
        <v>645</v>
      </c>
      <c r="B114" s="163">
        <v>77</v>
      </c>
    </row>
    <row r="115" spans="1:2" x14ac:dyDescent="0.25">
      <c r="A115" s="153" t="s">
        <v>646</v>
      </c>
      <c r="B115" s="163">
        <v>78</v>
      </c>
    </row>
    <row r="116" spans="1:2" x14ac:dyDescent="0.25">
      <c r="A116" s="153" t="s">
        <v>647</v>
      </c>
      <c r="B116" s="163">
        <v>78</v>
      </c>
    </row>
    <row r="117" spans="1:2" x14ac:dyDescent="0.25">
      <c r="A117" s="153" t="s">
        <v>648</v>
      </c>
      <c r="B117" s="163">
        <v>75</v>
      </c>
    </row>
    <row r="118" spans="1:2" x14ac:dyDescent="0.25">
      <c r="A118" s="153" t="s">
        <v>649</v>
      </c>
      <c r="B118" s="163">
        <v>86</v>
      </c>
    </row>
    <row r="119" spans="1:2" x14ac:dyDescent="0.25">
      <c r="A119" s="153" t="s">
        <v>650</v>
      </c>
      <c r="B119" s="163">
        <v>77</v>
      </c>
    </row>
    <row r="120" spans="1:2" x14ac:dyDescent="0.25">
      <c r="A120" s="153" t="s">
        <v>651</v>
      </c>
      <c r="B120" s="163">
        <v>67</v>
      </c>
    </row>
    <row r="121" spans="1:2" x14ac:dyDescent="0.25">
      <c r="A121" s="153" t="s">
        <v>652</v>
      </c>
      <c r="B121" s="163">
        <v>68</v>
      </c>
    </row>
    <row r="122" spans="1:2" x14ac:dyDescent="0.25">
      <c r="A122" s="153" t="s">
        <v>653</v>
      </c>
      <c r="B122" s="163">
        <v>79</v>
      </c>
    </row>
    <row r="123" spans="1:2" x14ac:dyDescent="0.25">
      <c r="A123" s="153" t="s">
        <v>654</v>
      </c>
      <c r="B123" s="163">
        <v>25</v>
      </c>
    </row>
    <row r="124" spans="1:2" ht="15.75" thickBot="1" x14ac:dyDescent="0.3">
      <c r="A124" s="153" t="s">
        <v>655</v>
      </c>
      <c r="B124" s="163">
        <v>25</v>
      </c>
    </row>
    <row r="125" spans="1:2" ht="15.75" thickBot="1" x14ac:dyDescent="0.3">
      <c r="A125" s="151" t="s">
        <v>656</v>
      </c>
      <c r="B125" s="118">
        <v>74.346153846153797</v>
      </c>
    </row>
    <row r="126" spans="1:2" x14ac:dyDescent="0.25">
      <c r="A126" s="374" t="s">
        <v>990</v>
      </c>
      <c r="B126" s="375">
        <v>65</v>
      </c>
    </row>
    <row r="127" spans="1:2" ht="15.75" thickBot="1" x14ac:dyDescent="0.3">
      <c r="A127" s="374" t="s">
        <v>806</v>
      </c>
      <c r="B127" s="375">
        <v>75</v>
      </c>
    </row>
    <row r="128" spans="1:2" ht="15.75" thickBot="1" x14ac:dyDescent="0.3">
      <c r="A128" s="151" t="s">
        <v>991</v>
      </c>
      <c r="B128" s="118">
        <f>AVERAGE(B126:B127)</f>
        <v>70</v>
      </c>
    </row>
    <row r="129" spans="1:14" x14ac:dyDescent="0.25">
      <c r="A129" s="153" t="s">
        <v>766</v>
      </c>
      <c r="B129" s="163">
        <v>68</v>
      </c>
    </row>
    <row r="130" spans="1:14" x14ac:dyDescent="0.25">
      <c r="A130" s="153" t="s">
        <v>1033</v>
      </c>
      <c r="B130" s="163">
        <v>68</v>
      </c>
    </row>
    <row r="131" spans="1:14" x14ac:dyDescent="0.25">
      <c r="A131" s="153" t="s">
        <v>747</v>
      </c>
      <c r="B131" s="163">
        <v>64</v>
      </c>
    </row>
    <row r="132" spans="1:14" x14ac:dyDescent="0.25">
      <c r="A132" s="153" t="s">
        <v>750</v>
      </c>
      <c r="B132" s="163">
        <v>68</v>
      </c>
    </row>
    <row r="133" spans="1:14" x14ac:dyDescent="0.25">
      <c r="A133" s="153" t="s">
        <v>1034</v>
      </c>
      <c r="B133" s="163">
        <v>67</v>
      </c>
    </row>
    <row r="134" spans="1:14" x14ac:dyDescent="0.25">
      <c r="A134" s="153" t="s">
        <v>1035</v>
      </c>
      <c r="B134" s="163">
        <v>65</v>
      </c>
    </row>
    <row r="135" spans="1:14" x14ac:dyDescent="0.25">
      <c r="A135" s="153" t="s">
        <v>1036</v>
      </c>
      <c r="B135" s="163">
        <v>61</v>
      </c>
    </row>
    <row r="136" spans="1:14" x14ac:dyDescent="0.25">
      <c r="A136" s="153" t="s">
        <v>1037</v>
      </c>
      <c r="B136" s="163">
        <v>83</v>
      </c>
    </row>
    <row r="137" spans="1:14" x14ac:dyDescent="0.25">
      <c r="A137" s="153" t="s">
        <v>779</v>
      </c>
      <c r="B137" s="163">
        <v>85</v>
      </c>
    </row>
    <row r="138" spans="1:14" x14ac:dyDescent="0.25">
      <c r="A138" s="153" t="s">
        <v>1038</v>
      </c>
      <c r="B138" s="163">
        <v>83</v>
      </c>
    </row>
    <row r="139" spans="1:14" x14ac:dyDescent="0.25">
      <c r="A139" s="153" t="s">
        <v>1039</v>
      </c>
      <c r="B139" s="163">
        <v>84</v>
      </c>
    </row>
    <row r="140" spans="1:14" x14ac:dyDescent="0.25">
      <c r="A140" s="153" t="s">
        <v>1040</v>
      </c>
      <c r="B140" s="163">
        <v>80</v>
      </c>
      <c r="G140" s="188" t="s">
        <v>1056</v>
      </c>
      <c r="H140" s="189">
        <v>42</v>
      </c>
      <c r="I140" s="193"/>
      <c r="J140" s="160"/>
      <c r="K140" s="160"/>
      <c r="L140" s="169"/>
    </row>
    <row r="141" spans="1:14" x14ac:dyDescent="0.25">
      <c r="A141" s="153" t="s">
        <v>1041</v>
      </c>
      <c r="B141" s="163">
        <v>67</v>
      </c>
      <c r="G141" s="505" t="s">
        <v>1050</v>
      </c>
      <c r="H141" s="169">
        <v>154</v>
      </c>
      <c r="I141" s="160">
        <v>500.71</v>
      </c>
      <c r="J141" s="160">
        <v>24.83</v>
      </c>
      <c r="K141" s="160">
        <v>525.54</v>
      </c>
      <c r="L141" s="190">
        <v>0.95</v>
      </c>
      <c r="M141">
        <f>+B136</f>
        <v>83</v>
      </c>
      <c r="N141">
        <f>+M141*K141</f>
        <v>43619.82</v>
      </c>
    </row>
    <row r="142" spans="1:14" x14ac:dyDescent="0.25">
      <c r="A142" s="153" t="s">
        <v>775</v>
      </c>
      <c r="B142" s="163">
        <v>62</v>
      </c>
      <c r="G142" s="505" t="s">
        <v>1051</v>
      </c>
      <c r="H142" s="169">
        <v>155</v>
      </c>
      <c r="I142" s="160">
        <v>2622.57</v>
      </c>
      <c r="J142" s="160">
        <v>333.2</v>
      </c>
      <c r="K142" s="160">
        <v>2955.77</v>
      </c>
      <c r="L142" s="190">
        <v>0.89</v>
      </c>
      <c r="M142">
        <f t="shared" ref="M142:M145" si="0">+B137</f>
        <v>85</v>
      </c>
      <c r="N142">
        <f t="shared" ref="N142:N145" si="1">+M142*K142</f>
        <v>251240.45</v>
      </c>
    </row>
    <row r="143" spans="1:14" x14ac:dyDescent="0.25">
      <c r="A143" s="153" t="s">
        <v>758</v>
      </c>
      <c r="B143" s="163">
        <v>64</v>
      </c>
      <c r="G143" s="505" t="s">
        <v>765</v>
      </c>
      <c r="H143" s="169">
        <v>156</v>
      </c>
      <c r="I143" s="160">
        <v>951.46</v>
      </c>
      <c r="J143" s="160">
        <v>30.27</v>
      </c>
      <c r="K143" s="160">
        <v>981.73</v>
      </c>
      <c r="L143" s="190">
        <v>0.97</v>
      </c>
      <c r="M143">
        <f t="shared" si="0"/>
        <v>83</v>
      </c>
      <c r="N143">
        <f t="shared" si="1"/>
        <v>81483.59</v>
      </c>
    </row>
    <row r="144" spans="1:14" x14ac:dyDescent="0.25">
      <c r="A144" s="153" t="s">
        <v>1042</v>
      </c>
      <c r="B144" s="163">
        <v>70</v>
      </c>
      <c r="G144" s="509" t="s">
        <v>763</v>
      </c>
      <c r="H144" s="169">
        <v>157</v>
      </c>
      <c r="I144" s="160">
        <v>339.84</v>
      </c>
      <c r="J144" s="160">
        <v>29.76</v>
      </c>
      <c r="K144" s="160">
        <v>369.6</v>
      </c>
      <c r="L144" s="190">
        <v>0.92</v>
      </c>
      <c r="M144">
        <f t="shared" si="0"/>
        <v>84</v>
      </c>
      <c r="N144">
        <f t="shared" si="1"/>
        <v>31046.400000000001</v>
      </c>
    </row>
    <row r="145" spans="1:14" x14ac:dyDescent="0.25">
      <c r="A145" s="153" t="s">
        <v>785</v>
      </c>
      <c r="B145" s="163">
        <v>66</v>
      </c>
      <c r="G145" s="505" t="s">
        <v>773</v>
      </c>
      <c r="H145" s="169">
        <v>158</v>
      </c>
      <c r="I145" s="160">
        <v>29.2</v>
      </c>
      <c r="J145">
        <v>2.2799999999999998</v>
      </c>
      <c r="K145" s="160">
        <v>31.48</v>
      </c>
      <c r="L145" s="190">
        <v>0.93</v>
      </c>
      <c r="M145">
        <f t="shared" si="0"/>
        <v>80</v>
      </c>
      <c r="N145">
        <f t="shared" si="1"/>
        <v>2518.4</v>
      </c>
    </row>
    <row r="146" spans="1:14" x14ac:dyDescent="0.25">
      <c r="A146" s="153" t="s">
        <v>755</v>
      </c>
      <c r="B146" s="163">
        <v>74</v>
      </c>
    </row>
    <row r="147" spans="1:14" x14ac:dyDescent="0.25">
      <c r="A147" s="153" t="s">
        <v>760</v>
      </c>
      <c r="B147" s="163">
        <v>49</v>
      </c>
      <c r="K147">
        <f>SUM(K141:K146)</f>
        <v>4864.12</v>
      </c>
      <c r="N147">
        <f>SUM(N141:N146)</f>
        <v>409908.66000000003</v>
      </c>
    </row>
    <row r="148" spans="1:14" x14ac:dyDescent="0.25">
      <c r="A148" s="153" t="s">
        <v>1043</v>
      </c>
      <c r="B148" s="163">
        <v>31</v>
      </c>
      <c r="N148">
        <f>+N147/K147</f>
        <v>84.271905298389029</v>
      </c>
    </row>
    <row r="149" spans="1:14" ht="15.75" thickBot="1" x14ac:dyDescent="0.3">
      <c r="A149" s="153" t="s">
        <v>1102</v>
      </c>
      <c r="B149" s="508">
        <v>84</v>
      </c>
    </row>
    <row r="150" spans="1:14" ht="15.75" thickBot="1" x14ac:dyDescent="0.3">
      <c r="A150" s="151" t="s">
        <v>1044</v>
      </c>
      <c r="B150" s="118">
        <v>67.95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FICHA</vt:lpstr>
      <vt:lpstr>MENDOZA</vt:lpstr>
      <vt:lpstr>TUNINF</vt:lpstr>
      <vt:lpstr>TUNSUP</vt:lpstr>
      <vt:lpstr>DIAMANTE</vt:lpstr>
      <vt:lpstr>ATUEL</vt:lpstr>
      <vt:lpstr>ATUEL (2)</vt:lpstr>
      <vt:lpstr>MALARGÜE</vt:lpstr>
      <vt:lpstr>CALIF HTA</vt:lpstr>
      <vt:lpstr>ANALISIS</vt:lpstr>
      <vt:lpstr>CALC</vt:lpstr>
      <vt:lpstr>VBP_RM</vt:lpstr>
      <vt:lpstr>VBP_TI</vt:lpstr>
      <vt:lpstr>VBP_TS</vt:lpstr>
      <vt:lpstr>VBP_RD</vt:lpstr>
      <vt:lpstr>VBP_RA</vt:lpstr>
      <vt:lpstr>VBP_MA</vt:lpstr>
      <vt:lpstr>calc can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IngnieriaE01</dc:creator>
  <cp:lastModifiedBy>Nicolas Indiveri</cp:lastModifiedBy>
  <cp:lastPrinted>2018-12-04T15:23:39Z</cp:lastPrinted>
  <dcterms:created xsi:type="dcterms:W3CDTF">2017-07-05T13:17:34Z</dcterms:created>
  <dcterms:modified xsi:type="dcterms:W3CDTF">2019-08-16T14:16:45Z</dcterms:modified>
</cp:coreProperties>
</file>