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680" yWindow="-30" windowWidth="11550" windowHeight="9660" tabRatio="484" firstSheet="8" activeTab="8"/>
  </bookViews>
  <sheets>
    <sheet name="perdidas" sheetId="4" r:id="rId1"/>
    <sheet name="1998" sheetId="1" r:id="rId2"/>
    <sheet name="1997" sheetId="2" r:id="rId3"/>
    <sheet name="1999" sheetId="3" r:id="rId4"/>
    <sheet name="Obras1999-2002" sheetId="5" r:id="rId5"/>
    <sheet name="1999-00-01-02" sheetId="6" r:id="rId6"/>
    <sheet name="2003" sheetId="7" r:id="rId7"/>
    <sheet name="2004" sheetId="8" r:id="rId8"/>
    <sheet name="1999 a 2014" sheetId="9" r:id="rId9"/>
    <sheet name="Hoja2" sheetId="11" r:id="rId10"/>
    <sheet name="Hoja1" sheetId="10" r:id="rId11"/>
    <sheet name="Informe de compatibilidad" sheetId="12" r:id="rId12"/>
  </sheets>
  <externalReferences>
    <externalReference r:id="rId13"/>
  </externalReferences>
  <definedNames>
    <definedName name="_xlnm.Print_Area" localSheetId="8">'1999 a 2014'!$A$1:$Q$98</definedName>
    <definedName name="_xlnm.Print_Area" localSheetId="5">'1999-00-01-02'!$A$1:$O$50</definedName>
    <definedName name="_xlnm.Print_Area" localSheetId="10">Hoja1!$A$12:$E$46</definedName>
    <definedName name="_xlnm.Print_Area" localSheetId="4">'Obras1999-2002'!$A$3:$N$27</definedName>
  </definedNames>
  <calcPr calcId="145621"/>
</workbook>
</file>

<file path=xl/calcChain.xml><?xml version="1.0" encoding="utf-8"?>
<calcChain xmlns="http://schemas.openxmlformats.org/spreadsheetml/2006/main">
  <c r="S117" i="9" l="1"/>
  <c r="S113" i="9"/>
  <c r="Q120" i="9" s="1"/>
  <c r="C50" i="10" l="1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F92" i="9" l="1"/>
  <c r="N95" i="9" s="1"/>
  <c r="J84" i="9"/>
  <c r="M90" i="9"/>
  <c r="M89" i="9"/>
  <c r="M88" i="9"/>
  <c r="M87" i="9"/>
  <c r="M86" i="9"/>
  <c r="M85" i="9"/>
  <c r="M84" i="9"/>
  <c r="N84" i="9" s="1"/>
  <c r="M83" i="9"/>
  <c r="M82" i="9"/>
  <c r="M81" i="9"/>
  <c r="M80" i="9"/>
  <c r="M79" i="9"/>
  <c r="M78" i="9"/>
  <c r="M77" i="9"/>
  <c r="E6" i="9"/>
  <c r="J90" i="9"/>
  <c r="N90" i="9" s="1"/>
  <c r="J89" i="9"/>
  <c r="J88" i="9"/>
  <c r="N88" i="9" s="1"/>
  <c r="J87" i="9"/>
  <c r="J86" i="9"/>
  <c r="J85" i="9"/>
  <c r="J83" i="9"/>
  <c r="J82" i="9"/>
  <c r="J81" i="9"/>
  <c r="N81" i="9" s="1"/>
  <c r="J80" i="9"/>
  <c r="J79" i="9"/>
  <c r="N79" i="9" s="1"/>
  <c r="P79" i="9" s="1"/>
  <c r="J78" i="9"/>
  <c r="N78" i="9" s="1"/>
  <c r="J77" i="9"/>
  <c r="N77" i="9" s="1"/>
  <c r="P77" i="9" l="1"/>
  <c r="O77" i="9"/>
  <c r="P81" i="9"/>
  <c r="O81" i="9"/>
  <c r="O88" i="9"/>
  <c r="P88" i="9"/>
  <c r="P90" i="9"/>
  <c r="O90" i="9"/>
  <c r="O78" i="9"/>
  <c r="P78" i="9"/>
  <c r="N83" i="9"/>
  <c r="N85" i="9"/>
  <c r="N87" i="9"/>
  <c r="N89" i="9"/>
  <c r="P89" i="9" s="1"/>
  <c r="N80" i="9"/>
  <c r="N82" i="9"/>
  <c r="N86" i="9"/>
  <c r="O86" i="9" s="1"/>
  <c r="O89" i="9"/>
  <c r="O83" i="9"/>
  <c r="P83" i="9"/>
  <c r="O85" i="9"/>
  <c r="P85" i="9"/>
  <c r="O87" i="9"/>
  <c r="P87" i="9"/>
  <c r="P84" i="9"/>
  <c r="O84" i="9"/>
  <c r="P86" i="9"/>
  <c r="P82" i="9"/>
  <c r="O82" i="9"/>
  <c r="P80" i="9"/>
  <c r="O80" i="9"/>
  <c r="O79" i="9"/>
  <c r="J3" i="9"/>
  <c r="L3" i="9"/>
  <c r="M3" i="9" s="1"/>
  <c r="Z3" i="9"/>
  <c r="AB3" i="9" s="1"/>
  <c r="AH3" i="9"/>
  <c r="J41" i="9"/>
  <c r="L41" i="9"/>
  <c r="M41" i="9" s="1"/>
  <c r="Z41" i="9"/>
  <c r="AB41" i="9" s="1"/>
  <c r="AH41" i="9"/>
  <c r="J42" i="9"/>
  <c r="L42" i="9"/>
  <c r="M42" i="9" s="1"/>
  <c r="Z42" i="9"/>
  <c r="AB42" i="9" s="1"/>
  <c r="AH42" i="9"/>
  <c r="G51" i="10"/>
  <c r="G50" i="10"/>
  <c r="Z4" i="9"/>
  <c r="AC4" i="9" s="1"/>
  <c r="Z5" i="9"/>
  <c r="AC5" i="9" s="1"/>
  <c r="Z6" i="9"/>
  <c r="AC6" i="9" s="1"/>
  <c r="Z7" i="9"/>
  <c r="AC7" i="9" s="1"/>
  <c r="Z8" i="9"/>
  <c r="AC8" i="9" s="1"/>
  <c r="Z9" i="9"/>
  <c r="AC9" i="9" s="1"/>
  <c r="Z10" i="9"/>
  <c r="AC10" i="9" s="1"/>
  <c r="Z11" i="9"/>
  <c r="AC11" i="9" s="1"/>
  <c r="Z12" i="9"/>
  <c r="AC12" i="9" s="1"/>
  <c r="Z13" i="9"/>
  <c r="AC13" i="9" s="1"/>
  <c r="Z14" i="9"/>
  <c r="AC14" i="9" s="1"/>
  <c r="Z15" i="9"/>
  <c r="AC15" i="9" s="1"/>
  <c r="Z16" i="9"/>
  <c r="AC16" i="9" s="1"/>
  <c r="Z17" i="9"/>
  <c r="AC17" i="9" s="1"/>
  <c r="Z18" i="9"/>
  <c r="AC18" i="9" s="1"/>
  <c r="Z19" i="9"/>
  <c r="AC19" i="9" s="1"/>
  <c r="Z20" i="9"/>
  <c r="AC20" i="9" s="1"/>
  <c r="Z21" i="9"/>
  <c r="AC21" i="9" s="1"/>
  <c r="Z22" i="9"/>
  <c r="AC22" i="9" s="1"/>
  <c r="Z23" i="9"/>
  <c r="AC23" i="9" s="1"/>
  <c r="Z24" i="9"/>
  <c r="AC24" i="9" s="1"/>
  <c r="Z25" i="9"/>
  <c r="AC25" i="9" s="1"/>
  <c r="Z26" i="9"/>
  <c r="AC26" i="9" s="1"/>
  <c r="Z27" i="9"/>
  <c r="AC27" i="9" s="1"/>
  <c r="Z28" i="9"/>
  <c r="AC28" i="9" s="1"/>
  <c r="Z29" i="9"/>
  <c r="AC29" i="9" s="1"/>
  <c r="Z30" i="9"/>
  <c r="AC30" i="9" s="1"/>
  <c r="Z31" i="9"/>
  <c r="AC31" i="9" s="1"/>
  <c r="Z32" i="9"/>
  <c r="AC32" i="9" s="1"/>
  <c r="Z33" i="9"/>
  <c r="AC33" i="9" s="1"/>
  <c r="Z34" i="9"/>
  <c r="AC34" i="9" s="1"/>
  <c r="Z35" i="9"/>
  <c r="AC35" i="9" s="1"/>
  <c r="Z36" i="9"/>
  <c r="AC36" i="9" s="1"/>
  <c r="Z37" i="9"/>
  <c r="AC37" i="9" s="1"/>
  <c r="Z38" i="9"/>
  <c r="AC38" i="9" s="1"/>
  <c r="Z39" i="9"/>
  <c r="AC39" i="9" s="1"/>
  <c r="Z40" i="9"/>
  <c r="AC40" i="9" s="1"/>
  <c r="Z43" i="9"/>
  <c r="AC43" i="9" s="1"/>
  <c r="Z44" i="9"/>
  <c r="AC44" i="9" s="1"/>
  <c r="Z45" i="9"/>
  <c r="AC45" i="9" s="1"/>
  <c r="Z46" i="9"/>
  <c r="AC46" i="9" s="1"/>
  <c r="Z47" i="9"/>
  <c r="AC47" i="9" s="1"/>
  <c r="Z48" i="9"/>
  <c r="AC48" i="9" s="1"/>
  <c r="Z49" i="9"/>
  <c r="AC49" i="9" s="1"/>
  <c r="Z50" i="9"/>
  <c r="AC50" i="9" s="1"/>
  <c r="Z51" i="9"/>
  <c r="AC51" i="9" s="1"/>
  <c r="Z52" i="9"/>
  <c r="AC52" i="9" s="1"/>
  <c r="Z53" i="9"/>
  <c r="AC53" i="9" s="1"/>
  <c r="Z54" i="9"/>
  <c r="AC54" i="9" s="1"/>
  <c r="Z55" i="9"/>
  <c r="AC55" i="9" s="1"/>
  <c r="Z56" i="9"/>
  <c r="AC56" i="9" s="1"/>
  <c r="Z57" i="9"/>
  <c r="AC57" i="9" s="1"/>
  <c r="Z58" i="9"/>
  <c r="AC58" i="9" s="1"/>
  <c r="Z59" i="9"/>
  <c r="AC59" i="9" s="1"/>
  <c r="Z60" i="9"/>
  <c r="AC60" i="9" s="1"/>
  <c r="Z61" i="9"/>
  <c r="AC61" i="9" s="1"/>
  <c r="Z62" i="9"/>
  <c r="AC62" i="9" s="1"/>
  <c r="Z63" i="9"/>
  <c r="AC63" i="9" s="1"/>
  <c r="Z64" i="9"/>
  <c r="AC64" i="9" s="1"/>
  <c r="Z65" i="9"/>
  <c r="AC65" i="9" s="1"/>
  <c r="Z66" i="9"/>
  <c r="AC66" i="9" s="1"/>
  <c r="Z67" i="9"/>
  <c r="AC67" i="9" s="1"/>
  <c r="Z68" i="9"/>
  <c r="AC68" i="9" s="1"/>
  <c r="Z69" i="9"/>
  <c r="AC69" i="9" s="1"/>
  <c r="Z70" i="9"/>
  <c r="AC70" i="9" s="1"/>
  <c r="Z71" i="9"/>
  <c r="AC71" i="9" s="1"/>
  <c r="Z72" i="9"/>
  <c r="AC72" i="9" s="1"/>
  <c r="Z73" i="9"/>
  <c r="AC73" i="9" s="1"/>
  <c r="Z74" i="9"/>
  <c r="AC74" i="9" s="1"/>
  <c r="E69" i="9"/>
  <c r="E70" i="9"/>
  <c r="E71" i="9"/>
  <c r="E72" i="9"/>
  <c r="E73" i="9"/>
  <c r="E74" i="9"/>
  <c r="E75" i="9"/>
  <c r="E76" i="9"/>
  <c r="E60" i="9"/>
  <c r="E61" i="9"/>
  <c r="E62" i="9"/>
  <c r="E63" i="9"/>
  <c r="E64" i="9"/>
  <c r="E65" i="9"/>
  <c r="E66" i="9"/>
  <c r="E67" i="9"/>
  <c r="E68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32" i="9"/>
  <c r="E33" i="9"/>
  <c r="E34" i="9"/>
  <c r="E35" i="9"/>
  <c r="E36" i="9"/>
  <c r="E37" i="9"/>
  <c r="E38" i="9"/>
  <c r="E39" i="9"/>
  <c r="E40" i="9"/>
  <c r="E41" i="9"/>
  <c r="E42" i="9"/>
  <c r="E43" i="9"/>
  <c r="D24" i="9"/>
  <c r="E24" i="9" s="1"/>
  <c r="D25" i="9"/>
  <c r="E25" i="9" s="1"/>
  <c r="E26" i="9"/>
  <c r="E27" i="9"/>
  <c r="E28" i="9"/>
  <c r="E29" i="9"/>
  <c r="E30" i="9"/>
  <c r="E31" i="9"/>
  <c r="E14" i="9"/>
  <c r="E15" i="9"/>
  <c r="E16" i="9"/>
  <c r="E17" i="9"/>
  <c r="E18" i="9"/>
  <c r="E19" i="9"/>
  <c r="E20" i="9"/>
  <c r="E21" i="9"/>
  <c r="D22" i="9"/>
  <c r="E22" i="9" s="1"/>
  <c r="E23" i="9"/>
  <c r="E4" i="9"/>
  <c r="E5" i="9"/>
  <c r="E7" i="9"/>
  <c r="E8" i="9"/>
  <c r="E9" i="9"/>
  <c r="E10" i="9"/>
  <c r="E11" i="9"/>
  <c r="E12" i="9"/>
  <c r="E13" i="9"/>
  <c r="E3" i="9"/>
  <c r="AB68" i="9"/>
  <c r="AB72" i="9"/>
  <c r="AB34" i="9"/>
  <c r="AB38" i="9"/>
  <c r="AB44" i="9"/>
  <c r="AB48" i="9"/>
  <c r="AB52" i="9"/>
  <c r="AB56" i="9"/>
  <c r="AB60" i="9"/>
  <c r="AB64" i="9"/>
  <c r="AB4" i="9"/>
  <c r="AB8" i="9"/>
  <c r="AB12" i="9"/>
  <c r="AB16" i="9"/>
  <c r="AB20" i="9"/>
  <c r="AB24" i="9"/>
  <c r="AB28" i="9"/>
  <c r="H20" i="11"/>
  <c r="L4" i="9"/>
  <c r="M4" i="9" s="1"/>
  <c r="J4" i="9"/>
  <c r="L5" i="9"/>
  <c r="M5" i="9" s="1"/>
  <c r="J5" i="9"/>
  <c r="L6" i="9"/>
  <c r="M6" i="9" s="1"/>
  <c r="J6" i="9"/>
  <c r="L7" i="9"/>
  <c r="M7" i="9" s="1"/>
  <c r="J7" i="9"/>
  <c r="L8" i="9"/>
  <c r="M8" i="9" s="1"/>
  <c r="J8" i="9"/>
  <c r="L9" i="9"/>
  <c r="M9" i="9" s="1"/>
  <c r="J9" i="9"/>
  <c r="L10" i="9"/>
  <c r="M10" i="9" s="1"/>
  <c r="J10" i="9"/>
  <c r="L11" i="9"/>
  <c r="M11" i="9" s="1"/>
  <c r="J11" i="9"/>
  <c r="L12" i="9"/>
  <c r="M12" i="9" s="1"/>
  <c r="J12" i="9"/>
  <c r="L13" i="9"/>
  <c r="M13" i="9" s="1"/>
  <c r="J13" i="9"/>
  <c r="L14" i="9"/>
  <c r="M14" i="9" s="1"/>
  <c r="J14" i="9"/>
  <c r="L15" i="9"/>
  <c r="M15" i="9" s="1"/>
  <c r="J15" i="9"/>
  <c r="L16" i="9"/>
  <c r="M16" i="9" s="1"/>
  <c r="J16" i="9"/>
  <c r="L17" i="9"/>
  <c r="M17" i="9" s="1"/>
  <c r="J17" i="9"/>
  <c r="L18" i="9"/>
  <c r="M18" i="9" s="1"/>
  <c r="J18" i="9"/>
  <c r="L19" i="9"/>
  <c r="M19" i="9" s="1"/>
  <c r="J19" i="9"/>
  <c r="L20" i="9"/>
  <c r="M20" i="9" s="1"/>
  <c r="J20" i="9"/>
  <c r="L21" i="9"/>
  <c r="M21" i="9" s="1"/>
  <c r="J21" i="9"/>
  <c r="L22" i="9"/>
  <c r="M22" i="9" s="1"/>
  <c r="J22" i="9"/>
  <c r="L23" i="9"/>
  <c r="M23" i="9" s="1"/>
  <c r="J23" i="9"/>
  <c r="L24" i="9"/>
  <c r="M24" i="9" s="1"/>
  <c r="J24" i="9"/>
  <c r="L25" i="9"/>
  <c r="M25" i="9" s="1"/>
  <c r="J25" i="9"/>
  <c r="L26" i="9"/>
  <c r="M26" i="9" s="1"/>
  <c r="J26" i="9"/>
  <c r="L27" i="9"/>
  <c r="M27" i="9" s="1"/>
  <c r="J27" i="9"/>
  <c r="L28" i="9"/>
  <c r="M28" i="9" s="1"/>
  <c r="J28" i="9"/>
  <c r="L29" i="9"/>
  <c r="M29" i="9" s="1"/>
  <c r="J29" i="9"/>
  <c r="L30" i="9"/>
  <c r="M30" i="9" s="1"/>
  <c r="J30" i="9"/>
  <c r="L31" i="9"/>
  <c r="M31" i="9" s="1"/>
  <c r="J31" i="9"/>
  <c r="L32" i="9"/>
  <c r="M32" i="9" s="1"/>
  <c r="J32" i="9"/>
  <c r="L33" i="9"/>
  <c r="M33" i="9" s="1"/>
  <c r="J33" i="9"/>
  <c r="L34" i="9"/>
  <c r="M34" i="9" s="1"/>
  <c r="J34" i="9"/>
  <c r="L35" i="9"/>
  <c r="M35" i="9" s="1"/>
  <c r="J35" i="9"/>
  <c r="L36" i="9"/>
  <c r="M36" i="9" s="1"/>
  <c r="J36" i="9"/>
  <c r="L37" i="9"/>
  <c r="M37" i="9" s="1"/>
  <c r="J37" i="9"/>
  <c r="L38" i="9"/>
  <c r="M38" i="9" s="1"/>
  <c r="J38" i="9"/>
  <c r="L39" i="9"/>
  <c r="M39" i="9" s="1"/>
  <c r="J39" i="9"/>
  <c r="L40" i="9"/>
  <c r="M40" i="9" s="1"/>
  <c r="J40" i="9"/>
  <c r="L43" i="9"/>
  <c r="M43" i="9" s="1"/>
  <c r="J43" i="9"/>
  <c r="L44" i="9"/>
  <c r="M44" i="9" s="1"/>
  <c r="H44" i="9"/>
  <c r="J44" i="9" s="1"/>
  <c r="L45" i="9"/>
  <c r="M45" i="9" s="1"/>
  <c r="J45" i="9"/>
  <c r="L46" i="9"/>
  <c r="M46" i="9" s="1"/>
  <c r="J46" i="9"/>
  <c r="L47" i="9"/>
  <c r="M47" i="9" s="1"/>
  <c r="H47" i="9"/>
  <c r="J47" i="9" s="1"/>
  <c r="L48" i="9"/>
  <c r="M48" i="9" s="1"/>
  <c r="H48" i="9"/>
  <c r="J48" i="9" s="1"/>
  <c r="L49" i="9"/>
  <c r="M49" i="9" s="1"/>
  <c r="H49" i="9"/>
  <c r="J49" i="9" s="1"/>
  <c r="L50" i="9"/>
  <c r="M50" i="9" s="1"/>
  <c r="J50" i="9"/>
  <c r="L51" i="9"/>
  <c r="M51" i="9" s="1"/>
  <c r="H51" i="9"/>
  <c r="J51" i="9" s="1"/>
  <c r="L52" i="9"/>
  <c r="M52" i="9" s="1"/>
  <c r="H52" i="9"/>
  <c r="J52" i="9" s="1"/>
  <c r="L53" i="9"/>
  <c r="M53" i="9" s="1"/>
  <c r="J53" i="9"/>
  <c r="L54" i="9"/>
  <c r="M54" i="9" s="1"/>
  <c r="J54" i="9"/>
  <c r="L55" i="9"/>
  <c r="M55" i="9" s="1"/>
  <c r="J55" i="9"/>
  <c r="L56" i="9"/>
  <c r="M56" i="9" s="1"/>
  <c r="J56" i="9"/>
  <c r="L57" i="9"/>
  <c r="M57" i="9" s="1"/>
  <c r="J57" i="9"/>
  <c r="L58" i="9"/>
  <c r="M58" i="9" s="1"/>
  <c r="H58" i="9"/>
  <c r="J58" i="9" s="1"/>
  <c r="L59" i="9"/>
  <c r="M59" i="9" s="1"/>
  <c r="H59" i="9"/>
  <c r="J59" i="9" s="1"/>
  <c r="L60" i="9"/>
  <c r="M60" i="9" s="1"/>
  <c r="H60" i="9"/>
  <c r="J60" i="9" s="1"/>
  <c r="L61" i="9"/>
  <c r="M61" i="9" s="1"/>
  <c r="H61" i="9"/>
  <c r="J61" i="9" s="1"/>
  <c r="L62" i="9"/>
  <c r="M62" i="9" s="1"/>
  <c r="J62" i="9"/>
  <c r="L63" i="9"/>
  <c r="M63" i="9" s="1"/>
  <c r="J63" i="9"/>
  <c r="L64" i="9"/>
  <c r="M64" i="9" s="1"/>
  <c r="J64" i="9"/>
  <c r="L65" i="9"/>
  <c r="M65" i="9" s="1"/>
  <c r="H65" i="9"/>
  <c r="J65" i="9" s="1"/>
  <c r="L66" i="9"/>
  <c r="M66" i="9" s="1"/>
  <c r="H66" i="9"/>
  <c r="J66" i="9" s="1"/>
  <c r="L67" i="9"/>
  <c r="M67" i="9" s="1"/>
  <c r="H67" i="9"/>
  <c r="J67" i="9" s="1"/>
  <c r="L68" i="9"/>
  <c r="M68" i="9" s="1"/>
  <c r="H68" i="9"/>
  <c r="J68" i="9" s="1"/>
  <c r="L69" i="9"/>
  <c r="M69" i="9" s="1"/>
  <c r="J69" i="9"/>
  <c r="L70" i="9"/>
  <c r="M70" i="9" s="1"/>
  <c r="H70" i="9"/>
  <c r="J70" i="9" s="1"/>
  <c r="L71" i="9"/>
  <c r="M71" i="9" s="1"/>
  <c r="H71" i="9"/>
  <c r="J71" i="9" s="1"/>
  <c r="L72" i="9"/>
  <c r="M72" i="9" s="1"/>
  <c r="H72" i="9"/>
  <c r="J72" i="9" s="1"/>
  <c r="L73" i="9"/>
  <c r="M73" i="9" s="1"/>
  <c r="J73" i="9"/>
  <c r="L74" i="9"/>
  <c r="M74" i="9" s="1"/>
  <c r="J74" i="9"/>
  <c r="L75" i="9"/>
  <c r="M75" i="9" s="1"/>
  <c r="J75" i="9"/>
  <c r="M76" i="9"/>
  <c r="J76" i="9"/>
  <c r="AA75" i="9"/>
  <c r="AC75" i="9" s="1"/>
  <c r="AA76" i="9"/>
  <c r="AC76" i="9" s="1"/>
  <c r="H26" i="11"/>
  <c r="E26" i="11"/>
  <c r="E23" i="11"/>
  <c r="E21" i="11"/>
  <c r="H21" i="11" s="1"/>
  <c r="D16" i="11"/>
  <c r="S81" i="9"/>
  <c r="S95" i="9"/>
  <c r="U26" i="9"/>
  <c r="R71" i="9"/>
  <c r="R65" i="9"/>
  <c r="R50" i="9"/>
  <c r="R38" i="9"/>
  <c r="R26" i="9"/>
  <c r="R16" i="9"/>
  <c r="R11" i="9"/>
  <c r="R7" i="9"/>
  <c r="R4" i="9"/>
  <c r="AH39" i="9"/>
  <c r="AH38" i="9"/>
  <c r="AH37" i="9"/>
  <c r="AH36" i="9"/>
  <c r="AH35" i="9"/>
  <c r="AH34" i="9"/>
  <c r="AH33" i="9"/>
  <c r="AH32" i="9"/>
  <c r="AH31" i="9"/>
  <c r="AH30" i="9"/>
  <c r="AH29" i="9"/>
  <c r="AH28" i="9"/>
  <c r="AH27" i="9"/>
  <c r="AH26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122" i="9"/>
  <c r="AH121" i="9"/>
  <c r="AH120" i="9"/>
  <c r="AH119" i="9"/>
  <c r="AH118" i="9"/>
  <c r="AH117" i="9"/>
  <c r="AH116" i="9"/>
  <c r="AH115" i="9"/>
  <c r="AH114" i="9"/>
  <c r="AH113" i="9"/>
  <c r="AH112" i="9"/>
  <c r="AH111" i="9"/>
  <c r="AH110" i="9"/>
  <c r="AH109" i="9"/>
  <c r="AH108" i="9"/>
  <c r="AH107" i="9"/>
  <c r="AH106" i="9"/>
  <c r="AH105" i="9"/>
  <c r="AH104" i="9"/>
  <c r="AH103" i="9"/>
  <c r="AH102" i="9"/>
  <c r="AH101" i="9"/>
  <c r="AH100" i="9"/>
  <c r="AH99" i="9"/>
  <c r="AH98" i="9"/>
  <c r="AH97" i="9"/>
  <c r="AH96" i="9"/>
  <c r="AH95" i="9"/>
  <c r="AH94" i="9"/>
  <c r="AH93" i="9"/>
  <c r="AH92" i="9"/>
  <c r="AH91" i="9"/>
  <c r="AH90" i="9"/>
  <c r="AH89" i="9"/>
  <c r="AH88" i="9"/>
  <c r="AH87" i="9"/>
  <c r="AH86" i="9"/>
  <c r="AH85" i="9"/>
  <c r="AH84" i="9"/>
  <c r="AH83" i="9"/>
  <c r="AF82" i="9"/>
  <c r="AF81" i="9"/>
  <c r="AF80" i="9"/>
  <c r="AH79" i="9"/>
  <c r="AH78" i="9"/>
  <c r="AH77" i="9"/>
  <c r="AH74" i="9"/>
  <c r="AH64" i="9"/>
  <c r="AH62" i="9"/>
  <c r="AH61" i="9"/>
  <c r="AH60" i="9"/>
  <c r="AH59" i="9"/>
  <c r="AH58" i="9"/>
  <c r="AH43" i="9"/>
  <c r="AH40" i="9"/>
  <c r="I40" i="2"/>
  <c r="G16" i="3"/>
  <c r="G15" i="3"/>
  <c r="D22" i="6"/>
  <c r="N36" i="6" s="1"/>
  <c r="J5" i="6"/>
  <c r="K5" i="6" s="1"/>
  <c r="L5" i="6" s="1"/>
  <c r="H5" i="6"/>
  <c r="J6" i="6"/>
  <c r="K6" i="6" s="1"/>
  <c r="L6" i="6" s="1"/>
  <c r="H6" i="6"/>
  <c r="J7" i="6"/>
  <c r="K7" i="6" s="1"/>
  <c r="L7" i="6" s="1"/>
  <c r="H7" i="6"/>
  <c r="D23" i="6"/>
  <c r="N38" i="6" s="1"/>
  <c r="J2" i="6"/>
  <c r="K2" i="6" s="1"/>
  <c r="L2" i="6" s="1"/>
  <c r="H2" i="6"/>
  <c r="J3" i="6"/>
  <c r="K3" i="6" s="1"/>
  <c r="L3" i="6" s="1"/>
  <c r="H3" i="6"/>
  <c r="J4" i="6"/>
  <c r="K4" i="6" s="1"/>
  <c r="L4" i="6" s="1"/>
  <c r="H4" i="6"/>
  <c r="J16" i="6"/>
  <c r="K16" i="6"/>
  <c r="H16" i="6"/>
  <c r="L16" i="6"/>
  <c r="M16" i="6" s="1"/>
  <c r="M40" i="6"/>
  <c r="J8" i="6"/>
  <c r="K8" i="6"/>
  <c r="H8" i="6"/>
  <c r="L8" i="6"/>
  <c r="N8" i="6" s="1"/>
  <c r="J9" i="6"/>
  <c r="K9" i="6" s="1"/>
  <c r="H9" i="6"/>
  <c r="J10" i="6"/>
  <c r="K10" i="6"/>
  <c r="H10" i="6"/>
  <c r="L10" i="6"/>
  <c r="N10" i="6" s="1"/>
  <c r="J11" i="6"/>
  <c r="K11" i="6" s="1"/>
  <c r="H11" i="6"/>
  <c r="J12" i="6"/>
  <c r="K12" i="6"/>
  <c r="H12" i="6"/>
  <c r="L12" i="6"/>
  <c r="N12" i="6" s="1"/>
  <c r="J13" i="6"/>
  <c r="K13" i="6"/>
  <c r="H13" i="6"/>
  <c r="L13" i="6"/>
  <c r="N13" i="6" s="1"/>
  <c r="J14" i="6"/>
  <c r="K14" i="6" s="1"/>
  <c r="H14" i="6"/>
  <c r="J15" i="6"/>
  <c r="K15" i="6"/>
  <c r="H15" i="6"/>
  <c r="L15" i="6"/>
  <c r="N15" i="6" s="1"/>
  <c r="J17" i="6"/>
  <c r="K17" i="6" s="1"/>
  <c r="H17" i="6"/>
  <c r="J18" i="6"/>
  <c r="K18" i="6"/>
  <c r="H18" i="6"/>
  <c r="L18" i="6"/>
  <c r="N18" i="6" s="1"/>
  <c r="D21" i="6"/>
  <c r="N34" i="6"/>
  <c r="M10" i="6"/>
  <c r="D20" i="6"/>
  <c r="N32" i="6" s="1"/>
  <c r="M15" i="6"/>
  <c r="M28" i="6"/>
  <c r="D19" i="6"/>
  <c r="N26" i="6"/>
  <c r="T96" i="9"/>
  <c r="S96" i="9"/>
  <c r="C22" i="10"/>
  <c r="B34" i="10" s="1"/>
  <c r="B36" i="10" s="1"/>
  <c r="B37" i="10" s="1"/>
  <c r="O95" i="9" s="1"/>
  <c r="X78" i="9"/>
  <c r="V89" i="9"/>
  <c r="M26" i="7"/>
  <c r="D5" i="7"/>
  <c r="D6" i="7"/>
  <c r="D20" i="7" s="1"/>
  <c r="N24" i="7" s="1"/>
  <c r="D7" i="7"/>
  <c r="D8" i="7"/>
  <c r="D10" i="7"/>
  <c r="D11" i="7"/>
  <c r="J3" i="7"/>
  <c r="K3" i="7" s="1"/>
  <c r="L3" i="7" s="1"/>
  <c r="N3" i="7" s="1"/>
  <c r="H3" i="7"/>
  <c r="J4" i="7"/>
  <c r="K4" i="7" s="1"/>
  <c r="L4" i="7" s="1"/>
  <c r="H4" i="7"/>
  <c r="J5" i="7"/>
  <c r="K5" i="7" s="1"/>
  <c r="L5" i="7" s="1"/>
  <c r="N5" i="7" s="1"/>
  <c r="H5" i="7"/>
  <c r="J6" i="7"/>
  <c r="K6" i="7" s="1"/>
  <c r="L6" i="7" s="1"/>
  <c r="H6" i="7"/>
  <c r="J7" i="7"/>
  <c r="K7" i="7" s="1"/>
  <c r="L7" i="7" s="1"/>
  <c r="N7" i="7" s="1"/>
  <c r="H7" i="7"/>
  <c r="J8" i="7"/>
  <c r="K8" i="7" s="1"/>
  <c r="L8" i="7" s="1"/>
  <c r="H8" i="7"/>
  <c r="J9" i="7"/>
  <c r="K9" i="7" s="1"/>
  <c r="L9" i="7" s="1"/>
  <c r="N9" i="7" s="1"/>
  <c r="H9" i="7"/>
  <c r="J10" i="7"/>
  <c r="K10" i="7" s="1"/>
  <c r="L10" i="7" s="1"/>
  <c r="H10" i="7"/>
  <c r="J11" i="7"/>
  <c r="K11" i="7" s="1"/>
  <c r="L11" i="7" s="1"/>
  <c r="N11" i="7" s="1"/>
  <c r="H11" i="7"/>
  <c r="J12" i="7"/>
  <c r="K12" i="7" s="1"/>
  <c r="L12" i="7" s="1"/>
  <c r="H12" i="7"/>
  <c r="J13" i="7"/>
  <c r="K13" i="7" s="1"/>
  <c r="L13" i="7" s="1"/>
  <c r="M13" i="7" s="1"/>
  <c r="H13" i="7"/>
  <c r="N13" i="7"/>
  <c r="J15" i="7"/>
  <c r="K15" i="7"/>
  <c r="H15" i="7"/>
  <c r="L15" i="7"/>
  <c r="N15" i="7" s="1"/>
  <c r="J17" i="7"/>
  <c r="K17" i="7" s="1"/>
  <c r="H17" i="7"/>
  <c r="J18" i="7"/>
  <c r="K18" i="7" s="1"/>
  <c r="H18" i="7"/>
  <c r="M15" i="7"/>
  <c r="F20" i="7"/>
  <c r="M19" i="8"/>
  <c r="D13" i="8"/>
  <c r="N17" i="8" s="1"/>
  <c r="J2" i="8"/>
  <c r="K2" i="8" s="1"/>
  <c r="L2" i="8" s="1"/>
  <c r="H2" i="8"/>
  <c r="J3" i="8"/>
  <c r="K3" i="8" s="1"/>
  <c r="L3" i="8" s="1"/>
  <c r="H3" i="8"/>
  <c r="J4" i="8"/>
  <c r="K4" i="8" s="1"/>
  <c r="L4" i="8" s="1"/>
  <c r="H4" i="8"/>
  <c r="J5" i="8"/>
  <c r="K5" i="8" s="1"/>
  <c r="L5" i="8" s="1"/>
  <c r="N5" i="8" s="1"/>
  <c r="H5" i="8"/>
  <c r="J7" i="8"/>
  <c r="K7" i="8" s="1"/>
  <c r="L7" i="8" s="1"/>
  <c r="H7" i="8"/>
  <c r="J8" i="8"/>
  <c r="K8" i="8" s="1"/>
  <c r="L8" i="8" s="1"/>
  <c r="N8" i="8" s="1"/>
  <c r="H8" i="8"/>
  <c r="J9" i="8"/>
  <c r="K9" i="8" s="1"/>
  <c r="L9" i="8" s="1"/>
  <c r="H9" i="8"/>
  <c r="J10" i="8"/>
  <c r="K10" i="8" s="1"/>
  <c r="L10" i="8" s="1"/>
  <c r="N10" i="8" s="1"/>
  <c r="H10" i="8"/>
  <c r="J11" i="8"/>
  <c r="K11" i="8" s="1"/>
  <c r="L11" i="8" s="1"/>
  <c r="H11" i="8"/>
  <c r="J12" i="8"/>
  <c r="K12" i="8" s="1"/>
  <c r="L12" i="8" s="1"/>
  <c r="N12" i="8" s="1"/>
  <c r="H12" i="8"/>
  <c r="O17" i="8"/>
  <c r="D44" i="10"/>
  <c r="E58" i="10"/>
  <c r="E55" i="10"/>
  <c r="D45" i="10"/>
  <c r="C20" i="10"/>
  <c r="C18" i="10"/>
  <c r="B48" i="10"/>
  <c r="D1" i="10"/>
  <c r="D15" i="10" s="1"/>
  <c r="E15" i="10" s="1"/>
  <c r="B6" i="10"/>
  <c r="B7" i="10"/>
  <c r="C7" i="10"/>
  <c r="B8" i="10"/>
  <c r="A6" i="10"/>
  <c r="A7" i="10"/>
  <c r="A8" i="10"/>
  <c r="J4" i="5"/>
  <c r="K4" i="5"/>
  <c r="H4" i="5"/>
  <c r="L4" i="5"/>
  <c r="M4" i="5" s="1"/>
  <c r="N4" i="5" s="1"/>
  <c r="J5" i="5"/>
  <c r="K5" i="5"/>
  <c r="H5" i="5"/>
  <c r="L5" i="5"/>
  <c r="M5" i="5" s="1"/>
  <c r="N5" i="5" s="1"/>
  <c r="J6" i="5"/>
  <c r="K6" i="5"/>
  <c r="H6" i="5"/>
  <c r="L6" i="5"/>
  <c r="M6" i="5" s="1"/>
  <c r="N6" i="5" s="1"/>
  <c r="J7" i="5"/>
  <c r="K7" i="5"/>
  <c r="H7" i="5"/>
  <c r="L7" i="5"/>
  <c r="M7" i="5" s="1"/>
  <c r="J8" i="5"/>
  <c r="K8" i="5"/>
  <c r="H8" i="5"/>
  <c r="L8" i="5"/>
  <c r="M8" i="5" s="1"/>
  <c r="N8" i="5" s="1"/>
  <c r="J9" i="5"/>
  <c r="K9" i="5"/>
  <c r="H9" i="5"/>
  <c r="L9" i="5"/>
  <c r="M9" i="5" s="1"/>
  <c r="N9" i="5" s="1"/>
  <c r="J10" i="5"/>
  <c r="K10" i="5"/>
  <c r="H10" i="5"/>
  <c r="L10" i="5"/>
  <c r="M10" i="5" s="1"/>
  <c r="N10" i="5" s="1"/>
  <c r="J11" i="5"/>
  <c r="K11" i="5"/>
  <c r="H11" i="5"/>
  <c r="L11" i="5"/>
  <c r="M11" i="5" s="1"/>
  <c r="N11" i="5" s="1"/>
  <c r="J12" i="5"/>
  <c r="K12" i="5"/>
  <c r="H12" i="5"/>
  <c r="L12" i="5"/>
  <c r="M12" i="5" s="1"/>
  <c r="N12" i="5" s="1"/>
  <c r="J13" i="5"/>
  <c r="K13" i="5"/>
  <c r="H13" i="5"/>
  <c r="L13" i="5"/>
  <c r="M13" i="5" s="1"/>
  <c r="N13" i="5" s="1"/>
  <c r="J14" i="5"/>
  <c r="K14" i="5"/>
  <c r="L14" i="5" s="1"/>
  <c r="M14" i="5" s="1"/>
  <c r="N14" i="5" s="1"/>
  <c r="H14" i="5"/>
  <c r="J15" i="5"/>
  <c r="K15" i="5"/>
  <c r="L15" i="5" s="1"/>
  <c r="M15" i="5" s="1"/>
  <c r="N15" i="5" s="1"/>
  <c r="H15" i="5"/>
  <c r="J16" i="5"/>
  <c r="K16" i="5"/>
  <c r="L16" i="5" s="1"/>
  <c r="M16" i="5" s="1"/>
  <c r="N16" i="5" s="1"/>
  <c r="H16" i="5"/>
  <c r="J17" i="5"/>
  <c r="K17" i="5"/>
  <c r="L17" i="5" s="1"/>
  <c r="M17" i="5" s="1"/>
  <c r="N17" i="5" s="1"/>
  <c r="H17" i="5"/>
  <c r="J18" i="5"/>
  <c r="K18" i="5"/>
  <c r="H18" i="5"/>
  <c r="L18" i="5"/>
  <c r="M18" i="5" s="1"/>
  <c r="N18" i="5" s="1"/>
  <c r="D19" i="5"/>
  <c r="Q21" i="5" s="1"/>
  <c r="Q25" i="5"/>
  <c r="G19" i="5"/>
  <c r="P30" i="5"/>
  <c r="F4" i="4"/>
  <c r="D4" i="4"/>
  <c r="F5" i="4"/>
  <c r="D5" i="4"/>
  <c r="G5" i="4"/>
  <c r="H5" i="4" s="1"/>
  <c r="I5" i="4" s="1"/>
  <c r="F6" i="4"/>
  <c r="D6" i="4"/>
  <c r="G6" i="4" s="1"/>
  <c r="H6" i="4" s="1"/>
  <c r="I6" i="4" s="1"/>
  <c r="F7" i="4"/>
  <c r="D7" i="4"/>
  <c r="G7" i="4" s="1"/>
  <c r="H7" i="4" s="1"/>
  <c r="I7" i="4" s="1"/>
  <c r="F8" i="4"/>
  <c r="D8" i="4"/>
  <c r="F9" i="4"/>
  <c r="D9" i="4"/>
  <c r="G9" i="4"/>
  <c r="H9" i="4" s="1"/>
  <c r="I9" i="4" s="1"/>
  <c r="G17" i="4"/>
  <c r="H17" i="4" s="1"/>
  <c r="B17" i="4"/>
  <c r="B16" i="4"/>
  <c r="B10" i="4"/>
  <c r="C10" i="4"/>
  <c r="N3" i="8" l="1"/>
  <c r="M3" i="8"/>
  <c r="N4" i="6"/>
  <c r="M4" i="6"/>
  <c r="N2" i="6"/>
  <c r="M2" i="6"/>
  <c r="N12" i="7"/>
  <c r="M12" i="7"/>
  <c r="N10" i="7"/>
  <c r="M10" i="7"/>
  <c r="N8" i="7"/>
  <c r="M8" i="7"/>
  <c r="N6" i="7"/>
  <c r="M6" i="7"/>
  <c r="N4" i="7"/>
  <c r="M4" i="7"/>
  <c r="N6" i="6"/>
  <c r="M6" i="6"/>
  <c r="H20" i="7"/>
  <c r="N3" i="9"/>
  <c r="G8" i="4"/>
  <c r="H8" i="4" s="1"/>
  <c r="I8" i="4" s="1"/>
  <c r="G4" i="4"/>
  <c r="L19" i="5"/>
  <c r="M9" i="7"/>
  <c r="M7" i="7"/>
  <c r="M5" i="7"/>
  <c r="M3" i="7"/>
  <c r="L18" i="7"/>
  <c r="M18" i="6"/>
  <c r="M13" i="6"/>
  <c r="M12" i="6"/>
  <c r="M8" i="6"/>
  <c r="L17" i="6"/>
  <c r="L14" i="6"/>
  <c r="L11" i="6"/>
  <c r="L9" i="6"/>
  <c r="N16" i="6"/>
  <c r="N65" i="9"/>
  <c r="H23" i="11"/>
  <c r="R3" i="9"/>
  <c r="C5" i="10"/>
  <c r="AC42" i="9"/>
  <c r="AC41" i="9"/>
  <c r="N42" i="9"/>
  <c r="N41" i="9"/>
  <c r="AC3" i="9"/>
  <c r="U7" i="9"/>
  <c r="AB30" i="9"/>
  <c r="AB26" i="9"/>
  <c r="AB22" i="9"/>
  <c r="AB18" i="9"/>
  <c r="AB14" i="9"/>
  <c r="AB10" i="9"/>
  <c r="AB6" i="9"/>
  <c r="AB66" i="9"/>
  <c r="AB62" i="9"/>
  <c r="AB58" i="9"/>
  <c r="AB54" i="9"/>
  <c r="AB50" i="9"/>
  <c r="AB46" i="9"/>
  <c r="AB40" i="9"/>
  <c r="AB36" i="9"/>
  <c r="AB32" i="9"/>
  <c r="AB70" i="9"/>
  <c r="AB74" i="9"/>
  <c r="N23" i="9"/>
  <c r="N69" i="9"/>
  <c r="N64" i="9"/>
  <c r="N63" i="9"/>
  <c r="P63" i="9" s="1"/>
  <c r="N62" i="9"/>
  <c r="O62" i="9" s="1"/>
  <c r="N57" i="9"/>
  <c r="P57" i="9" s="1"/>
  <c r="N39" i="9"/>
  <c r="N37" i="9"/>
  <c r="N36" i="9"/>
  <c r="N35" i="9"/>
  <c r="P35" i="9" s="1"/>
  <c r="N34" i="9"/>
  <c r="N33" i="9"/>
  <c r="P33" i="9" s="1"/>
  <c r="N32" i="9"/>
  <c r="N31" i="9"/>
  <c r="P31" i="9" s="1"/>
  <c r="N30" i="9"/>
  <c r="O30" i="9" s="1"/>
  <c r="N25" i="9"/>
  <c r="N24" i="9"/>
  <c r="AB31" i="9"/>
  <c r="AB29" i="9"/>
  <c r="AB27" i="9"/>
  <c r="AB25" i="9"/>
  <c r="AB23" i="9"/>
  <c r="AB21" i="9"/>
  <c r="AB19" i="9"/>
  <c r="AB17" i="9"/>
  <c r="AB15" i="9"/>
  <c r="AB13" i="9"/>
  <c r="AB11" i="9"/>
  <c r="AB9" i="9"/>
  <c r="AB7" i="9"/>
  <c r="AB5" i="9"/>
  <c r="AB67" i="9"/>
  <c r="AB65" i="9"/>
  <c r="AB63" i="9"/>
  <c r="AB61" i="9"/>
  <c r="AB59" i="9"/>
  <c r="AB57" i="9"/>
  <c r="AB55" i="9"/>
  <c r="AB53" i="9"/>
  <c r="AB51" i="9"/>
  <c r="AB49" i="9"/>
  <c r="AB47" i="9"/>
  <c r="AB45" i="9"/>
  <c r="AB43" i="9"/>
  <c r="AB39" i="9"/>
  <c r="AB37" i="9"/>
  <c r="AB35" i="9"/>
  <c r="AB33" i="9"/>
  <c r="O64" i="9"/>
  <c r="P64" i="9"/>
  <c r="U59" i="9"/>
  <c r="U16" i="9"/>
  <c r="U11" i="9"/>
  <c r="U4" i="9"/>
  <c r="N70" i="9"/>
  <c r="P70" i="9" s="1"/>
  <c r="U38" i="9"/>
  <c r="N43" i="9"/>
  <c r="P43" i="9" s="1"/>
  <c r="N40" i="9"/>
  <c r="P40" i="9" s="1"/>
  <c r="N14" i="9"/>
  <c r="O14" i="9" s="1"/>
  <c r="N13" i="9"/>
  <c r="P13" i="9" s="1"/>
  <c r="N12" i="9"/>
  <c r="P12" i="9" s="1"/>
  <c r="N11" i="9"/>
  <c r="P11" i="9" s="1"/>
  <c r="N10" i="9"/>
  <c r="O10" i="9" s="1"/>
  <c r="N9" i="9"/>
  <c r="O9" i="9" s="1"/>
  <c r="N8" i="9"/>
  <c r="P8" i="9" s="1"/>
  <c r="N7" i="9"/>
  <c r="P7" i="9" s="1"/>
  <c r="N6" i="9"/>
  <c r="N5" i="9"/>
  <c r="O5" i="9" s="1"/>
  <c r="N4" i="9"/>
  <c r="P4" i="9" s="1"/>
  <c r="AB71" i="9"/>
  <c r="AB69" i="9"/>
  <c r="AB73" i="9"/>
  <c r="O12" i="9"/>
  <c r="O7" i="9"/>
  <c r="O4" i="9"/>
  <c r="N56" i="9"/>
  <c r="O56" i="9" s="1"/>
  <c r="N55" i="9"/>
  <c r="P55" i="9" s="1"/>
  <c r="N54" i="9"/>
  <c r="P54" i="9" s="1"/>
  <c r="N53" i="9"/>
  <c r="N50" i="9"/>
  <c r="O50" i="9" s="1"/>
  <c r="N38" i="9"/>
  <c r="P38" i="9" s="1"/>
  <c r="N29" i="9"/>
  <c r="P29" i="9" s="1"/>
  <c r="N28" i="9"/>
  <c r="O28" i="9" s="1"/>
  <c r="N27" i="9"/>
  <c r="P27" i="9" s="1"/>
  <c r="N26" i="9"/>
  <c r="O26" i="9" s="1"/>
  <c r="N22" i="9"/>
  <c r="O22" i="9" s="1"/>
  <c r="N21" i="9"/>
  <c r="P21" i="9" s="1"/>
  <c r="N20" i="9"/>
  <c r="O20" i="9" s="1"/>
  <c r="N19" i="9"/>
  <c r="P19" i="9" s="1"/>
  <c r="N18" i="9"/>
  <c r="O18" i="9" s="1"/>
  <c r="N17" i="9"/>
  <c r="O17" i="9" s="1"/>
  <c r="N16" i="9"/>
  <c r="O16" i="9" s="1"/>
  <c r="U71" i="9"/>
  <c r="O54" i="9"/>
  <c r="N51" i="9"/>
  <c r="P51" i="9" s="1"/>
  <c r="P50" i="9"/>
  <c r="O32" i="9"/>
  <c r="P32" i="9"/>
  <c r="O21" i="9"/>
  <c r="N15" i="9"/>
  <c r="P15" i="9" s="1"/>
  <c r="U95" i="9"/>
  <c r="T95" i="9"/>
  <c r="N76" i="9"/>
  <c r="P76" i="9" s="1"/>
  <c r="N67" i="9"/>
  <c r="O67" i="9" s="1"/>
  <c r="O65" i="9"/>
  <c r="O3" i="9"/>
  <c r="P3" i="9"/>
  <c r="O40" i="9"/>
  <c r="O38" i="9"/>
  <c r="P36" i="9"/>
  <c r="O36" i="9"/>
  <c r="O24" i="9"/>
  <c r="P24" i="9"/>
  <c r="P22" i="9"/>
  <c r="P69" i="9"/>
  <c r="O69" i="9"/>
  <c r="O43" i="9"/>
  <c r="P39" i="9"/>
  <c r="O39" i="9"/>
  <c r="P37" i="9"/>
  <c r="O37" i="9"/>
  <c r="P25" i="9"/>
  <c r="O25" i="9"/>
  <c r="P23" i="9"/>
  <c r="O23" i="9"/>
  <c r="P14" i="9"/>
  <c r="N60" i="9"/>
  <c r="N48" i="9"/>
  <c r="O8" i="9"/>
  <c r="O55" i="9"/>
  <c r="O35" i="9"/>
  <c r="O31" i="9"/>
  <c r="O19" i="9"/>
  <c r="O11" i="9"/>
  <c r="O63" i="9"/>
  <c r="O70" i="9"/>
  <c r="P10" i="9"/>
  <c r="P30" i="9"/>
  <c r="P26" i="9"/>
  <c r="P62" i="9"/>
  <c r="N72" i="9"/>
  <c r="N58" i="9"/>
  <c r="P53" i="9"/>
  <c r="O53" i="9"/>
  <c r="N44" i="9"/>
  <c r="U96" i="9"/>
  <c r="P34" i="9"/>
  <c r="O34" i="9"/>
  <c r="P6" i="9"/>
  <c r="O6" i="9"/>
  <c r="N75" i="9"/>
  <c r="O75" i="9" s="1"/>
  <c r="N74" i="9"/>
  <c r="P74" i="9" s="1"/>
  <c r="N73" i="9"/>
  <c r="N71" i="9"/>
  <c r="N68" i="9"/>
  <c r="N66" i="9"/>
  <c r="N61" i="9"/>
  <c r="N59" i="9"/>
  <c r="P59" i="9" s="1"/>
  <c r="N52" i="9"/>
  <c r="N49" i="9"/>
  <c r="N47" i="9"/>
  <c r="N46" i="9"/>
  <c r="N45" i="9"/>
  <c r="P42" i="9"/>
  <c r="O42" i="9"/>
  <c r="P41" i="9"/>
  <c r="O41" i="9"/>
  <c r="O25" i="5"/>
  <c r="Q26" i="5" s="1"/>
  <c r="N7" i="5"/>
  <c r="O21" i="5" s="1"/>
  <c r="Q22" i="5" s="1"/>
  <c r="M19" i="5"/>
  <c r="N19" i="5"/>
  <c r="O28" i="5" s="1"/>
  <c r="N18" i="7"/>
  <c r="M18" i="7"/>
  <c r="H4" i="4"/>
  <c r="G10" i="4"/>
  <c r="N11" i="8"/>
  <c r="M11" i="8"/>
  <c r="N9" i="8"/>
  <c r="M9" i="8"/>
  <c r="N7" i="8"/>
  <c r="M7" i="8"/>
  <c r="N4" i="8"/>
  <c r="M4" i="8"/>
  <c r="N2" i="8"/>
  <c r="N13" i="8" s="1"/>
  <c r="M2" i="8"/>
  <c r="D16" i="10"/>
  <c r="M5" i="8"/>
  <c r="M8" i="8"/>
  <c r="M10" i="8"/>
  <c r="M12" i="8"/>
  <c r="M11" i="7"/>
  <c r="L17" i="7"/>
  <c r="N3" i="6"/>
  <c r="L23" i="6"/>
  <c r="M3" i="6"/>
  <c r="L19" i="6"/>
  <c r="N7" i="6"/>
  <c r="M7" i="6"/>
  <c r="N5" i="6"/>
  <c r="N22" i="6" s="1"/>
  <c r="L36" i="6" s="1"/>
  <c r="M36" i="6" s="1"/>
  <c r="M5" i="6"/>
  <c r="M22" i="6" s="1"/>
  <c r="L22" i="6"/>
  <c r="N17" i="6"/>
  <c r="M17" i="6"/>
  <c r="N14" i="6"/>
  <c r="N20" i="6" s="1"/>
  <c r="L32" i="6" s="1"/>
  <c r="M32" i="6" s="1"/>
  <c r="N33" i="6" s="1"/>
  <c r="M14" i="6"/>
  <c r="M20" i="6" s="1"/>
  <c r="L20" i="6"/>
  <c r="N11" i="6"/>
  <c r="M11" i="6"/>
  <c r="N9" i="6"/>
  <c r="N21" i="6" s="1"/>
  <c r="L34" i="6" s="1"/>
  <c r="M34" i="6" s="1"/>
  <c r="N35" i="6" s="1"/>
  <c r="L21" i="6"/>
  <c r="M9" i="6"/>
  <c r="N23" i="6"/>
  <c r="L38" i="6" s="1"/>
  <c r="M38" i="6" s="1"/>
  <c r="N39" i="6" s="1"/>
  <c r="N37" i="6"/>
  <c r="O74" i="9"/>
  <c r="U65" i="9"/>
  <c r="U50" i="9"/>
  <c r="P75" i="9"/>
  <c r="O59" i="9"/>
  <c r="M21" i="6" l="1"/>
  <c r="N19" i="6"/>
  <c r="L26" i="6" s="1"/>
  <c r="M26" i="6" s="1"/>
  <c r="N27" i="6" s="1"/>
  <c r="N92" i="9"/>
  <c r="P56" i="9"/>
  <c r="O33" i="9"/>
  <c r="P17" i="9"/>
  <c r="P65" i="9"/>
  <c r="P18" i="9"/>
  <c r="P67" i="9"/>
  <c r="O15" i="9"/>
  <c r="P20" i="9"/>
  <c r="O51" i="9"/>
  <c r="P28" i="9"/>
  <c r="P5" i="9"/>
  <c r="S4" i="9" s="1"/>
  <c r="T4" i="9" s="1"/>
  <c r="P9" i="9"/>
  <c r="S11" i="9" s="1"/>
  <c r="T11" i="9" s="1"/>
  <c r="O13" i="9"/>
  <c r="O76" i="9"/>
  <c r="O27" i="9"/>
  <c r="O29" i="9"/>
  <c r="O57" i="9"/>
  <c r="P16" i="9"/>
  <c r="S38" i="9"/>
  <c r="T38" i="9" s="1"/>
  <c r="S7" i="9"/>
  <c r="T7" i="9" s="1"/>
  <c r="V95" i="9"/>
  <c r="P45" i="9"/>
  <c r="O45" i="9"/>
  <c r="P47" i="9"/>
  <c r="O47" i="9"/>
  <c r="P52" i="9"/>
  <c r="O52" i="9"/>
  <c r="O61" i="9"/>
  <c r="P61" i="9"/>
  <c r="P68" i="9"/>
  <c r="O68" i="9"/>
  <c r="P73" i="9"/>
  <c r="O73" i="9"/>
  <c r="O58" i="9"/>
  <c r="P58" i="9"/>
  <c r="P48" i="9"/>
  <c r="O48" i="9"/>
  <c r="O46" i="9"/>
  <c r="P46" i="9"/>
  <c r="P49" i="9"/>
  <c r="O49" i="9"/>
  <c r="P66" i="9"/>
  <c r="O66" i="9"/>
  <c r="P71" i="9"/>
  <c r="O71" i="9"/>
  <c r="P44" i="9"/>
  <c r="V96" i="9"/>
  <c r="O44" i="9"/>
  <c r="P72" i="9"/>
  <c r="O72" i="9"/>
  <c r="P60" i="9"/>
  <c r="S59" i="9" s="1"/>
  <c r="O60" i="9"/>
  <c r="H10" i="4"/>
  <c r="I4" i="4"/>
  <c r="I10" i="4" s="1"/>
  <c r="G15" i="4" s="1"/>
  <c r="L27" i="5"/>
  <c r="L26" i="5"/>
  <c r="P28" i="5"/>
  <c r="M23" i="6"/>
  <c r="M19" i="6"/>
  <c r="L20" i="7"/>
  <c r="N17" i="7"/>
  <c r="N20" i="7" s="1"/>
  <c r="L24" i="7" s="1"/>
  <c r="M24" i="7" s="1"/>
  <c r="N25" i="7" s="1"/>
  <c r="M17" i="7"/>
  <c r="M20" i="7" s="1"/>
  <c r="M17" i="8"/>
  <c r="N18" i="8" s="1"/>
  <c r="L17" i="8"/>
  <c r="O92" i="9" l="1"/>
  <c r="P92" i="9"/>
  <c r="R81" i="9" s="1"/>
  <c r="S16" i="9"/>
  <c r="T16" i="9" s="1"/>
  <c r="S65" i="9"/>
  <c r="T65" i="9" s="1"/>
  <c r="S26" i="9"/>
  <c r="T26" i="9" s="1"/>
  <c r="X95" i="9"/>
  <c r="S50" i="9"/>
  <c r="T50" i="9" s="1"/>
  <c r="W96" i="9"/>
  <c r="R59" i="9"/>
  <c r="T59" i="9" s="1"/>
  <c r="W95" i="9"/>
  <c r="X96" i="9"/>
  <c r="S71" i="9"/>
  <c r="T71" i="9" s="1"/>
  <c r="H15" i="4"/>
  <c r="I16" i="4" s="1"/>
  <c r="I17" i="4" s="1"/>
  <c r="H20" i="4"/>
  <c r="H21" i="4"/>
  <c r="P95" i="9"/>
  <c r="N96" i="9" s="1"/>
  <c r="X97" i="9" l="1"/>
  <c r="A5" i="10"/>
  <c r="X85" i="9"/>
  <c r="S88" i="9"/>
  <c r="S89" i="9"/>
  <c r="B5" i="10"/>
  <c r="U99" i="9" l="1"/>
  <c r="O96" i="9"/>
  <c r="B38" i="10"/>
  <c r="B39" i="10" s="1"/>
  <c r="C6" i="10"/>
  <c r="S82" i="9"/>
  <c r="C8" i="10"/>
  <c r="F15" i="10" s="1"/>
  <c r="P119" i="9" l="1"/>
  <c r="P115" i="9"/>
  <c r="B40" i="10"/>
  <c r="E45" i="10" s="1"/>
  <c r="D50" i="10"/>
  <c r="B41" i="10"/>
  <c r="E44" i="10"/>
</calcChain>
</file>

<file path=xl/comments1.xml><?xml version="1.0" encoding="utf-8"?>
<comments xmlns="http://schemas.openxmlformats.org/spreadsheetml/2006/main">
  <authors>
    <author>cschilardi</author>
  </authors>
  <commentList>
    <comment ref="F3" authorId="0">
      <text>
        <r>
          <rPr>
            <b/>
            <sz val="8"/>
            <color indexed="81"/>
            <rFont val="Tahoma"/>
            <family val="2"/>
          </rPr>
          <t>cschilardi:</t>
        </r>
        <r>
          <rPr>
            <sz val="8"/>
            <color indexed="81"/>
            <rFont val="Tahoma"/>
            <family val="2"/>
          </rPr>
          <t xml:space="preserve">
a las obras que hemos agregado hemos consignado la superfie empadronada.
Revisar con Jorge Molina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cschilardi:</t>
        </r>
        <r>
          <rPr>
            <sz val="8"/>
            <color indexed="81"/>
            <rFont val="Tahoma"/>
            <family val="2"/>
          </rPr>
          <t xml:space="preserve">
Idem Canal Jocolí</t>
        </r>
      </text>
    </comment>
    <comment ref="G7" authorId="0">
      <text>
        <r>
          <rPr>
            <b/>
            <sz val="8"/>
            <color indexed="81"/>
            <rFont val="Tahoma"/>
            <family val="2"/>
          </rPr>
          <t>cschilardi:</t>
        </r>
        <r>
          <rPr>
            <sz val="8"/>
            <color indexed="81"/>
            <rFont val="Tahoma"/>
            <family val="2"/>
          </rPr>
          <t xml:space="preserve">
Estimado</t>
        </r>
      </text>
    </comment>
    <comment ref="G10" authorId="0">
      <text>
        <r>
          <rPr>
            <b/>
            <sz val="8"/>
            <color indexed="81"/>
            <rFont val="Tahoma"/>
            <family val="2"/>
          </rPr>
          <t>cschilardi:</t>
        </r>
        <r>
          <rPr>
            <sz val="8"/>
            <color indexed="81"/>
            <rFont val="Tahoma"/>
            <family val="2"/>
          </rPr>
          <t xml:space="preserve">
No se donde queda?
Prodedio zonal, supongo que no está revestiso.</t>
        </r>
      </text>
    </comment>
    <comment ref="G11" authorId="0">
      <text>
        <r>
          <rPr>
            <b/>
            <sz val="8"/>
            <color indexed="81"/>
            <rFont val="Tahoma"/>
            <family val="2"/>
          </rPr>
          <t>cschilardi:</t>
        </r>
        <r>
          <rPr>
            <sz val="8"/>
            <color indexed="81"/>
            <rFont val="Tahoma"/>
            <family val="2"/>
          </rPr>
          <t xml:space="preserve">
Por estrar cerca del la Rama San Roque y el Canal Naciente </t>
        </r>
      </text>
    </comment>
    <comment ref="G12" authorId="0">
      <text>
        <r>
          <rPr>
            <b/>
            <sz val="8"/>
            <color indexed="81"/>
            <rFont val="Tahoma"/>
            <family val="2"/>
          </rPr>
          <t>cschilardi:</t>
        </r>
        <r>
          <rPr>
            <sz val="8"/>
            <color indexed="81"/>
            <rFont val="Tahoma"/>
            <family val="2"/>
          </rPr>
          <t xml:space="preserve">
Por estar cerca del canal Flores</t>
        </r>
      </text>
    </comment>
    <comment ref="G13" authorId="0">
      <text>
        <r>
          <rPr>
            <b/>
            <sz val="8"/>
            <color indexed="81"/>
            <rFont val="Tahoma"/>
            <family val="2"/>
          </rPr>
          <t>cschilardi:</t>
        </r>
        <r>
          <rPr>
            <sz val="8"/>
            <color indexed="81"/>
            <rFont val="Tahoma"/>
            <family val="2"/>
          </rPr>
          <t xml:space="preserve">
Por estar cercano a la Hijuela delgado que tiene alguonos tramos revestidos.</t>
        </r>
      </text>
    </comment>
    <comment ref="G14" authorId="0">
      <text>
        <r>
          <rPr>
            <b/>
            <sz val="8"/>
            <color indexed="81"/>
            <rFont val="Tahoma"/>
            <family val="2"/>
          </rPr>
          <t>cschilardi:</t>
        </r>
        <r>
          <rPr>
            <sz val="8"/>
            <color indexed="81"/>
            <rFont val="Tahoma"/>
            <family val="2"/>
          </rPr>
          <t xml:space="preserve">
Por derivarse del canal chachingo.
</t>
        </r>
      </text>
    </comment>
  </commentList>
</comments>
</file>

<file path=xl/comments2.xml><?xml version="1.0" encoding="utf-8"?>
<comments xmlns="http://schemas.openxmlformats.org/spreadsheetml/2006/main">
  <authors>
    <author>cschilardi</author>
  </authors>
  <commentList>
    <comment ref="G5" authorId="0">
      <text>
        <r>
          <rPr>
            <b/>
            <sz val="8"/>
            <color indexed="81"/>
            <rFont val="Tahoma"/>
            <family val="2"/>
          </rPr>
          <t>cschilardi:</t>
        </r>
        <r>
          <rPr>
            <sz val="8"/>
            <color indexed="81"/>
            <rFont val="Tahoma"/>
            <family val="2"/>
          </rPr>
          <t xml:space="preserve">
Estimado</t>
        </r>
      </text>
    </comment>
  </commentList>
</comments>
</file>

<file path=xl/sharedStrings.xml><?xml version="1.0" encoding="utf-8"?>
<sst xmlns="http://schemas.openxmlformats.org/spreadsheetml/2006/main" count="612" uniqueCount="299">
  <si>
    <t>caudal</t>
  </si>
  <si>
    <t>m3/s</t>
  </si>
  <si>
    <t xml:space="preserve">costo </t>
  </si>
  <si>
    <t>$/m3/ml</t>
  </si>
  <si>
    <t>Canal</t>
  </si>
  <si>
    <t>Costo de revestimiento de Canales</t>
  </si>
  <si>
    <t>fuente: División Estudios y Proyectos</t>
  </si>
  <si>
    <t>Galigniana Segura</t>
  </si>
  <si>
    <t>San Pedro y San Pablo</t>
  </si>
  <si>
    <t>Perdidas % /km</t>
  </si>
  <si>
    <t>de Araujo (*)</t>
  </si>
  <si>
    <t>Natalio Estrella (*)</t>
  </si>
  <si>
    <t>G. André (*)</t>
  </si>
  <si>
    <t>Reyna(*)</t>
  </si>
  <si>
    <t>(*) perdidas medias</t>
  </si>
  <si>
    <t xml:space="preserve">% pérdidas en tramo </t>
  </si>
  <si>
    <t>Coef medio de riego l/s/ha =</t>
  </si>
  <si>
    <t>Caudal (l/s) recuperado con la obra</t>
  </si>
  <si>
    <t>Caudal recupe-rado según re-embolso provin-cial (l/s)</t>
  </si>
  <si>
    <t>l/s</t>
  </si>
  <si>
    <t>m3/año</t>
  </si>
  <si>
    <t>costo</t>
  </si>
  <si>
    <t>has equivalentes</t>
  </si>
  <si>
    <t>Ajuste por Aumento pérdidas</t>
  </si>
  <si>
    <t>Totales/Promedios</t>
  </si>
  <si>
    <t>Habitantes Equiv</t>
  </si>
  <si>
    <t xml:space="preserve"> (a 500 l/día )</t>
  </si>
  <si>
    <t>AGUA RECUPERADA EN TRAMO INFERIOR</t>
  </si>
  <si>
    <t>Superficie de riego (has)</t>
  </si>
  <si>
    <t>Q medio (l/s)</t>
  </si>
  <si>
    <t>Longitud revestida (km)</t>
  </si>
  <si>
    <t>Rama Reyna(*)</t>
  </si>
  <si>
    <t>Canal Marienhoff</t>
  </si>
  <si>
    <t>Obra</t>
  </si>
  <si>
    <t>Plan</t>
  </si>
  <si>
    <t>Revestimiento Canal Marienhoff</t>
  </si>
  <si>
    <t>Monto ($)</t>
  </si>
  <si>
    <t>Longitud revestida (m)</t>
  </si>
  <si>
    <t>Ley 555/75</t>
  </si>
  <si>
    <t>Revstimiento Cls San Pedro y San Pablo y Bajada de Araujo</t>
  </si>
  <si>
    <t>Prosap</t>
  </si>
  <si>
    <t>San Pedro y San Pablo y Bajada de Araujo</t>
  </si>
  <si>
    <t>Natalio Estrella y G. André (*)</t>
  </si>
  <si>
    <t>Sistematización Cls Natalio Estrella y Gustavo Andre</t>
  </si>
  <si>
    <t>Revestimiento Canal Galingiana Seguara</t>
  </si>
  <si>
    <t>Revestimiento Hijuela Reina 1° Etapa</t>
  </si>
  <si>
    <t>Año</t>
  </si>
  <si>
    <t xml:space="preserve">Canal Ortega </t>
  </si>
  <si>
    <t>Revestimiento Canal Ortega</t>
  </si>
  <si>
    <t>Hijuela Centenario</t>
  </si>
  <si>
    <t>Impermeabiliación Hijuela Centanario</t>
  </si>
  <si>
    <t>Confín desagüe</t>
  </si>
  <si>
    <t>Revestimiento Confín desagüe II Etapa</t>
  </si>
  <si>
    <t>Rama Correa</t>
  </si>
  <si>
    <t>Revestimiento Rama Correa II Etapa</t>
  </si>
  <si>
    <t>Provincial Trabajos Públicos</t>
  </si>
  <si>
    <t>Canal 1° Vistalva</t>
  </si>
  <si>
    <t>Protección de Márgenes Canal 1° Vistalva</t>
  </si>
  <si>
    <t>Hijuela Tapón Mayani</t>
  </si>
  <si>
    <t>Rama Moyano</t>
  </si>
  <si>
    <t>Revestimiento Hijuela Tapón Mayani I Etapa</t>
  </si>
  <si>
    <t xml:space="preserve">Cambio de Traza y Entubamiento Rama Moyano </t>
  </si>
  <si>
    <t>Longitud revestida (Km)</t>
  </si>
  <si>
    <t>(a 500l/ día)</t>
  </si>
  <si>
    <t>Unificación Hijuela Santa Rita Progreso</t>
  </si>
  <si>
    <t>Hijuela Divisadero Sur</t>
  </si>
  <si>
    <t>l/s cuestan</t>
  </si>
  <si>
    <t>Exp.Nro.</t>
  </si>
  <si>
    <t>Montos</t>
  </si>
  <si>
    <t>Superficie de riego has (fxe)</t>
  </si>
  <si>
    <t>Bajada de Araujo</t>
  </si>
  <si>
    <t>Hijuela Reina</t>
  </si>
  <si>
    <t>N de expediente</t>
  </si>
  <si>
    <t>Revestimiento Hijuela Lemos.</t>
  </si>
  <si>
    <t>555</t>
  </si>
  <si>
    <t>Obras Compl. Revest. Hijuela Lemos.</t>
  </si>
  <si>
    <t xml:space="preserve">Rev. Cls.San Pedro y San Pablo </t>
  </si>
  <si>
    <t>BID</t>
  </si>
  <si>
    <t>Rev Bajada de Araujo</t>
  </si>
  <si>
    <t xml:space="preserve">Revest. Natalio Estrella       </t>
  </si>
  <si>
    <t>Revest. Gustavo André</t>
  </si>
  <si>
    <t>Rev. Cl.Galigniana Segura - 3° Etapa.</t>
  </si>
  <si>
    <t>Revestimiento Cls.Marienhoff - 2° Etapa y Villa Central - 1ª Etapa</t>
  </si>
  <si>
    <t>Villa Central - 1 Etapa</t>
  </si>
  <si>
    <t>Revestimiento Hijuela Reina - 2° Etapa.</t>
  </si>
  <si>
    <t>Revestimiento Cl. Concesión Nueva California - 1ª Etapa</t>
  </si>
  <si>
    <t>Sist.Hij.Mina de Oro y Chacras de Ortega</t>
  </si>
  <si>
    <t>BIRF</t>
  </si>
  <si>
    <t>Revestimiento Hijuela 1° Vistalba.</t>
  </si>
  <si>
    <t>Unific.y Revest.Ramas Mercery San Roque -Valle Hermoso</t>
  </si>
  <si>
    <t>Totales / promedios</t>
  </si>
  <si>
    <t>Entubamiento Rama Moyano - 2ª Etapa</t>
  </si>
  <si>
    <t>Revest. Canal General Rufino Ortega</t>
  </si>
  <si>
    <t>Revest. Hijuela El Chilcal</t>
  </si>
  <si>
    <t>Independización de la Hijuela Sánchez de la Problemática aluvional</t>
  </si>
  <si>
    <t>Revest. Canal Galigniana Segura - 3° Etapa</t>
  </si>
  <si>
    <t>Canal Marienhoff - 3° Etapa</t>
  </si>
  <si>
    <t>Revest. Canal California - 2° Etapa</t>
  </si>
  <si>
    <t>Revest. C. San Pedro y San Pablo - 3° Etapa</t>
  </si>
  <si>
    <t>Canal Gustavo Andre - Rama II y III</t>
  </si>
  <si>
    <t>Revest. Canal Bajada de Araujo - 3° Etapa</t>
  </si>
  <si>
    <t xml:space="preserve"> </t>
  </si>
  <si>
    <t>coef medio</t>
  </si>
  <si>
    <r>
      <t xml:space="preserve">Unificación Hijuela Santa Rita </t>
    </r>
    <r>
      <rPr>
        <sz val="10"/>
        <color indexed="48"/>
        <rFont val="Arial"/>
        <family val="2"/>
      </rPr>
      <t>Progreso</t>
    </r>
  </si>
  <si>
    <t>todo</t>
  </si>
  <si>
    <t>total</t>
  </si>
  <si>
    <t>Gustavo André</t>
  </si>
  <si>
    <t xml:space="preserve">Unific Natalio Estrella </t>
  </si>
  <si>
    <t>Caudal  (l/s) p/ beneficiarios del canal</t>
  </si>
  <si>
    <t>Caudal (l/s) p/ Fondo Potrerillos</t>
  </si>
  <si>
    <t>Caudal solicitado</t>
  </si>
  <si>
    <t>Canal  proveedor</t>
  </si>
  <si>
    <t>Planta</t>
  </si>
  <si>
    <t>Costo s/ 576/00</t>
  </si>
  <si>
    <t>3,5 $/m3</t>
  </si>
  <si>
    <t>Costo propuesto 0.82 $/m3</t>
  </si>
  <si>
    <t>Cc 1106 Luján Oeste</t>
  </si>
  <si>
    <t>Anexo Lujan</t>
  </si>
  <si>
    <t>Cc1037 Jarillal</t>
  </si>
  <si>
    <t>Benegas</t>
  </si>
  <si>
    <t>2.585.952</t>
  </si>
  <si>
    <t xml:space="preserve">281,9 litros recuperados </t>
  </si>
  <si>
    <t xml:space="preserve">1- Concepto </t>
  </si>
  <si>
    <t xml:space="preserve">Valor adoptado </t>
  </si>
  <si>
    <t>Observaciones</t>
  </si>
  <si>
    <t>en %</t>
  </si>
  <si>
    <t>3 a 5 %</t>
  </si>
  <si>
    <t>Estudios títulos notificaciones, planos, gastos de afectación</t>
  </si>
  <si>
    <t>2 al 5 %</t>
  </si>
  <si>
    <t>Valores actualizados a Dic/2004 </t>
  </si>
  <si>
    <t>Ya está incluido en pliegos</t>
  </si>
  <si>
    <t>Infimos en tº, pero crecientes</t>
  </si>
  <si>
    <t>No se incluye por ser un Fondo</t>
  </si>
  <si>
    <t xml:space="preserve">2- Formulación </t>
  </si>
  <si>
    <t>3- Licitación</t>
  </si>
  <si>
    <t>4- Gastos de afectación de servidumbre</t>
  </si>
  <si>
    <t>5- Imprevistos</t>
  </si>
  <si>
    <t>6-Mayores Costos</t>
  </si>
  <si>
    <t>7- Inspección de Obra</t>
  </si>
  <si>
    <t>8- Permisos Varios</t>
  </si>
  <si>
    <t>9- Costos de Mantenimiento</t>
  </si>
  <si>
    <t>10- Valor Actual Neto reconstrucción</t>
  </si>
  <si>
    <t>11- Capital de trabajo</t>
  </si>
  <si>
    <t>seg año</t>
  </si>
  <si>
    <t xml:space="preserve">costo directo </t>
  </si>
  <si>
    <t>costo total</t>
  </si>
  <si>
    <t>Costos indirectos</t>
  </si>
  <si>
    <t>%</t>
  </si>
  <si>
    <t>Costos directos ($/m3)</t>
  </si>
  <si>
    <t>Costos totales ($/m3)</t>
  </si>
  <si>
    <t>costos indir tanto por uno</t>
  </si>
  <si>
    <t>Costo propuesto</t>
  </si>
  <si>
    <t>VAN Tasa</t>
  </si>
  <si>
    <t>Reconstrucción - años</t>
  </si>
  <si>
    <t>GSatlari\\costo de la eficiencia.xls</t>
  </si>
  <si>
    <t xml:space="preserve">Superficie de riego (has) </t>
  </si>
  <si>
    <t>Montos S/Contrato ($)</t>
  </si>
  <si>
    <t>Pérdida % /km</t>
  </si>
  <si>
    <t>Tasa al  10 %; vida útil 30 años</t>
  </si>
  <si>
    <t>Exp  Nro.</t>
  </si>
  <si>
    <t>Costo valor llave base</t>
  </si>
  <si>
    <t>Valor llave otros usos</t>
  </si>
  <si>
    <t>Revest Hij Nueva Day 2da etapa</t>
  </si>
  <si>
    <t xml:space="preserve">Revest. Tramo  Final y  Ra Confín. Gal.Segura                                 </t>
  </si>
  <si>
    <t>Revest. Canal California - 3° Etapa</t>
  </si>
  <si>
    <t>Revest.  Ramas  Gustavo André</t>
  </si>
  <si>
    <t>Imperm Hij Antigua Day  1° Etapa</t>
  </si>
  <si>
    <t>Canaletas cuarta  Zona, Hij Villanueva</t>
  </si>
  <si>
    <t>Revest. R° Mathus  Hoyos- Red 2ria  y  3ria</t>
  </si>
  <si>
    <t>Revest. Matriz Chacras de Coria - La Falda</t>
  </si>
  <si>
    <t>Unif. Santa Rita y Progreso</t>
  </si>
  <si>
    <t>Revest. Gal Segura - 4ta Etapa</t>
  </si>
  <si>
    <t>Revest. Canal  Marienhoff 4ta Etapa</t>
  </si>
  <si>
    <t>Revest  Cnl  San Pedro y  San Pablo 4ta Etapa</t>
  </si>
  <si>
    <t>Revet Perfoga y cambio de traza La Paloma</t>
  </si>
  <si>
    <t>Revest. Canal Bajada de  Araujo  4° Etapa</t>
  </si>
  <si>
    <t>Revest.Canal Natalio Estrella 3° Etapa</t>
  </si>
  <si>
    <t>Revest.Cl Natalio Estrella 4°Etapa</t>
  </si>
  <si>
    <t>Revest. Cl Colonias</t>
  </si>
  <si>
    <t>*</t>
  </si>
  <si>
    <t>**</t>
  </si>
  <si>
    <t>M.Actualizado 2006</t>
  </si>
  <si>
    <t>Actualización Año 2008 (7)</t>
  </si>
  <si>
    <t>M.Base</t>
  </si>
  <si>
    <t>M.Actualizado</t>
  </si>
  <si>
    <t>Reparaciones y Mantenimientos de Diques y Canales Bacheo Canal San Martín</t>
  </si>
  <si>
    <t>Revestimiento Hijuela Centenario</t>
  </si>
  <si>
    <t>Canal Gustavo Andre Revestimiento Rama 3 y Entubamiento Rama 1</t>
  </si>
  <si>
    <t>Canal California Revestimiento Hijuela Nº1 2º Etapa</t>
  </si>
  <si>
    <t>Canal Galingiana  VI Etapa Revestimiento Rama Confín</t>
  </si>
  <si>
    <t>Entubamiento del Canal Civit Segundo Tramo</t>
  </si>
  <si>
    <t>Mantenimiento 1º y 2º Tramo Canal San Martín</t>
  </si>
  <si>
    <t>Reparación Descargador Dique Las Piedritas y Puente Canal</t>
  </si>
  <si>
    <t>Mantenimiento Juntas 5º y 6º Tramo Canal San Martín</t>
  </si>
  <si>
    <t>Revestimiento Rama Mathus Hoyos Red Secundaria y Terciaria</t>
  </si>
  <si>
    <t>Revestimiento Canal Matriz Chacras de Coria La Falda</t>
  </si>
  <si>
    <t>Unificación Hijuelas Santa Rita y Progreso 2º Etapa</t>
  </si>
  <si>
    <t>Revestimiento Canal Galigniana Segura 4º Etapa</t>
  </si>
  <si>
    <t>Revestimiento Canal Marienhoff 4º Etapa</t>
  </si>
  <si>
    <t>Revestimiento Canal San Pedro y San Pablo 4º Etapa</t>
  </si>
  <si>
    <t>Revestimiento Hijuela Perfoga y Cambio de Traza Hijuela Paloma</t>
  </si>
  <si>
    <t>Revestimiento Canal Natalio Estrella 3º Etapa</t>
  </si>
  <si>
    <t>Revestimiento Canal Bajada de Araujo 4º Etapa</t>
  </si>
  <si>
    <t>Revestimiento Canal Gustavo André Rama II y III 2º Etapa</t>
  </si>
  <si>
    <t>Impermeabilización Hijuela Antigua Day (1º Etapa)</t>
  </si>
  <si>
    <t>Canaletas Cuarta Zona Hijuela Villanueva</t>
  </si>
  <si>
    <t>Construcción de Toma Canal Colonias</t>
  </si>
  <si>
    <t>Revestimiento Confín Desagüe II Etapa</t>
  </si>
  <si>
    <t>Protección de Márgenes Canal 1º Vistalba</t>
  </si>
  <si>
    <t>Revestimiento Hijuela Tapón Mayán I Etapa</t>
  </si>
  <si>
    <t xml:space="preserve">Unificación Natalio Estrella </t>
  </si>
  <si>
    <t>Revestimiento Hijuela Lemos</t>
  </si>
  <si>
    <t>Obras Complementarias Revestimiento Hijuela Lemos</t>
  </si>
  <si>
    <t xml:space="preserve">Revestimiento Canales San Pedro y San Pablo </t>
  </si>
  <si>
    <t>Revestimiento Bajada de Araujo</t>
  </si>
  <si>
    <t xml:space="preserve">Revestimiento Natalio Estrella       </t>
  </si>
  <si>
    <t>Revestimiento Gustavo André</t>
  </si>
  <si>
    <t>Revestimiento Canal Galigniana Segura - 3º Etapa</t>
  </si>
  <si>
    <t>Revestimiento Canales Marienhoff 2º Etapa</t>
  </si>
  <si>
    <t>Villa Central 1º Etapa</t>
  </si>
  <si>
    <t>Revestimiento Hijuela Reina 2º Etapa</t>
  </si>
  <si>
    <t>Revestimiento Canal Concesión Nueva California 1º Etapa</t>
  </si>
  <si>
    <t>Sistema Hijuela Mina de Oro y Chacras de Ortega</t>
  </si>
  <si>
    <t>Revestimiento Hijuela 1º Vistalba</t>
  </si>
  <si>
    <t>Unificacióny Revestimiento Ramas Mercery San Roque Valle Hermoso</t>
  </si>
  <si>
    <t>Entubamiento Rama Moyano 2º Etapa</t>
  </si>
  <si>
    <t>Revestimiento Canal General Rufino Ortega</t>
  </si>
  <si>
    <t>Revestimiento Hijuela El Chilcal</t>
  </si>
  <si>
    <t>Revestimiento Canal Galigniana Segura 3º Etapa</t>
  </si>
  <si>
    <t>Canal Marienhoff 3º Etapa</t>
  </si>
  <si>
    <t>Revestimiento Canal California 2º Etapa</t>
  </si>
  <si>
    <t>Revestimiento Canal San Pedro y San Pablo 3º Etapa</t>
  </si>
  <si>
    <t>Canal Gustavo Andre Rama II y III</t>
  </si>
  <si>
    <t>Revestimiento Canal Bajada de Araujo 3º Etapa</t>
  </si>
  <si>
    <t>Revestimiento Hijuela Nueva Day 2º Etapa</t>
  </si>
  <si>
    <t>Revestimiento Tramo Final y Rama Confín Canal Galigniana Segura</t>
  </si>
  <si>
    <t>Revestimiento Canal California 3º Etapa</t>
  </si>
  <si>
    <t>Revestimiento Ramas Canal Gustavo André</t>
  </si>
  <si>
    <t>Revestimiento Canal Natalio Estrella 4º Etapa</t>
  </si>
  <si>
    <t>Revestimiento Canal Colonias</t>
  </si>
  <si>
    <t>Impermeabilización Ramo Day</t>
  </si>
  <si>
    <t>Revestimiento Hijuela Bayo Canal Galigniana 1ºEtapa</t>
  </si>
  <si>
    <t>Revestimiento Ramas Canal Marienhoff</t>
  </si>
  <si>
    <t>Revestimiento Canal Natalio Estrella 5º Etapa</t>
  </si>
  <si>
    <t>Revestimiento Canal Gustavo André Rama 2 2º Etapa</t>
  </si>
  <si>
    <t>Revestimiento Canal San Pedro y San Pablo 5º Etapa</t>
  </si>
  <si>
    <t>Constr. Tomas Canal Colonias</t>
  </si>
  <si>
    <t>inversón anual</t>
  </si>
  <si>
    <t>q recuperado</t>
  </si>
  <si>
    <t>$/l recuper</t>
  </si>
  <si>
    <t xml:space="preserve">q medio canales </t>
  </si>
  <si>
    <t>Mantenimiento de Juntas 5º y 6º tramos Canal San Martín</t>
  </si>
  <si>
    <t>act 2009 (90 %)</t>
  </si>
  <si>
    <t>act 2009 (100 %)</t>
  </si>
  <si>
    <t xml:space="preserve">ajuste al 100 % </t>
  </si>
  <si>
    <t>act 2011 90 %</t>
  </si>
  <si>
    <t xml:space="preserve">act2011 100 % </t>
  </si>
  <si>
    <t>Revestimiento Canal Flores 1º Tramo 1ª Etapa</t>
  </si>
  <si>
    <t>act 1.14 al 100 %</t>
  </si>
  <si>
    <t>planilla 2</t>
  </si>
  <si>
    <t>Proyecto Integral Naciente Chachingo Pescara</t>
  </si>
  <si>
    <t>Revestimiento Canal Flores 1º Tramo 1º Etapa</t>
  </si>
  <si>
    <t>Reparación Integral Puente Canal Paso de Las Piedritas</t>
  </si>
  <si>
    <t>Bacheo 1º y 2º Tramos Canal San Martín</t>
  </si>
  <si>
    <t>Reparación Losas y Juntas en 3º Tramo Canal San Martín</t>
  </si>
  <si>
    <t>Readecuación Toma Hijuela Lima, Hijuela Morales, Cuenco y Aforador Rama Mathus Hoyos</t>
  </si>
  <si>
    <t>Reparación de Juntas, Fisuras, Grietas y Losas en 5º y 6º Tramos del Canal San Martín</t>
  </si>
  <si>
    <t>Reparación de Juntas, Fisuras, Grietas y Losas en 3º Tramo del Canal San Martín</t>
  </si>
  <si>
    <t>Dique Cipolletti Reparaciones en Compuerta Cámara Desripiadora</t>
  </si>
  <si>
    <t>Impermeabilización Rama El Jarillal</t>
  </si>
  <si>
    <t>Revestimiento Canal Flores 3º Etapa</t>
  </si>
  <si>
    <t>Informe de compatibilidad para costo eficiencia 2015.xls</t>
  </si>
  <si>
    <t>Ejecutar el 20/08/2015 17:17</t>
  </si>
  <si>
    <t>Las siguientes características de este libro no son compatibles con versiones anteriores de Excel. Estas características podrían perderse o degradarse si abre el libro con una versión anterior de Excel o si lo guarda con un formato de archivo anterior.</t>
  </si>
  <si>
    <t>Pérdida menor de fidelidad</t>
  </si>
  <si>
    <t>Nº de apariciones</t>
  </si>
  <si>
    <t>Versión</t>
  </si>
  <si>
    <t>Algunas fórmulas de este libro están vinculadas a otros libros que están cerrados. Cuando estas fórmulas se vuelven a calcular en versiones anteriores de Excel sin abrir los libros vinculados, los caracteres que exceden el límite de 255 caracteres no se pueden devolver.</t>
  </si>
  <si>
    <t>1999-2000-01-02-03-04'!AJ3:AJ43</t>
  </si>
  <si>
    <t>1999-2000-01-02-03-04'!AJ58:AJ62</t>
  </si>
  <si>
    <t>1999-2000-01-02-03-04'!AJ64</t>
  </si>
  <si>
    <t>1999-2000-01-02-03-04'!AJ74</t>
  </si>
  <si>
    <t>1999-2000-01-02-03-04'!AJ77:AJ79</t>
  </si>
  <si>
    <t>1999-2000-01-02-03-04'!AH80:AH82</t>
  </si>
  <si>
    <t>1999-2000-01-02-03-04'!AJ83:AJ122</t>
  </si>
  <si>
    <t>Excel 97-2003</t>
  </si>
  <si>
    <t xml:space="preserve">Coeficiente Medio en l/s = </t>
  </si>
  <si>
    <t xml:space="preserve">planta benegas </t>
  </si>
  <si>
    <t>Actualización  monto 2015 ($)</t>
  </si>
  <si>
    <t>Actualización del Monto Base  Valor Llave 2015</t>
  </si>
  <si>
    <t>07/08</t>
  </si>
  <si>
    <t>08/09</t>
  </si>
  <si>
    <t>9/10</t>
  </si>
  <si>
    <t>10/11</t>
  </si>
  <si>
    <t>11/12</t>
  </si>
  <si>
    <t>12/13</t>
  </si>
  <si>
    <t>13/14</t>
  </si>
  <si>
    <t>14/15</t>
  </si>
  <si>
    <t>07 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</si>
</sst>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 * #,##0.00_ ;_ * \-#,##0.00_ ;_ * &quot;-&quot;??_ ;_ @_ "/>
    <numFmt numFmtId="164" formatCode="_-&quot;$&quot;* #,##0.00_-;\-&quot;$&quot;* #,##0.00_-;_-&quot;$&quot;* &quot;-&quot;??_-;_-@_-"/>
    <numFmt numFmtId="165" formatCode="0.0"/>
    <numFmt numFmtId="166" formatCode="0.000"/>
    <numFmt numFmtId="167" formatCode="#,##0.00;[Red]#,##0.00"/>
    <numFmt numFmtId="168" formatCode="#,##0.0"/>
    <numFmt numFmtId="169" formatCode="0.0000"/>
    <numFmt numFmtId="170" formatCode="0.00000"/>
    <numFmt numFmtId="171" formatCode="[$$-2C0A]\ #,##0"/>
    <numFmt numFmtId="172" formatCode="[$$-2C0A]\ #,##0.000"/>
    <numFmt numFmtId="173" formatCode="#,##0.000"/>
    <numFmt numFmtId="174" formatCode="&quot;$&quot;\ #,##0.00"/>
    <numFmt numFmtId="175" formatCode="#,##0.00000"/>
  </numFmts>
  <fonts count="21" x14ac:knownFonts="1">
    <font>
      <sz val="10"/>
      <name val="Arial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2"/>
      <color indexed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26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</cellStyleXfs>
  <cellXfs count="7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12" xfId="0" applyFont="1" applyBorder="1"/>
    <xf numFmtId="0" fontId="2" fillId="0" borderId="13" xfId="0" applyFont="1" applyBorder="1"/>
    <xf numFmtId="0" fontId="0" fillId="0" borderId="14" xfId="0" applyBorder="1"/>
    <xf numFmtId="165" fontId="0" fillId="0" borderId="14" xfId="0" applyNumberFormat="1" applyBorder="1"/>
    <xf numFmtId="0" fontId="0" fillId="0" borderId="12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1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3" fillId="0" borderId="0" xfId="0" applyFont="1"/>
    <xf numFmtId="166" fontId="0" fillId="0" borderId="12" xfId="0" applyNumberFormat="1" applyBorder="1" applyAlignment="1">
      <alignment horizontal="center"/>
    </xf>
    <xf numFmtId="1" fontId="0" fillId="0" borderId="4" xfId="0" applyNumberFormat="1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1" fontId="0" fillId="0" borderId="13" xfId="0" applyNumberFormat="1" applyBorder="1"/>
    <xf numFmtId="0" fontId="0" fillId="0" borderId="15" xfId="0" applyBorder="1"/>
    <xf numFmtId="2" fontId="0" fillId="0" borderId="14" xfId="0" applyNumberFormat="1" applyBorder="1" applyAlignment="1">
      <alignment horizontal="center"/>
    </xf>
    <xf numFmtId="0" fontId="0" fillId="0" borderId="0" xfId="0" applyBorder="1"/>
    <xf numFmtId="2" fontId="0" fillId="0" borderId="13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2" fillId="0" borderId="17" xfId="0" applyFont="1" applyFill="1" applyBorder="1"/>
    <xf numFmtId="0" fontId="5" fillId="0" borderId="0" xfId="0" applyFont="1"/>
    <xf numFmtId="0" fontId="0" fillId="0" borderId="16" xfId="0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0" fillId="0" borderId="18" xfId="0" applyBorder="1" applyAlignment="1">
      <alignment horizontal="center" vertical="center"/>
    </xf>
    <xf numFmtId="0" fontId="2" fillId="0" borderId="19" xfId="0" applyFont="1" applyBorder="1"/>
    <xf numFmtId="0" fontId="2" fillId="0" borderId="16" xfId="0" applyFont="1" applyFill="1" applyBorder="1"/>
    <xf numFmtId="0" fontId="2" fillId="0" borderId="19" xfId="0" applyFont="1" applyFill="1" applyBorder="1"/>
    <xf numFmtId="0" fontId="2" fillId="0" borderId="17" xfId="0" applyFont="1" applyBorder="1"/>
    <xf numFmtId="0" fontId="0" fillId="0" borderId="19" xfId="0" applyBorder="1"/>
    <xf numFmtId="0" fontId="0" fillId="0" borderId="19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12" xfId="0" applyBorder="1"/>
    <xf numFmtId="2" fontId="0" fillId="0" borderId="12" xfId="0" applyNumberFormat="1" applyBorder="1" applyAlignment="1">
      <alignment horizontal="center"/>
    </xf>
    <xf numFmtId="2" fontId="0" fillId="0" borderId="12" xfId="0" applyNumberFormat="1" applyBorder="1"/>
    <xf numFmtId="0" fontId="0" fillId="0" borderId="12" xfId="0" applyFill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2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 wrapText="1"/>
    </xf>
    <xf numFmtId="165" fontId="0" fillId="0" borderId="0" xfId="0" applyNumberFormat="1"/>
    <xf numFmtId="165" fontId="2" fillId="0" borderId="12" xfId="0" applyNumberFormat="1" applyFont="1" applyBorder="1" applyAlignment="1">
      <alignment horizontal="center" wrapText="1"/>
    </xf>
    <xf numFmtId="165" fontId="0" fillId="0" borderId="12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" fontId="0" fillId="0" borderId="18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7" fontId="9" fillId="0" borderId="24" xfId="0" applyNumberFormat="1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4" fontId="9" fillId="0" borderId="24" xfId="0" applyNumberFormat="1" applyFont="1" applyFill="1" applyBorder="1" applyAlignment="1">
      <alignment horizontal="center" vertical="center" wrapText="1"/>
    </xf>
    <xf numFmtId="4" fontId="9" fillId="0" borderId="25" xfId="0" applyNumberFormat="1" applyFont="1" applyBorder="1" applyAlignment="1">
      <alignment horizontal="center" vertical="center" wrapText="1"/>
    </xf>
    <xf numFmtId="4" fontId="9" fillId="0" borderId="24" xfId="0" applyNumberFormat="1" applyFont="1" applyBorder="1" applyAlignment="1">
      <alignment horizontal="center" vertical="center" wrapText="1"/>
    </xf>
    <xf numFmtId="4" fontId="0" fillId="0" borderId="12" xfId="0" applyNumberFormat="1" applyFill="1" applyBorder="1" applyAlignment="1">
      <alignment horizontal="right"/>
    </xf>
    <xf numFmtId="0" fontId="0" fillId="0" borderId="12" xfId="0" applyBorder="1" applyAlignment="1">
      <alignment horizontal="center" vertical="center"/>
    </xf>
    <xf numFmtId="4" fontId="10" fillId="0" borderId="12" xfId="0" applyNumberFormat="1" applyFont="1" applyBorder="1" applyAlignment="1">
      <alignment horizontal="right" wrapText="1"/>
    </xf>
    <xf numFmtId="4" fontId="0" fillId="0" borderId="12" xfId="0" applyNumberFormat="1" applyBorder="1" applyAlignment="1">
      <alignment horizontal="right"/>
    </xf>
    <xf numFmtId="4" fontId="0" fillId="0" borderId="12" xfId="0" applyNumberFormat="1" applyBorder="1" applyAlignment="1">
      <alignment horizontal="center"/>
    </xf>
    <xf numFmtId="4" fontId="0" fillId="0" borderId="12" xfId="0" applyNumberFormat="1" applyBorder="1"/>
    <xf numFmtId="4" fontId="0" fillId="0" borderId="0" xfId="0" applyNumberFormat="1"/>
    <xf numFmtId="3" fontId="0" fillId="0" borderId="0" xfId="0" applyNumberFormat="1"/>
    <xf numFmtId="3" fontId="9" fillId="0" borderId="18" xfId="0" applyNumberFormat="1" applyFont="1" applyBorder="1" applyAlignment="1">
      <alignment horizontal="center" vertical="center" wrapText="1"/>
    </xf>
    <xf numFmtId="3" fontId="9" fillId="0" borderId="20" xfId="0" applyNumberFormat="1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4" fontId="9" fillId="0" borderId="24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4" fontId="9" fillId="0" borderId="18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4" fontId="9" fillId="0" borderId="20" xfId="0" applyNumberFormat="1" applyFont="1" applyBorder="1" applyAlignment="1">
      <alignment horizontal="center" vertical="center" wrapText="1"/>
    </xf>
    <xf numFmtId="3" fontId="0" fillId="0" borderId="20" xfId="0" applyNumberFormat="1" applyBorder="1" applyAlignment="1">
      <alignment horizontal="center" vertical="center"/>
    </xf>
    <xf numFmtId="0" fontId="0" fillId="0" borderId="18" xfId="0" applyFill="1" applyBorder="1"/>
    <xf numFmtId="4" fontId="0" fillId="0" borderId="18" xfId="0" applyNumberFormat="1" applyFill="1" applyBorder="1" applyAlignment="1">
      <alignment horizontal="right"/>
    </xf>
    <xf numFmtId="49" fontId="0" fillId="0" borderId="20" xfId="0" applyNumberFormat="1" applyFill="1" applyBorder="1" applyAlignment="1">
      <alignment horizontal="center"/>
    </xf>
    <xf numFmtId="3" fontId="0" fillId="0" borderId="18" xfId="0" applyNumberFormat="1" applyBorder="1"/>
    <xf numFmtId="0" fontId="10" fillId="0" borderId="20" xfId="0" applyFont="1" applyBorder="1" applyAlignment="1">
      <alignment horizontal="right" wrapText="1"/>
    </xf>
    <xf numFmtId="4" fontId="0" fillId="0" borderId="18" xfId="0" applyNumberFormat="1" applyBorder="1" applyAlignment="1">
      <alignment horizontal="right"/>
    </xf>
    <xf numFmtId="4" fontId="0" fillId="0" borderId="20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24" xfId="0" applyFill="1" applyBorder="1" applyAlignment="1">
      <alignment horizontal="left" vertical="top" wrapText="1"/>
    </xf>
    <xf numFmtId="4" fontId="0" fillId="0" borderId="24" xfId="0" applyNumberFormat="1" applyFill="1" applyBorder="1" applyAlignment="1">
      <alignment horizontal="right"/>
    </xf>
    <xf numFmtId="49" fontId="0" fillId="0" borderId="25" xfId="0" applyNumberFormat="1" applyFill="1" applyBorder="1" applyAlignment="1">
      <alignment horizontal="center"/>
    </xf>
    <xf numFmtId="3" fontId="0" fillId="0" borderId="24" xfId="0" applyNumberFormat="1" applyBorder="1"/>
    <xf numFmtId="0" fontId="10" fillId="0" borderId="25" xfId="0" applyFont="1" applyBorder="1"/>
    <xf numFmtId="4" fontId="0" fillId="0" borderId="23" xfId="0" applyNumberFormat="1" applyBorder="1" applyAlignment="1">
      <alignment horizontal="right"/>
    </xf>
    <xf numFmtId="4" fontId="0" fillId="0" borderId="24" xfId="0" applyNumberFormat="1" applyBorder="1" applyAlignment="1">
      <alignment horizontal="right"/>
    </xf>
    <xf numFmtId="4" fontId="0" fillId="0" borderId="25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 vertical="center"/>
    </xf>
    <xf numFmtId="4" fontId="0" fillId="0" borderId="19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center"/>
    </xf>
    <xf numFmtId="3" fontId="0" fillId="0" borderId="19" xfId="0" applyNumberFormat="1" applyBorder="1"/>
    <xf numFmtId="0" fontId="0" fillId="0" borderId="26" xfId="0" applyBorder="1"/>
    <xf numFmtId="4" fontId="0" fillId="0" borderId="19" xfId="0" applyNumberFormat="1" applyBorder="1" applyAlignment="1">
      <alignment horizontal="right"/>
    </xf>
    <xf numFmtId="4" fontId="0" fillId="0" borderId="26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4" fontId="0" fillId="0" borderId="19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0" fillId="0" borderId="27" xfId="0" applyBorder="1" applyAlignment="1">
      <alignment horizontal="center" vertical="center"/>
    </xf>
    <xf numFmtId="4" fontId="0" fillId="0" borderId="17" xfId="0" applyNumberFormat="1" applyFill="1" applyBorder="1" applyAlignment="1">
      <alignment horizontal="right"/>
    </xf>
    <xf numFmtId="3" fontId="0" fillId="0" borderId="17" xfId="0" applyNumberFormat="1" applyBorder="1"/>
    <xf numFmtId="0" fontId="0" fillId="0" borderId="28" xfId="0" applyBorder="1"/>
    <xf numFmtId="4" fontId="0" fillId="0" borderId="17" xfId="0" applyNumberFormat="1" applyBorder="1" applyAlignment="1">
      <alignment horizontal="right"/>
    </xf>
    <xf numFmtId="4" fontId="0" fillId="0" borderId="28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0" fillId="0" borderId="29" xfId="0" applyBorder="1"/>
    <xf numFmtId="4" fontId="0" fillId="0" borderId="29" xfId="0" applyNumberFormat="1" applyFill="1" applyBorder="1" applyAlignment="1">
      <alignment horizontal="right"/>
    </xf>
    <xf numFmtId="3" fontId="0" fillId="0" borderId="29" xfId="0" applyNumberFormat="1" applyBorder="1"/>
    <xf numFmtId="0" fontId="0" fillId="0" borderId="30" xfId="0" applyBorder="1"/>
    <xf numFmtId="4" fontId="0" fillId="0" borderId="29" xfId="0" applyNumberFormat="1" applyBorder="1" applyAlignment="1">
      <alignment horizontal="right"/>
    </xf>
    <xf numFmtId="0" fontId="0" fillId="0" borderId="29" xfId="0" applyBorder="1" applyAlignment="1">
      <alignment horizontal="right"/>
    </xf>
    <xf numFmtId="4" fontId="0" fillId="0" borderId="30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4" fontId="0" fillId="0" borderId="29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0" fillId="0" borderId="23" xfId="0" applyFill="1" applyBorder="1" applyAlignment="1">
      <alignment horizontal="left" vertical="top" wrapText="1"/>
    </xf>
    <xf numFmtId="4" fontId="0" fillId="0" borderId="23" xfId="0" applyNumberFormat="1" applyFill="1" applyBorder="1" applyAlignment="1">
      <alignment horizontal="right"/>
    </xf>
    <xf numFmtId="4" fontId="0" fillId="0" borderId="31" xfId="0" applyNumberFormat="1" applyFill="1" applyBorder="1" applyAlignment="1">
      <alignment horizontal="center"/>
    </xf>
    <xf numFmtId="3" fontId="0" fillId="0" borderId="23" xfId="0" applyNumberFormat="1" applyBorder="1"/>
    <xf numFmtId="0" fontId="0" fillId="0" borderId="31" xfId="0" applyBorder="1"/>
    <xf numFmtId="4" fontId="0" fillId="0" borderId="3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3" xfId="0" applyFill="1" applyBorder="1"/>
    <xf numFmtId="4" fontId="0" fillId="0" borderId="25" xfId="0" applyNumberFormat="1" applyFill="1" applyBorder="1" applyAlignment="1">
      <alignment horizontal="center"/>
    </xf>
    <xf numFmtId="0" fontId="0" fillId="0" borderId="25" xfId="0" applyBorder="1"/>
    <xf numFmtId="4" fontId="0" fillId="0" borderId="32" xfId="0" applyNumberFormat="1" applyFill="1" applyBorder="1" applyAlignment="1">
      <alignment horizontal="right"/>
    </xf>
    <xf numFmtId="0" fontId="0" fillId="0" borderId="27" xfId="0" applyFill="1" applyBorder="1" applyAlignment="1">
      <alignment horizontal="center"/>
    </xf>
    <xf numFmtId="3" fontId="0" fillId="0" borderId="32" xfId="0" applyNumberFormat="1" applyBorder="1"/>
    <xf numFmtId="0" fontId="0" fillId="0" borderId="27" xfId="0" applyBorder="1"/>
    <xf numFmtId="4" fontId="0" fillId="0" borderId="32" xfId="0" applyNumberFormat="1" applyBorder="1" applyAlignment="1">
      <alignment horizontal="right"/>
    </xf>
    <xf numFmtId="4" fontId="0" fillId="0" borderId="27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/>
    <xf numFmtId="49" fontId="0" fillId="0" borderId="27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2" xfId="0" applyBorder="1"/>
    <xf numFmtId="4" fontId="0" fillId="0" borderId="32" xfId="0" applyNumberFormat="1" applyBorder="1"/>
    <xf numFmtId="2" fontId="0" fillId="0" borderId="32" xfId="0" applyNumberFormat="1" applyBorder="1"/>
    <xf numFmtId="4" fontId="0" fillId="0" borderId="0" xfId="0" applyNumberFormat="1" applyAlignment="1">
      <alignment horizontal="right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4" fontId="10" fillId="0" borderId="0" xfId="0" applyNumberFormat="1" applyFont="1"/>
    <xf numFmtId="3" fontId="10" fillId="0" borderId="0" xfId="0" applyNumberFormat="1" applyFont="1"/>
    <xf numFmtId="4" fontId="10" fillId="0" borderId="0" xfId="0" applyNumberFormat="1" applyFont="1" applyAlignment="1">
      <alignment horizontal="right"/>
    </xf>
    <xf numFmtId="3" fontId="2" fillId="0" borderId="0" xfId="0" applyNumberFormat="1" applyFont="1"/>
    <xf numFmtId="0" fontId="8" fillId="0" borderId="0" xfId="0" applyFont="1"/>
    <xf numFmtId="4" fontId="8" fillId="0" borderId="0" xfId="0" applyNumberFormat="1" applyFont="1"/>
    <xf numFmtId="2" fontId="10" fillId="0" borderId="0" xfId="0" applyNumberFormat="1" applyFont="1"/>
    <xf numFmtId="3" fontId="8" fillId="0" borderId="0" xfId="0" applyNumberFormat="1" applyFont="1"/>
    <xf numFmtId="4" fontId="0" fillId="0" borderId="14" xfId="0" applyNumberFormat="1" applyBorder="1" applyAlignment="1">
      <alignment horizontal="center"/>
    </xf>
    <xf numFmtId="4" fontId="0" fillId="0" borderId="13" xfId="0" applyNumberFormat="1" applyBorder="1"/>
    <xf numFmtId="4" fontId="0" fillId="0" borderId="14" xfId="0" applyNumberFormat="1" applyBorder="1"/>
    <xf numFmtId="4" fontId="0" fillId="0" borderId="4" xfId="0" applyNumberFormat="1" applyBorder="1"/>
    <xf numFmtId="4" fontId="0" fillId="0" borderId="5" xfId="0" applyNumberFormat="1" applyBorder="1"/>
    <xf numFmtId="167" fontId="9" fillId="0" borderId="24" xfId="0" applyNumberFormat="1" applyFont="1" applyFill="1" applyBorder="1" applyAlignment="1">
      <alignment horizontal="center" vertical="center" wrapText="1"/>
    </xf>
    <xf numFmtId="167" fontId="0" fillId="0" borderId="12" xfId="0" applyNumberFormat="1" applyFill="1" applyBorder="1" applyAlignment="1">
      <alignment horizontal="right"/>
    </xf>
    <xf numFmtId="0" fontId="0" fillId="0" borderId="12" xfId="0" applyBorder="1" applyAlignment="1">
      <alignment horizontal="left" vertical="top" wrapText="1"/>
    </xf>
    <xf numFmtId="167" fontId="0" fillId="0" borderId="32" xfId="0" applyNumberFormat="1" applyFill="1" applyBorder="1" applyAlignment="1">
      <alignment horizontal="right"/>
    </xf>
    <xf numFmtId="167" fontId="0" fillId="0" borderId="0" xfId="0" applyNumberFormat="1" applyFill="1" applyAlignment="1">
      <alignment horizontal="right"/>
    </xf>
    <xf numFmtId="0" fontId="10" fillId="0" borderId="0" xfId="0" applyFont="1" applyFill="1"/>
    <xf numFmtId="4" fontId="2" fillId="0" borderId="0" xfId="0" applyNumberFormat="1" applyFont="1"/>
    <xf numFmtId="0" fontId="0" fillId="0" borderId="0" xfId="0" applyFill="1"/>
    <xf numFmtId="4" fontId="0" fillId="0" borderId="13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4" fontId="0" fillId="0" borderId="15" xfId="0" applyNumberFormat="1" applyBorder="1"/>
    <xf numFmtId="4" fontId="0" fillId="0" borderId="6" xfId="0" applyNumberFormat="1" applyBorder="1"/>
    <xf numFmtId="4" fontId="0" fillId="0" borderId="0" xfId="0" applyNumberFormat="1" applyFill="1"/>
    <xf numFmtId="4" fontId="0" fillId="0" borderId="16" xfId="0" applyNumberFormat="1" applyBorder="1" applyAlignment="1">
      <alignment horizontal="center"/>
    </xf>
    <xf numFmtId="4" fontId="8" fillId="0" borderId="23" xfId="0" applyNumberFormat="1" applyFont="1" applyFill="1" applyBorder="1" applyAlignment="1">
      <alignment horizontal="center" vertical="center" wrapText="1"/>
    </xf>
    <xf numFmtId="4" fontId="8" fillId="0" borderId="24" xfId="0" applyNumberFormat="1" applyFont="1" applyFill="1" applyBorder="1" applyAlignment="1">
      <alignment horizontal="center" vertical="center" wrapText="1"/>
    </xf>
    <xf numFmtId="4" fontId="8" fillId="0" borderId="32" xfId="0" applyNumberFormat="1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2" fillId="0" borderId="36" xfId="0" applyFont="1" applyFill="1" applyBorder="1"/>
    <xf numFmtId="167" fontId="9" fillId="0" borderId="23" xfId="0" applyNumberFormat="1" applyFont="1" applyBorder="1" applyAlignment="1">
      <alignment horizontal="center" vertical="center" wrapText="1"/>
    </xf>
    <xf numFmtId="167" fontId="9" fillId="0" borderId="32" xfId="0" applyNumberFormat="1" applyFont="1" applyBorder="1" applyAlignment="1">
      <alignment horizontal="center" vertical="center" wrapText="1"/>
    </xf>
    <xf numFmtId="4" fontId="0" fillId="0" borderId="38" xfId="0" applyNumberFormat="1" applyFill="1" applyBorder="1" applyAlignment="1">
      <alignment horizontal="right"/>
    </xf>
    <xf numFmtId="4" fontId="9" fillId="0" borderId="18" xfId="0" applyNumberFormat="1" applyFont="1" applyFill="1" applyBorder="1" applyAlignment="1">
      <alignment horizontal="center" vertical="center" wrapText="1"/>
    </xf>
    <xf numFmtId="4" fontId="9" fillId="0" borderId="24" xfId="0" applyNumberFormat="1" applyFont="1" applyFill="1" applyBorder="1" applyAlignment="1">
      <alignment horizontal="right" vertical="center" wrapText="1"/>
    </xf>
    <xf numFmtId="4" fontId="0" fillId="0" borderId="39" xfId="0" applyNumberFormat="1" applyFill="1" applyBorder="1" applyAlignment="1">
      <alignment horizontal="right"/>
    </xf>
    <xf numFmtId="4" fontId="0" fillId="0" borderId="40" xfId="0" applyNumberForma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41" xfId="0" applyBorder="1"/>
    <xf numFmtId="4" fontId="0" fillId="0" borderId="42" xfId="0" applyNumberFormat="1" applyBorder="1" applyAlignment="1">
      <alignment horizontal="center"/>
    </xf>
    <xf numFmtId="4" fontId="9" fillId="0" borderId="0" xfId="0" applyNumberFormat="1" applyFont="1" applyAlignment="1">
      <alignment horizontal="right"/>
    </xf>
    <xf numFmtId="0" fontId="9" fillId="0" borderId="0" xfId="0" applyNumberFormat="1" applyFont="1" applyAlignment="1">
      <alignment horizontal="right"/>
    </xf>
    <xf numFmtId="4" fontId="0" fillId="0" borderId="16" xfId="0" applyNumberFormat="1" applyBorder="1"/>
    <xf numFmtId="4" fontId="0" fillId="0" borderId="17" xfId="0" applyNumberFormat="1" applyBorder="1"/>
    <xf numFmtId="4" fontId="0" fillId="0" borderId="16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4" fontId="0" fillId="0" borderId="21" xfId="0" applyNumberFormat="1" applyBorder="1" applyAlignment="1">
      <alignment horizontal="right"/>
    </xf>
    <xf numFmtId="4" fontId="0" fillId="0" borderId="16" xfId="0" applyNumberFormat="1" applyFill="1" applyBorder="1" applyAlignment="1">
      <alignment horizontal="right"/>
    </xf>
    <xf numFmtId="4" fontId="0" fillId="0" borderId="22" xfId="0" applyNumberFormat="1" applyFill="1" applyBorder="1" applyAlignment="1">
      <alignment horizontal="right"/>
    </xf>
    <xf numFmtId="4" fontId="0" fillId="0" borderId="14" xfId="0" applyNumberFormat="1" applyFill="1" applyBorder="1" applyAlignment="1">
      <alignment horizontal="right"/>
    </xf>
    <xf numFmtId="4" fontId="0" fillId="0" borderId="21" xfId="0" applyNumberFormat="1" applyFill="1" applyBorder="1" applyAlignment="1">
      <alignment horizontal="right"/>
    </xf>
    <xf numFmtId="4" fontId="0" fillId="0" borderId="22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0" fontId="0" fillId="0" borderId="19" xfId="0" applyBorder="1" applyAlignment="1">
      <alignment horizontal="center" vertical="center"/>
    </xf>
    <xf numFmtId="4" fontId="8" fillId="0" borderId="22" xfId="0" applyNumberFormat="1" applyFont="1" applyBorder="1" applyAlignment="1">
      <alignment horizontal="right" wrapText="1"/>
    </xf>
    <xf numFmtId="4" fontId="8" fillId="0" borderId="5" xfId="0" applyNumberFormat="1" applyFont="1" applyBorder="1" applyAlignment="1">
      <alignment horizontal="right" wrapText="1"/>
    </xf>
    <xf numFmtId="4" fontId="8" fillId="0" borderId="43" xfId="0" applyNumberFormat="1" applyFont="1" applyBorder="1" applyAlignment="1">
      <alignment horizontal="right" wrapText="1"/>
    </xf>
    <xf numFmtId="4" fontId="0" fillId="0" borderId="33" xfId="0" applyNumberFormat="1" applyFill="1" applyBorder="1" applyAlignment="1">
      <alignment horizontal="right"/>
    </xf>
    <xf numFmtId="4" fontId="0" fillId="0" borderId="36" xfId="0" applyNumberFormat="1" applyFill="1" applyBorder="1" applyAlignment="1">
      <alignment horizontal="right"/>
    </xf>
    <xf numFmtId="4" fontId="0" fillId="0" borderId="37" xfId="0" applyNumberFormat="1" applyFill="1" applyBorder="1" applyAlignment="1">
      <alignment horizontal="right"/>
    </xf>
    <xf numFmtId="4" fontId="8" fillId="0" borderId="19" xfId="0" applyNumberFormat="1" applyFont="1" applyBorder="1" applyAlignment="1">
      <alignment horizontal="right" wrapText="1"/>
    </xf>
    <xf numFmtId="4" fontId="8" fillId="0" borderId="29" xfId="0" applyNumberFormat="1" applyFont="1" applyBorder="1" applyAlignment="1">
      <alignment horizontal="right" wrapText="1"/>
    </xf>
    <xf numFmtId="4" fontId="8" fillId="0" borderId="32" xfId="0" applyNumberFormat="1" applyFont="1" applyBorder="1" applyAlignment="1">
      <alignment horizontal="right" wrapText="1"/>
    </xf>
    <xf numFmtId="4" fontId="10" fillId="0" borderId="19" xfId="0" applyNumberFormat="1" applyFont="1" applyBorder="1" applyAlignment="1">
      <alignment horizontal="right" wrapText="1"/>
    </xf>
    <xf numFmtId="4" fontId="0" fillId="0" borderId="42" xfId="0" applyNumberFormat="1" applyFill="1" applyBorder="1" applyAlignment="1">
      <alignment horizontal="right"/>
    </xf>
    <xf numFmtId="4" fontId="0" fillId="0" borderId="2" xfId="0" applyNumberFormat="1" applyFill="1" applyBorder="1" applyAlignment="1">
      <alignment horizontal="right"/>
    </xf>
    <xf numFmtId="4" fontId="0" fillId="0" borderId="41" xfId="0" applyNumberFormat="1" applyFill="1" applyBorder="1" applyAlignment="1">
      <alignment horizontal="right"/>
    </xf>
    <xf numFmtId="4" fontId="0" fillId="0" borderId="44" xfId="0" applyNumberFormat="1" applyFill="1" applyBorder="1" applyAlignment="1">
      <alignment horizontal="right"/>
    </xf>
    <xf numFmtId="4" fontId="0" fillId="0" borderId="45" xfId="0" applyNumberFormat="1" applyFill="1" applyBorder="1" applyAlignment="1">
      <alignment horizontal="right"/>
    </xf>
    <xf numFmtId="4" fontId="0" fillId="0" borderId="24" xfId="0" applyNumberFormat="1" applyBorder="1"/>
    <xf numFmtId="4" fontId="0" fillId="0" borderId="18" xfId="0" applyNumberFormat="1" applyBorder="1"/>
    <xf numFmtId="4" fontId="0" fillId="0" borderId="38" xfId="0" applyNumberForma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4" fontId="0" fillId="0" borderId="40" xfId="0" applyNumberFormat="1" applyBorder="1" applyAlignment="1">
      <alignment horizontal="center"/>
    </xf>
    <xf numFmtId="4" fontId="0" fillId="0" borderId="31" xfId="0" applyNumberFormat="1" applyBorder="1"/>
    <xf numFmtId="2" fontId="0" fillId="0" borderId="28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4" fontId="0" fillId="0" borderId="45" xfId="0" applyNumberFormat="1" applyBorder="1"/>
    <xf numFmtId="2" fontId="0" fillId="0" borderId="46" xfId="0" applyNumberFormat="1" applyBorder="1" applyAlignment="1">
      <alignment horizontal="center"/>
    </xf>
    <xf numFmtId="4" fontId="0" fillId="0" borderId="47" xfId="0" applyNumberFormat="1" applyBorder="1" applyAlignment="1">
      <alignment horizontal="center"/>
    </xf>
    <xf numFmtId="1" fontId="0" fillId="0" borderId="48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65" fontId="0" fillId="0" borderId="49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4" fontId="0" fillId="0" borderId="36" xfId="0" applyNumberFormat="1" applyBorder="1" applyAlignment="1">
      <alignment horizontal="center"/>
    </xf>
    <xf numFmtId="166" fontId="9" fillId="0" borderId="36" xfId="0" applyNumberFormat="1" applyFont="1" applyBorder="1" applyAlignment="1">
      <alignment horizontal="center"/>
    </xf>
    <xf numFmtId="4" fontId="9" fillId="0" borderId="40" xfId="0" applyNumberFormat="1" applyFont="1" applyFill="1" applyBorder="1" applyAlignment="1">
      <alignment horizontal="center"/>
    </xf>
    <xf numFmtId="166" fontId="9" fillId="0" borderId="40" xfId="0" applyNumberFormat="1" applyFont="1" applyBorder="1" applyAlignment="1">
      <alignment horizontal="center"/>
    </xf>
    <xf numFmtId="166" fontId="0" fillId="0" borderId="0" xfId="0" applyNumberFormat="1"/>
    <xf numFmtId="4" fontId="0" fillId="0" borderId="50" xfId="0" applyNumberFormat="1" applyFill="1" applyBorder="1" applyAlignment="1">
      <alignment horizontal="right"/>
    </xf>
    <xf numFmtId="4" fontId="0" fillId="0" borderId="50" xfId="0" applyNumberFormat="1" applyBorder="1"/>
    <xf numFmtId="0" fontId="0" fillId="0" borderId="33" xfId="0" applyFill="1" applyBorder="1"/>
    <xf numFmtId="4" fontId="0" fillId="0" borderId="19" xfId="0" applyNumberFormat="1" applyFill="1" applyBorder="1" applyAlignment="1">
      <alignment horizontal="center"/>
    </xf>
    <xf numFmtId="0" fontId="0" fillId="0" borderId="19" xfId="0" applyFill="1" applyBorder="1"/>
    <xf numFmtId="4" fontId="0" fillId="0" borderId="43" xfId="0" applyNumberFormat="1" applyBorder="1"/>
    <xf numFmtId="0" fontId="9" fillId="0" borderId="0" xfId="0" applyFont="1" applyAlignment="1">
      <alignment horizontal="left"/>
    </xf>
    <xf numFmtId="0" fontId="9" fillId="0" borderId="18" xfId="0" applyFont="1" applyFill="1" applyBorder="1" applyAlignment="1">
      <alignment horizontal="right"/>
    </xf>
    <xf numFmtId="0" fontId="9" fillId="0" borderId="23" xfId="0" applyFont="1" applyBorder="1"/>
    <xf numFmtId="0" fontId="9" fillId="0" borderId="18" xfId="0" applyFont="1" applyBorder="1"/>
    <xf numFmtId="4" fontId="0" fillId="0" borderId="44" xfId="0" applyNumberFormat="1" applyBorder="1" applyAlignment="1">
      <alignment horizontal="center"/>
    </xf>
    <xf numFmtId="4" fontId="0" fillId="0" borderId="39" xfId="0" applyNumberFormat="1" applyBorder="1" applyAlignment="1">
      <alignment horizontal="center"/>
    </xf>
    <xf numFmtId="4" fontId="0" fillId="0" borderId="45" xfId="0" applyNumberFormat="1" applyBorder="1" applyAlignment="1">
      <alignment horizontal="center"/>
    </xf>
    <xf numFmtId="0" fontId="12" fillId="0" borderId="3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top" wrapText="1"/>
    </xf>
    <xf numFmtId="1" fontId="0" fillId="0" borderId="26" xfId="0" applyNumberFormat="1" applyBorder="1"/>
    <xf numFmtId="165" fontId="0" fillId="0" borderId="22" xfId="0" applyNumberFormat="1" applyBorder="1"/>
    <xf numFmtId="165" fontId="0" fillId="0" borderId="33" xfId="0" applyNumberFormat="1" applyBorder="1"/>
    <xf numFmtId="1" fontId="0" fillId="0" borderId="27" xfId="0" applyNumberFormat="1" applyBorder="1"/>
    <xf numFmtId="0" fontId="0" fillId="0" borderId="43" xfId="0" applyBorder="1"/>
    <xf numFmtId="1" fontId="0" fillId="0" borderId="43" xfId="0" applyNumberFormat="1" applyBorder="1"/>
    <xf numFmtId="165" fontId="0" fillId="0" borderId="35" xfId="0" applyNumberFormat="1" applyBorder="1"/>
    <xf numFmtId="0" fontId="0" fillId="0" borderId="16" xfId="0" applyFill="1" applyBorder="1"/>
    <xf numFmtId="1" fontId="0" fillId="0" borderId="16" xfId="0" applyNumberFormat="1" applyFill="1" applyBorder="1" applyAlignment="1">
      <alignment horizontal="center"/>
    </xf>
    <xf numFmtId="0" fontId="0" fillId="0" borderId="14" xfId="0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165" fontId="0" fillId="0" borderId="35" xfId="0" applyNumberFormat="1" applyBorder="1" applyAlignment="1">
      <alignment horizontal="right"/>
    </xf>
    <xf numFmtId="165" fontId="0" fillId="0" borderId="13" xfId="0" applyNumberForma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51" xfId="0" applyBorder="1"/>
    <xf numFmtId="0" fontId="0" fillId="0" borderId="52" xfId="0" applyBorder="1"/>
    <xf numFmtId="4" fontId="8" fillId="0" borderId="12" xfId="0" applyNumberFormat="1" applyFont="1" applyBorder="1" applyAlignment="1">
      <alignment horizontal="right" wrapText="1"/>
    </xf>
    <xf numFmtId="0" fontId="0" fillId="0" borderId="12" xfId="0" applyBorder="1" applyAlignment="1">
      <alignment horizontal="right"/>
    </xf>
    <xf numFmtId="0" fontId="13" fillId="0" borderId="3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justify" vertical="top" wrapText="1"/>
    </xf>
    <xf numFmtId="0" fontId="14" fillId="0" borderId="6" xfId="0" applyFont="1" applyBorder="1" applyAlignment="1">
      <alignment horizontal="center" vertical="top" wrapText="1"/>
    </xf>
    <xf numFmtId="2" fontId="12" fillId="0" borderId="6" xfId="0" applyNumberFormat="1" applyFont="1" applyBorder="1" applyAlignment="1">
      <alignment horizontal="center" vertical="top" wrapText="1"/>
    </xf>
    <xf numFmtId="0" fontId="15" fillId="0" borderId="6" xfId="0" applyFont="1" applyBorder="1" applyAlignment="1">
      <alignment horizontal="justify" vertical="top" wrapText="1"/>
    </xf>
    <xf numFmtId="0" fontId="15" fillId="0" borderId="6" xfId="0" applyFont="1" applyBorder="1" applyAlignment="1">
      <alignment vertical="top"/>
    </xf>
    <xf numFmtId="3" fontId="14" fillId="0" borderId="6" xfId="0" applyNumberFormat="1" applyFont="1" applyBorder="1" applyAlignment="1">
      <alignment horizontal="center" vertical="top" wrapText="1"/>
    </xf>
    <xf numFmtId="0" fontId="12" fillId="0" borderId="10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0" fillId="0" borderId="2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12" fillId="0" borderId="10" xfId="0" applyFont="1" applyBorder="1" applyAlignment="1">
      <alignment horizontal="justify" vertical="top" wrapText="1"/>
    </xf>
    <xf numFmtId="0" fontId="15" fillId="0" borderId="8" xfId="0" applyFont="1" applyBorder="1" applyAlignment="1">
      <alignment horizontal="justify" vertical="top" wrapText="1"/>
    </xf>
    <xf numFmtId="0" fontId="12" fillId="0" borderId="45" xfId="0" applyFont="1" applyFill="1" applyBorder="1" applyAlignment="1">
      <alignment horizontal="justify" vertical="top" wrapText="1"/>
    </xf>
    <xf numFmtId="0" fontId="0" fillId="0" borderId="40" xfId="0" applyBorder="1"/>
    <xf numFmtId="0" fontId="12" fillId="0" borderId="46" xfId="0" applyFont="1" applyFill="1" applyBorder="1" applyAlignment="1">
      <alignment horizontal="justify" vertical="top" wrapText="1"/>
    </xf>
    <xf numFmtId="0" fontId="0" fillId="0" borderId="48" xfId="0" applyBorder="1"/>
    <xf numFmtId="0" fontId="12" fillId="0" borderId="53" xfId="0" applyFont="1" applyFill="1" applyBorder="1" applyAlignment="1">
      <alignment horizontal="justify" vertical="top" wrapText="1"/>
    </xf>
    <xf numFmtId="0" fontId="0" fillId="0" borderId="54" xfId="0" applyBorder="1"/>
    <xf numFmtId="0" fontId="12" fillId="0" borderId="55" xfId="0" applyFont="1" applyFill="1" applyBorder="1" applyAlignment="1">
      <alignment horizontal="justify" vertical="top" wrapText="1"/>
    </xf>
    <xf numFmtId="2" fontId="0" fillId="0" borderId="56" xfId="0" applyNumberFormat="1" applyBorder="1"/>
    <xf numFmtId="0" fontId="12" fillId="0" borderId="57" xfId="0" applyFont="1" applyFill="1" applyBorder="1" applyAlignment="1">
      <alignment horizontal="justify" vertical="top" wrapText="1"/>
    </xf>
    <xf numFmtId="4" fontId="9" fillId="0" borderId="13" xfId="0" applyNumberFormat="1" applyFont="1" applyFill="1" applyBorder="1" applyAlignment="1">
      <alignment horizontal="center"/>
    </xf>
    <xf numFmtId="3" fontId="9" fillId="0" borderId="24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0" fontId="9" fillId="0" borderId="52" xfId="0" applyFont="1" applyBorder="1" applyAlignment="1">
      <alignment horizontal="center" vertical="center" wrapText="1"/>
    </xf>
    <xf numFmtId="0" fontId="9" fillId="0" borderId="58" xfId="0" applyFont="1" applyBorder="1" applyAlignment="1">
      <alignment horizontal="center" vertical="center" wrapText="1"/>
    </xf>
    <xf numFmtId="3" fontId="9" fillId="0" borderId="59" xfId="0" applyNumberFormat="1" applyFont="1" applyBorder="1" applyAlignment="1">
      <alignment horizontal="center" vertical="center" wrapText="1"/>
    </xf>
    <xf numFmtId="3" fontId="9" fillId="3" borderId="24" xfId="0" applyNumberFormat="1" applyFont="1" applyFill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wrapText="1"/>
    </xf>
    <xf numFmtId="168" fontId="0" fillId="0" borderId="12" xfId="0" applyNumberFormat="1" applyFill="1" applyBorder="1" applyAlignment="1">
      <alignment horizontal="center"/>
    </xf>
    <xf numFmtId="4" fontId="9" fillId="4" borderId="24" xfId="0" applyNumberFormat="1" applyFont="1" applyFill="1" applyBorder="1" applyAlignment="1">
      <alignment horizontal="center" vertical="center" wrapText="1"/>
    </xf>
    <xf numFmtId="4" fontId="0" fillId="4" borderId="12" xfId="0" applyNumberFormat="1" applyFill="1" applyBorder="1" applyAlignment="1">
      <alignment horizontal="center"/>
    </xf>
    <xf numFmtId="4" fontId="9" fillId="5" borderId="24" xfId="0" applyNumberFormat="1" applyFont="1" applyFill="1" applyBorder="1" applyAlignment="1">
      <alignment horizontal="center" vertical="center" wrapText="1"/>
    </xf>
    <xf numFmtId="4" fontId="0" fillId="5" borderId="12" xfId="0" applyNumberFormat="1" applyFill="1" applyBorder="1" applyAlignment="1">
      <alignment horizontal="center"/>
    </xf>
    <xf numFmtId="4" fontId="9" fillId="6" borderId="24" xfId="0" applyNumberFormat="1" applyFont="1" applyFill="1" applyBorder="1" applyAlignment="1">
      <alignment horizontal="center" vertical="center" wrapText="1"/>
    </xf>
    <xf numFmtId="4" fontId="0" fillId="6" borderId="12" xfId="0" applyNumberFormat="1" applyFill="1" applyBorder="1" applyAlignment="1">
      <alignment horizontal="center"/>
    </xf>
    <xf numFmtId="4" fontId="0" fillId="6" borderId="9" xfId="0" applyNumberFormat="1" applyFill="1" applyBorder="1" applyAlignment="1">
      <alignment horizontal="center"/>
    </xf>
    <xf numFmtId="4" fontId="9" fillId="0" borderId="0" xfId="0" applyNumberFormat="1" applyFon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69" fontId="0" fillId="0" borderId="47" xfId="0" applyNumberFormat="1" applyFill="1" applyBorder="1"/>
    <xf numFmtId="166" fontId="8" fillId="3" borderId="13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2" fillId="0" borderId="60" xfId="0" applyFont="1" applyFill="1" applyBorder="1" applyAlignment="1">
      <alignment horizontal="justify" vertical="top" wrapText="1"/>
    </xf>
    <xf numFmtId="2" fontId="0" fillId="3" borderId="52" xfId="0" applyNumberFormat="1" applyFill="1" applyBorder="1"/>
    <xf numFmtId="0" fontId="12" fillId="0" borderId="61" xfId="0" applyFont="1" applyFill="1" applyBorder="1" applyAlignment="1">
      <alignment horizontal="justify" vertical="top" wrapText="1"/>
    </xf>
    <xf numFmtId="2" fontId="0" fillId="3" borderId="35" xfId="0" applyNumberFormat="1" applyFill="1" applyBorder="1"/>
    <xf numFmtId="0" fontId="9" fillId="0" borderId="0" xfId="0" applyFont="1" applyBorder="1" applyAlignment="1">
      <alignment horizontal="center" vertical="center"/>
    </xf>
    <xf numFmtId="3" fontId="0" fillId="0" borderId="0" xfId="0" applyNumberFormat="1" applyBorder="1"/>
    <xf numFmtId="1" fontId="0" fillId="0" borderId="0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4" fontId="0" fillId="6" borderId="0" xfId="0" applyNumberFormat="1" applyFill="1" applyBorder="1" applyAlignment="1">
      <alignment horizontal="center"/>
    </xf>
    <xf numFmtId="4" fontId="0" fillId="4" borderId="11" xfId="0" applyNumberFormat="1" applyFill="1" applyBorder="1" applyAlignment="1">
      <alignment horizontal="center"/>
    </xf>
    <xf numFmtId="4" fontId="0" fillId="5" borderId="11" xfId="0" applyNumberFormat="1" applyFill="1" applyBorder="1" applyAlignment="1">
      <alignment horizontal="center"/>
    </xf>
    <xf numFmtId="4" fontId="0" fillId="6" borderId="10" xfId="0" applyNumberFormat="1" applyFill="1" applyBorder="1" applyAlignment="1">
      <alignment horizontal="center"/>
    </xf>
    <xf numFmtId="2" fontId="12" fillId="3" borderId="11" xfId="0" applyNumberFormat="1" applyFont="1" applyFill="1" applyBorder="1" applyAlignment="1">
      <alignment horizontal="center" vertical="top" wrapText="1"/>
    </xf>
    <xf numFmtId="4" fontId="9" fillId="0" borderId="18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168" fontId="0" fillId="0" borderId="9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4" fontId="0" fillId="0" borderId="11" xfId="0" applyNumberFormat="1" applyBorder="1" applyAlignment="1">
      <alignment horizontal="right"/>
    </xf>
    <xf numFmtId="168" fontId="0" fillId="0" borderId="11" xfId="0" applyNumberFormat="1" applyFill="1" applyBorder="1" applyAlignment="1">
      <alignment horizontal="center"/>
    </xf>
    <xf numFmtId="4" fontId="0" fillId="0" borderId="11" xfId="0" applyNumberFormat="1" applyFill="1" applyBorder="1" applyAlignment="1">
      <alignment horizontal="right"/>
    </xf>
    <xf numFmtId="1" fontId="0" fillId="0" borderId="47" xfId="0" applyNumberFormat="1" applyBorder="1" applyAlignment="1">
      <alignment horizontal="center"/>
    </xf>
    <xf numFmtId="168" fontId="0" fillId="0" borderId="47" xfId="0" applyNumberFormat="1" applyFill="1" applyBorder="1" applyAlignment="1">
      <alignment horizontal="center"/>
    </xf>
    <xf numFmtId="4" fontId="0" fillId="0" borderId="47" xfId="0" applyNumberFormat="1" applyFill="1" applyBorder="1" applyAlignment="1">
      <alignment horizontal="right"/>
    </xf>
    <xf numFmtId="4" fontId="0" fillId="0" borderId="47" xfId="0" applyNumberFormat="1" applyBorder="1" applyAlignment="1">
      <alignment horizontal="right"/>
    </xf>
    <xf numFmtId="4" fontId="0" fillId="4" borderId="47" xfId="0" applyNumberFormat="1" applyFill="1" applyBorder="1" applyAlignment="1">
      <alignment horizontal="center"/>
    </xf>
    <xf numFmtId="4" fontId="0" fillId="5" borderId="47" xfId="0" applyNumberFormat="1" applyFill="1" applyBorder="1" applyAlignment="1">
      <alignment horizontal="center"/>
    </xf>
    <xf numFmtId="4" fontId="0" fillId="6" borderId="47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4" fontId="0" fillId="0" borderId="9" xfId="0" applyNumberFormat="1" applyFill="1" applyBorder="1" applyAlignment="1">
      <alignment horizontal="right"/>
    </xf>
    <xf numFmtId="4" fontId="0" fillId="0" borderId="9" xfId="0" applyNumberFormat="1" applyBorder="1" applyAlignment="1">
      <alignment horizontal="right"/>
    </xf>
    <xf numFmtId="4" fontId="0" fillId="0" borderId="9" xfId="0" applyNumberFormat="1" applyFill="1" applyBorder="1" applyAlignment="1">
      <alignment horizontal="center"/>
    </xf>
    <xf numFmtId="4" fontId="0" fillId="4" borderId="9" xfId="0" applyNumberFormat="1" applyFill="1" applyBorder="1" applyAlignment="1">
      <alignment horizontal="center"/>
    </xf>
    <xf numFmtId="4" fontId="0" fillId="5" borderId="9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4" fontId="0" fillId="6" borderId="11" xfId="0" applyNumberFormat="1" applyFill="1" applyBorder="1" applyAlignment="1">
      <alignment horizontal="center"/>
    </xf>
    <xf numFmtId="0" fontId="0" fillId="0" borderId="38" xfId="0" applyFill="1" applyBorder="1" applyAlignment="1">
      <alignment horizontal="center" vertical="center"/>
    </xf>
    <xf numFmtId="168" fontId="0" fillId="0" borderId="38" xfId="0" applyNumberFormat="1" applyFill="1" applyBorder="1" applyAlignment="1">
      <alignment horizontal="center"/>
    </xf>
    <xf numFmtId="4" fontId="0" fillId="4" borderId="38" xfId="0" applyNumberFormat="1" applyFill="1" applyBorder="1" applyAlignment="1">
      <alignment horizontal="center"/>
    </xf>
    <xf numFmtId="4" fontId="0" fillId="5" borderId="38" xfId="0" applyNumberFormat="1" applyFill="1" applyBorder="1" applyAlignment="1">
      <alignment horizontal="center"/>
    </xf>
    <xf numFmtId="4" fontId="0" fillId="6" borderId="62" xfId="0" applyNumberFormat="1" applyFill="1" applyBorder="1" applyAlignment="1">
      <alignment horizontal="center"/>
    </xf>
    <xf numFmtId="4" fontId="0" fillId="6" borderId="58" xfId="0" applyNumberFormat="1" applyFill="1" applyBorder="1" applyAlignment="1">
      <alignment horizontal="center"/>
    </xf>
    <xf numFmtId="0" fontId="0" fillId="0" borderId="47" xfId="0" applyBorder="1"/>
    <xf numFmtId="4" fontId="0" fillId="6" borderId="48" xfId="0" applyNumberFormat="1" applyFill="1" applyBorder="1" applyAlignment="1">
      <alignment horizontal="center"/>
    </xf>
    <xf numFmtId="0" fontId="0" fillId="0" borderId="0" xfId="0" applyAlignment="1">
      <alignment wrapText="1"/>
    </xf>
    <xf numFmtId="1" fontId="0" fillId="0" borderId="1" xfId="0" applyNumberFormat="1" applyBorder="1" applyAlignment="1">
      <alignment horizontal="center"/>
    </xf>
    <xf numFmtId="168" fontId="0" fillId="0" borderId="2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11" xfId="0" applyBorder="1"/>
    <xf numFmtId="1" fontId="8" fillId="0" borderId="47" xfId="0" applyNumberFormat="1" applyFont="1" applyBorder="1" applyAlignment="1">
      <alignment horizontal="center" wrapText="1"/>
    </xf>
    <xf numFmtId="4" fontId="8" fillId="0" borderId="47" xfId="0" applyNumberFormat="1" applyFont="1" applyBorder="1" applyAlignment="1">
      <alignment horizontal="right" wrapText="1"/>
    </xf>
    <xf numFmtId="4" fontId="0" fillId="3" borderId="13" xfId="0" applyNumberFormat="1" applyFill="1" applyBorder="1" applyAlignment="1">
      <alignment horizontal="center"/>
    </xf>
    <xf numFmtId="3" fontId="9" fillId="0" borderId="10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16" fillId="0" borderId="55" xfId="0" applyNumberFormat="1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54" xfId="0" applyBorder="1" applyAlignment="1">
      <alignment horizontal="center"/>
    </xf>
    <xf numFmtId="164" fontId="0" fillId="0" borderId="6" xfId="0" applyNumberFormat="1" applyBorder="1"/>
    <xf numFmtId="164" fontId="0" fillId="0" borderId="54" xfId="0" applyNumberFormat="1" applyBorder="1"/>
    <xf numFmtId="164" fontId="0" fillId="0" borderId="45" xfId="0" applyNumberFormat="1" applyBorder="1"/>
    <xf numFmtId="164" fontId="0" fillId="0" borderId="40" xfId="0" applyNumberFormat="1" applyBorder="1"/>
    <xf numFmtId="164" fontId="0" fillId="0" borderId="46" xfId="0" applyNumberFormat="1" applyBorder="1"/>
    <xf numFmtId="164" fontId="0" fillId="0" borderId="39" xfId="0" applyNumberFormat="1" applyBorder="1"/>
    <xf numFmtId="164" fontId="0" fillId="0" borderId="48" xfId="0" applyNumberFormat="1" applyBorder="1"/>
    <xf numFmtId="0" fontId="0" fillId="0" borderId="10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64" fontId="0" fillId="0" borderId="44" xfId="0" applyNumberFormat="1" applyBorder="1"/>
    <xf numFmtId="17" fontId="0" fillId="0" borderId="52" xfId="0" applyNumberFormat="1" applyBorder="1" applyAlignment="1">
      <alignment horizontal="center"/>
    </xf>
    <xf numFmtId="17" fontId="0" fillId="0" borderId="25" xfId="0" applyNumberFormat="1" applyBorder="1" applyAlignment="1">
      <alignment horizontal="center"/>
    </xf>
    <xf numFmtId="2" fontId="8" fillId="0" borderId="64" xfId="0" applyNumberFormat="1" applyFont="1" applyBorder="1" applyAlignment="1">
      <alignment horizontal="center"/>
    </xf>
    <xf numFmtId="2" fontId="8" fillId="0" borderId="31" xfId="0" applyNumberFormat="1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0" fillId="0" borderId="64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49" xfId="0" applyBorder="1"/>
    <xf numFmtId="0" fontId="0" fillId="0" borderId="65" xfId="0" applyBorder="1"/>
    <xf numFmtId="0" fontId="8" fillId="0" borderId="16" xfId="0" applyFont="1" applyBorder="1" applyAlignment="1">
      <alignment horizontal="left" vertical="center" wrapText="1"/>
    </xf>
    <xf numFmtId="0" fontId="0" fillId="0" borderId="17" xfId="0" applyFill="1" applyBorder="1"/>
    <xf numFmtId="171" fontId="0" fillId="0" borderId="6" xfId="0" applyNumberFormat="1" applyBorder="1"/>
    <xf numFmtId="171" fontId="0" fillId="0" borderId="54" xfId="0" applyNumberFormat="1" applyBorder="1"/>
    <xf numFmtId="171" fontId="0" fillId="0" borderId="8" xfId="0" applyNumberFormat="1" applyBorder="1"/>
    <xf numFmtId="171" fontId="0" fillId="0" borderId="66" xfId="0" applyNumberFormat="1" applyBorder="1"/>
    <xf numFmtId="171" fontId="0" fillId="0" borderId="45" xfId="0" applyNumberFormat="1" applyBorder="1"/>
    <xf numFmtId="171" fontId="0" fillId="0" borderId="40" xfId="0" applyNumberFormat="1" applyBorder="1"/>
    <xf numFmtId="171" fontId="0" fillId="0" borderId="53" xfId="0" applyNumberFormat="1" applyBorder="1"/>
    <xf numFmtId="171" fontId="0" fillId="0" borderId="46" xfId="0" applyNumberFormat="1" applyBorder="1"/>
    <xf numFmtId="0" fontId="8" fillId="0" borderId="26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 wrapText="1"/>
    </xf>
    <xf numFmtId="0" fontId="0" fillId="0" borderId="45" xfId="0" applyBorder="1" applyAlignment="1">
      <alignment horizontal="left"/>
    </xf>
    <xf numFmtId="0" fontId="0" fillId="0" borderId="45" xfId="0" applyFill="1" applyBorder="1" applyAlignment="1">
      <alignment horizontal="left"/>
    </xf>
    <xf numFmtId="0" fontId="8" fillId="0" borderId="45" xfId="0" applyFont="1" applyFill="1" applyBorder="1" applyAlignment="1">
      <alignment horizontal="left"/>
    </xf>
    <xf numFmtId="0" fontId="0" fillId="0" borderId="45" xfId="0" applyFill="1" applyBorder="1" applyAlignment="1">
      <alignment horizontal="left" vertical="top" wrapText="1"/>
    </xf>
    <xf numFmtId="0" fontId="0" fillId="0" borderId="45" xfId="0" applyFill="1" applyBorder="1" applyAlignment="1">
      <alignment horizontal="left" vertical="top"/>
    </xf>
    <xf numFmtId="0" fontId="0" fillId="0" borderId="45" xfId="0" applyBorder="1" applyAlignment="1">
      <alignment horizontal="left" vertical="top" wrapText="1"/>
    </xf>
    <xf numFmtId="0" fontId="0" fillId="0" borderId="45" xfId="0" applyBorder="1" applyAlignment="1">
      <alignment horizontal="left" vertical="top"/>
    </xf>
    <xf numFmtId="0" fontId="0" fillId="0" borderId="46" xfId="0" applyBorder="1" applyAlignment="1">
      <alignment horizontal="left"/>
    </xf>
    <xf numFmtId="4" fontId="0" fillId="4" borderId="13" xfId="0" applyNumberFormat="1" applyFill="1" applyBorder="1" applyAlignment="1">
      <alignment horizontal="center"/>
    </xf>
    <xf numFmtId="4" fontId="0" fillId="6" borderId="15" xfId="0" applyNumberFormat="1" applyFill="1" applyBorder="1" applyAlignment="1">
      <alignment horizontal="center"/>
    </xf>
    <xf numFmtId="3" fontId="9" fillId="0" borderId="13" xfId="0" applyNumberFormat="1" applyFont="1" applyBorder="1" applyAlignment="1">
      <alignment horizontal="center" vertical="center" wrapText="1"/>
    </xf>
    <xf numFmtId="3" fontId="9" fillId="0" borderId="68" xfId="0" applyNumberFormat="1" applyFont="1" applyBorder="1" applyAlignment="1">
      <alignment horizontal="center" vertical="center" wrapText="1"/>
    </xf>
    <xf numFmtId="3" fontId="9" fillId="0" borderId="4" xfId="0" applyNumberFormat="1" applyFont="1" applyFill="1" applyBorder="1" applyAlignment="1">
      <alignment horizontal="center" vertical="center" wrapText="1"/>
    </xf>
    <xf numFmtId="3" fontId="9" fillId="0" borderId="4" xfId="0" applyNumberFormat="1" applyFont="1" applyBorder="1" applyAlignment="1">
      <alignment horizontal="center" vertical="center" wrapText="1"/>
    </xf>
    <xf numFmtId="3" fontId="0" fillId="0" borderId="4" xfId="0" applyNumberFormat="1" applyBorder="1"/>
    <xf numFmtId="3" fontId="0" fillId="0" borderId="13" xfId="0" applyNumberFormat="1" applyBorder="1" applyAlignment="1">
      <alignment horizontal="center" wrapText="1"/>
    </xf>
    <xf numFmtId="3" fontId="0" fillId="0" borderId="13" xfId="0" applyNumberFormat="1" applyBorder="1"/>
    <xf numFmtId="3" fontId="0" fillId="0" borderId="68" xfId="0" applyNumberFormat="1" applyBorder="1"/>
    <xf numFmtId="3" fontId="0" fillId="0" borderId="4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1" xfId="0" applyNumberFormat="1" applyBorder="1"/>
    <xf numFmtId="3" fontId="0" fillId="0" borderId="7" xfId="0" applyNumberFormat="1" applyBorder="1"/>
    <xf numFmtId="3" fontId="0" fillId="0" borderId="43" xfId="0" applyNumberFormat="1" applyBorder="1"/>
    <xf numFmtId="0" fontId="0" fillId="0" borderId="29" xfId="0" applyFill="1" applyBorder="1"/>
    <xf numFmtId="0" fontId="0" fillId="0" borderId="70" xfId="0" applyBorder="1" applyAlignment="1">
      <alignment horizontal="center" vertical="center"/>
    </xf>
    <xf numFmtId="0" fontId="0" fillId="0" borderId="16" xfId="0" applyFill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42" xfId="0" applyFill="1" applyBorder="1"/>
    <xf numFmtId="3" fontId="0" fillId="0" borderId="24" xfId="0" applyNumberFormat="1" applyFill="1" applyBorder="1"/>
    <xf numFmtId="3" fontId="0" fillId="0" borderId="0" xfId="0" applyNumberFormat="1" applyBorder="1" applyAlignment="1">
      <alignment horizontal="center"/>
    </xf>
    <xf numFmtId="3" fontId="0" fillId="0" borderId="64" xfId="0" applyNumberFormat="1" applyBorder="1"/>
    <xf numFmtId="172" fontId="1" fillId="6" borderId="18" xfId="0" applyNumberFormat="1" applyFont="1" applyFill="1" applyBorder="1" applyAlignment="1">
      <alignment horizontal="center"/>
    </xf>
    <xf numFmtId="4" fontId="9" fillId="0" borderId="12" xfId="0" applyNumberFormat="1" applyFont="1" applyFill="1" applyBorder="1" applyAlignment="1">
      <alignment horizontal="center"/>
    </xf>
    <xf numFmtId="171" fontId="0" fillId="0" borderId="9" xfId="0" applyNumberFormat="1" applyBorder="1" applyAlignment="1">
      <alignment horizontal="center" vertical="center"/>
    </xf>
    <xf numFmtId="171" fontId="0" fillId="0" borderId="10" xfId="0" applyNumberFormat="1" applyBorder="1" applyAlignment="1">
      <alignment horizontal="center" vertical="center"/>
    </xf>
    <xf numFmtId="171" fontId="0" fillId="0" borderId="63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3" fontId="0" fillId="0" borderId="0" xfId="0" applyNumberFormat="1" applyFill="1"/>
    <xf numFmtId="3" fontId="17" fillId="0" borderId="67" xfId="0" applyNumberFormat="1" applyFont="1" applyBorder="1" applyAlignment="1">
      <alignment horizontal="center"/>
    </xf>
    <xf numFmtId="3" fontId="1" fillId="6" borderId="18" xfId="0" applyNumberFormat="1" applyFont="1" applyFill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17" fillId="0" borderId="0" xfId="0" applyNumberFormat="1" applyFont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0" fontId="0" fillId="0" borderId="42" xfId="0" applyBorder="1"/>
    <xf numFmtId="3" fontId="0" fillId="0" borderId="52" xfId="0" applyNumberFormat="1" applyBorder="1"/>
    <xf numFmtId="4" fontId="0" fillId="6" borderId="39" xfId="0" applyNumberFormat="1" applyFill="1" applyBorder="1" applyAlignment="1">
      <alignment horizontal="center"/>
    </xf>
    <xf numFmtId="4" fontId="0" fillId="6" borderId="40" xfId="0" applyNumberFormat="1" applyFill="1" applyBorder="1" applyAlignment="1">
      <alignment horizontal="center"/>
    </xf>
    <xf numFmtId="3" fontId="0" fillId="0" borderId="51" xfId="0" applyNumberFormat="1" applyBorder="1"/>
    <xf numFmtId="0" fontId="0" fillId="0" borderId="24" xfId="0" applyFill="1" applyBorder="1"/>
    <xf numFmtId="4" fontId="0" fillId="4" borderId="70" xfId="0" applyNumberFormat="1" applyFill="1" applyBorder="1" applyAlignment="1">
      <alignment horizontal="center"/>
    </xf>
    <xf numFmtId="4" fontId="0" fillId="5" borderId="70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171" fontId="0" fillId="0" borderId="0" xfId="0" applyNumberFormat="1" applyBorder="1"/>
    <xf numFmtId="171" fontId="0" fillId="0" borderId="0" xfId="0" applyNumberFormat="1" applyBorder="1" applyAlignment="1">
      <alignment horizontal="center" vertical="center"/>
    </xf>
    <xf numFmtId="173" fontId="0" fillId="0" borderId="0" xfId="0" applyNumberFormat="1"/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8" xfId="0" applyBorder="1" applyAlignment="1">
      <alignment horizontal="left"/>
    </xf>
    <xf numFmtId="17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2" fontId="9" fillId="0" borderId="2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4" fontId="0" fillId="0" borderId="8" xfId="0" applyNumberFormat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35" xfId="0" applyNumberFormat="1" applyFill="1" applyBorder="1"/>
    <xf numFmtId="164" fontId="0" fillId="0" borderId="48" xfId="0" applyNumberFormat="1" applyFill="1" applyBorder="1"/>
    <xf numFmtId="164" fontId="0" fillId="0" borderId="40" xfId="0" applyNumberFormat="1" applyFill="1" applyBorder="1"/>
    <xf numFmtId="171" fontId="0" fillId="0" borderId="6" xfId="0" applyNumberFormat="1" applyFill="1" applyBorder="1"/>
    <xf numFmtId="171" fontId="0" fillId="0" borderId="10" xfId="0" applyNumberFormat="1" applyFill="1" applyBorder="1" applyAlignment="1">
      <alignment horizontal="center" vertical="center"/>
    </xf>
    <xf numFmtId="171" fontId="0" fillId="0" borderId="54" xfId="0" applyNumberFormat="1" applyFill="1" applyBorder="1"/>
    <xf numFmtId="0" fontId="0" fillId="0" borderId="49" xfId="0" applyFill="1" applyBorder="1"/>
    <xf numFmtId="2" fontId="8" fillId="0" borderId="2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76" xfId="0" applyNumberFormat="1" applyBorder="1" applyAlignment="1">
      <alignment vertical="top" wrapText="1"/>
    </xf>
    <xf numFmtId="0" fontId="0" fillId="0" borderId="75" xfId="0" applyNumberFormat="1" applyBorder="1" applyAlignment="1">
      <alignment vertical="top" wrapText="1"/>
    </xf>
    <xf numFmtId="0" fontId="0" fillId="0" borderId="73" xfId="0" applyNumberFormat="1" applyBorder="1" applyAlignment="1">
      <alignment vertical="top" wrapText="1"/>
    </xf>
    <xf numFmtId="0" fontId="0" fillId="0" borderId="79" xfId="0" applyNumberFormat="1" applyBorder="1" applyAlignment="1">
      <alignment vertical="top" wrapText="1"/>
    </xf>
    <xf numFmtId="0" fontId="0" fillId="0" borderId="78" xfId="0" applyNumberFormat="1" applyBorder="1" applyAlignment="1">
      <alignment vertical="top" wrapText="1"/>
    </xf>
    <xf numFmtId="0" fontId="9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75" xfId="0" applyNumberFormat="1" applyBorder="1" applyAlignment="1">
      <alignment horizontal="center" vertical="top" wrapText="1"/>
    </xf>
    <xf numFmtId="0" fontId="0" fillId="0" borderId="77" xfId="0" applyNumberFormat="1" applyBorder="1" applyAlignment="1">
      <alignment horizontal="center" vertical="top" wrapText="1"/>
    </xf>
    <xf numFmtId="0" fontId="4" fillId="0" borderId="0" xfId="1" quotePrefix="1" applyNumberFormat="1" applyAlignment="1" applyProtection="1">
      <alignment horizontal="center" vertical="top" wrapText="1"/>
    </xf>
    <xf numFmtId="0" fontId="0" fillId="0" borderId="74" xfId="0" applyNumberFormat="1" applyBorder="1" applyAlignment="1">
      <alignment horizontal="center" vertical="top" wrapText="1"/>
    </xf>
    <xf numFmtId="0" fontId="0" fillId="0" borderId="78" xfId="0" applyNumberFormat="1" applyBorder="1" applyAlignment="1">
      <alignment horizontal="center" vertical="top" wrapText="1"/>
    </xf>
    <xf numFmtId="0" fontId="4" fillId="0" borderId="78" xfId="1" quotePrefix="1" applyNumberFormat="1" applyBorder="1" applyAlignment="1" applyProtection="1">
      <alignment horizontal="center" vertical="top" wrapText="1"/>
    </xf>
    <xf numFmtId="0" fontId="0" fillId="0" borderId="80" xfId="0" applyNumberFormat="1" applyBorder="1" applyAlignment="1">
      <alignment horizontal="center" vertical="top" wrapText="1"/>
    </xf>
    <xf numFmtId="3" fontId="0" fillId="0" borderId="12" xfId="0" applyNumberFormat="1" applyBorder="1"/>
    <xf numFmtId="3" fontId="0" fillId="0" borderId="15" xfId="0" applyNumberFormat="1" applyBorder="1"/>
    <xf numFmtId="3" fontId="0" fillId="0" borderId="14" xfId="0" applyNumberFormat="1" applyBorder="1" applyAlignment="1">
      <alignment horizontal="center"/>
    </xf>
    <xf numFmtId="3" fontId="0" fillId="0" borderId="14" xfId="0" applyNumberFormat="1" applyBorder="1"/>
    <xf numFmtId="3" fontId="0" fillId="0" borderId="5" xfId="0" applyNumberFormat="1" applyBorder="1"/>
    <xf numFmtId="3" fontId="0" fillId="0" borderId="47" xfId="0" applyNumberFormat="1" applyBorder="1"/>
    <xf numFmtId="0" fontId="9" fillId="0" borderId="23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" fontId="0" fillId="0" borderId="12" xfId="0" applyNumberFormat="1" applyFill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4" fontId="0" fillId="0" borderId="67" xfId="0" applyNumberFormat="1" applyFill="1" applyBorder="1" applyAlignment="1">
      <alignment horizontal="right"/>
    </xf>
    <xf numFmtId="43" fontId="9" fillId="0" borderId="25" xfId="2" applyFont="1" applyBorder="1" applyAlignment="1">
      <alignment horizontal="center" vertical="center" wrapText="1"/>
    </xf>
    <xf numFmtId="43" fontId="0" fillId="0" borderId="12" xfId="2" applyFont="1" applyFill="1" applyBorder="1" applyAlignment="1">
      <alignment horizontal="center"/>
    </xf>
    <xf numFmtId="43" fontId="0" fillId="0" borderId="47" xfId="2" applyFont="1" applyFill="1" applyBorder="1" applyAlignment="1">
      <alignment horizontal="center"/>
    </xf>
    <xf numFmtId="43" fontId="0" fillId="0" borderId="11" xfId="2" applyFont="1" applyFill="1" applyBorder="1" applyAlignment="1">
      <alignment horizontal="center"/>
    </xf>
    <xf numFmtId="43" fontId="0" fillId="0" borderId="11" xfId="2" applyFont="1" applyBorder="1" applyAlignment="1">
      <alignment horizontal="center"/>
    </xf>
    <xf numFmtId="43" fontId="0" fillId="0" borderId="12" xfId="2" applyFont="1" applyBorder="1" applyAlignment="1">
      <alignment horizontal="center"/>
    </xf>
    <xf numFmtId="43" fontId="0" fillId="0" borderId="47" xfId="2" applyFont="1" applyBorder="1" applyAlignment="1">
      <alignment horizontal="center"/>
    </xf>
    <xf numFmtId="43" fontId="0" fillId="0" borderId="9" xfId="2" applyFont="1" applyFill="1" applyBorder="1" applyAlignment="1">
      <alignment horizontal="center"/>
    </xf>
    <xf numFmtId="43" fontId="0" fillId="0" borderId="38" xfId="2" applyFont="1" applyFill="1" applyBorder="1" applyAlignment="1">
      <alignment horizontal="center"/>
    </xf>
    <xf numFmtId="43" fontId="0" fillId="0" borderId="0" xfId="2" applyFont="1" applyAlignment="1">
      <alignment horizontal="center"/>
    </xf>
    <xf numFmtId="2" fontId="8" fillId="0" borderId="12" xfId="0" applyNumberFormat="1" applyFont="1" applyFill="1" applyBorder="1" applyAlignment="1">
      <alignment horizontal="center" vertical="center" wrapText="1"/>
    </xf>
    <xf numFmtId="1" fontId="0" fillId="0" borderId="9" xfId="0" applyNumberFormat="1" applyFill="1" applyBorder="1" applyAlignment="1">
      <alignment horizontal="center"/>
    </xf>
    <xf numFmtId="2" fontId="8" fillId="0" borderId="51" xfId="0" applyNumberFormat="1" applyFont="1" applyFill="1" applyBorder="1" applyAlignment="1">
      <alignment horizontal="center" vertical="center" wrapText="1"/>
    </xf>
    <xf numFmtId="1" fontId="0" fillId="0" borderId="70" xfId="0" applyNumberFormat="1" applyBorder="1" applyAlignment="1">
      <alignment horizontal="center"/>
    </xf>
    <xf numFmtId="168" fontId="0" fillId="0" borderId="70" xfId="0" applyNumberFormat="1" applyFill="1" applyBorder="1" applyAlignment="1">
      <alignment horizontal="center"/>
    </xf>
    <xf numFmtId="4" fontId="0" fillId="0" borderId="70" xfId="0" applyNumberFormat="1" applyFill="1" applyBorder="1" applyAlignment="1">
      <alignment horizontal="right"/>
    </xf>
    <xf numFmtId="43" fontId="0" fillId="0" borderId="70" xfId="2" applyFont="1" applyFill="1" applyBorder="1" applyAlignment="1">
      <alignment horizontal="center"/>
    </xf>
    <xf numFmtId="4" fontId="0" fillId="0" borderId="63" xfId="0" applyNumberFormat="1" applyFill="1" applyBorder="1" applyAlignment="1"/>
    <xf numFmtId="168" fontId="0" fillId="0" borderId="63" xfId="0" applyNumberFormat="1" applyFill="1" applyBorder="1" applyAlignment="1"/>
    <xf numFmtId="4" fontId="0" fillId="4" borderId="63" xfId="0" applyNumberFormat="1" applyFill="1" applyBorder="1" applyAlignment="1">
      <alignment horizontal="center"/>
    </xf>
    <xf numFmtId="4" fontId="0" fillId="5" borderId="63" xfId="0" applyNumberFormat="1" applyFill="1" applyBorder="1" applyAlignment="1">
      <alignment horizontal="center"/>
    </xf>
    <xf numFmtId="4" fontId="0" fillId="6" borderId="81" xfId="0" applyNumberForma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 vertical="center" wrapText="1"/>
    </xf>
    <xf numFmtId="4" fontId="0" fillId="0" borderId="9" xfId="0" applyNumberForma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4" fontId="0" fillId="0" borderId="56" xfId="0" applyNumberFormat="1" applyFill="1" applyBorder="1" applyAlignment="1"/>
    <xf numFmtId="168" fontId="0" fillId="0" borderId="56" xfId="0" applyNumberFormat="1" applyFill="1" applyBorder="1" applyAlignment="1"/>
    <xf numFmtId="4" fontId="0" fillId="4" borderId="56" xfId="0" applyNumberFormat="1" applyFill="1" applyBorder="1" applyAlignment="1">
      <alignment horizontal="center"/>
    </xf>
    <xf numFmtId="4" fontId="0" fillId="5" borderId="56" xfId="0" applyNumberFormat="1" applyFill="1" applyBorder="1" applyAlignment="1">
      <alignment horizontal="center"/>
    </xf>
    <xf numFmtId="4" fontId="0" fillId="6" borderId="57" xfId="0" applyNumberFormat="1" applyFill="1" applyBorder="1" applyAlignment="1">
      <alignment horizontal="center"/>
    </xf>
    <xf numFmtId="0" fontId="8" fillId="0" borderId="25" xfId="0" applyFont="1" applyBorder="1" applyAlignment="1">
      <alignment vertical="center"/>
    </xf>
    <xf numFmtId="0" fontId="0" fillId="0" borderId="68" xfId="0" applyFill="1" applyBorder="1"/>
    <xf numFmtId="0" fontId="0" fillId="0" borderId="38" xfId="0" applyBorder="1"/>
    <xf numFmtId="43" fontId="0" fillId="0" borderId="38" xfId="2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5" xfId="0" applyFill="1" applyBorder="1"/>
    <xf numFmtId="0" fontId="0" fillId="0" borderId="27" xfId="0" applyFill="1" applyBorder="1"/>
    <xf numFmtId="0" fontId="0" fillId="0" borderId="26" xfId="0" applyFill="1" applyBorder="1"/>
    <xf numFmtId="0" fontId="0" fillId="0" borderId="28" xfId="0" applyFill="1" applyBorder="1"/>
    <xf numFmtId="0" fontId="0" fillId="0" borderId="4" xfId="0" applyFill="1" applyBorder="1"/>
    <xf numFmtId="0" fontId="0" fillId="0" borderId="13" xfId="0" applyFill="1" applyBorder="1"/>
    <xf numFmtId="0" fontId="0" fillId="0" borderId="30" xfId="0" applyFill="1" applyBorder="1"/>
    <xf numFmtId="0" fontId="9" fillId="0" borderId="38" xfId="0" applyFont="1" applyFill="1" applyBorder="1"/>
    <xf numFmtId="0" fontId="9" fillId="0" borderId="38" xfId="0" applyFont="1" applyFill="1" applyBorder="1" applyAlignment="1">
      <alignment horizontal="center"/>
    </xf>
    <xf numFmtId="0" fontId="0" fillId="0" borderId="38" xfId="0" applyFill="1" applyBorder="1"/>
    <xf numFmtId="164" fontId="0" fillId="0" borderId="47" xfId="0" applyNumberFormat="1" applyBorder="1"/>
    <xf numFmtId="0" fontId="9" fillId="0" borderId="47" xfId="0" applyFont="1" applyBorder="1" applyAlignment="1">
      <alignment horizontal="center"/>
    </xf>
    <xf numFmtId="2" fontId="8" fillId="0" borderId="63" xfId="0" applyNumberFormat="1" applyFont="1" applyFill="1" applyBorder="1" applyAlignment="1">
      <alignment horizontal="center" vertical="center" wrapText="1"/>
    </xf>
    <xf numFmtId="0" fontId="0" fillId="0" borderId="63" xfId="0" applyFill="1" applyBorder="1"/>
    <xf numFmtId="0" fontId="0" fillId="0" borderId="63" xfId="0" applyBorder="1" applyAlignment="1">
      <alignment horizontal="center"/>
    </xf>
    <xf numFmtId="43" fontId="0" fillId="0" borderId="63" xfId="2" applyFont="1" applyBorder="1" applyAlignment="1">
      <alignment horizontal="center"/>
    </xf>
    <xf numFmtId="2" fontId="8" fillId="0" borderId="56" xfId="0" applyNumberFormat="1" applyFont="1" applyFill="1" applyBorder="1" applyAlignment="1">
      <alignment horizontal="center" vertical="center" wrapText="1"/>
    </xf>
    <xf numFmtId="0" fontId="0" fillId="0" borderId="56" xfId="0" applyBorder="1"/>
    <xf numFmtId="0" fontId="0" fillId="0" borderId="56" xfId="0" applyBorder="1" applyAlignment="1">
      <alignment horizontal="center"/>
    </xf>
    <xf numFmtId="43" fontId="0" fillId="0" borderId="56" xfId="2" applyFont="1" applyBorder="1" applyAlignment="1">
      <alignment horizontal="center"/>
    </xf>
    <xf numFmtId="3" fontId="0" fillId="0" borderId="0" xfId="0" applyNumberFormat="1" applyFill="1" applyAlignment="1">
      <alignment horizontal="center"/>
    </xf>
    <xf numFmtId="4" fontId="8" fillId="0" borderId="12" xfId="0" applyNumberFormat="1" applyFont="1" applyFill="1" applyBorder="1" applyAlignment="1">
      <alignment horizontal="center"/>
    </xf>
    <xf numFmtId="4" fontId="8" fillId="0" borderId="12" xfId="0" applyNumberFormat="1" applyFont="1" applyBorder="1" applyAlignment="1">
      <alignment horizontal="center"/>
    </xf>
    <xf numFmtId="4" fontId="8" fillId="0" borderId="47" xfId="0" applyNumberFormat="1" applyFont="1" applyBorder="1" applyAlignment="1">
      <alignment horizontal="center"/>
    </xf>
    <xf numFmtId="3" fontId="8" fillId="0" borderId="12" xfId="0" applyNumberFormat="1" applyFont="1" applyFill="1" applyBorder="1" applyAlignment="1">
      <alignment horizontal="center" vertical="center" wrapText="1"/>
    </xf>
    <xf numFmtId="3" fontId="8" fillId="0" borderId="12" xfId="0" applyNumberFormat="1" applyFont="1" applyFill="1" applyBorder="1" applyAlignment="1">
      <alignment horizontal="center"/>
    </xf>
    <xf numFmtId="3" fontId="8" fillId="0" borderId="12" xfId="0" applyNumberFormat="1" applyFont="1" applyBorder="1" applyAlignment="1">
      <alignment horizontal="center"/>
    </xf>
    <xf numFmtId="3" fontId="8" fillId="0" borderId="9" xfId="0" applyNumberFormat="1" applyFont="1" applyBorder="1" applyAlignment="1">
      <alignment horizontal="center"/>
    </xf>
    <xf numFmtId="3" fontId="8" fillId="0" borderId="56" xfId="0" applyNumberFormat="1" applyFont="1" applyBorder="1" applyAlignment="1">
      <alignment horizontal="center"/>
    </xf>
    <xf numFmtId="3" fontId="8" fillId="0" borderId="63" xfId="0" applyNumberFormat="1" applyFont="1" applyBorder="1" applyAlignment="1">
      <alignment horizontal="center"/>
    </xf>
    <xf numFmtId="3" fontId="8" fillId="0" borderId="38" xfId="0" applyNumberFormat="1" applyFont="1" applyBorder="1" applyAlignment="1">
      <alignment horizontal="center"/>
    </xf>
    <xf numFmtId="3" fontId="8" fillId="0" borderId="47" xfId="0" applyNumberFormat="1" applyFont="1" applyBorder="1" applyAlignment="1">
      <alignment horizontal="center"/>
    </xf>
    <xf numFmtId="1" fontId="8" fillId="0" borderId="15" xfId="0" applyNumberFormat="1" applyFont="1" applyFill="1" applyBorder="1" applyAlignment="1">
      <alignment horizontal="center" vertical="center" wrapText="1"/>
    </xf>
    <xf numFmtId="1" fontId="8" fillId="0" borderId="69" xfId="0" applyNumberFormat="1" applyFont="1" applyFill="1" applyBorder="1" applyAlignment="1">
      <alignment horizontal="center" vertical="center" wrapText="1"/>
    </xf>
    <xf numFmtId="1" fontId="8" fillId="0" borderId="6" xfId="0" applyNumberFormat="1" applyFont="1" applyFill="1" applyBorder="1" applyAlignment="1">
      <alignment horizontal="center"/>
    </xf>
    <xf numFmtId="1" fontId="8" fillId="0" borderId="15" xfId="0" applyNumberFormat="1" applyFont="1" applyBorder="1" applyAlignment="1">
      <alignment horizontal="center"/>
    </xf>
    <xf numFmtId="1" fontId="8" fillId="0" borderId="69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1" fontId="8" fillId="0" borderId="15" xfId="0" applyNumberFormat="1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center"/>
    </xf>
    <xf numFmtId="1" fontId="8" fillId="0" borderId="69" xfId="0" applyNumberFormat="1" applyFont="1" applyFill="1" applyBorder="1" applyAlignment="1">
      <alignment horizontal="center"/>
    </xf>
    <xf numFmtId="1" fontId="8" fillId="0" borderId="8" xfId="0" applyNumberFormat="1" applyFont="1" applyFill="1" applyBorder="1" applyAlignment="1">
      <alignment horizontal="center"/>
    </xf>
    <xf numFmtId="1" fontId="8" fillId="0" borderId="44" xfId="0" applyNumberFormat="1" applyFont="1" applyFill="1" applyBorder="1" applyAlignment="1">
      <alignment horizontal="center"/>
    </xf>
    <xf numFmtId="1" fontId="8" fillId="0" borderId="30" xfId="0" applyNumberFormat="1" applyFont="1" applyFill="1" applyBorder="1" applyAlignment="1">
      <alignment horizontal="center"/>
    </xf>
    <xf numFmtId="1" fontId="8" fillId="0" borderId="49" xfId="0" applyNumberFormat="1" applyFont="1" applyFill="1" applyBorder="1" applyAlignment="1">
      <alignment horizontal="center"/>
    </xf>
    <xf numFmtId="1" fontId="8" fillId="0" borderId="49" xfId="0" applyNumberFormat="1" applyFont="1" applyBorder="1" applyAlignment="1">
      <alignment horizontal="center"/>
    </xf>
    <xf numFmtId="1" fontId="8" fillId="0" borderId="31" xfId="0" applyNumberFormat="1" applyFont="1" applyBorder="1" applyAlignment="1">
      <alignment horizontal="center"/>
    </xf>
    <xf numFmtId="1" fontId="8" fillId="0" borderId="65" xfId="0" applyNumberFormat="1" applyFont="1" applyFill="1" applyBorder="1" applyAlignment="1">
      <alignment horizontal="center"/>
    </xf>
    <xf numFmtId="1" fontId="8" fillId="0" borderId="55" xfId="0" applyNumberFormat="1" applyFont="1" applyFill="1" applyBorder="1" applyAlignment="1">
      <alignment horizontal="center"/>
    </xf>
    <xf numFmtId="1" fontId="8" fillId="0" borderId="61" xfId="0" applyNumberFormat="1" applyFont="1" applyFill="1" applyBorder="1" applyAlignment="1">
      <alignment horizontal="center"/>
    </xf>
    <xf numFmtId="1" fontId="8" fillId="0" borderId="44" xfId="0" applyNumberFormat="1" applyFont="1" applyBorder="1" applyAlignment="1">
      <alignment horizontal="center"/>
    </xf>
    <xf numFmtId="1" fontId="8" fillId="0" borderId="46" xfId="0" applyNumberFormat="1" applyFont="1" applyFill="1" applyBorder="1" applyAlignment="1">
      <alignment horizontal="center"/>
    </xf>
    <xf numFmtId="1" fontId="8" fillId="0" borderId="46" xfId="0" applyNumberFormat="1" applyFont="1" applyBorder="1" applyAlignment="1">
      <alignment horizontal="center"/>
    </xf>
    <xf numFmtId="174" fontId="0" fillId="0" borderId="0" xfId="0" applyNumberFormat="1"/>
    <xf numFmtId="0" fontId="9" fillId="0" borderId="1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 wrapText="1"/>
    </xf>
    <xf numFmtId="4" fontId="8" fillId="0" borderId="47" xfId="0" applyNumberFormat="1" applyFont="1" applyBorder="1" applyAlignment="1">
      <alignment horizontal="center" wrapText="1"/>
    </xf>
    <xf numFmtId="4" fontId="0" fillId="0" borderId="11" xfId="0" applyNumberFormat="1" applyFill="1" applyBorder="1" applyAlignment="1">
      <alignment horizontal="center"/>
    </xf>
    <xf numFmtId="4" fontId="8" fillId="0" borderId="11" xfId="0" applyNumberFormat="1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" fontId="0" fillId="0" borderId="70" xfId="0" applyNumberFormat="1" applyFill="1" applyBorder="1" applyAlignment="1">
      <alignment horizontal="center"/>
    </xf>
    <xf numFmtId="4" fontId="0" fillId="0" borderId="56" xfId="0" applyNumberFormat="1" applyFill="1" applyBorder="1" applyAlignment="1">
      <alignment horizontal="center"/>
    </xf>
    <xf numFmtId="4" fontId="0" fillId="0" borderId="63" xfId="0" applyNumberFormat="1" applyFill="1" applyBorder="1" applyAlignment="1">
      <alignment horizontal="center"/>
    </xf>
    <xf numFmtId="4" fontId="0" fillId="0" borderId="38" xfId="0" applyNumberFormat="1" applyFill="1" applyBorder="1" applyAlignment="1">
      <alignment horizontal="center"/>
    </xf>
    <xf numFmtId="4" fontId="0" fillId="0" borderId="47" xfId="0" applyNumberFormat="1" applyFill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70" xfId="0" applyNumberFormat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69" xfId="0" applyBorder="1"/>
    <xf numFmtId="0" fontId="0" fillId="0" borderId="6" xfId="0" applyFill="1" applyBorder="1"/>
    <xf numFmtId="0" fontId="0" fillId="0" borderId="6" xfId="0" applyBorder="1" applyAlignment="1">
      <alignment horizontal="center" vertical="center"/>
    </xf>
    <xf numFmtId="49" fontId="0" fillId="0" borderId="6" xfId="0" applyNumberFormat="1" applyFill="1" applyBorder="1" applyAlignment="1">
      <alignment horizontal="center"/>
    </xf>
    <xf numFmtId="49" fontId="0" fillId="0" borderId="15" xfId="0" applyNumberFormat="1" applyFill="1" applyBorder="1" applyAlignment="1">
      <alignment horizontal="center"/>
    </xf>
    <xf numFmtId="4" fontId="0" fillId="0" borderId="15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71" xfId="0" applyNumberFormat="1" applyFill="1" applyBorder="1" applyAlignment="1">
      <alignment horizontal="center"/>
    </xf>
    <xf numFmtId="0" fontId="0" fillId="0" borderId="82" xfId="0" applyBorder="1" applyAlignment="1">
      <alignment horizontal="center" vertical="center"/>
    </xf>
    <xf numFmtId="3" fontId="8" fillId="0" borderId="11" xfId="0" applyNumberFormat="1" applyFont="1" applyFill="1" applyBorder="1" applyAlignment="1">
      <alignment horizontal="center" vertical="center" wrapText="1"/>
    </xf>
    <xf numFmtId="3" fontId="8" fillId="0" borderId="9" xfId="0" applyNumberFormat="1" applyFont="1" applyFill="1" applyBorder="1" applyAlignment="1">
      <alignment horizontal="center" vertical="center" wrapText="1"/>
    </xf>
    <xf numFmtId="3" fontId="8" fillId="0" borderId="38" xfId="0" applyNumberFormat="1" applyFont="1" applyFill="1" applyBorder="1" applyAlignment="1">
      <alignment horizontal="center" vertical="center" wrapText="1"/>
    </xf>
    <xf numFmtId="2" fontId="8" fillId="0" borderId="70" xfId="0" applyNumberFormat="1" applyFont="1" applyFill="1" applyBorder="1" applyAlignment="1">
      <alignment horizontal="center" vertical="center" wrapText="1"/>
    </xf>
    <xf numFmtId="2" fontId="8" fillId="0" borderId="47" xfId="0" applyNumberFormat="1" applyFont="1" applyFill="1" applyBorder="1" applyAlignment="1">
      <alignment horizontal="center" vertical="center" wrapText="1"/>
    </xf>
    <xf numFmtId="2" fontId="8" fillId="0" borderId="10" xfId="0" applyNumberFormat="1" applyFont="1" applyFill="1" applyBorder="1" applyAlignment="1">
      <alignment horizontal="center" vertical="center" wrapText="1"/>
    </xf>
    <xf numFmtId="1" fontId="8" fillId="0" borderId="28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43" fontId="0" fillId="0" borderId="83" xfId="2" applyFont="1" applyBorder="1" applyAlignment="1">
      <alignment horizontal="center"/>
    </xf>
    <xf numFmtId="43" fontId="0" fillId="0" borderId="13" xfId="2" applyFont="1" applyBorder="1" applyAlignment="1">
      <alignment horizontal="center"/>
    </xf>
    <xf numFmtId="43" fontId="0" fillId="0" borderId="68" xfId="2" applyFont="1" applyBorder="1" applyAlignment="1">
      <alignment horizontal="center"/>
    </xf>
    <xf numFmtId="43" fontId="0" fillId="0" borderId="4" xfId="2" applyFont="1" applyBorder="1" applyAlignment="1">
      <alignment horizontal="center"/>
    </xf>
    <xf numFmtId="4" fontId="0" fillId="6" borderId="54" xfId="0" applyNumberFormat="1" applyFill="1" applyBorder="1" applyAlignment="1">
      <alignment horizontal="center"/>
    </xf>
    <xf numFmtId="1" fontId="8" fillId="0" borderId="26" xfId="0" applyNumberFormat="1" applyFont="1" applyBorder="1" applyAlignment="1">
      <alignment horizontal="center"/>
    </xf>
    <xf numFmtId="2" fontId="8" fillId="0" borderId="83" xfId="0" applyNumberFormat="1" applyFont="1" applyFill="1" applyBorder="1" applyAlignment="1">
      <alignment horizontal="center" vertical="center" wrapText="1"/>
    </xf>
    <xf numFmtId="2" fontId="8" fillId="0" borderId="68" xfId="0" applyNumberFormat="1" applyFont="1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6" fontId="0" fillId="0" borderId="0" xfId="0" applyNumberFormat="1"/>
    <xf numFmtId="49" fontId="8" fillId="0" borderId="0" xfId="0" applyNumberFormat="1" applyFont="1"/>
    <xf numFmtId="3" fontId="12" fillId="0" borderId="0" xfId="0" applyNumberFormat="1" applyFont="1"/>
    <xf numFmtId="0" fontId="12" fillId="0" borderId="0" xfId="0" applyFont="1" applyAlignment="1">
      <alignment horizontal="justify" vertical="center"/>
    </xf>
    <xf numFmtId="175" fontId="8" fillId="0" borderId="0" xfId="0" applyNumberFormat="1" applyFont="1"/>
    <xf numFmtId="0" fontId="1" fillId="0" borderId="0" xfId="0" applyFont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4" fontId="0" fillId="0" borderId="26" xfId="0" applyNumberFormat="1" applyFill="1" applyBorder="1" applyAlignment="1">
      <alignment horizontal="center"/>
    </xf>
    <xf numFmtId="4" fontId="0" fillId="0" borderId="28" xfId="0" applyNumberFormat="1" applyFill="1" applyBorder="1" applyAlignment="1">
      <alignment horizontal="center"/>
    </xf>
    <xf numFmtId="3" fontId="0" fillId="0" borderId="25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" fontId="0" fillId="0" borderId="30" xfId="0" applyNumberFormat="1" applyFill="1" applyBorder="1" applyAlignment="1">
      <alignment horizont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24" xfId="0" applyFill="1" applyBorder="1" applyAlignment="1">
      <alignment horizontal="left" vertical="top" wrapText="1"/>
    </xf>
    <xf numFmtId="0" fontId="0" fillId="0" borderId="32" xfId="0" applyFill="1" applyBorder="1" applyAlignment="1">
      <alignment horizontal="left" vertical="top" wrapText="1"/>
    </xf>
    <xf numFmtId="0" fontId="0" fillId="0" borderId="23" xfId="0" applyFill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Border="1" applyAlignment="1">
      <alignment horizontal="center" vertical="center"/>
    </xf>
    <xf numFmtId="0" fontId="9" fillId="0" borderId="24" xfId="0" applyNumberFormat="1" applyFont="1" applyBorder="1" applyAlignment="1">
      <alignment horizontal="center" vertical="center" wrapText="1"/>
    </xf>
    <xf numFmtId="0" fontId="9" fillId="0" borderId="23" xfId="0" applyNumberFormat="1" applyFont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43" xfId="0" applyNumberFormat="1" applyFont="1" applyBorder="1" applyAlignment="1">
      <alignment horizontal="center"/>
    </xf>
    <xf numFmtId="3" fontId="0" fillId="0" borderId="13" xfId="0" applyNumberFormat="1" applyBorder="1" applyAlignment="1">
      <alignment horizont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4" fontId="0" fillId="0" borderId="15" xfId="0" applyNumberFormat="1" applyFill="1" applyBorder="1" applyAlignment="1">
      <alignment horizontal="center"/>
    </xf>
    <xf numFmtId="3" fontId="0" fillId="0" borderId="13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50" xfId="0" applyBorder="1" applyAlignment="1">
      <alignment horizontal="center"/>
    </xf>
    <xf numFmtId="0" fontId="12" fillId="0" borderId="9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justify" vertical="top" wrapText="1"/>
    </xf>
    <xf numFmtId="0" fontId="13" fillId="0" borderId="72" xfId="0" applyFont="1" applyBorder="1" applyAlignment="1">
      <alignment horizontal="justify" vertical="top" wrapText="1"/>
    </xf>
    <xf numFmtId="0" fontId="12" fillId="0" borderId="10" xfId="0" applyFont="1" applyBorder="1" applyAlignment="1">
      <alignment horizontal="center" vertical="top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Costo de revestimiento</a:t>
            </a:r>
          </a:p>
        </c:rich>
      </c:tx>
      <c:layout>
        <c:manualLayout>
          <c:xMode val="edge"/>
          <c:yMode val="edge"/>
          <c:x val="0.33768127890104127"/>
          <c:y val="3.2906771511773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56527738807653"/>
          <c:y val="0.15173677974873148"/>
          <c:w val="0.75072490330789432"/>
          <c:h val="0.64351019845245161"/>
        </c:manualLayout>
      </c:layout>
      <c:scatterChart>
        <c:scatterStyle val="lineMarker"/>
        <c:varyColors val="0"/>
        <c:ser>
          <c:idx val="0"/>
          <c:order val="0"/>
          <c:tx>
            <c:v>Canales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1"/>
            <c:dispEq val="1"/>
            <c:trendlineLbl>
              <c:layout>
                <c:manualLayout>
                  <c:xMode val="edge"/>
                  <c:yMode val="edge"/>
                  <c:x val="0.52173931504023552"/>
                  <c:y val="0.2468007863382982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</c:trendlineLbl>
          </c:trendline>
          <c:xVal>
            <c:numRef>
              <c:f>'1998'!$D$7:$D$23</c:f>
              <c:numCache>
                <c:formatCode>General</c:formatCode>
                <c:ptCount val="17"/>
                <c:pt idx="0">
                  <c:v>0.61</c:v>
                </c:pt>
                <c:pt idx="1">
                  <c:v>0.75</c:v>
                </c:pt>
                <c:pt idx="2">
                  <c:v>0.86</c:v>
                </c:pt>
                <c:pt idx="3">
                  <c:v>0.91</c:v>
                </c:pt>
                <c:pt idx="4">
                  <c:v>1</c:v>
                </c:pt>
                <c:pt idx="5">
                  <c:v>1.9</c:v>
                </c:pt>
                <c:pt idx="6">
                  <c:v>1.93</c:v>
                </c:pt>
                <c:pt idx="7">
                  <c:v>2.2000000000000002</c:v>
                </c:pt>
                <c:pt idx="8">
                  <c:v>2.5</c:v>
                </c:pt>
                <c:pt idx="9">
                  <c:v>2.7</c:v>
                </c:pt>
                <c:pt idx="10">
                  <c:v>2.9</c:v>
                </c:pt>
                <c:pt idx="11">
                  <c:v>3</c:v>
                </c:pt>
                <c:pt idx="12">
                  <c:v>3.19</c:v>
                </c:pt>
                <c:pt idx="13">
                  <c:v>4.0999999999999996</c:v>
                </c:pt>
                <c:pt idx="14">
                  <c:v>4.4000000000000004</c:v>
                </c:pt>
                <c:pt idx="15">
                  <c:v>5.5</c:v>
                </c:pt>
                <c:pt idx="16">
                  <c:v>10.77</c:v>
                </c:pt>
              </c:numCache>
            </c:numRef>
          </c:xVal>
          <c:yVal>
            <c:numRef>
              <c:f>'1998'!$E$7:$E$23</c:f>
              <c:numCache>
                <c:formatCode>General</c:formatCode>
                <c:ptCount val="17"/>
                <c:pt idx="0">
                  <c:v>147.53</c:v>
                </c:pt>
                <c:pt idx="1">
                  <c:v>119.34</c:v>
                </c:pt>
                <c:pt idx="2">
                  <c:v>150.26</c:v>
                </c:pt>
                <c:pt idx="3">
                  <c:v>231.85</c:v>
                </c:pt>
                <c:pt idx="4">
                  <c:v>168.29</c:v>
                </c:pt>
                <c:pt idx="5">
                  <c:v>107.8</c:v>
                </c:pt>
                <c:pt idx="6">
                  <c:v>144.5</c:v>
                </c:pt>
                <c:pt idx="7">
                  <c:v>71.099999999999994</c:v>
                </c:pt>
                <c:pt idx="8">
                  <c:v>107.6</c:v>
                </c:pt>
                <c:pt idx="9">
                  <c:v>93.42</c:v>
                </c:pt>
                <c:pt idx="10">
                  <c:v>104.01</c:v>
                </c:pt>
                <c:pt idx="11">
                  <c:v>52.66</c:v>
                </c:pt>
                <c:pt idx="12">
                  <c:v>79.900000000000006</c:v>
                </c:pt>
                <c:pt idx="13">
                  <c:v>79.349999999999994</c:v>
                </c:pt>
                <c:pt idx="14">
                  <c:v>55.5</c:v>
                </c:pt>
                <c:pt idx="15">
                  <c:v>41.35</c:v>
                </c:pt>
                <c:pt idx="16">
                  <c:v>42.48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9232"/>
        <c:axId val="83361152"/>
      </c:scatterChart>
      <c:valAx>
        <c:axId val="8335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capacidad m3/s</a:t>
                </a:r>
              </a:p>
            </c:rich>
          </c:tx>
          <c:layout>
            <c:manualLayout>
              <c:xMode val="edge"/>
              <c:yMode val="edge"/>
              <c:x val="0.43478276253352954"/>
              <c:y val="0.8775139069806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83361152"/>
        <c:crosses val="autoZero"/>
        <c:crossBetween val="midCat"/>
      </c:valAx>
      <c:valAx>
        <c:axId val="8336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$/m3/m</a:t>
                </a:r>
              </a:p>
            </c:rich>
          </c:tx>
          <c:layout>
            <c:manualLayout>
              <c:xMode val="edge"/>
              <c:yMode val="edge"/>
              <c:x val="4.347827625335296E-2"/>
              <c:y val="0.40585018197853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83359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69275386830342367"/>
          <c:y val="0.89396729273650233"/>
          <c:w val="0.28550734739701772"/>
          <c:h val="8.40950827523090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Costo de revestimiento</a:t>
            </a:r>
          </a:p>
        </c:rich>
      </c:tx>
      <c:layout>
        <c:manualLayout>
          <c:xMode val="edge"/>
          <c:yMode val="edge"/>
          <c:x val="0.33861731030433551"/>
          <c:y val="3.2786921696810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0607949922237"/>
          <c:y val="0.14936264328546944"/>
          <c:w val="0.76513102881532835"/>
          <c:h val="0.65938142523585275"/>
        </c:manualLayout>
      </c:layout>
      <c:scatterChart>
        <c:scatterStyle val="lineMarker"/>
        <c:varyColors val="0"/>
        <c:ser>
          <c:idx val="0"/>
          <c:order val="0"/>
          <c:tx>
            <c:v>Canales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1"/>
            <c:dispEq val="1"/>
            <c:trendlineLbl>
              <c:layout>
                <c:manualLayout>
                  <c:xMode val="edge"/>
                  <c:yMode val="edge"/>
                  <c:x val="0.628243179968895"/>
                  <c:y val="0.3205832343688124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</c:trendlineLbl>
          </c:trendline>
          <c:xVal>
            <c:numRef>
              <c:f>'1997'!$D$7:$D$17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1.41</c:v>
                </c:pt>
                <c:pt idx="2">
                  <c:v>0.97</c:v>
                </c:pt>
                <c:pt idx="3">
                  <c:v>1.9</c:v>
                </c:pt>
                <c:pt idx="4">
                  <c:v>10.7</c:v>
                </c:pt>
                <c:pt idx="5">
                  <c:v>6.1</c:v>
                </c:pt>
                <c:pt idx="6">
                  <c:v>3.7</c:v>
                </c:pt>
                <c:pt idx="7">
                  <c:v>4.7</c:v>
                </c:pt>
                <c:pt idx="8">
                  <c:v>2</c:v>
                </c:pt>
                <c:pt idx="9">
                  <c:v>4.4000000000000004</c:v>
                </c:pt>
                <c:pt idx="10">
                  <c:v>2.46</c:v>
                </c:pt>
              </c:numCache>
            </c:numRef>
          </c:xVal>
          <c:yVal>
            <c:numRef>
              <c:f>'1997'!$E$7:$E$17</c:f>
              <c:numCache>
                <c:formatCode>General</c:formatCode>
                <c:ptCount val="11"/>
                <c:pt idx="0">
                  <c:v>149</c:v>
                </c:pt>
                <c:pt idx="1">
                  <c:v>117</c:v>
                </c:pt>
                <c:pt idx="2">
                  <c:v>125</c:v>
                </c:pt>
                <c:pt idx="3">
                  <c:v>21</c:v>
                </c:pt>
                <c:pt idx="4">
                  <c:v>29.3</c:v>
                </c:pt>
                <c:pt idx="5">
                  <c:v>24.48</c:v>
                </c:pt>
                <c:pt idx="6">
                  <c:v>95.2</c:v>
                </c:pt>
                <c:pt idx="7">
                  <c:v>80.39</c:v>
                </c:pt>
                <c:pt idx="8">
                  <c:v>148.5</c:v>
                </c:pt>
                <c:pt idx="9">
                  <c:v>50.88</c:v>
                </c:pt>
                <c:pt idx="10">
                  <c:v>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8192"/>
        <c:axId val="83450112"/>
      </c:scatterChart>
      <c:valAx>
        <c:axId val="8344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capacidad m3/s</a:t>
                </a:r>
              </a:p>
            </c:rich>
          </c:tx>
          <c:layout>
            <c:manualLayout>
              <c:xMode val="edge"/>
              <c:yMode val="edge"/>
              <c:x val="0.43804111630858727"/>
              <c:y val="0.887068381463702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83450112"/>
        <c:crosses val="autoZero"/>
        <c:crossBetween val="midCat"/>
      </c:valAx>
      <c:valAx>
        <c:axId val="8345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$/m3/m</a:t>
                </a:r>
              </a:p>
            </c:rich>
          </c:tx>
          <c:layout>
            <c:manualLayout>
              <c:xMode val="edge"/>
              <c:yMode val="edge"/>
              <c:x val="4.3227741740979007E-2"/>
              <c:y val="0.41530100815959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83448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69020294313096475"/>
          <c:y val="0.89617585971281655"/>
          <c:w val="0.28386217076576215"/>
          <c:h val="8.37887998918487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Costo de revestimiento</a:t>
            </a:r>
          </a:p>
        </c:rich>
      </c:tx>
      <c:layout>
        <c:manualLayout>
          <c:xMode val="edge"/>
          <c:yMode val="edge"/>
          <c:x val="0.33861731030433551"/>
          <c:y val="3.2786921696810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0607949922237"/>
          <c:y val="0.14936264328546944"/>
          <c:w val="0.77233565243882496"/>
          <c:h val="0.65938142523585275"/>
        </c:manualLayout>
      </c:layout>
      <c:scatterChart>
        <c:scatterStyle val="lineMarker"/>
        <c:varyColors val="0"/>
        <c:ser>
          <c:idx val="0"/>
          <c:order val="0"/>
          <c:tx>
            <c:v>Canales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1"/>
            <c:dispEq val="1"/>
            <c:trendlineLbl>
              <c:layout>
                <c:manualLayout>
                  <c:xMode val="edge"/>
                  <c:yMode val="edge"/>
                  <c:x val="0.65706167446288088"/>
                  <c:y val="8.743179119149430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</c:trendlineLbl>
          </c:trendline>
          <c:xVal>
            <c:numRef>
              <c:f>'1999'!$D$7:$D$17</c:f>
              <c:numCache>
                <c:formatCode>General</c:formatCode>
                <c:ptCount val="11"/>
                <c:pt idx="0">
                  <c:v>2.93</c:v>
                </c:pt>
                <c:pt idx="1">
                  <c:v>5</c:v>
                </c:pt>
                <c:pt idx="2">
                  <c:v>3.85</c:v>
                </c:pt>
                <c:pt idx="3">
                  <c:v>3.7</c:v>
                </c:pt>
                <c:pt idx="4">
                  <c:v>1.1499999999999999</c:v>
                </c:pt>
                <c:pt idx="5">
                  <c:v>2.7</c:v>
                </c:pt>
                <c:pt idx="6">
                  <c:v>4.2</c:v>
                </c:pt>
                <c:pt idx="7">
                  <c:v>3.2</c:v>
                </c:pt>
                <c:pt idx="8">
                  <c:v>1.1000000000000001</c:v>
                </c:pt>
                <c:pt idx="9">
                  <c:v>2.93</c:v>
                </c:pt>
                <c:pt idx="10">
                  <c:v>2.5</c:v>
                </c:pt>
              </c:numCache>
            </c:numRef>
          </c:xVal>
          <c:yVal>
            <c:numRef>
              <c:f>'1999'!$E$7:$E$17</c:f>
              <c:numCache>
                <c:formatCode>General</c:formatCode>
                <c:ptCount val="11"/>
                <c:pt idx="0">
                  <c:v>83.37</c:v>
                </c:pt>
                <c:pt idx="1">
                  <c:v>70.5</c:v>
                </c:pt>
                <c:pt idx="2">
                  <c:v>70.62</c:v>
                </c:pt>
                <c:pt idx="4">
                  <c:v>127</c:v>
                </c:pt>
                <c:pt idx="5">
                  <c:v>87.5</c:v>
                </c:pt>
                <c:pt idx="6">
                  <c:v>59.18</c:v>
                </c:pt>
                <c:pt idx="7">
                  <c:v>78.900000000000006</c:v>
                </c:pt>
                <c:pt idx="8">
                  <c:v>147</c:v>
                </c:pt>
                <c:pt idx="9">
                  <c:v>104</c:v>
                </c:pt>
                <c:pt idx="10">
                  <c:v>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4592"/>
        <c:axId val="83536512"/>
      </c:scatterChart>
      <c:valAx>
        <c:axId val="8353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capacidad m3/s</a:t>
                </a:r>
              </a:p>
            </c:rich>
          </c:tx>
          <c:layout>
            <c:manualLayout>
              <c:xMode val="edge"/>
              <c:yMode val="edge"/>
              <c:x val="0.44236389048268515"/>
              <c:y val="0.887068381463702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83536512"/>
        <c:crosses val="autoZero"/>
        <c:crossBetween val="midCat"/>
      </c:valAx>
      <c:valAx>
        <c:axId val="8353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$/m3/m</a:t>
                </a:r>
              </a:p>
            </c:rich>
          </c:tx>
          <c:layout>
            <c:manualLayout>
              <c:xMode val="edge"/>
              <c:yMode val="edge"/>
              <c:x val="4.3227741740979007E-2"/>
              <c:y val="0.41530100815959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83534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67723462060867112"/>
          <c:y val="0.89617585971281655"/>
          <c:w val="0.28386217076576215"/>
          <c:h val="8.37887998918487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129540</xdr:rowOff>
    </xdr:from>
    <xdr:to>
      <xdr:col>6</xdr:col>
      <xdr:colOff>525780</xdr:colOff>
      <xdr:row>48</xdr:row>
      <xdr:rowOff>106680</xdr:rowOff>
    </xdr:to>
    <xdr:graphicFrame macro="">
      <xdr:nvGraphicFramePr>
        <xdr:cNvPr id="1025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6</xdr:col>
      <xdr:colOff>533400</xdr:colOff>
      <xdr:row>50</xdr:row>
      <xdr:rowOff>160020</xdr:rowOff>
    </xdr:to>
    <xdr:graphicFrame macro="">
      <xdr:nvGraphicFramePr>
        <xdr:cNvPr id="2051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6</xdr:col>
      <xdr:colOff>533400</xdr:colOff>
      <xdr:row>50</xdr:row>
      <xdr:rowOff>160020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GI.CUNEO-PC\Documents\AA%20Gustavo\CUENCAS%20Distribuci&#243;n\MENDOZA\POTRERIL\Perilago%20y%20FONDO\actualizacion%201999-2008%20perdid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COP"/>
      <sheetName val="2005"/>
      <sheetName val="2006"/>
      <sheetName val="2007"/>
      <sheetName val="2008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topLeftCell="A2" workbookViewId="0">
      <selection activeCell="L29" sqref="L29"/>
    </sheetView>
  </sheetViews>
  <sheetFormatPr baseColWidth="10" defaultRowHeight="12.75" x14ac:dyDescent="0.2"/>
  <cols>
    <col min="1" max="1" width="20.28515625" style="14" bestFit="1" customWidth="1"/>
    <col min="2" max="2" width="8.140625" customWidth="1"/>
    <col min="3" max="3" width="8.42578125" customWidth="1"/>
    <col min="4" max="4" width="6.42578125" style="16" customWidth="1"/>
    <col min="5" max="5" width="7.42578125" customWidth="1"/>
    <col min="6" max="6" width="8.28515625" customWidth="1"/>
  </cols>
  <sheetData>
    <row r="2" spans="1:10" ht="15.75" x14ac:dyDescent="0.25">
      <c r="B2" s="29" t="s">
        <v>27</v>
      </c>
    </row>
    <row r="3" spans="1:10" s="14" customFormat="1" ht="45" x14ac:dyDescent="0.2">
      <c r="A3" s="17" t="s">
        <v>4</v>
      </c>
      <c r="B3" s="23" t="s">
        <v>28</v>
      </c>
      <c r="C3" s="23" t="s">
        <v>9</v>
      </c>
      <c r="D3" s="23" t="s">
        <v>29</v>
      </c>
      <c r="E3" s="23" t="s">
        <v>30</v>
      </c>
      <c r="F3" s="23" t="s">
        <v>15</v>
      </c>
      <c r="G3" s="23" t="s">
        <v>17</v>
      </c>
      <c r="H3" s="23" t="s">
        <v>23</v>
      </c>
      <c r="I3" s="23" t="s">
        <v>18</v>
      </c>
    </row>
    <row r="4" spans="1:10" x14ac:dyDescent="0.2">
      <c r="A4" s="17" t="s">
        <v>7</v>
      </c>
      <c r="B4" s="21">
        <v>5160</v>
      </c>
      <c r="C4" s="21">
        <v>1.6</v>
      </c>
      <c r="D4" s="24">
        <f t="shared" ref="D4:D9" si="0">+B$12*B4</f>
        <v>1754.4</v>
      </c>
      <c r="E4" s="21">
        <v>2.2999999999999998</v>
      </c>
      <c r="F4" s="21">
        <f t="shared" ref="F4:F9" si="1">+C4*E4</f>
        <v>3.6799999999999997</v>
      </c>
      <c r="G4" s="22">
        <f t="shared" ref="G4:G9" si="2">+F4/100*D4</f>
        <v>64.561920000000001</v>
      </c>
      <c r="H4" s="22">
        <f t="shared" ref="H4:H9" si="3">+G4-(G4*0.2)</f>
        <v>51.649535999999998</v>
      </c>
      <c r="I4" s="22">
        <f t="shared" ref="I4:I9" si="4">+H4*0.4</f>
        <v>20.659814400000002</v>
      </c>
    </row>
    <row r="5" spans="1:10" x14ac:dyDescent="0.2">
      <c r="A5" s="17" t="s">
        <v>8</v>
      </c>
      <c r="B5" s="21">
        <v>3793</v>
      </c>
      <c r="C5" s="21">
        <v>3.8</v>
      </c>
      <c r="D5" s="24">
        <f t="shared" si="0"/>
        <v>1289.6200000000001</v>
      </c>
      <c r="E5" s="21">
        <v>1.8</v>
      </c>
      <c r="F5" s="21">
        <f t="shared" si="1"/>
        <v>6.84</v>
      </c>
      <c r="G5" s="22">
        <f t="shared" si="2"/>
        <v>88.210008000000016</v>
      </c>
      <c r="H5" s="22">
        <f t="shared" si="3"/>
        <v>70.568006400000016</v>
      </c>
      <c r="I5" s="22">
        <f t="shared" si="4"/>
        <v>28.227202560000009</v>
      </c>
    </row>
    <row r="6" spans="1:10" x14ac:dyDescent="0.2">
      <c r="A6" s="17" t="s">
        <v>12</v>
      </c>
      <c r="B6" s="21">
        <v>2716</v>
      </c>
      <c r="C6" s="21">
        <v>7.9</v>
      </c>
      <c r="D6" s="24">
        <f t="shared" si="0"/>
        <v>923.44</v>
      </c>
      <c r="E6" s="21">
        <v>4</v>
      </c>
      <c r="F6" s="21">
        <f t="shared" si="1"/>
        <v>31.6</v>
      </c>
      <c r="G6" s="22">
        <f t="shared" si="2"/>
        <v>291.80704000000003</v>
      </c>
      <c r="H6" s="22">
        <f t="shared" si="3"/>
        <v>233.44563200000002</v>
      </c>
      <c r="I6" s="22">
        <f t="shared" si="4"/>
        <v>93.378252800000013</v>
      </c>
    </row>
    <row r="7" spans="1:10" x14ac:dyDescent="0.2">
      <c r="A7" s="17" t="s">
        <v>10</v>
      </c>
      <c r="B7" s="21">
        <v>3777</v>
      </c>
      <c r="C7" s="21">
        <v>4.45</v>
      </c>
      <c r="D7" s="24">
        <f t="shared" si="0"/>
        <v>1284.18</v>
      </c>
      <c r="E7" s="21">
        <v>1.6</v>
      </c>
      <c r="F7" s="21">
        <f t="shared" si="1"/>
        <v>7.120000000000001</v>
      </c>
      <c r="G7" s="22">
        <f t="shared" si="2"/>
        <v>91.433616000000015</v>
      </c>
      <c r="H7" s="22">
        <f t="shared" si="3"/>
        <v>73.146892800000018</v>
      </c>
      <c r="I7" s="22">
        <f t="shared" si="4"/>
        <v>29.258757120000009</v>
      </c>
    </row>
    <row r="8" spans="1:10" x14ac:dyDescent="0.2">
      <c r="A8" s="17" t="s">
        <v>11</v>
      </c>
      <c r="B8" s="21">
        <v>1815</v>
      </c>
      <c r="C8" s="21">
        <v>4.45</v>
      </c>
      <c r="D8" s="24">
        <f t="shared" si="0"/>
        <v>617.1</v>
      </c>
      <c r="E8" s="21">
        <v>2.7</v>
      </c>
      <c r="F8" s="21">
        <f t="shared" si="1"/>
        <v>12.015000000000001</v>
      </c>
      <c r="G8" s="22">
        <f t="shared" si="2"/>
        <v>74.144565</v>
      </c>
      <c r="H8" s="22">
        <f t="shared" si="3"/>
        <v>59.315652</v>
      </c>
      <c r="I8" s="22">
        <f t="shared" si="4"/>
        <v>23.726260800000002</v>
      </c>
    </row>
    <row r="9" spans="1:10" x14ac:dyDescent="0.2">
      <c r="A9" s="17" t="s">
        <v>13</v>
      </c>
      <c r="B9" s="21">
        <v>1121</v>
      </c>
      <c r="C9" s="21">
        <v>4.45</v>
      </c>
      <c r="D9" s="24">
        <f t="shared" si="0"/>
        <v>381.14000000000004</v>
      </c>
      <c r="E9" s="21">
        <v>1</v>
      </c>
      <c r="F9" s="21">
        <f t="shared" si="1"/>
        <v>4.45</v>
      </c>
      <c r="G9" s="22">
        <f t="shared" si="2"/>
        <v>16.960730000000005</v>
      </c>
      <c r="H9" s="22">
        <f t="shared" si="3"/>
        <v>13.568584000000005</v>
      </c>
      <c r="I9" s="22">
        <f t="shared" si="4"/>
        <v>5.4274336000000023</v>
      </c>
    </row>
    <row r="10" spans="1:10" x14ac:dyDescent="0.2">
      <c r="A10" s="18" t="s">
        <v>24</v>
      </c>
      <c r="B10" s="25">
        <f>SUM(B4:B9)</f>
        <v>18382</v>
      </c>
      <c r="C10" s="37">
        <f>AVERAGE(C4:C9)</f>
        <v>4.4416666666666664</v>
      </c>
      <c r="D10" s="26"/>
      <c r="E10" s="25"/>
      <c r="F10" s="25"/>
      <c r="G10" s="27">
        <f>SUM(G4:G9)</f>
        <v>627.11787900000013</v>
      </c>
      <c r="H10" s="27">
        <f>SUM(H4:H9)</f>
        <v>501.69430320000004</v>
      </c>
      <c r="I10" s="28">
        <f>SUM(I4:I9)</f>
        <v>200.67772128000004</v>
      </c>
    </row>
    <row r="11" spans="1:10" x14ac:dyDescent="0.2">
      <c r="A11" s="14" t="s">
        <v>14</v>
      </c>
    </row>
    <row r="12" spans="1:10" x14ac:dyDescent="0.2">
      <c r="A12" s="14" t="s">
        <v>16</v>
      </c>
      <c r="B12" s="15">
        <v>0.34</v>
      </c>
    </row>
    <row r="14" spans="1:10" x14ac:dyDescent="0.2">
      <c r="G14" s="21" t="s">
        <v>19</v>
      </c>
      <c r="H14" s="21" t="s">
        <v>20</v>
      </c>
      <c r="I14" s="21" t="s">
        <v>21</v>
      </c>
    </row>
    <row r="15" spans="1:10" x14ac:dyDescent="0.2">
      <c r="G15" s="22">
        <f>+I10</f>
        <v>200.67772128000004</v>
      </c>
      <c r="H15" s="21">
        <f>+G15*86400*365/1000</f>
        <v>6328572.6182860825</v>
      </c>
      <c r="I15" s="21">
        <v>5700000</v>
      </c>
    </row>
    <row r="16" spans="1:10" x14ac:dyDescent="0.2">
      <c r="B16">
        <f>3777+3793</f>
        <v>7570</v>
      </c>
      <c r="G16" s="21"/>
      <c r="H16" s="21">
        <v>1</v>
      </c>
      <c r="I16" s="30">
        <f>+I15/H15</f>
        <v>0.90067703158373269</v>
      </c>
      <c r="J16" s="38"/>
    </row>
    <row r="17" spans="2:12" x14ac:dyDescent="0.2">
      <c r="B17">
        <f>1815+2716</f>
        <v>4531</v>
      </c>
      <c r="G17" s="39">
        <f>+B12</f>
        <v>0.34</v>
      </c>
      <c r="H17" s="25">
        <f>+G17*86400*365/1000</f>
        <v>10722.240000000002</v>
      </c>
      <c r="I17" s="40">
        <f>+H17*I16</f>
        <v>9657.2752951283637</v>
      </c>
    </row>
    <row r="20" spans="2:12" x14ac:dyDescent="0.2">
      <c r="F20" s="35" t="s">
        <v>22</v>
      </c>
      <c r="G20" s="19"/>
      <c r="H20" s="20">
        <f>+G15/B12</f>
        <v>590.22859200000005</v>
      </c>
      <c r="I20" s="36"/>
    </row>
    <row r="21" spans="2:12" x14ac:dyDescent="0.2">
      <c r="F21" s="31" t="s">
        <v>25</v>
      </c>
      <c r="G21" s="32"/>
      <c r="H21" s="33">
        <f>+G15*86400/500</f>
        <v>34677.11023718401</v>
      </c>
      <c r="I21" s="34" t="s">
        <v>26</v>
      </c>
    </row>
    <row r="29" spans="2:12" x14ac:dyDescent="0.2">
      <c r="L29">
        <v>0</v>
      </c>
    </row>
  </sheetData>
  <phoneticPr fontId="0" type="noConversion"/>
  <pageMargins left="1.9" right="0.75" top="2.15" bottom="1" header="0" footer="0"/>
  <pageSetup paperSize="9" scale="115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opLeftCell="A4" workbookViewId="0">
      <selection activeCell="H24" sqref="H24"/>
    </sheetView>
  </sheetViews>
  <sheetFormatPr baseColWidth="10" defaultRowHeight="12.75" x14ac:dyDescent="0.2"/>
  <cols>
    <col min="2" max="5" width="11.42578125" style="87" customWidth="1"/>
  </cols>
  <sheetData>
    <row r="3" spans="1:5" x14ac:dyDescent="0.2">
      <c r="B3" s="87" t="s">
        <v>247</v>
      </c>
      <c r="C3" s="87" t="s">
        <v>248</v>
      </c>
      <c r="D3" s="87" t="s">
        <v>249</v>
      </c>
      <c r="E3" s="87" t="s">
        <v>250</v>
      </c>
    </row>
    <row r="5" spans="1:5" x14ac:dyDescent="0.2">
      <c r="A5">
        <v>1999</v>
      </c>
      <c r="B5" s="87">
        <v>1285140.5020281225</v>
      </c>
      <c r="C5" s="87">
        <v>9.2830452416</v>
      </c>
      <c r="D5" s="87">
        <v>138439.53881308666</v>
      </c>
      <c r="E5" s="87">
        <v>367.35186666666669</v>
      </c>
    </row>
    <row r="6" spans="1:5" x14ac:dyDescent="0.2">
      <c r="A6">
        <v>2000</v>
      </c>
      <c r="B6" s="87">
        <v>676358.44409874559</v>
      </c>
      <c r="C6" s="87">
        <v>19.278323543999999</v>
      </c>
      <c r="D6" s="87">
        <v>35083.882815591031</v>
      </c>
      <c r="E6" s="87">
        <v>416.75953333333337</v>
      </c>
    </row>
    <row r="7" spans="1:5" x14ac:dyDescent="0.2">
      <c r="A7">
        <v>2001</v>
      </c>
      <c r="B7" s="87">
        <v>3148366.8459733902</v>
      </c>
      <c r="C7" s="87">
        <v>69.764891856000006</v>
      </c>
      <c r="D7" s="87">
        <v>45128.240899044991</v>
      </c>
      <c r="E7" s="87">
        <v>405.82128</v>
      </c>
    </row>
    <row r="8" spans="1:5" x14ac:dyDescent="0.2">
      <c r="A8">
        <v>2002</v>
      </c>
      <c r="B8" s="87">
        <v>9459924.2765857056</v>
      </c>
      <c r="C8" s="87">
        <v>444.66163777600013</v>
      </c>
      <c r="D8" s="87">
        <v>21274.433126050724</v>
      </c>
      <c r="E8" s="87">
        <v>1090.1533333333334</v>
      </c>
    </row>
    <row r="9" spans="1:5" x14ac:dyDescent="0.2">
      <c r="A9">
        <v>2003</v>
      </c>
      <c r="B9" s="87">
        <v>7805457.1851962507</v>
      </c>
      <c r="C9" s="87">
        <v>430.25577002896</v>
      </c>
      <c r="D9" s="87">
        <v>18141.435232050171</v>
      </c>
      <c r="E9" s="87">
        <v>863.6</v>
      </c>
    </row>
    <row r="10" spans="1:5" x14ac:dyDescent="0.2">
      <c r="A10">
        <v>2004</v>
      </c>
      <c r="B10" s="87">
        <v>8780097.031342363</v>
      </c>
      <c r="C10" s="87">
        <v>448.13102680384003</v>
      </c>
      <c r="D10" s="87">
        <v>19592.700585727725</v>
      </c>
      <c r="E10" s="87">
        <v>971.99132000000009</v>
      </c>
    </row>
    <row r="11" spans="1:5" x14ac:dyDescent="0.2">
      <c r="A11">
        <v>2005</v>
      </c>
      <c r="B11" s="87">
        <v>12403901.918035941</v>
      </c>
      <c r="C11" s="87">
        <v>277.32141961439999</v>
      </c>
      <c r="D11" s="87">
        <v>44727.529288155514</v>
      </c>
      <c r="E11" s="87">
        <v>573.36815384615397</v>
      </c>
    </row>
    <row r="12" spans="1:5" x14ac:dyDescent="0.2">
      <c r="A12">
        <v>2006</v>
      </c>
      <c r="B12" s="87">
        <v>4223619.0351681467</v>
      </c>
      <c r="C12" s="87">
        <v>84.945599864000002</v>
      </c>
      <c r="D12" s="87">
        <v>49721.457520227828</v>
      </c>
      <c r="E12" s="87">
        <v>516.42600000000004</v>
      </c>
    </row>
    <row r="13" spans="1:5" x14ac:dyDescent="0.2">
      <c r="A13">
        <v>2007</v>
      </c>
      <c r="B13" s="87">
        <v>4933270.8535000002</v>
      </c>
      <c r="C13" s="87">
        <v>139.998214496</v>
      </c>
      <c r="D13" s="87">
        <v>35238.098366182756</v>
      </c>
      <c r="E13" s="87">
        <v>474.69100000000003</v>
      </c>
    </row>
    <row r="14" spans="1:5" x14ac:dyDescent="0.2">
      <c r="A14">
        <v>2008</v>
      </c>
      <c r="B14" s="87">
        <v>5085256.8076600004</v>
      </c>
      <c r="C14" s="87">
        <v>112.21403321439999</v>
      </c>
      <c r="D14" s="87">
        <v>45317.476450952745</v>
      </c>
      <c r="E14" s="87">
        <v>629.32299999999998</v>
      </c>
    </row>
    <row r="16" spans="1:5" x14ac:dyDescent="0.2">
      <c r="D16" s="506">
        <f>1.29/0.9</f>
        <v>1.4333333333333333</v>
      </c>
    </row>
    <row r="20" spans="3:8" x14ac:dyDescent="0.2">
      <c r="C20" s="87" t="s">
        <v>252</v>
      </c>
      <c r="D20" s="506"/>
      <c r="E20" s="506">
        <v>1.1399999999999999</v>
      </c>
      <c r="G20">
        <v>100</v>
      </c>
      <c r="H20">
        <f>+G20*E20</f>
        <v>113.99999999999999</v>
      </c>
    </row>
    <row r="21" spans="3:8" x14ac:dyDescent="0.2">
      <c r="C21" s="87" t="s">
        <v>253</v>
      </c>
      <c r="D21" s="506"/>
      <c r="E21" s="506">
        <f>+E20/0.9</f>
        <v>1.2666666666666666</v>
      </c>
      <c r="H21">
        <f>+G20*E21</f>
        <v>126.66666666666666</v>
      </c>
    </row>
    <row r="22" spans="3:8" x14ac:dyDescent="0.2">
      <c r="D22" s="506"/>
      <c r="E22" s="506"/>
    </row>
    <row r="23" spans="3:8" x14ac:dyDescent="0.2">
      <c r="C23" s="87" t="s">
        <v>254</v>
      </c>
      <c r="D23" s="506"/>
      <c r="E23" s="506">
        <f>+E21/E20</f>
        <v>1.1111111111111112</v>
      </c>
      <c r="H23">
        <f>+H20*E23</f>
        <v>126.66666666666666</v>
      </c>
    </row>
    <row r="24" spans="3:8" x14ac:dyDescent="0.2">
      <c r="D24" s="506"/>
      <c r="E24" s="506"/>
    </row>
    <row r="25" spans="3:8" x14ac:dyDescent="0.2">
      <c r="C25" s="87" t="s">
        <v>255</v>
      </c>
      <c r="D25" s="506"/>
      <c r="E25" s="506">
        <v>1.29</v>
      </c>
    </row>
    <row r="26" spans="3:8" x14ac:dyDescent="0.2">
      <c r="C26" s="87" t="s">
        <v>256</v>
      </c>
      <c r="D26" s="506"/>
      <c r="E26" s="506">
        <f>+E25/0.9</f>
        <v>1.4333333333333333</v>
      </c>
      <c r="H26">
        <f>1.433*0.9</f>
        <v>1.2897000000000001</v>
      </c>
    </row>
    <row r="27" spans="3:8" x14ac:dyDescent="0.2">
      <c r="D27" s="506"/>
      <c r="E27" s="506"/>
    </row>
  </sheetData>
  <phoneticPr fontId="18" type="noConversion"/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8" workbookViewId="0">
      <selection activeCell="D50" sqref="D50"/>
    </sheetView>
  </sheetViews>
  <sheetFormatPr baseColWidth="10" defaultRowHeight="12.75" x14ac:dyDescent="0.2"/>
  <cols>
    <col min="1" max="1" width="26.28515625" customWidth="1"/>
    <col min="2" max="2" width="22" customWidth="1"/>
    <col min="3" max="3" width="28.7109375" customWidth="1"/>
    <col min="4" max="4" width="15.28515625" bestFit="1" customWidth="1"/>
    <col min="5" max="5" width="13" bestFit="1" customWidth="1"/>
  </cols>
  <sheetData>
    <row r="1" spans="1:6" x14ac:dyDescent="0.2">
      <c r="D1" s="87">
        <f>60*60*24*365</f>
        <v>31536000</v>
      </c>
    </row>
    <row r="3" spans="1:6" ht="13.5" thickBot="1" x14ac:dyDescent="0.25"/>
    <row r="4" spans="1:6" x14ac:dyDescent="0.2">
      <c r="A4" s="288" t="s">
        <v>19</v>
      </c>
      <c r="B4" s="260" t="s">
        <v>20</v>
      </c>
      <c r="C4" s="289" t="s">
        <v>21</v>
      </c>
      <c r="D4" s="181"/>
    </row>
    <row r="5" spans="1:6" x14ac:dyDescent="0.2">
      <c r="A5" s="290">
        <f>+'1999 a 2014'!R81</f>
        <v>3240.1713352391976</v>
      </c>
      <c r="B5" s="290">
        <f>+'1999 a 2014'!P95</f>
        <v>102182043.22810334</v>
      </c>
      <c r="C5" s="290">
        <f>+'1999 a 2014'!N95</f>
        <v>380706509.90918112</v>
      </c>
    </row>
    <row r="6" spans="1:6" x14ac:dyDescent="0.2">
      <c r="A6" s="290">
        <f>+'1999 a 2014'!R82</f>
        <v>0</v>
      </c>
      <c r="B6" s="290">
        <f>+'1999 a 2014'!P96</f>
        <v>1</v>
      </c>
      <c r="C6" s="290">
        <f>+'1999 a 2014'!N96</f>
        <v>3.7257672471798315</v>
      </c>
      <c r="D6" s="87"/>
    </row>
    <row r="7" spans="1:6" x14ac:dyDescent="0.2">
      <c r="A7" s="290">
        <f>+'1999 a 2014'!X89</f>
        <v>0.34</v>
      </c>
      <c r="B7" s="290">
        <f>+'1999 a 2014'!V89</f>
        <v>10722.240000000002</v>
      </c>
      <c r="C7" s="290">
        <f>+'1999 a 2014'!P84</f>
        <v>5.7120000000000004E-2</v>
      </c>
      <c r="D7" s="87"/>
    </row>
    <row r="8" spans="1:6" x14ac:dyDescent="0.2">
      <c r="A8" s="290">
        <f>+'1999 a 2014'!V97</f>
        <v>0</v>
      </c>
      <c r="B8" s="290">
        <f>+'1999 a 2014'!W97</f>
        <v>0</v>
      </c>
      <c r="C8" s="290">
        <f>+'1999 a 2014'!X97</f>
        <v>117495.79590706318</v>
      </c>
    </row>
    <row r="13" spans="1:6" ht="31.5" customHeight="1" x14ac:dyDescent="0.2">
      <c r="A13" s="762" t="s">
        <v>110</v>
      </c>
      <c r="B13" s="762" t="s">
        <v>111</v>
      </c>
      <c r="C13" s="762" t="s">
        <v>112</v>
      </c>
      <c r="D13" s="291" t="s">
        <v>113</v>
      </c>
      <c r="E13" s="762" t="s">
        <v>115</v>
      </c>
    </row>
    <row r="14" spans="1:6" ht="15.75" x14ac:dyDescent="0.2">
      <c r="A14" s="763"/>
      <c r="B14" s="763"/>
      <c r="C14" s="763"/>
      <c r="D14" s="292" t="s">
        <v>114</v>
      </c>
      <c r="E14" s="763"/>
    </row>
    <row r="15" spans="1:6" ht="15.75" x14ac:dyDescent="0.2">
      <c r="A15" s="293">
        <v>181</v>
      </c>
      <c r="B15" s="292" t="s">
        <v>116</v>
      </c>
      <c r="C15" s="292" t="s">
        <v>117</v>
      </c>
      <c r="D15" s="292">
        <f>+A15*$D$1/1000*3.5</f>
        <v>19978056</v>
      </c>
      <c r="E15" s="292">
        <f>+D15*0.821/3.5</f>
        <v>4686281.1359999999</v>
      </c>
      <c r="F15">
        <f>+A15*C8*2</f>
        <v>42533478.118356869</v>
      </c>
    </row>
    <row r="16" spans="1:6" ht="16.5" thickBot="1" x14ac:dyDescent="0.25">
      <c r="A16" s="321">
        <v>100</v>
      </c>
      <c r="B16" s="322" t="s">
        <v>118</v>
      </c>
      <c r="C16" s="322" t="s">
        <v>119</v>
      </c>
      <c r="D16" s="292">
        <f>+A16*$D$1/1000*3.5</f>
        <v>11037600</v>
      </c>
      <c r="E16" s="292" t="s">
        <v>120</v>
      </c>
    </row>
    <row r="17" spans="1:4" x14ac:dyDescent="0.2">
      <c r="A17" s="323" t="s">
        <v>152</v>
      </c>
      <c r="B17" s="324" t="s">
        <v>153</v>
      </c>
      <c r="C17" s="323" t="s">
        <v>152</v>
      </c>
      <c r="D17" s="309" t="s">
        <v>153</v>
      </c>
    </row>
    <row r="18" spans="1:4" ht="13.5" thickBot="1" x14ac:dyDescent="0.25">
      <c r="A18" s="325">
        <v>10</v>
      </c>
      <c r="B18" s="326">
        <v>30</v>
      </c>
      <c r="C18" s="327">
        <f>1/(1+A18/100)^B18</f>
        <v>5.7308553301167964E-2</v>
      </c>
    </row>
    <row r="19" spans="1:4" x14ac:dyDescent="0.2">
      <c r="A19" s="323" t="s">
        <v>152</v>
      </c>
      <c r="B19" s="324" t="s">
        <v>153</v>
      </c>
      <c r="C19" s="323" t="s">
        <v>152</v>
      </c>
    </row>
    <row r="20" spans="1:4" ht="13.5" thickBot="1" x14ac:dyDescent="0.25">
      <c r="A20" s="325">
        <v>6</v>
      </c>
      <c r="B20" s="326">
        <v>30</v>
      </c>
      <c r="C20" s="327">
        <f>1/(1+A20/100)^B20</f>
        <v>0.17411013091063426</v>
      </c>
    </row>
    <row r="21" spans="1:4" x14ac:dyDescent="0.2">
      <c r="A21" s="323" t="s">
        <v>152</v>
      </c>
      <c r="B21" s="324" t="s">
        <v>153</v>
      </c>
      <c r="C21" s="323" t="s">
        <v>152</v>
      </c>
    </row>
    <row r="22" spans="1:4" ht="15.75" customHeight="1" thickBot="1" x14ac:dyDescent="0.25">
      <c r="A22" s="328">
        <v>10</v>
      </c>
      <c r="B22" s="326">
        <v>30</v>
      </c>
      <c r="C22" s="327">
        <f>1/(1+A22/100)^B22</f>
        <v>5.7308553301167964E-2</v>
      </c>
    </row>
    <row r="24" spans="1:4" ht="15.75" customHeight="1" x14ac:dyDescent="0.2">
      <c r="A24" s="764" t="s">
        <v>122</v>
      </c>
      <c r="B24" s="313" t="s">
        <v>123</v>
      </c>
      <c r="C24" s="764" t="s">
        <v>124</v>
      </c>
    </row>
    <row r="25" spans="1:4" ht="31.5" customHeight="1" x14ac:dyDescent="0.2">
      <c r="A25" s="765"/>
      <c r="B25" s="314" t="s">
        <v>125</v>
      </c>
      <c r="C25" s="765"/>
    </row>
    <row r="26" spans="1:4" ht="15.75" customHeight="1" x14ac:dyDescent="0.2">
      <c r="A26" s="315" t="s">
        <v>133</v>
      </c>
      <c r="B26" s="292">
        <v>4</v>
      </c>
      <c r="C26" s="318" t="s">
        <v>126</v>
      </c>
    </row>
    <row r="27" spans="1:4" ht="15.75" customHeight="1" x14ac:dyDescent="0.2">
      <c r="A27" s="315" t="s">
        <v>134</v>
      </c>
      <c r="B27" s="292">
        <v>1</v>
      </c>
      <c r="C27" s="318"/>
    </row>
    <row r="28" spans="1:4" ht="31.5" customHeight="1" x14ac:dyDescent="0.2">
      <c r="A28" s="315" t="s">
        <v>135</v>
      </c>
      <c r="B28" s="292">
        <v>0.15</v>
      </c>
      <c r="C28" s="319" t="s">
        <v>127</v>
      </c>
    </row>
    <row r="29" spans="1:4" ht="31.5" customHeight="1" x14ac:dyDescent="0.2">
      <c r="A29" s="315" t="s">
        <v>136</v>
      </c>
      <c r="B29" s="292">
        <v>4</v>
      </c>
      <c r="C29" s="318" t="s">
        <v>128</v>
      </c>
    </row>
    <row r="30" spans="1:4" ht="31.5" customHeight="1" x14ac:dyDescent="0.2">
      <c r="A30" s="315" t="s">
        <v>137</v>
      </c>
      <c r="B30" s="316">
        <v>0.5</v>
      </c>
      <c r="C30" s="318" t="s">
        <v>129</v>
      </c>
    </row>
    <row r="31" spans="1:4" ht="15.75" customHeight="1" x14ac:dyDescent="0.2">
      <c r="A31" s="315" t="s">
        <v>138</v>
      </c>
      <c r="B31" s="292">
        <v>0</v>
      </c>
      <c r="C31" s="318" t="s">
        <v>130</v>
      </c>
    </row>
    <row r="32" spans="1:4" ht="15.75" x14ac:dyDescent="0.2">
      <c r="A32" s="315" t="s">
        <v>139</v>
      </c>
      <c r="B32" s="292">
        <v>0.05</v>
      </c>
      <c r="C32" s="318"/>
    </row>
    <row r="33" spans="1:5" ht="15.75" x14ac:dyDescent="0.2">
      <c r="A33" s="315" t="s">
        <v>140</v>
      </c>
      <c r="B33" s="292">
        <v>1</v>
      </c>
      <c r="C33" s="318" t="s">
        <v>131</v>
      </c>
    </row>
    <row r="34" spans="1:5" ht="31.5" x14ac:dyDescent="0.2">
      <c r="A34" s="315" t="s">
        <v>141</v>
      </c>
      <c r="B34" s="317">
        <f>+C22*100</f>
        <v>5.7308553301167962</v>
      </c>
      <c r="C34" s="318" t="s">
        <v>158</v>
      </c>
    </row>
    <row r="35" spans="1:5" ht="16.5" thickBot="1" x14ac:dyDescent="0.25">
      <c r="A35" s="329" t="s">
        <v>142</v>
      </c>
      <c r="B35" s="322">
        <v>0</v>
      </c>
      <c r="C35" s="330" t="s">
        <v>132</v>
      </c>
    </row>
    <row r="36" spans="1:5" ht="16.5" thickBot="1" x14ac:dyDescent="0.25">
      <c r="A36" s="337" t="s">
        <v>146</v>
      </c>
      <c r="B36" s="338">
        <f>SUM(B26:B35)</f>
        <v>16.430855330116799</v>
      </c>
      <c r="C36" s="339" t="s">
        <v>147</v>
      </c>
    </row>
    <row r="37" spans="1:5" ht="15.75" x14ac:dyDescent="0.2">
      <c r="A37" s="335" t="s">
        <v>150</v>
      </c>
      <c r="B37" s="374">
        <f>+B36/100</f>
        <v>0.164308553301168</v>
      </c>
      <c r="C37" s="336"/>
    </row>
    <row r="38" spans="1:5" ht="15.75" x14ac:dyDescent="0.2">
      <c r="A38" s="331" t="s">
        <v>148</v>
      </c>
      <c r="B38" s="60">
        <f>+'1999 a 2014'!N96</f>
        <v>3.7257672471798315</v>
      </c>
      <c r="C38" s="332"/>
    </row>
    <row r="39" spans="1:5" ht="16.5" thickBot="1" x14ac:dyDescent="0.25">
      <c r="A39" s="333" t="s">
        <v>149</v>
      </c>
      <c r="B39" s="359">
        <f>+B38*(1+B37)</f>
        <v>4.3379426735008249</v>
      </c>
      <c r="C39" s="334"/>
    </row>
    <row r="40" spans="1:5" ht="15.75" x14ac:dyDescent="0.2">
      <c r="A40" s="362" t="s">
        <v>160</v>
      </c>
      <c r="B40" s="363">
        <f>+'1999 a 2014'!O96</f>
        <v>4.3379426735008249</v>
      </c>
    </row>
    <row r="41" spans="1:5" ht="16.5" thickBot="1" x14ac:dyDescent="0.25">
      <c r="A41" s="364" t="s">
        <v>161</v>
      </c>
      <c r="B41" s="365">
        <f>+B40*3</f>
        <v>13.013828020502475</v>
      </c>
    </row>
    <row r="42" spans="1:5" ht="15.75" x14ac:dyDescent="0.2">
      <c r="A42" s="766" t="s">
        <v>110</v>
      </c>
      <c r="B42" s="766" t="s">
        <v>111</v>
      </c>
      <c r="C42" s="762" t="s">
        <v>112</v>
      </c>
      <c r="D42" s="291" t="s">
        <v>113</v>
      </c>
      <c r="E42" s="762" t="s">
        <v>151</v>
      </c>
    </row>
    <row r="43" spans="1:5" ht="15.75" x14ac:dyDescent="0.2">
      <c r="A43" s="763"/>
      <c r="B43" s="763"/>
      <c r="C43" s="763"/>
      <c r="D43" s="292" t="s">
        <v>114</v>
      </c>
      <c r="E43" s="763"/>
    </row>
    <row r="44" spans="1:5" ht="15.75" x14ac:dyDescent="0.2">
      <c r="A44" s="293">
        <v>183</v>
      </c>
      <c r="B44" s="292" t="s">
        <v>116</v>
      </c>
      <c r="C44" s="292" t="s">
        <v>117</v>
      </c>
      <c r="D44" s="292">
        <f>+A44*86.4*365*3.5</f>
        <v>20198808</v>
      </c>
      <c r="E44" s="320">
        <f>+D44/3.5*B40</f>
        <v>25034648.907728527</v>
      </c>
    </row>
    <row r="45" spans="1:5" ht="15.75" x14ac:dyDescent="0.2">
      <c r="A45" s="293">
        <v>100</v>
      </c>
      <c r="B45" s="292" t="s">
        <v>118</v>
      </c>
      <c r="C45" s="292" t="s">
        <v>119</v>
      </c>
      <c r="D45" s="292">
        <f>+A45*86.4*365*3.5</f>
        <v>11037600</v>
      </c>
      <c r="E45" s="320">
        <f>+D45/3.5*B40</f>
        <v>13680136.015152201</v>
      </c>
    </row>
    <row r="47" spans="1:5" x14ac:dyDescent="0.2">
      <c r="B47" t="s">
        <v>143</v>
      </c>
    </row>
    <row r="48" spans="1:5" x14ac:dyDescent="0.2">
      <c r="B48">
        <f>86.4*365</f>
        <v>31536.000000000004</v>
      </c>
    </row>
    <row r="50" spans="1:7" x14ac:dyDescent="0.2">
      <c r="A50" s="184">
        <v>850</v>
      </c>
      <c r="B50" s="184" t="s">
        <v>287</v>
      </c>
      <c r="C50">
        <f>+A50*86.4*365</f>
        <v>26805600</v>
      </c>
      <c r="D50" s="646">
        <f>+C50*'1999 a 2014'!O96</f>
        <v>116281156.12879372</v>
      </c>
      <c r="G50">
        <f>2.871/0.05</f>
        <v>57.419999999999995</v>
      </c>
    </row>
    <row r="51" spans="1:7" x14ac:dyDescent="0.2">
      <c r="G51">
        <f>2.871*100/1500</f>
        <v>0.19140000000000001</v>
      </c>
    </row>
    <row r="55" spans="1:7" x14ac:dyDescent="0.2">
      <c r="E55">
        <f>3000/0.65*0.87</f>
        <v>4015.3846153846152</v>
      </c>
    </row>
    <row r="58" spans="1:7" x14ac:dyDescent="0.2">
      <c r="E58">
        <f>0.87/0.65</f>
        <v>1.3384615384615384</v>
      </c>
    </row>
  </sheetData>
  <mergeCells count="10">
    <mergeCell ref="A13:A14"/>
    <mergeCell ref="B13:B14"/>
    <mergeCell ref="C13:C14"/>
    <mergeCell ref="E13:E14"/>
    <mergeCell ref="E42:E43"/>
    <mergeCell ref="A24:A25"/>
    <mergeCell ref="C24:C25"/>
    <mergeCell ref="A42:A43"/>
    <mergeCell ref="B42:B43"/>
    <mergeCell ref="C42:C43"/>
  </mergeCells>
  <phoneticPr fontId="0" type="noConversion"/>
  <pageMargins left="0.19" right="0.75" top="0.75" bottom="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workbookViewId="0"/>
  </sheetViews>
  <sheetFormatPr baseColWidth="10" defaultRowHeight="12.75" x14ac:dyDescent="0.2"/>
  <cols>
    <col min="1" max="1" width="0.85546875" customWidth="1"/>
    <col min="2" max="2" width="50.140625" customWidth="1"/>
    <col min="3" max="3" width="1.28515625" customWidth="1"/>
    <col min="4" max="4" width="4.28515625" customWidth="1"/>
    <col min="5" max="6" width="12.42578125" customWidth="1"/>
  </cols>
  <sheetData>
    <row r="1" spans="2:6" ht="25.5" x14ac:dyDescent="0.2">
      <c r="B1" s="527" t="s">
        <v>271</v>
      </c>
      <c r="C1" s="527"/>
      <c r="D1" s="534"/>
      <c r="E1" s="534"/>
      <c r="F1" s="534"/>
    </row>
    <row r="2" spans="2:6" x14ac:dyDescent="0.2">
      <c r="B2" s="527" t="s">
        <v>272</v>
      </c>
      <c r="C2" s="527"/>
      <c r="D2" s="534"/>
      <c r="E2" s="534"/>
      <c r="F2" s="534"/>
    </row>
    <row r="3" spans="2:6" x14ac:dyDescent="0.2">
      <c r="B3" s="528"/>
      <c r="C3" s="528"/>
      <c r="D3" s="535"/>
      <c r="E3" s="535"/>
      <c r="F3" s="535"/>
    </row>
    <row r="4" spans="2:6" ht="63.75" x14ac:dyDescent="0.2">
      <c r="B4" s="528" t="s">
        <v>273</v>
      </c>
      <c r="C4" s="528"/>
      <c r="D4" s="535"/>
      <c r="E4" s="535"/>
      <c r="F4" s="535"/>
    </row>
    <row r="5" spans="2:6" x14ac:dyDescent="0.2">
      <c r="B5" s="528"/>
      <c r="C5" s="528"/>
      <c r="D5" s="535"/>
      <c r="E5" s="535"/>
      <c r="F5" s="535"/>
    </row>
    <row r="6" spans="2:6" ht="25.5" x14ac:dyDescent="0.2">
      <c r="B6" s="527" t="s">
        <v>274</v>
      </c>
      <c r="C6" s="527"/>
      <c r="D6" s="534"/>
      <c r="E6" s="534" t="s">
        <v>275</v>
      </c>
      <c r="F6" s="534" t="s">
        <v>276</v>
      </c>
    </row>
    <row r="7" spans="2:6" ht="13.5" thickBot="1" x14ac:dyDescent="0.25">
      <c r="B7" s="528"/>
      <c r="C7" s="528"/>
      <c r="D7" s="535"/>
      <c r="E7" s="535"/>
      <c r="F7" s="535"/>
    </row>
    <row r="8" spans="2:6" ht="63.75" x14ac:dyDescent="0.2">
      <c r="B8" s="529" t="s">
        <v>277</v>
      </c>
      <c r="C8" s="530"/>
      <c r="D8" s="536"/>
      <c r="E8" s="536">
        <v>94</v>
      </c>
      <c r="F8" s="537"/>
    </row>
    <row r="9" spans="2:6" ht="38.25" x14ac:dyDescent="0.2">
      <c r="B9" s="531"/>
      <c r="C9" s="528"/>
      <c r="D9" s="535"/>
      <c r="E9" s="538" t="s">
        <v>278</v>
      </c>
      <c r="F9" s="539" t="s">
        <v>285</v>
      </c>
    </row>
    <row r="10" spans="2:6" ht="51" x14ac:dyDescent="0.2">
      <c r="B10" s="531"/>
      <c r="C10" s="528"/>
      <c r="D10" s="535"/>
      <c r="E10" s="538" t="s">
        <v>279</v>
      </c>
      <c r="F10" s="539"/>
    </row>
    <row r="11" spans="2:6" ht="38.25" x14ac:dyDescent="0.2">
      <c r="B11" s="531"/>
      <c r="C11" s="528"/>
      <c r="D11" s="535"/>
      <c r="E11" s="538" t="s">
        <v>280</v>
      </c>
      <c r="F11" s="539"/>
    </row>
    <row r="12" spans="2:6" ht="38.25" x14ac:dyDescent="0.2">
      <c r="B12" s="531"/>
      <c r="C12" s="528"/>
      <c r="D12" s="535"/>
      <c r="E12" s="538" t="s">
        <v>281</v>
      </c>
      <c r="F12" s="539"/>
    </row>
    <row r="13" spans="2:6" ht="51" x14ac:dyDescent="0.2">
      <c r="B13" s="531"/>
      <c r="C13" s="528"/>
      <c r="D13" s="535"/>
      <c r="E13" s="538" t="s">
        <v>282</v>
      </c>
      <c r="F13" s="539"/>
    </row>
    <row r="14" spans="2:6" ht="51" x14ac:dyDescent="0.2">
      <c r="B14" s="531"/>
      <c r="C14" s="528"/>
      <c r="D14" s="535"/>
      <c r="E14" s="538" t="s">
        <v>283</v>
      </c>
      <c r="F14" s="539"/>
    </row>
    <row r="15" spans="2:6" ht="51.75" thickBot="1" x14ac:dyDescent="0.25">
      <c r="B15" s="532"/>
      <c r="C15" s="533"/>
      <c r="D15" s="540"/>
      <c r="E15" s="541" t="s">
        <v>284</v>
      </c>
      <c r="F15" s="542"/>
    </row>
    <row r="16" spans="2:6" x14ac:dyDescent="0.2">
      <c r="B16" s="528"/>
      <c r="C16" s="528"/>
      <c r="D16" s="535"/>
      <c r="E16" s="535"/>
      <c r="F16" s="535"/>
    </row>
    <row r="17" spans="2:6" x14ac:dyDescent="0.2">
      <c r="B17" s="528"/>
      <c r="C17" s="528"/>
      <c r="D17" s="535"/>
      <c r="E17" s="535"/>
      <c r="F17" s="535"/>
    </row>
  </sheetData>
  <hyperlinks>
    <hyperlink ref="E9" location="'1999-2000-01-02-03-04'!AJ3:AJ43" display="'1999-2000-01-02-03-04'!AJ3:AJ43"/>
    <hyperlink ref="E10" location="'1999-2000-01-02-03-04'!AJ58:AJ62" display="'1999-2000-01-02-03-04'!AJ58:AJ62"/>
    <hyperlink ref="E11" location="'1999-2000-01-02-03-04'!AJ64" display="'1999-2000-01-02-03-04'!AJ64"/>
    <hyperlink ref="E12" location="'1999-2000-01-02-03-04'!AJ74" display="'1999-2000-01-02-03-04'!AJ74"/>
    <hyperlink ref="E13" location="'1999-2000-01-02-03-04'!AJ77:AJ79" display="'1999-2000-01-02-03-04'!AJ77:AJ79"/>
    <hyperlink ref="E14" location="'1999-2000-01-02-03-04'!AH80:AH82" display="'1999-2000-01-02-03-04'!AH80:AH82"/>
    <hyperlink ref="E15" location="'1999-2000-01-02-03-04'!AJ83:AJ122" display="'1999-2000-01-02-03-04'!AJ83:AJ1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A19" sqref="A19"/>
    </sheetView>
  </sheetViews>
  <sheetFormatPr baseColWidth="10" defaultRowHeight="12.75" x14ac:dyDescent="0.2"/>
  <cols>
    <col min="1" max="3" width="11.42578125" style="1" customWidth="1"/>
  </cols>
  <sheetData>
    <row r="1" spans="1:7" x14ac:dyDescent="0.2">
      <c r="A1" s="700" t="s">
        <v>5</v>
      </c>
      <c r="B1" s="700"/>
      <c r="C1" s="700"/>
      <c r="D1" s="700"/>
      <c r="E1" s="700"/>
      <c r="F1" s="700"/>
      <c r="G1" s="700"/>
    </row>
    <row r="2" spans="1:7" s="13" customFormat="1" ht="18" x14ac:dyDescent="0.25">
      <c r="A2" s="700"/>
      <c r="B2" s="700"/>
      <c r="C2" s="700"/>
      <c r="D2" s="700"/>
      <c r="E2" s="700"/>
      <c r="F2" s="700"/>
      <c r="G2" s="700"/>
    </row>
    <row r="3" spans="1:7" s="13" customFormat="1" ht="18" x14ac:dyDescent="0.25">
      <c r="A3" s="700">
        <v>1998</v>
      </c>
      <c r="B3" s="700"/>
      <c r="C3" s="700"/>
      <c r="D3" s="700"/>
      <c r="E3" s="700"/>
      <c r="F3" s="700"/>
      <c r="G3" s="700"/>
    </row>
    <row r="5" spans="1:7" x14ac:dyDescent="0.2">
      <c r="C5" s="2" t="s">
        <v>4</v>
      </c>
      <c r="D5" s="3" t="s">
        <v>0</v>
      </c>
      <c r="E5" s="4" t="s">
        <v>2</v>
      </c>
    </row>
    <row r="6" spans="1:7" x14ac:dyDescent="0.2">
      <c r="C6" s="5" t="s">
        <v>4</v>
      </c>
      <c r="D6" s="6" t="s">
        <v>1</v>
      </c>
      <c r="E6" s="7" t="s">
        <v>3</v>
      </c>
    </row>
    <row r="7" spans="1:7" x14ac:dyDescent="0.2">
      <c r="C7" s="2">
        <v>11</v>
      </c>
      <c r="D7" s="10">
        <v>0.61</v>
      </c>
      <c r="E7" s="4">
        <v>147.53</v>
      </c>
    </row>
    <row r="8" spans="1:7" x14ac:dyDescent="0.2">
      <c r="C8" s="8">
        <v>14</v>
      </c>
      <c r="D8" s="11">
        <v>0.75</v>
      </c>
      <c r="E8" s="9">
        <v>119.34</v>
      </c>
    </row>
    <row r="9" spans="1:7" x14ac:dyDescent="0.2">
      <c r="C9" s="8">
        <v>18</v>
      </c>
      <c r="D9" s="11">
        <v>0.86</v>
      </c>
      <c r="E9" s="9">
        <v>150.26</v>
      </c>
    </row>
    <row r="10" spans="1:7" x14ac:dyDescent="0.2">
      <c r="C10" s="8">
        <v>2</v>
      </c>
      <c r="D10" s="11">
        <v>0.91</v>
      </c>
      <c r="E10" s="9">
        <v>231.85</v>
      </c>
    </row>
    <row r="11" spans="1:7" x14ac:dyDescent="0.2">
      <c r="C11" s="8">
        <v>17</v>
      </c>
      <c r="D11" s="11">
        <v>1</v>
      </c>
      <c r="E11" s="9">
        <v>168.29</v>
      </c>
    </row>
    <row r="12" spans="1:7" x14ac:dyDescent="0.2">
      <c r="C12" s="8">
        <v>16</v>
      </c>
      <c r="D12" s="11">
        <v>1.9</v>
      </c>
      <c r="E12" s="9">
        <v>107.8</v>
      </c>
    </row>
    <row r="13" spans="1:7" x14ac:dyDescent="0.2">
      <c r="C13" s="8">
        <v>5</v>
      </c>
      <c r="D13" s="11">
        <v>1.93</v>
      </c>
      <c r="E13" s="9">
        <v>144.5</v>
      </c>
    </row>
    <row r="14" spans="1:7" x14ac:dyDescent="0.2">
      <c r="C14" s="8">
        <v>15</v>
      </c>
      <c r="D14" s="11">
        <v>2.2000000000000002</v>
      </c>
      <c r="E14" s="9">
        <v>71.099999999999994</v>
      </c>
    </row>
    <row r="15" spans="1:7" x14ac:dyDescent="0.2">
      <c r="C15" s="8">
        <v>8</v>
      </c>
      <c r="D15" s="11">
        <v>2.5</v>
      </c>
      <c r="E15" s="9">
        <v>107.6</v>
      </c>
    </row>
    <row r="16" spans="1:7" x14ac:dyDescent="0.2">
      <c r="C16" s="8">
        <v>13</v>
      </c>
      <c r="D16" s="11">
        <v>2.7</v>
      </c>
      <c r="E16" s="9">
        <v>93.42</v>
      </c>
    </row>
    <row r="17" spans="3:5" x14ac:dyDescent="0.2">
      <c r="C17" s="8">
        <v>1</v>
      </c>
      <c r="D17" s="11">
        <v>2.9</v>
      </c>
      <c r="E17" s="9">
        <v>104.01</v>
      </c>
    </row>
    <row r="18" spans="3:5" x14ac:dyDescent="0.2">
      <c r="C18" s="8">
        <v>6</v>
      </c>
      <c r="D18" s="11">
        <v>3</v>
      </c>
      <c r="E18" s="9">
        <v>52.66</v>
      </c>
    </row>
    <row r="19" spans="3:5" x14ac:dyDescent="0.2">
      <c r="C19" s="8">
        <v>10</v>
      </c>
      <c r="D19" s="11">
        <v>3.19</v>
      </c>
      <c r="E19" s="9">
        <v>79.900000000000006</v>
      </c>
    </row>
    <row r="20" spans="3:5" x14ac:dyDescent="0.2">
      <c r="C20" s="8">
        <v>12</v>
      </c>
      <c r="D20" s="11">
        <v>4.0999999999999996</v>
      </c>
      <c r="E20" s="9">
        <v>79.349999999999994</v>
      </c>
    </row>
    <row r="21" spans="3:5" x14ac:dyDescent="0.2">
      <c r="C21" s="8">
        <v>3</v>
      </c>
      <c r="D21" s="11">
        <v>4.4000000000000004</v>
      </c>
      <c r="E21" s="9">
        <v>55.5</v>
      </c>
    </row>
    <row r="22" spans="3:5" x14ac:dyDescent="0.2">
      <c r="C22" s="8">
        <v>4</v>
      </c>
      <c r="D22" s="11">
        <v>5.5</v>
      </c>
      <c r="E22" s="9">
        <v>41.35</v>
      </c>
    </row>
    <row r="23" spans="3:5" x14ac:dyDescent="0.2">
      <c r="C23" s="5">
        <v>7</v>
      </c>
      <c r="D23" s="12">
        <v>10.77</v>
      </c>
      <c r="E23" s="7">
        <v>42.48</v>
      </c>
    </row>
    <row r="50" spans="1:1" x14ac:dyDescent="0.2">
      <c r="A50" s="1" t="s">
        <v>6</v>
      </c>
    </row>
  </sheetData>
  <dataConsolidate function="stdDev"/>
  <mergeCells count="2">
    <mergeCell ref="A1:G2"/>
    <mergeCell ref="A3:G3"/>
  </mergeCells>
  <phoneticPr fontId="0" type="noConversion"/>
  <pageMargins left="1.59" right="0.75" top="1.38" bottom="1" header="0" footer="0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30" workbookViewId="0">
      <selection activeCell="I41" sqref="I41"/>
    </sheetView>
  </sheetViews>
  <sheetFormatPr baseColWidth="10" defaultRowHeight="12.75" x14ac:dyDescent="0.2"/>
  <sheetData>
    <row r="1" spans="1:7" x14ac:dyDescent="0.2">
      <c r="A1" s="700" t="s">
        <v>5</v>
      </c>
      <c r="B1" s="700"/>
      <c r="C1" s="700"/>
      <c r="D1" s="700"/>
      <c r="E1" s="700"/>
      <c r="F1" s="700"/>
      <c r="G1" s="700"/>
    </row>
    <row r="2" spans="1:7" x14ac:dyDescent="0.2">
      <c r="A2" s="700"/>
      <c r="B2" s="700"/>
      <c r="C2" s="700"/>
      <c r="D2" s="700"/>
      <c r="E2" s="700"/>
      <c r="F2" s="700"/>
      <c r="G2" s="700"/>
    </row>
    <row r="3" spans="1:7" ht="18" x14ac:dyDescent="0.25">
      <c r="A3" s="700">
        <v>1997</v>
      </c>
      <c r="B3" s="700"/>
      <c r="C3" s="700"/>
      <c r="D3" s="700"/>
      <c r="E3" s="700"/>
      <c r="F3" s="700"/>
      <c r="G3" s="700"/>
    </row>
    <row r="4" spans="1:7" x14ac:dyDescent="0.2">
      <c r="A4" s="1"/>
      <c r="B4" s="1"/>
      <c r="C4" s="1"/>
    </row>
    <row r="5" spans="1:7" x14ac:dyDescent="0.2">
      <c r="A5" s="1"/>
      <c r="B5" s="1"/>
      <c r="C5" s="2" t="s">
        <v>4</v>
      </c>
      <c r="D5" s="3" t="s">
        <v>0</v>
      </c>
      <c r="E5" s="4" t="s">
        <v>2</v>
      </c>
    </row>
    <row r="6" spans="1:7" x14ac:dyDescent="0.2">
      <c r="A6" s="1"/>
      <c r="B6" s="1"/>
      <c r="C6" s="5" t="s">
        <v>4</v>
      </c>
      <c r="D6" s="6" t="s">
        <v>1</v>
      </c>
      <c r="E6" s="7" t="s">
        <v>3</v>
      </c>
    </row>
    <row r="7" spans="1:7" x14ac:dyDescent="0.2">
      <c r="A7" s="1"/>
      <c r="B7" s="1"/>
      <c r="C7" s="2">
        <v>11</v>
      </c>
      <c r="D7" s="10">
        <v>1.1000000000000001</v>
      </c>
      <c r="E7" s="4">
        <v>149</v>
      </c>
    </row>
    <row r="8" spans="1:7" x14ac:dyDescent="0.2">
      <c r="A8" s="1"/>
      <c r="B8" s="1"/>
      <c r="C8" s="8">
        <v>14</v>
      </c>
      <c r="D8" s="11">
        <v>1.41</v>
      </c>
      <c r="E8" s="9">
        <v>117</v>
      </c>
    </row>
    <row r="9" spans="1:7" x14ac:dyDescent="0.2">
      <c r="A9" s="1"/>
      <c r="B9" s="1"/>
      <c r="C9" s="8">
        <v>18</v>
      </c>
      <c r="D9" s="11">
        <v>0.97</v>
      </c>
      <c r="E9" s="9">
        <v>125</v>
      </c>
    </row>
    <row r="10" spans="1:7" x14ac:dyDescent="0.2">
      <c r="A10" s="1"/>
      <c r="B10" s="1"/>
      <c r="C10" s="8"/>
      <c r="D10" s="11">
        <v>1.9</v>
      </c>
      <c r="E10" s="9">
        <v>21</v>
      </c>
    </row>
    <row r="11" spans="1:7" x14ac:dyDescent="0.2">
      <c r="A11" s="1"/>
      <c r="B11" s="1"/>
      <c r="C11" s="8">
        <v>17</v>
      </c>
      <c r="D11" s="11">
        <v>10.7</v>
      </c>
      <c r="E11" s="9">
        <v>29.3</v>
      </c>
    </row>
    <row r="12" spans="1:7" x14ac:dyDescent="0.2">
      <c r="A12" s="1"/>
      <c r="B12" s="1"/>
      <c r="C12" s="8">
        <v>16</v>
      </c>
      <c r="D12" s="11">
        <v>6.1</v>
      </c>
      <c r="E12" s="9">
        <v>24.48</v>
      </c>
    </row>
    <row r="13" spans="1:7" x14ac:dyDescent="0.2">
      <c r="A13" s="1"/>
      <c r="B13" s="1"/>
      <c r="C13" s="8">
        <v>5</v>
      </c>
      <c r="D13" s="11">
        <v>3.7</v>
      </c>
      <c r="E13" s="9">
        <v>95.2</v>
      </c>
    </row>
    <row r="14" spans="1:7" x14ac:dyDescent="0.2">
      <c r="A14" s="1"/>
      <c r="B14" s="1"/>
      <c r="C14" s="8">
        <v>15</v>
      </c>
      <c r="D14" s="11">
        <v>4.7</v>
      </c>
      <c r="E14" s="9">
        <v>80.39</v>
      </c>
    </row>
    <row r="15" spans="1:7" x14ac:dyDescent="0.2">
      <c r="A15" s="1"/>
      <c r="B15" s="1"/>
      <c r="C15" s="8">
        <v>8</v>
      </c>
      <c r="D15" s="11">
        <v>2</v>
      </c>
      <c r="E15" s="9">
        <v>148.5</v>
      </c>
    </row>
    <row r="16" spans="1:7" x14ac:dyDescent="0.2">
      <c r="A16" s="1"/>
      <c r="B16" s="1"/>
      <c r="C16" s="8">
        <v>13</v>
      </c>
      <c r="D16" s="11">
        <v>4.4000000000000004</v>
      </c>
      <c r="E16" s="9">
        <v>50.88</v>
      </c>
    </row>
    <row r="17" spans="1:5" x14ac:dyDescent="0.2">
      <c r="A17" s="1"/>
      <c r="B17" s="1"/>
      <c r="C17" s="8">
        <v>1</v>
      </c>
      <c r="D17" s="11">
        <v>2.46</v>
      </c>
      <c r="E17" s="9">
        <v>153</v>
      </c>
    </row>
    <row r="18" spans="1:5" x14ac:dyDescent="0.2">
      <c r="A18" s="1"/>
      <c r="B18" s="1"/>
      <c r="C18" s="8"/>
      <c r="D18" s="11"/>
      <c r="E18" s="9"/>
    </row>
    <row r="19" spans="1:5" x14ac:dyDescent="0.2">
      <c r="A19" s="1"/>
      <c r="B19" s="1"/>
      <c r="C19" s="8"/>
      <c r="D19" s="11"/>
      <c r="E19" s="9"/>
    </row>
    <row r="20" spans="1:5" x14ac:dyDescent="0.2">
      <c r="A20" s="1"/>
      <c r="B20" s="1"/>
      <c r="C20" s="8"/>
      <c r="D20" s="11"/>
      <c r="E20" s="9"/>
    </row>
    <row r="21" spans="1:5" x14ac:dyDescent="0.2">
      <c r="A21" s="1"/>
      <c r="B21" s="1"/>
      <c r="C21" s="8"/>
      <c r="D21" s="11"/>
      <c r="E21" s="9"/>
    </row>
    <row r="22" spans="1:5" x14ac:dyDescent="0.2">
      <c r="A22" s="1"/>
      <c r="B22" s="1"/>
      <c r="C22" s="8"/>
      <c r="D22" s="11"/>
      <c r="E22" s="9"/>
    </row>
    <row r="23" spans="1:5" x14ac:dyDescent="0.2">
      <c r="A23" s="1"/>
      <c r="B23" s="1"/>
      <c r="C23" s="5"/>
      <c r="D23" s="12"/>
      <c r="E23" s="7"/>
    </row>
    <row r="24" spans="1:5" x14ac:dyDescent="0.2">
      <c r="A24" s="1"/>
      <c r="B24" s="1"/>
      <c r="C24" s="1"/>
    </row>
    <row r="25" spans="1:5" x14ac:dyDescent="0.2">
      <c r="A25" s="1"/>
      <c r="B25" s="1"/>
      <c r="C25" s="1"/>
    </row>
    <row r="26" spans="1:5" x14ac:dyDescent="0.2">
      <c r="A26" s="1"/>
      <c r="B26" s="1"/>
      <c r="C26" s="1"/>
    </row>
    <row r="27" spans="1:5" x14ac:dyDescent="0.2">
      <c r="A27" s="1"/>
      <c r="B27" s="1"/>
      <c r="C27" s="1"/>
    </row>
    <row r="28" spans="1:5" x14ac:dyDescent="0.2">
      <c r="A28" s="1"/>
      <c r="B28" s="1"/>
      <c r="C28" s="1"/>
    </row>
    <row r="29" spans="1:5" x14ac:dyDescent="0.2">
      <c r="A29" s="1"/>
      <c r="B29" s="1"/>
      <c r="C29" s="1"/>
    </row>
    <row r="30" spans="1:5" x14ac:dyDescent="0.2">
      <c r="A30" s="1"/>
      <c r="B30" s="1"/>
      <c r="C30" s="1"/>
    </row>
    <row r="31" spans="1:5" x14ac:dyDescent="0.2">
      <c r="A31" s="1"/>
      <c r="B31" s="1"/>
      <c r="C31" s="1"/>
    </row>
    <row r="32" spans="1:5" x14ac:dyDescent="0.2">
      <c r="A32" s="1"/>
      <c r="B32" s="1"/>
      <c r="C32" s="1"/>
    </row>
    <row r="33" spans="1:9" x14ac:dyDescent="0.2">
      <c r="A33" s="1"/>
      <c r="B33" s="1"/>
      <c r="C33" s="1"/>
    </row>
    <row r="34" spans="1:9" x14ac:dyDescent="0.2">
      <c r="A34" s="1"/>
      <c r="B34" s="1"/>
      <c r="C34" s="1"/>
    </row>
    <row r="35" spans="1:9" x14ac:dyDescent="0.2">
      <c r="A35" s="1"/>
      <c r="B35" s="1"/>
      <c r="C35" s="1"/>
    </row>
    <row r="36" spans="1:9" x14ac:dyDescent="0.2">
      <c r="A36" s="1"/>
      <c r="B36" s="1"/>
      <c r="C36" s="1"/>
    </row>
    <row r="37" spans="1:9" x14ac:dyDescent="0.2">
      <c r="A37" s="1"/>
      <c r="B37" s="1"/>
      <c r="C37" s="1"/>
    </row>
    <row r="38" spans="1:9" x14ac:dyDescent="0.2">
      <c r="A38" s="1"/>
      <c r="B38" s="1"/>
      <c r="C38" s="1"/>
    </row>
    <row r="39" spans="1:9" x14ac:dyDescent="0.2">
      <c r="A39" s="1"/>
      <c r="B39" s="1"/>
      <c r="C39" s="1"/>
    </row>
    <row r="40" spans="1:9" x14ac:dyDescent="0.2">
      <c r="A40" s="1"/>
      <c r="B40" s="1"/>
      <c r="C40" s="1"/>
      <c r="I40">
        <f>50*86400/400</f>
        <v>10800</v>
      </c>
    </row>
    <row r="41" spans="1:9" x14ac:dyDescent="0.2">
      <c r="A41" s="1"/>
      <c r="B41" s="1"/>
      <c r="C41" s="1"/>
    </row>
    <row r="42" spans="1:9" x14ac:dyDescent="0.2">
      <c r="A42" s="1"/>
      <c r="B42" s="1"/>
      <c r="C42" s="1"/>
    </row>
    <row r="43" spans="1:9" x14ac:dyDescent="0.2">
      <c r="A43" s="1"/>
      <c r="B43" s="1"/>
      <c r="C43" s="1"/>
    </row>
    <row r="44" spans="1:9" x14ac:dyDescent="0.2">
      <c r="A44" s="1"/>
      <c r="B44" s="1"/>
      <c r="C44" s="1"/>
    </row>
    <row r="45" spans="1:9" x14ac:dyDescent="0.2">
      <c r="A45" s="1"/>
      <c r="B45" s="1"/>
      <c r="C45" s="1"/>
    </row>
    <row r="46" spans="1:9" x14ac:dyDescent="0.2">
      <c r="A46" s="1"/>
      <c r="B46" s="1"/>
      <c r="C46" s="1"/>
    </row>
    <row r="47" spans="1:9" x14ac:dyDescent="0.2">
      <c r="A47" s="1"/>
      <c r="B47" s="1"/>
      <c r="C47" s="1"/>
    </row>
    <row r="48" spans="1:9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 t="s">
        <v>6</v>
      </c>
      <c r="B50" s="1"/>
      <c r="C50" s="1"/>
    </row>
  </sheetData>
  <mergeCells count="2">
    <mergeCell ref="A1:G2"/>
    <mergeCell ref="A3:G3"/>
  </mergeCells>
  <phoneticPr fontId="0" type="noConversion"/>
  <pageMargins left="0.76" right="0.75" top="1" bottom="1" header="0" footer="0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I22" sqref="I22"/>
    </sheetView>
  </sheetViews>
  <sheetFormatPr baseColWidth="10" defaultRowHeight="12.75" x14ac:dyDescent="0.2"/>
  <sheetData>
    <row r="1" spans="1:7" x14ac:dyDescent="0.2">
      <c r="A1" s="700" t="s">
        <v>5</v>
      </c>
      <c r="B1" s="700"/>
      <c r="C1" s="700"/>
      <c r="D1" s="700"/>
      <c r="E1" s="700"/>
      <c r="F1" s="700"/>
      <c r="G1" s="700"/>
    </row>
    <row r="2" spans="1:7" x14ac:dyDescent="0.2">
      <c r="A2" s="700"/>
      <c r="B2" s="700"/>
      <c r="C2" s="700"/>
      <c r="D2" s="700"/>
      <c r="E2" s="700"/>
      <c r="F2" s="700"/>
      <c r="G2" s="700"/>
    </row>
    <row r="3" spans="1:7" ht="18" x14ac:dyDescent="0.25">
      <c r="A3" s="700">
        <v>1999</v>
      </c>
      <c r="B3" s="700"/>
      <c r="C3" s="700"/>
      <c r="D3" s="700"/>
      <c r="E3" s="700"/>
      <c r="F3" s="700"/>
      <c r="G3" s="700"/>
    </row>
    <row r="4" spans="1:7" x14ac:dyDescent="0.2">
      <c r="A4" s="1"/>
      <c r="B4" s="1"/>
      <c r="C4" s="1"/>
    </row>
    <row r="5" spans="1:7" x14ac:dyDescent="0.2">
      <c r="A5" s="1"/>
      <c r="B5" s="1"/>
      <c r="C5" s="2" t="s">
        <v>4</v>
      </c>
      <c r="D5" s="3" t="s">
        <v>0</v>
      </c>
      <c r="E5" s="4" t="s">
        <v>2</v>
      </c>
    </row>
    <row r="6" spans="1:7" x14ac:dyDescent="0.2">
      <c r="A6" s="1"/>
      <c r="B6" s="1"/>
      <c r="C6" s="5" t="s">
        <v>4</v>
      </c>
      <c r="D6" s="6" t="s">
        <v>1</v>
      </c>
      <c r="E6" s="7" t="s">
        <v>3</v>
      </c>
    </row>
    <row r="7" spans="1:7" x14ac:dyDescent="0.2">
      <c r="A7" s="1"/>
      <c r="B7" s="1"/>
      <c r="C7" s="2">
        <v>11</v>
      </c>
      <c r="D7" s="10">
        <v>2.93</v>
      </c>
      <c r="E7" s="4">
        <v>83.37</v>
      </c>
    </row>
    <row r="8" spans="1:7" x14ac:dyDescent="0.2">
      <c r="A8" s="1"/>
      <c r="B8" s="1"/>
      <c r="C8" s="8">
        <v>14</v>
      </c>
      <c r="D8" s="11">
        <v>5</v>
      </c>
      <c r="E8" s="9">
        <v>70.5</v>
      </c>
    </row>
    <row r="9" spans="1:7" x14ac:dyDescent="0.2">
      <c r="A9" s="1"/>
      <c r="B9" s="1"/>
      <c r="C9" s="8">
        <v>18</v>
      </c>
      <c r="D9" s="11">
        <v>3.85</v>
      </c>
      <c r="E9" s="9">
        <v>70.62</v>
      </c>
    </row>
    <row r="10" spans="1:7" x14ac:dyDescent="0.2">
      <c r="A10" s="1"/>
      <c r="B10" s="1"/>
      <c r="C10" s="8"/>
      <c r="D10" s="11">
        <v>3.7</v>
      </c>
      <c r="E10" s="9"/>
    </row>
    <row r="11" spans="1:7" x14ac:dyDescent="0.2">
      <c r="A11" s="1"/>
      <c r="B11" s="1"/>
      <c r="C11" s="8">
        <v>17</v>
      </c>
      <c r="D11" s="11">
        <v>1.1499999999999999</v>
      </c>
      <c r="E11" s="9">
        <v>127</v>
      </c>
    </row>
    <row r="12" spans="1:7" x14ac:dyDescent="0.2">
      <c r="A12" s="1"/>
      <c r="B12" s="1"/>
      <c r="C12" s="8">
        <v>16</v>
      </c>
      <c r="D12" s="11">
        <v>2.7</v>
      </c>
      <c r="E12" s="9">
        <v>87.5</v>
      </c>
    </row>
    <row r="13" spans="1:7" x14ac:dyDescent="0.2">
      <c r="A13" s="1"/>
      <c r="B13" s="1"/>
      <c r="C13" s="8">
        <v>5</v>
      </c>
      <c r="D13" s="11">
        <v>4.2</v>
      </c>
      <c r="E13" s="9">
        <v>59.18</v>
      </c>
    </row>
    <row r="14" spans="1:7" x14ac:dyDescent="0.2">
      <c r="A14" s="1"/>
      <c r="B14" s="1"/>
      <c r="C14" s="8">
        <v>15</v>
      </c>
      <c r="D14" s="11">
        <v>3.2</v>
      </c>
      <c r="E14" s="9">
        <v>78.900000000000006</v>
      </c>
    </row>
    <row r="15" spans="1:7" x14ac:dyDescent="0.2">
      <c r="A15" s="1"/>
      <c r="B15" s="1"/>
      <c r="C15" s="8">
        <v>8</v>
      </c>
      <c r="D15" s="11">
        <v>1.1000000000000001</v>
      </c>
      <c r="E15" s="9">
        <v>147</v>
      </c>
      <c r="G15">
        <f>162/1.1</f>
        <v>147.27272727272725</v>
      </c>
    </row>
    <row r="16" spans="1:7" x14ac:dyDescent="0.2">
      <c r="A16" s="1"/>
      <c r="B16" s="1"/>
      <c r="C16" s="8">
        <v>13</v>
      </c>
      <c r="D16" s="11">
        <v>2.93</v>
      </c>
      <c r="E16" s="9">
        <v>104</v>
      </c>
      <c r="G16">
        <f>305/2.93</f>
        <v>104.09556313993174</v>
      </c>
    </row>
    <row r="17" spans="1:5" x14ac:dyDescent="0.2">
      <c r="A17" s="1"/>
      <c r="B17" s="1"/>
      <c r="C17" s="8">
        <v>1</v>
      </c>
      <c r="D17" s="11">
        <v>2.5</v>
      </c>
      <c r="E17" s="9">
        <v>175</v>
      </c>
    </row>
    <row r="18" spans="1:5" x14ac:dyDescent="0.2">
      <c r="A18" s="1"/>
      <c r="B18" s="1"/>
      <c r="C18" s="8"/>
      <c r="D18" s="11"/>
      <c r="E18" s="9"/>
    </row>
    <row r="19" spans="1:5" x14ac:dyDescent="0.2">
      <c r="A19" s="1"/>
      <c r="B19" s="1"/>
      <c r="C19" s="8"/>
      <c r="D19" s="11"/>
      <c r="E19" s="9"/>
    </row>
    <row r="20" spans="1:5" x14ac:dyDescent="0.2">
      <c r="A20" s="1"/>
      <c r="B20" s="1"/>
      <c r="C20" s="8"/>
      <c r="D20" s="11"/>
      <c r="E20" s="9"/>
    </row>
    <row r="21" spans="1:5" x14ac:dyDescent="0.2">
      <c r="A21" s="1"/>
      <c r="B21" s="1"/>
      <c r="C21" s="8"/>
      <c r="D21" s="11"/>
      <c r="E21" s="9"/>
    </row>
    <row r="22" spans="1:5" x14ac:dyDescent="0.2">
      <c r="A22" s="1"/>
      <c r="B22" s="1"/>
      <c r="C22" s="8"/>
      <c r="D22" s="11"/>
      <c r="E22" s="9"/>
    </row>
    <row r="23" spans="1:5" x14ac:dyDescent="0.2">
      <c r="A23" s="1"/>
      <c r="B23" s="1"/>
      <c r="C23" s="5"/>
      <c r="D23" s="12"/>
      <c r="E23" s="7"/>
    </row>
    <row r="24" spans="1:5" x14ac:dyDescent="0.2">
      <c r="A24" s="1"/>
      <c r="B24" s="1"/>
      <c r="C24" s="1"/>
    </row>
    <row r="25" spans="1:5" x14ac:dyDescent="0.2">
      <c r="A25" s="1"/>
      <c r="B25" s="1"/>
      <c r="C25" s="1"/>
    </row>
    <row r="26" spans="1:5" x14ac:dyDescent="0.2">
      <c r="A26" s="1"/>
      <c r="B26" s="1"/>
      <c r="C26" s="1"/>
    </row>
    <row r="27" spans="1:5" x14ac:dyDescent="0.2">
      <c r="A27" s="1"/>
      <c r="B27" s="1"/>
      <c r="C27" s="1"/>
    </row>
    <row r="28" spans="1:5" x14ac:dyDescent="0.2">
      <c r="A28" s="1"/>
      <c r="B28" s="1"/>
      <c r="C28" s="1"/>
    </row>
    <row r="29" spans="1:5" x14ac:dyDescent="0.2">
      <c r="A29" s="1"/>
      <c r="B29" s="1"/>
      <c r="C29" s="1"/>
    </row>
    <row r="30" spans="1:5" x14ac:dyDescent="0.2">
      <c r="A30" s="1"/>
      <c r="B30" s="1"/>
      <c r="C30" s="1"/>
    </row>
    <row r="31" spans="1:5" x14ac:dyDescent="0.2">
      <c r="A31" s="1"/>
      <c r="B31" s="1"/>
      <c r="C31" s="1"/>
    </row>
    <row r="32" spans="1:5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 t="s">
        <v>6</v>
      </c>
      <c r="B50" s="1"/>
      <c r="C50" s="1"/>
    </row>
  </sheetData>
  <mergeCells count="2">
    <mergeCell ref="A1:G2"/>
    <mergeCell ref="A3:G3"/>
  </mergeCells>
  <phoneticPr fontId="0" type="noConversion"/>
  <pageMargins left="0.99" right="0.75" top="1" bottom="1" header="0" footer="0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Q30"/>
  <sheetViews>
    <sheetView zoomScale="75" zoomScaleNormal="100" workbookViewId="0">
      <pane xSplit="2" ySplit="3" topLeftCell="C7" activePane="bottomRight" state="frozenSplit"/>
      <selection pane="topRight" activeCell="D4" sqref="D4"/>
      <selection pane="bottomLeft" activeCell="C4" sqref="C4:C6"/>
      <selection pane="bottomRight" activeCell="L32" sqref="L32"/>
    </sheetView>
  </sheetViews>
  <sheetFormatPr baseColWidth="10" defaultRowHeight="12.75" x14ac:dyDescent="0.2"/>
  <cols>
    <col min="1" max="1" width="16.85546875" bestFit="1" customWidth="1"/>
    <col min="2" max="2" width="10.28515625" customWidth="1"/>
    <col min="3" max="3" width="52.28515625" hidden="1" customWidth="1"/>
    <col min="4" max="4" width="11.5703125" style="16" customWidth="1"/>
    <col min="5" max="5" width="9" customWidth="1"/>
    <col min="6" max="11" width="11.5703125" bestFit="1" customWidth="1"/>
    <col min="12" max="12" width="12.28515625" bestFit="1" customWidth="1"/>
    <col min="13" max="13" width="11.5703125" style="66" hidden="1" customWidth="1"/>
    <col min="14" max="14" width="11.5703125" style="66" bestFit="1" customWidth="1"/>
  </cols>
  <sheetData>
    <row r="2" spans="1:14" ht="2.25" customHeight="1" thickBot="1" x14ac:dyDescent="0.25">
      <c r="A2" s="44"/>
      <c r="B2" s="44"/>
    </row>
    <row r="3" spans="1:14" ht="53.25" customHeight="1" thickBot="1" x14ac:dyDescent="0.25">
      <c r="A3" s="47" t="s">
        <v>4</v>
      </c>
      <c r="B3" s="47" t="s">
        <v>46</v>
      </c>
      <c r="C3" s="47" t="s">
        <v>33</v>
      </c>
      <c r="D3" s="70" t="s">
        <v>36</v>
      </c>
      <c r="E3" s="55" t="s">
        <v>34</v>
      </c>
      <c r="F3" s="23" t="s">
        <v>28</v>
      </c>
      <c r="G3" s="23" t="s">
        <v>9</v>
      </c>
      <c r="H3" s="23" t="s">
        <v>29</v>
      </c>
      <c r="I3" s="23" t="s">
        <v>37</v>
      </c>
      <c r="J3" s="23" t="s">
        <v>62</v>
      </c>
      <c r="K3" s="23" t="s">
        <v>15</v>
      </c>
      <c r="L3" s="23" t="s">
        <v>17</v>
      </c>
      <c r="M3" s="67" t="s">
        <v>23</v>
      </c>
      <c r="N3" s="67" t="s">
        <v>18</v>
      </c>
    </row>
    <row r="4" spans="1:14" ht="15" customHeight="1" x14ac:dyDescent="0.2">
      <c r="A4" s="62" t="s">
        <v>59</v>
      </c>
      <c r="B4" s="707">
        <v>1999</v>
      </c>
      <c r="C4" s="41" t="s">
        <v>59</v>
      </c>
      <c r="D4" s="71"/>
      <c r="E4" s="63"/>
      <c r="F4" s="64">
        <v>1180</v>
      </c>
      <c r="G4" s="64">
        <v>2.2000000000000002</v>
      </c>
      <c r="H4" s="24">
        <f>+H$21*F4</f>
        <v>401.20000000000005</v>
      </c>
      <c r="I4" s="64">
        <v>332</v>
      </c>
      <c r="J4" s="59">
        <f>+I4/1000</f>
        <v>0.33200000000000002</v>
      </c>
      <c r="K4" s="59">
        <f>+G4*J4</f>
        <v>0.73040000000000005</v>
      </c>
      <c r="L4" s="59">
        <f>+K4/100*H4</f>
        <v>2.9303648000000004</v>
      </c>
      <c r="M4" s="22">
        <f>+L4-(L4*0.2)</f>
        <v>2.3442918400000003</v>
      </c>
      <c r="N4" s="22">
        <f>+M4*0.4</f>
        <v>0.93771673600000016</v>
      </c>
    </row>
    <row r="5" spans="1:14" ht="24" customHeight="1" x14ac:dyDescent="0.2">
      <c r="A5" s="65" t="s">
        <v>64</v>
      </c>
      <c r="B5" s="708"/>
      <c r="C5" s="41" t="s">
        <v>64</v>
      </c>
      <c r="D5" s="71"/>
      <c r="E5" s="63"/>
      <c r="F5" s="64">
        <v>1550</v>
      </c>
      <c r="G5" s="64">
        <v>2.5</v>
      </c>
      <c r="H5" s="24">
        <f>+H$21*F5</f>
        <v>527</v>
      </c>
      <c r="I5" s="64">
        <v>600</v>
      </c>
      <c r="J5" s="59">
        <f>+I5/1000</f>
        <v>0.6</v>
      </c>
      <c r="K5" s="59">
        <f>+G5*J5</f>
        <v>1.5</v>
      </c>
      <c r="L5" s="59">
        <f>+K5/100*H5</f>
        <v>7.9049999999999994</v>
      </c>
      <c r="M5" s="22">
        <f>+L5-(L5*0.2)</f>
        <v>6.3239999999999998</v>
      </c>
      <c r="N5" s="22">
        <f>+M5*0.4</f>
        <v>2.5296000000000003</v>
      </c>
    </row>
    <row r="6" spans="1:14" ht="16.5" customHeight="1" thickBot="1" x14ac:dyDescent="0.25">
      <c r="A6" s="62" t="s">
        <v>65</v>
      </c>
      <c r="B6" s="709"/>
      <c r="C6" s="41" t="s">
        <v>65</v>
      </c>
      <c r="D6" s="71"/>
      <c r="E6" s="63"/>
      <c r="F6" s="64">
        <v>511.34</v>
      </c>
      <c r="G6" s="64">
        <v>1.7</v>
      </c>
      <c r="H6" s="24">
        <f>+H$21*F6</f>
        <v>173.85560000000001</v>
      </c>
      <c r="I6" s="64">
        <v>260</v>
      </c>
      <c r="J6" s="59">
        <f>+I6/1000</f>
        <v>0.26</v>
      </c>
      <c r="K6" s="59">
        <f>+G6*J6</f>
        <v>0.442</v>
      </c>
      <c r="L6" s="59">
        <f>+K6/100*H6</f>
        <v>0.76844175200000009</v>
      </c>
      <c r="M6" s="22">
        <f>+L6-(L6*0.2)</f>
        <v>0.61475340160000003</v>
      </c>
      <c r="N6" s="22">
        <f>+M6*0.4</f>
        <v>0.24590136064000001</v>
      </c>
    </row>
    <row r="7" spans="1:14" s="200" customFormat="1" x14ac:dyDescent="0.2">
      <c r="A7" s="49" t="s">
        <v>32</v>
      </c>
      <c r="B7" s="704">
        <v>2000</v>
      </c>
      <c r="C7" s="301" t="s">
        <v>35</v>
      </c>
      <c r="D7" s="302">
        <v>64000</v>
      </c>
      <c r="E7" s="303" t="s">
        <v>38</v>
      </c>
      <c r="F7" s="61">
        <v>2431.69</v>
      </c>
      <c r="G7" s="61">
        <v>4.45</v>
      </c>
      <c r="H7" s="304">
        <f>+H$21*F7</f>
        <v>826.77460000000008</v>
      </c>
      <c r="I7" s="61">
        <v>477.44</v>
      </c>
      <c r="J7" s="305">
        <f>+I7/1000</f>
        <v>0.47743999999999998</v>
      </c>
      <c r="K7" s="305">
        <f>+G7*J7</f>
        <v>2.1246079999999998</v>
      </c>
      <c r="L7" s="305">
        <f>+K7/100*H7</f>
        <v>17.565719293567998</v>
      </c>
      <c r="M7" s="68">
        <f>+L7-(L7*0.2)</f>
        <v>14.052575434854399</v>
      </c>
      <c r="N7" s="68">
        <f>+M7*0.4</f>
        <v>5.6210301739417599</v>
      </c>
    </row>
    <row r="8" spans="1:14" x14ac:dyDescent="0.2">
      <c r="A8" s="49" t="s">
        <v>47</v>
      </c>
      <c r="B8" s="705"/>
      <c r="C8" s="41" t="s">
        <v>48</v>
      </c>
      <c r="D8" s="72">
        <v>62792</v>
      </c>
      <c r="E8" s="19" t="s">
        <v>40</v>
      </c>
      <c r="F8" s="21">
        <v>905.38</v>
      </c>
      <c r="G8" s="21">
        <v>3.9</v>
      </c>
      <c r="H8" s="24">
        <f t="shared" ref="H8:H18" si="0">+H$21*F8</f>
        <v>307.82920000000001</v>
      </c>
      <c r="I8" s="21">
        <v>900</v>
      </c>
      <c r="J8" s="59">
        <f t="shared" ref="J8:J18" si="1">+I8/1000</f>
        <v>0.9</v>
      </c>
      <c r="K8" s="59">
        <f t="shared" ref="K8:K18" si="2">+G8*J8</f>
        <v>3.51</v>
      </c>
      <c r="L8" s="59">
        <f t="shared" ref="L8:L18" si="3">+K8/100*H8</f>
        <v>10.80480492</v>
      </c>
      <c r="M8" s="22">
        <f t="shared" ref="M8:M18" si="4">+L8-(L8*0.2)</f>
        <v>8.6438439359999997</v>
      </c>
      <c r="N8" s="22">
        <f t="shared" ref="N8:N18" si="5">+M8*0.4</f>
        <v>3.4575375743999999</v>
      </c>
    </row>
    <row r="9" spans="1:14" ht="13.5" thickBot="1" x14ac:dyDescent="0.25">
      <c r="A9" s="43" t="s">
        <v>49</v>
      </c>
      <c r="B9" s="706"/>
      <c r="C9" s="42" t="s">
        <v>50</v>
      </c>
      <c r="D9" s="73">
        <v>73800</v>
      </c>
      <c r="E9" s="56" t="s">
        <v>40</v>
      </c>
      <c r="F9" s="21">
        <v>340.22</v>
      </c>
      <c r="G9" s="21">
        <v>3.9</v>
      </c>
      <c r="H9" s="24">
        <f t="shared" si="0"/>
        <v>115.67480000000002</v>
      </c>
      <c r="I9" s="21">
        <v>500</v>
      </c>
      <c r="J9" s="59">
        <f t="shared" si="1"/>
        <v>0.5</v>
      </c>
      <c r="K9" s="59">
        <f t="shared" si="2"/>
        <v>1.95</v>
      </c>
      <c r="L9" s="59">
        <f t="shared" si="3"/>
        <v>2.2556586000000003</v>
      </c>
      <c r="M9" s="22">
        <f t="shared" si="4"/>
        <v>1.8045268800000003</v>
      </c>
      <c r="N9" s="22">
        <f t="shared" si="5"/>
        <v>0.72181075200000011</v>
      </c>
    </row>
    <row r="10" spans="1:14" x14ac:dyDescent="0.2">
      <c r="A10" s="50" t="s">
        <v>51</v>
      </c>
      <c r="B10" s="704">
        <v>2001</v>
      </c>
      <c r="C10" s="52" t="s">
        <v>52</v>
      </c>
      <c r="D10" s="74">
        <v>139200</v>
      </c>
      <c r="E10" s="57" t="s">
        <v>38</v>
      </c>
      <c r="F10" s="21">
        <v>478.49</v>
      </c>
      <c r="G10" s="21">
        <v>3.9</v>
      </c>
      <c r="H10" s="24">
        <f t="shared" si="0"/>
        <v>162.68660000000003</v>
      </c>
      <c r="I10" s="21">
        <v>800</v>
      </c>
      <c r="J10" s="59">
        <f t="shared" si="1"/>
        <v>0.8</v>
      </c>
      <c r="K10" s="59">
        <f t="shared" si="2"/>
        <v>3.12</v>
      </c>
      <c r="L10" s="59">
        <f t="shared" si="3"/>
        <v>5.075821920000001</v>
      </c>
      <c r="M10" s="22">
        <f t="shared" si="4"/>
        <v>4.0606575360000008</v>
      </c>
      <c r="N10" s="22">
        <f t="shared" si="5"/>
        <v>1.6242630144000003</v>
      </c>
    </row>
    <row r="11" spans="1:14" x14ac:dyDescent="0.2">
      <c r="A11" s="49" t="s">
        <v>53</v>
      </c>
      <c r="B11" s="705"/>
      <c r="C11" s="41" t="s">
        <v>54</v>
      </c>
      <c r="D11" s="72">
        <v>260000</v>
      </c>
      <c r="E11" s="19" t="s">
        <v>55</v>
      </c>
      <c r="F11" s="21">
        <v>1661</v>
      </c>
      <c r="G11" s="21">
        <v>2.7</v>
      </c>
      <c r="H11" s="24">
        <f t="shared" si="0"/>
        <v>564.74</v>
      </c>
      <c r="I11" s="21">
        <v>1312</v>
      </c>
      <c r="J11" s="59">
        <f t="shared" si="1"/>
        <v>1.3120000000000001</v>
      </c>
      <c r="K11" s="59">
        <f t="shared" si="2"/>
        <v>3.5424000000000002</v>
      </c>
      <c r="L11" s="59">
        <f t="shared" si="3"/>
        <v>20.005349760000001</v>
      </c>
      <c r="M11" s="22">
        <f t="shared" si="4"/>
        <v>16.004279808</v>
      </c>
      <c r="N11" s="22">
        <f t="shared" si="5"/>
        <v>6.4017119232000006</v>
      </c>
    </row>
    <row r="12" spans="1:14" x14ac:dyDescent="0.2">
      <c r="A12" s="49" t="s">
        <v>56</v>
      </c>
      <c r="B12" s="705"/>
      <c r="C12" s="41" t="s">
        <v>57</v>
      </c>
      <c r="D12" s="72">
        <v>139329.73000000001</v>
      </c>
      <c r="E12" s="19" t="s">
        <v>55</v>
      </c>
      <c r="F12" s="21">
        <v>1972.59</v>
      </c>
      <c r="G12" s="21">
        <v>6.8</v>
      </c>
      <c r="H12" s="24">
        <f t="shared" si="0"/>
        <v>670.68060000000003</v>
      </c>
      <c r="I12" s="21">
        <v>650</v>
      </c>
      <c r="J12" s="59">
        <f t="shared" si="1"/>
        <v>0.65</v>
      </c>
      <c r="K12" s="59">
        <f t="shared" si="2"/>
        <v>4.42</v>
      </c>
      <c r="L12" s="59">
        <f t="shared" si="3"/>
        <v>29.644082519999998</v>
      </c>
      <c r="M12" s="22">
        <f t="shared" si="4"/>
        <v>23.715266015999998</v>
      </c>
      <c r="N12" s="22">
        <f t="shared" si="5"/>
        <v>9.4861064063999994</v>
      </c>
    </row>
    <row r="13" spans="1:14" x14ac:dyDescent="0.2">
      <c r="A13" s="49" t="s">
        <v>58</v>
      </c>
      <c r="B13" s="705"/>
      <c r="C13" s="49" t="s">
        <v>60</v>
      </c>
      <c r="D13" s="72">
        <v>135200</v>
      </c>
      <c r="E13" s="19" t="s">
        <v>40</v>
      </c>
      <c r="F13" s="21">
        <v>676.29</v>
      </c>
      <c r="G13" s="21">
        <v>5.4</v>
      </c>
      <c r="H13" s="24">
        <f t="shared" si="0"/>
        <v>229.93860000000001</v>
      </c>
      <c r="I13" s="21">
        <v>1550</v>
      </c>
      <c r="J13" s="59">
        <f t="shared" si="1"/>
        <v>1.55</v>
      </c>
      <c r="K13" s="59">
        <f t="shared" si="2"/>
        <v>8.370000000000001</v>
      </c>
      <c r="L13" s="59">
        <f t="shared" si="3"/>
        <v>19.245860820000004</v>
      </c>
      <c r="M13" s="22">
        <f t="shared" si="4"/>
        <v>15.396688656000004</v>
      </c>
      <c r="N13" s="22">
        <f t="shared" si="5"/>
        <v>6.1586754624000015</v>
      </c>
    </row>
    <row r="14" spans="1:14" ht="13.5" thickBot="1" x14ac:dyDescent="0.25">
      <c r="A14" s="43" t="s">
        <v>59</v>
      </c>
      <c r="B14" s="706"/>
      <c r="C14" s="42" t="s">
        <v>61</v>
      </c>
      <c r="D14" s="73"/>
      <c r="E14" s="56" t="s">
        <v>40</v>
      </c>
      <c r="F14" s="21">
        <v>1179.5899999999999</v>
      </c>
      <c r="G14" s="21">
        <v>2.2000000000000002</v>
      </c>
      <c r="H14" s="24">
        <f t="shared" si="0"/>
        <v>401.06060000000002</v>
      </c>
      <c r="I14" s="21">
        <v>1500</v>
      </c>
      <c r="J14" s="59">
        <f t="shared" si="1"/>
        <v>1.5</v>
      </c>
      <c r="K14" s="59">
        <f t="shared" si="2"/>
        <v>3.3000000000000003</v>
      </c>
      <c r="L14" s="59">
        <f t="shared" si="3"/>
        <v>13.234999800000001</v>
      </c>
      <c r="M14" s="22">
        <f t="shared" si="4"/>
        <v>10.58799984</v>
      </c>
      <c r="N14" s="22">
        <f t="shared" si="5"/>
        <v>4.2351999359999999</v>
      </c>
    </row>
    <row r="15" spans="1:14" ht="14.25" customHeight="1" x14ac:dyDescent="0.2">
      <c r="A15" s="48" t="s">
        <v>7</v>
      </c>
      <c r="B15" s="701">
        <v>2002</v>
      </c>
      <c r="C15" s="53" t="s">
        <v>44</v>
      </c>
      <c r="D15" s="74">
        <v>965828.27</v>
      </c>
      <c r="E15" s="57" t="s">
        <v>40</v>
      </c>
      <c r="F15" s="21">
        <v>5160</v>
      </c>
      <c r="G15" s="21">
        <v>1.6</v>
      </c>
      <c r="H15" s="24">
        <f t="shared" si="0"/>
        <v>1754.4</v>
      </c>
      <c r="I15" s="21">
        <v>2171</v>
      </c>
      <c r="J15" s="59">
        <f t="shared" si="1"/>
        <v>2.1709999999999998</v>
      </c>
      <c r="K15" s="59">
        <f t="shared" si="2"/>
        <v>3.4735999999999998</v>
      </c>
      <c r="L15" s="59">
        <f t="shared" si="3"/>
        <v>60.940838399999997</v>
      </c>
      <c r="M15" s="22">
        <f t="shared" si="4"/>
        <v>48.752670719999998</v>
      </c>
      <c r="N15" s="22">
        <f t="shared" si="5"/>
        <v>19.501068287999999</v>
      </c>
    </row>
    <row r="16" spans="1:14" ht="21" customHeight="1" x14ac:dyDescent="0.2">
      <c r="A16" s="46" t="s">
        <v>41</v>
      </c>
      <c r="B16" s="702"/>
      <c r="C16" s="45" t="s">
        <v>39</v>
      </c>
      <c r="D16" s="72">
        <v>1804431.7</v>
      </c>
      <c r="E16" s="19" t="s">
        <v>40</v>
      </c>
      <c r="F16" s="21">
        <v>7570</v>
      </c>
      <c r="G16" s="21">
        <v>3.8</v>
      </c>
      <c r="H16" s="304">
        <f t="shared" si="0"/>
        <v>2573.8000000000002</v>
      </c>
      <c r="I16" s="21">
        <v>3447</v>
      </c>
      <c r="J16" s="59">
        <f t="shared" si="1"/>
        <v>3.4470000000000001</v>
      </c>
      <c r="K16" s="59">
        <f t="shared" si="2"/>
        <v>13.098599999999999</v>
      </c>
      <c r="L16" s="59">
        <f t="shared" si="3"/>
        <v>337.13176679999998</v>
      </c>
      <c r="M16" s="22">
        <f t="shared" si="4"/>
        <v>269.70541343999997</v>
      </c>
      <c r="N16" s="22">
        <f t="shared" si="5"/>
        <v>107.88216537599999</v>
      </c>
    </row>
    <row r="17" spans="1:17" ht="27" customHeight="1" x14ac:dyDescent="0.2">
      <c r="A17" s="46" t="s">
        <v>42</v>
      </c>
      <c r="B17" s="702"/>
      <c r="C17" s="45" t="s">
        <v>43</v>
      </c>
      <c r="D17" s="72">
        <v>2593897.87</v>
      </c>
      <c r="E17" s="19" t="s">
        <v>40</v>
      </c>
      <c r="F17" s="21">
        <v>4531</v>
      </c>
      <c r="G17" s="21">
        <v>4.45</v>
      </c>
      <c r="H17" s="304">
        <f t="shared" si="0"/>
        <v>1540.5400000000002</v>
      </c>
      <c r="I17" s="21">
        <v>4910</v>
      </c>
      <c r="J17" s="59">
        <f t="shared" si="1"/>
        <v>4.91</v>
      </c>
      <c r="K17" s="59">
        <f t="shared" si="2"/>
        <v>21.849500000000003</v>
      </c>
      <c r="L17" s="59">
        <f t="shared" si="3"/>
        <v>336.6002873000001</v>
      </c>
      <c r="M17" s="22">
        <f t="shared" si="4"/>
        <v>269.28022984000006</v>
      </c>
      <c r="N17" s="22">
        <f t="shared" si="5"/>
        <v>107.71209193600004</v>
      </c>
    </row>
    <row r="18" spans="1:17" ht="14.25" customHeight="1" thickBot="1" x14ac:dyDescent="0.25">
      <c r="A18" s="51" t="s">
        <v>31</v>
      </c>
      <c r="B18" s="703"/>
      <c r="C18" s="54" t="s">
        <v>45</v>
      </c>
      <c r="D18" s="73">
        <v>374341.96</v>
      </c>
      <c r="E18" s="56" t="s">
        <v>40</v>
      </c>
      <c r="F18" s="21">
        <v>1121</v>
      </c>
      <c r="G18" s="21">
        <v>4.45</v>
      </c>
      <c r="H18" s="24">
        <f t="shared" si="0"/>
        <v>381.14000000000004</v>
      </c>
      <c r="I18" s="21">
        <v>1000</v>
      </c>
      <c r="J18" s="59">
        <f t="shared" si="1"/>
        <v>1</v>
      </c>
      <c r="K18" s="59">
        <f t="shared" si="2"/>
        <v>4.45</v>
      </c>
      <c r="L18" s="59">
        <f t="shared" si="3"/>
        <v>16.960730000000005</v>
      </c>
      <c r="M18" s="22">
        <f t="shared" si="4"/>
        <v>13.568584000000005</v>
      </c>
      <c r="N18" s="308">
        <f t="shared" si="5"/>
        <v>5.4274336000000023</v>
      </c>
    </row>
    <row r="19" spans="1:17" ht="13.5" thickBot="1" x14ac:dyDescent="0.25">
      <c r="D19" s="16">
        <f>SUM(D4:D18)</f>
        <v>6612821.5300000003</v>
      </c>
      <c r="F19" s="58"/>
      <c r="G19" s="58">
        <f>AVERAGE(G7:G18)</f>
        <v>3.9625000000000004</v>
      </c>
      <c r="H19" s="58"/>
      <c r="I19" s="58"/>
      <c r="J19" s="58"/>
      <c r="K19" s="58"/>
      <c r="L19" s="60">
        <f>SUM(L7:L18)</f>
        <v>869.46592013356815</v>
      </c>
      <c r="M19" s="307">
        <f>SUM(M7:M18)</f>
        <v>695.57273610685445</v>
      </c>
      <c r="N19" s="107">
        <f>SUM(N4:N18)</f>
        <v>281.94231253938182</v>
      </c>
    </row>
    <row r="20" spans="1:17" x14ac:dyDescent="0.2">
      <c r="M20" s="69"/>
      <c r="N20" s="69"/>
    </row>
    <row r="21" spans="1:17" x14ac:dyDescent="0.2">
      <c r="F21" s="14" t="s">
        <v>16</v>
      </c>
      <c r="H21" s="15">
        <v>0.34</v>
      </c>
      <c r="I21" s="15"/>
      <c r="O21" s="22">
        <f>SUM(N7:N18)</f>
        <v>278.22909444274183</v>
      </c>
      <c r="P21" t="s">
        <v>66</v>
      </c>
      <c r="Q21" s="16">
        <f>+D19</f>
        <v>6612821.5300000003</v>
      </c>
    </row>
    <row r="22" spans="1:17" x14ac:dyDescent="0.2">
      <c r="O22" s="66">
        <v>1</v>
      </c>
      <c r="Q22">
        <f>6612822/O21</f>
        <v>23767.543122133426</v>
      </c>
    </row>
    <row r="23" spans="1:17" x14ac:dyDescent="0.2">
      <c r="O23" s="66"/>
    </row>
    <row r="24" spans="1:17" x14ac:dyDescent="0.2">
      <c r="O24" s="66"/>
    </row>
    <row r="25" spans="1:17" ht="13.5" thickBot="1" x14ac:dyDescent="0.25">
      <c r="O25" s="16">
        <f>+N15+N16+N17+N18</f>
        <v>240.52275920000002</v>
      </c>
      <c r="P25" t="s">
        <v>66</v>
      </c>
      <c r="Q25" s="16">
        <f>+D27</f>
        <v>0</v>
      </c>
    </row>
    <row r="26" spans="1:17" x14ac:dyDescent="0.2">
      <c r="G26" s="160" t="s">
        <v>121</v>
      </c>
      <c r="H26" s="309"/>
      <c r="I26" s="310"/>
      <c r="J26" s="294" t="s">
        <v>22</v>
      </c>
      <c r="K26" s="57"/>
      <c r="L26" s="295">
        <f>+O28/H21</f>
        <v>829.24209570406413</v>
      </c>
      <c r="M26" s="296"/>
      <c r="N26" s="296"/>
      <c r="O26" s="66"/>
      <c r="Q26">
        <f>6612822/O25</f>
        <v>27493.539580182893</v>
      </c>
    </row>
    <row r="27" spans="1:17" ht="13.5" thickBot="1" x14ac:dyDescent="0.25">
      <c r="G27" s="164"/>
      <c r="H27" s="298"/>
      <c r="I27" s="212"/>
      <c r="J27" s="297" t="s">
        <v>25</v>
      </c>
      <c r="K27" s="298"/>
      <c r="L27" s="299">
        <f>+O28*86400/500</f>
        <v>48719.631606805175</v>
      </c>
      <c r="M27" s="300" t="s">
        <v>63</v>
      </c>
      <c r="N27" s="306" t="s">
        <v>63</v>
      </c>
      <c r="O27" s="21" t="s">
        <v>19</v>
      </c>
      <c r="P27" s="21" t="s">
        <v>20</v>
      </c>
      <c r="Q27" s="22" t="s">
        <v>21</v>
      </c>
    </row>
    <row r="28" spans="1:17" x14ac:dyDescent="0.2">
      <c r="O28" s="61">
        <f>+N19</f>
        <v>281.94231253938182</v>
      </c>
      <c r="P28" s="21">
        <f>+O28*86400*365/100</f>
        <v>88913327.682419449</v>
      </c>
      <c r="Q28" s="22"/>
    </row>
    <row r="29" spans="1:17" x14ac:dyDescent="0.2">
      <c r="O29" s="21"/>
      <c r="P29" s="21"/>
      <c r="Q29" s="22"/>
    </row>
    <row r="30" spans="1:17" x14ac:dyDescent="0.2">
      <c r="O30" s="60">
        <v>0.34</v>
      </c>
      <c r="P30" s="25">
        <f>+O30*86400*365/100</f>
        <v>107222.40000000002</v>
      </c>
      <c r="Q30" s="22"/>
    </row>
  </sheetData>
  <mergeCells count="4">
    <mergeCell ref="B15:B18"/>
    <mergeCell ref="B7:B9"/>
    <mergeCell ref="B10:B14"/>
    <mergeCell ref="B4:B6"/>
  </mergeCells>
  <phoneticPr fontId="0" type="noConversion"/>
  <pageMargins left="0.5" right="0.75" top="1.54" bottom="1" header="0.72" footer="0"/>
  <pageSetup paperSize="9" orientation="landscape" horizontalDpi="4294967294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7"/>
  <sheetViews>
    <sheetView view="pageBreakPreview" zoomScaleNormal="100" workbookViewId="0">
      <selection activeCell="K38" sqref="K38:N40"/>
    </sheetView>
  </sheetViews>
  <sheetFormatPr baseColWidth="10" defaultRowHeight="12.75" x14ac:dyDescent="0.2"/>
  <cols>
    <col min="1" max="1" width="7.85546875" customWidth="1"/>
    <col min="2" max="2" width="5.85546875" customWidth="1"/>
    <col min="3" max="3" width="44.28515625" customWidth="1"/>
    <col min="4" max="4" width="14" style="86" bestFit="1" customWidth="1"/>
    <col min="6" max="6" width="10.42578125" style="177" customWidth="1"/>
    <col min="7" max="7" width="8.5703125" style="177" customWidth="1"/>
    <col min="8" max="8" width="9.28515625" style="205" customWidth="1"/>
    <col min="9" max="11" width="11.5703125" style="177" bestFit="1" customWidth="1"/>
    <col min="12" max="12" width="12.5703125" style="223" bestFit="1" customWidth="1"/>
    <col min="13" max="13" width="15.28515625" style="223" customWidth="1"/>
    <col min="14" max="14" width="17.42578125" style="223" customWidth="1"/>
    <col min="15" max="15" width="12.85546875" customWidth="1"/>
    <col min="16" max="16" width="11.7109375" bestFit="1" customWidth="1"/>
  </cols>
  <sheetData>
    <row r="1" spans="1:14" ht="39" thickBot="1" x14ac:dyDescent="0.25">
      <c r="A1" s="76" t="s">
        <v>46</v>
      </c>
      <c r="B1" s="75" t="s">
        <v>67</v>
      </c>
      <c r="C1" s="76" t="s">
        <v>33</v>
      </c>
      <c r="D1" s="77" t="s">
        <v>68</v>
      </c>
      <c r="E1" s="75" t="s">
        <v>34</v>
      </c>
      <c r="F1" s="79" t="s">
        <v>69</v>
      </c>
      <c r="G1" s="78" t="s">
        <v>9</v>
      </c>
      <c r="H1" s="219" t="s">
        <v>29</v>
      </c>
      <c r="I1" s="79" t="s">
        <v>37</v>
      </c>
      <c r="J1" s="79" t="s">
        <v>62</v>
      </c>
      <c r="K1" s="78" t="s">
        <v>15</v>
      </c>
      <c r="L1" s="220" t="s">
        <v>17</v>
      </c>
      <c r="M1" s="77" t="s">
        <v>108</v>
      </c>
      <c r="N1" s="77" t="s">
        <v>109</v>
      </c>
    </row>
    <row r="2" spans="1:14" x14ac:dyDescent="0.2">
      <c r="A2" s="710">
        <v>1999</v>
      </c>
      <c r="B2" s="75"/>
      <c r="C2" s="210" t="s">
        <v>59</v>
      </c>
      <c r="D2" s="208">
        <v>81107.929999999993</v>
      </c>
      <c r="E2" s="52" t="s">
        <v>40</v>
      </c>
      <c r="F2" s="243">
        <v>1180</v>
      </c>
      <c r="G2" s="249">
        <v>2.2000000000000002</v>
      </c>
      <c r="H2" s="240">
        <f t="shared" ref="H2:H7" si="0">+H$25*F2</f>
        <v>401.20000000000005</v>
      </c>
      <c r="I2" s="249">
        <v>332</v>
      </c>
      <c r="J2" s="234">
        <f t="shared" ref="J2:J7" si="1">+I2/1000</f>
        <v>0.33200000000000002</v>
      </c>
      <c r="K2" s="120">
        <f t="shared" ref="K2:K18" si="2">+G2*J2</f>
        <v>0.73040000000000005</v>
      </c>
      <c r="L2" s="234">
        <f t="shared" ref="L2:L18" si="3">+K2/100*H2</f>
        <v>2.9303648000000004</v>
      </c>
      <c r="M2" s="120">
        <f>+L2-(L2*0.8)</f>
        <v>0.58607296000000009</v>
      </c>
      <c r="N2" s="246">
        <f t="shared" ref="N2:N18" si="4">L2-(L2*0.2)</f>
        <v>2.3442918400000003</v>
      </c>
    </row>
    <row r="3" spans="1:14" x14ac:dyDescent="0.2">
      <c r="A3" s="711"/>
      <c r="B3" s="216"/>
      <c r="C3" s="211" t="s">
        <v>103</v>
      </c>
      <c r="D3" s="207">
        <v>190335.48</v>
      </c>
      <c r="E3" s="41" t="s">
        <v>40</v>
      </c>
      <c r="F3" s="244">
        <v>1550</v>
      </c>
      <c r="G3" s="250">
        <v>2.5</v>
      </c>
      <c r="H3" s="240">
        <f t="shared" si="0"/>
        <v>527</v>
      </c>
      <c r="I3" s="250">
        <v>600</v>
      </c>
      <c r="J3" s="235">
        <f t="shared" si="1"/>
        <v>0.6</v>
      </c>
      <c r="K3" s="233">
        <f t="shared" si="2"/>
        <v>1.5</v>
      </c>
      <c r="L3" s="235">
        <f t="shared" si="3"/>
        <v>7.9049999999999994</v>
      </c>
      <c r="M3" s="233">
        <f>+L3-(L3*0.8)</f>
        <v>1.5809999999999995</v>
      </c>
      <c r="N3" s="247">
        <f t="shared" si="4"/>
        <v>6.3239999999999998</v>
      </c>
    </row>
    <row r="4" spans="1:14" ht="13.5" thickBot="1" x14ac:dyDescent="0.25">
      <c r="A4" s="712"/>
      <c r="B4" s="217"/>
      <c r="C4" s="212" t="s">
        <v>65</v>
      </c>
      <c r="D4" s="209">
        <v>102550</v>
      </c>
      <c r="E4" s="42" t="s">
        <v>40</v>
      </c>
      <c r="F4" s="245">
        <v>511.34</v>
      </c>
      <c r="G4" s="251">
        <v>1.7</v>
      </c>
      <c r="H4" s="236">
        <f t="shared" si="0"/>
        <v>173.85560000000001</v>
      </c>
      <c r="I4" s="251">
        <v>260</v>
      </c>
      <c r="J4" s="236">
        <f t="shared" si="1"/>
        <v>0.26</v>
      </c>
      <c r="K4" s="130">
        <f t="shared" si="2"/>
        <v>0.442</v>
      </c>
      <c r="L4" s="236">
        <f t="shared" si="3"/>
        <v>0.76844175200000009</v>
      </c>
      <c r="M4" s="130">
        <f>+L4-(L4*0.8)</f>
        <v>0.15368835039999995</v>
      </c>
      <c r="N4" s="248">
        <f t="shared" si="4"/>
        <v>0.61475340160000003</v>
      </c>
    </row>
    <row r="5" spans="1:14" s="200" customFormat="1" x14ac:dyDescent="0.2">
      <c r="A5" s="710">
        <v>2000</v>
      </c>
      <c r="B5" s="193"/>
      <c r="C5" s="280" t="s">
        <v>35</v>
      </c>
      <c r="D5" s="281">
        <v>64000</v>
      </c>
      <c r="E5" s="282" t="s">
        <v>38</v>
      </c>
      <c r="F5" s="234">
        <v>2431.69</v>
      </c>
      <c r="G5" s="120">
        <v>4.45</v>
      </c>
      <c r="H5" s="240">
        <f t="shared" si="0"/>
        <v>826.77460000000008</v>
      </c>
      <c r="I5" s="120">
        <v>300</v>
      </c>
      <c r="J5" s="234">
        <f t="shared" si="1"/>
        <v>0.3</v>
      </c>
      <c r="K5" s="120">
        <f t="shared" si="2"/>
        <v>1.335</v>
      </c>
      <c r="L5" s="234">
        <f t="shared" si="3"/>
        <v>11.037440910000001</v>
      </c>
      <c r="M5" s="120">
        <f>+L5-(L5*0.8)</f>
        <v>2.2074881820000005</v>
      </c>
      <c r="N5" s="246">
        <f t="shared" si="4"/>
        <v>8.8299527280000003</v>
      </c>
    </row>
    <row r="6" spans="1:14" x14ac:dyDescent="0.2">
      <c r="A6" s="711"/>
      <c r="B6" s="216"/>
      <c r="C6" s="213" t="s">
        <v>48</v>
      </c>
      <c r="D6" s="206">
        <v>62795</v>
      </c>
      <c r="E6" s="41" t="s">
        <v>40</v>
      </c>
      <c r="F6" s="231">
        <v>905.38</v>
      </c>
      <c r="G6" s="230">
        <v>3.9</v>
      </c>
      <c r="H6" s="240">
        <f t="shared" si="0"/>
        <v>307.82920000000001</v>
      </c>
      <c r="I6" s="230">
        <v>900</v>
      </c>
      <c r="J6" s="231">
        <f t="shared" si="1"/>
        <v>0.9</v>
      </c>
      <c r="K6" s="233">
        <f t="shared" si="2"/>
        <v>3.51</v>
      </c>
      <c r="L6" s="235">
        <f t="shared" si="3"/>
        <v>10.80480492</v>
      </c>
      <c r="M6" s="233">
        <f t="shared" ref="M6:M11" si="5">+L6-(L6*0.8)</f>
        <v>2.160960983999999</v>
      </c>
      <c r="N6" s="247">
        <f t="shared" si="4"/>
        <v>8.6438439359999997</v>
      </c>
    </row>
    <row r="7" spans="1:14" ht="13.5" thickBot="1" x14ac:dyDescent="0.25">
      <c r="A7" s="712"/>
      <c r="B7" s="217"/>
      <c r="C7" s="214" t="s">
        <v>50</v>
      </c>
      <c r="D7" s="136">
        <v>73800</v>
      </c>
      <c r="E7" s="42" t="s">
        <v>40</v>
      </c>
      <c r="F7" s="232">
        <v>340.22</v>
      </c>
      <c r="G7" s="133">
        <v>3.9</v>
      </c>
      <c r="H7" s="236">
        <f t="shared" si="0"/>
        <v>115.67480000000002</v>
      </c>
      <c r="I7" s="133">
        <v>500</v>
      </c>
      <c r="J7" s="232">
        <f t="shared" si="1"/>
        <v>0.5</v>
      </c>
      <c r="K7" s="130">
        <f t="shared" si="2"/>
        <v>1.95</v>
      </c>
      <c r="L7" s="236">
        <f t="shared" si="3"/>
        <v>2.2556586000000003</v>
      </c>
      <c r="M7" s="130">
        <f t="shared" si="5"/>
        <v>0.45113172000000001</v>
      </c>
      <c r="N7" s="248">
        <f t="shared" si="4"/>
        <v>1.8045268800000003</v>
      </c>
    </row>
    <row r="8" spans="1:14" x14ac:dyDescent="0.2">
      <c r="A8" s="710">
        <v>2001</v>
      </c>
      <c r="B8" s="75"/>
      <c r="C8" s="210" t="s">
        <v>52</v>
      </c>
      <c r="D8" s="127">
        <v>139200</v>
      </c>
      <c r="E8" s="52" t="s">
        <v>38</v>
      </c>
      <c r="F8" s="237">
        <v>478.49</v>
      </c>
      <c r="G8" s="124">
        <v>3.9</v>
      </c>
      <c r="H8" s="240">
        <f t="shared" ref="H8:H18" si="6">+H$25*F8</f>
        <v>162.68660000000003</v>
      </c>
      <c r="I8" s="124">
        <v>800</v>
      </c>
      <c r="J8" s="237">
        <f t="shared" ref="J8:J18" si="7">+I8/1000</f>
        <v>0.8</v>
      </c>
      <c r="K8" s="120">
        <f t="shared" si="2"/>
        <v>3.12</v>
      </c>
      <c r="L8" s="234">
        <f t="shared" si="3"/>
        <v>5.075821920000001</v>
      </c>
      <c r="M8" s="120">
        <f t="shared" si="5"/>
        <v>1.0151643840000002</v>
      </c>
      <c r="N8" s="246">
        <f t="shared" si="4"/>
        <v>4.0606575360000008</v>
      </c>
    </row>
    <row r="9" spans="1:14" x14ac:dyDescent="0.2">
      <c r="A9" s="711"/>
      <c r="B9" s="216"/>
      <c r="C9" s="213" t="s">
        <v>54</v>
      </c>
      <c r="D9" s="206">
        <v>260000</v>
      </c>
      <c r="E9" s="41" t="s">
        <v>55</v>
      </c>
      <c r="F9" s="238">
        <v>1661</v>
      </c>
      <c r="G9" s="230">
        <v>2.7</v>
      </c>
      <c r="H9" s="240">
        <f t="shared" si="6"/>
        <v>564.74</v>
      </c>
      <c r="I9" s="230">
        <v>1312</v>
      </c>
      <c r="J9" s="231">
        <f t="shared" si="7"/>
        <v>1.3120000000000001</v>
      </c>
      <c r="K9" s="233">
        <f t="shared" si="2"/>
        <v>3.5424000000000002</v>
      </c>
      <c r="L9" s="235">
        <f t="shared" si="3"/>
        <v>20.005349760000001</v>
      </c>
      <c r="M9" s="233">
        <f t="shared" si="5"/>
        <v>4.0010699519999982</v>
      </c>
      <c r="N9" s="247">
        <f t="shared" si="4"/>
        <v>16.004279808</v>
      </c>
    </row>
    <row r="10" spans="1:14" x14ac:dyDescent="0.2">
      <c r="A10" s="711"/>
      <c r="B10" s="216"/>
      <c r="C10" s="213" t="s">
        <v>57</v>
      </c>
      <c r="D10" s="206">
        <v>139329.73000000001</v>
      </c>
      <c r="E10" s="41" t="s">
        <v>55</v>
      </c>
      <c r="F10" s="238">
        <v>1972.59</v>
      </c>
      <c r="G10" s="230">
        <v>6.8</v>
      </c>
      <c r="H10" s="240">
        <f t="shared" si="6"/>
        <v>670.68060000000003</v>
      </c>
      <c r="I10" s="230">
        <v>650</v>
      </c>
      <c r="J10" s="231">
        <f t="shared" si="7"/>
        <v>0.65</v>
      </c>
      <c r="K10" s="233">
        <f t="shared" si="2"/>
        <v>4.42</v>
      </c>
      <c r="L10" s="235">
        <f t="shared" si="3"/>
        <v>29.644082519999998</v>
      </c>
      <c r="M10" s="233">
        <f t="shared" si="5"/>
        <v>5.9288165039999967</v>
      </c>
      <c r="N10" s="247">
        <f t="shared" si="4"/>
        <v>23.715266015999998</v>
      </c>
    </row>
    <row r="11" spans="1:14" x14ac:dyDescent="0.2">
      <c r="A11" s="711"/>
      <c r="B11" s="216"/>
      <c r="C11" s="215" t="s">
        <v>60</v>
      </c>
      <c r="D11" s="206">
        <v>135200</v>
      </c>
      <c r="E11" s="41" t="s">
        <v>40</v>
      </c>
      <c r="F11" s="238">
        <v>676.29</v>
      </c>
      <c r="G11" s="230">
        <v>5.4</v>
      </c>
      <c r="H11" s="240">
        <f t="shared" si="6"/>
        <v>229.93860000000001</v>
      </c>
      <c r="I11" s="230">
        <v>1550</v>
      </c>
      <c r="J11" s="231">
        <f t="shared" si="7"/>
        <v>1.55</v>
      </c>
      <c r="K11" s="233">
        <f t="shared" si="2"/>
        <v>8.370000000000001</v>
      </c>
      <c r="L11" s="235">
        <f t="shared" si="3"/>
        <v>19.245860820000004</v>
      </c>
      <c r="M11" s="233">
        <f t="shared" si="5"/>
        <v>3.8491721640000005</v>
      </c>
      <c r="N11" s="247">
        <f t="shared" si="4"/>
        <v>15.396688656000004</v>
      </c>
    </row>
    <row r="12" spans="1:14" ht="13.5" thickBot="1" x14ac:dyDescent="0.25">
      <c r="A12" s="711"/>
      <c r="B12" s="216"/>
      <c r="C12" s="224" t="s">
        <v>61</v>
      </c>
      <c r="D12" s="225">
        <v>245933.89</v>
      </c>
      <c r="E12" s="42" t="s">
        <v>40</v>
      </c>
      <c r="F12" s="239">
        <v>1179.5899999999999</v>
      </c>
      <c r="G12" s="133">
        <v>2.2000000000000002</v>
      </c>
      <c r="H12" s="241">
        <f t="shared" si="6"/>
        <v>401.06060000000002</v>
      </c>
      <c r="I12" s="133">
        <v>1500</v>
      </c>
      <c r="J12" s="232">
        <f t="shared" si="7"/>
        <v>1.5</v>
      </c>
      <c r="K12" s="253">
        <f t="shared" si="2"/>
        <v>3.3000000000000003</v>
      </c>
      <c r="L12" s="254">
        <f t="shared" si="3"/>
        <v>13.234999800000001</v>
      </c>
      <c r="M12" s="149">
        <f t="shared" ref="M12:M18" si="8">+L12-(L12*0.8)</f>
        <v>2.6469999599999987</v>
      </c>
      <c r="N12" s="255">
        <f t="shared" si="4"/>
        <v>10.58799984</v>
      </c>
    </row>
    <row r="13" spans="1:14" x14ac:dyDescent="0.2">
      <c r="A13" s="714">
        <v>2002</v>
      </c>
      <c r="B13" s="57"/>
      <c r="C13" s="52" t="s">
        <v>7</v>
      </c>
      <c r="D13" s="120">
        <v>1153931.23</v>
      </c>
      <c r="E13" s="242"/>
      <c r="F13" s="237">
        <v>5160</v>
      </c>
      <c r="G13" s="252">
        <v>1.6</v>
      </c>
      <c r="H13" s="234">
        <f t="shared" si="6"/>
        <v>1754.4</v>
      </c>
      <c r="I13" s="120">
        <v>2171</v>
      </c>
      <c r="J13" s="237">
        <f t="shared" si="7"/>
        <v>2.1709999999999998</v>
      </c>
      <c r="K13" s="124">
        <f t="shared" si="2"/>
        <v>3.4735999999999998</v>
      </c>
      <c r="L13" s="234">
        <f t="shared" si="3"/>
        <v>60.940838399999997</v>
      </c>
      <c r="M13" s="120">
        <f t="shared" si="8"/>
        <v>12.188167679999999</v>
      </c>
      <c r="N13" s="246">
        <f t="shared" si="4"/>
        <v>48.752670719999998</v>
      </c>
    </row>
    <row r="14" spans="1:14" x14ac:dyDescent="0.2">
      <c r="A14" s="715"/>
      <c r="B14" s="713"/>
      <c r="C14" s="41" t="s">
        <v>8</v>
      </c>
      <c r="D14" s="228">
        <v>966865.49</v>
      </c>
      <c r="E14" s="41"/>
      <c r="F14" s="231">
        <v>3793</v>
      </c>
      <c r="G14" s="230">
        <v>3.8</v>
      </c>
      <c r="H14" s="235">
        <f t="shared" si="6"/>
        <v>1289.6200000000001</v>
      </c>
      <c r="I14" s="233">
        <v>1847</v>
      </c>
      <c r="J14" s="231">
        <f t="shared" si="7"/>
        <v>1.847</v>
      </c>
      <c r="K14" s="230">
        <f t="shared" si="2"/>
        <v>7.0185999999999993</v>
      </c>
      <c r="L14" s="235">
        <f t="shared" si="3"/>
        <v>90.513269320000006</v>
      </c>
      <c r="M14" s="233">
        <f t="shared" si="8"/>
        <v>18.102653864000004</v>
      </c>
      <c r="N14" s="247">
        <f t="shared" si="4"/>
        <v>72.410615456000002</v>
      </c>
    </row>
    <row r="15" spans="1:14" x14ac:dyDescent="0.2">
      <c r="A15" s="715"/>
      <c r="B15" s="713"/>
      <c r="C15" s="41" t="s">
        <v>70</v>
      </c>
      <c r="D15" s="228">
        <v>837566.21</v>
      </c>
      <c r="E15" s="41"/>
      <c r="F15" s="231">
        <v>3777</v>
      </c>
      <c r="G15" s="230">
        <v>4.45</v>
      </c>
      <c r="H15" s="235">
        <f t="shared" si="6"/>
        <v>1284.18</v>
      </c>
      <c r="I15" s="233">
        <v>1600</v>
      </c>
      <c r="J15" s="231">
        <f t="shared" si="7"/>
        <v>1.6</v>
      </c>
      <c r="K15" s="230">
        <f t="shared" si="2"/>
        <v>7.120000000000001</v>
      </c>
      <c r="L15" s="235">
        <f t="shared" si="3"/>
        <v>91.433616000000015</v>
      </c>
      <c r="M15" s="233">
        <f t="shared" si="8"/>
        <v>18.286723199999997</v>
      </c>
      <c r="N15" s="247">
        <f t="shared" si="4"/>
        <v>73.146892800000018</v>
      </c>
    </row>
    <row r="16" spans="1:14" x14ac:dyDescent="0.2">
      <c r="A16" s="715"/>
      <c r="B16" s="717"/>
      <c r="C16" s="41" t="s">
        <v>107</v>
      </c>
      <c r="D16" s="228">
        <v>1431662.57</v>
      </c>
      <c r="E16" s="41"/>
      <c r="F16" s="231">
        <v>2337</v>
      </c>
      <c r="G16" s="230">
        <v>4.3</v>
      </c>
      <c r="H16" s="235">
        <f t="shared" si="6"/>
        <v>794.58</v>
      </c>
      <c r="I16" s="233">
        <v>2710</v>
      </c>
      <c r="J16" s="231">
        <f t="shared" si="7"/>
        <v>2.71</v>
      </c>
      <c r="K16" s="230">
        <f t="shared" si="2"/>
        <v>11.652999999999999</v>
      </c>
      <c r="L16" s="235">
        <f t="shared" si="3"/>
        <v>92.592407399999985</v>
      </c>
      <c r="M16" s="233">
        <f t="shared" si="8"/>
        <v>18.518481479999991</v>
      </c>
      <c r="N16" s="247">
        <f t="shared" si="4"/>
        <v>74.073925919999994</v>
      </c>
    </row>
    <row r="17" spans="1:16" x14ac:dyDescent="0.2">
      <c r="A17" s="715"/>
      <c r="B17" s="718"/>
      <c r="C17" s="158" t="s">
        <v>106</v>
      </c>
      <c r="D17" s="86">
        <v>1162235.29</v>
      </c>
      <c r="E17" s="41"/>
      <c r="F17" s="231">
        <v>3490</v>
      </c>
      <c r="G17" s="230">
        <v>7.9</v>
      </c>
      <c r="H17" s="235">
        <f t="shared" si="6"/>
        <v>1186.6000000000001</v>
      </c>
      <c r="I17" s="233">
        <v>2200</v>
      </c>
      <c r="J17" s="231">
        <f t="shared" si="7"/>
        <v>2.2000000000000002</v>
      </c>
      <c r="K17" s="230">
        <f t="shared" si="2"/>
        <v>17.380000000000003</v>
      </c>
      <c r="L17" s="235">
        <f t="shared" si="3"/>
        <v>206.23108000000008</v>
      </c>
      <c r="M17" s="233">
        <f t="shared" si="8"/>
        <v>41.246216000000004</v>
      </c>
      <c r="N17" s="247">
        <f t="shared" si="4"/>
        <v>164.98486400000007</v>
      </c>
    </row>
    <row r="18" spans="1:16" ht="13.5" thickBot="1" x14ac:dyDescent="0.25">
      <c r="A18" s="716"/>
      <c r="B18" s="56"/>
      <c r="C18" s="42" t="s">
        <v>71</v>
      </c>
      <c r="D18" s="229">
        <v>374341.96</v>
      </c>
      <c r="E18" s="42"/>
      <c r="F18" s="232">
        <v>681</v>
      </c>
      <c r="G18" s="133">
        <v>4.45</v>
      </c>
      <c r="H18" s="236">
        <f t="shared" si="6"/>
        <v>231.54000000000002</v>
      </c>
      <c r="I18" s="130">
        <v>1370</v>
      </c>
      <c r="J18" s="232">
        <f t="shared" si="7"/>
        <v>1.37</v>
      </c>
      <c r="K18" s="133">
        <f t="shared" si="2"/>
        <v>6.0965000000000007</v>
      </c>
      <c r="L18" s="236">
        <f t="shared" si="3"/>
        <v>14.115836100000003</v>
      </c>
      <c r="M18" s="130">
        <f t="shared" si="8"/>
        <v>2.8231672200000002</v>
      </c>
      <c r="N18" s="248">
        <f t="shared" si="4"/>
        <v>11.292668880000003</v>
      </c>
    </row>
    <row r="19" spans="1:16" ht="13.5" thickBot="1" x14ac:dyDescent="0.25">
      <c r="C19" s="285" t="s">
        <v>105</v>
      </c>
      <c r="D19" s="258">
        <f>SUM(D2:D18)</f>
        <v>7420854.7800000003</v>
      </c>
      <c r="L19" s="99">
        <f>SUM(L2:L18)</f>
        <v>678.7348730220001</v>
      </c>
      <c r="M19" s="278">
        <f>SUM(M2:M18)</f>
        <v>135.74697460439998</v>
      </c>
      <c r="N19" s="99">
        <f>SUM(N2:N18)</f>
        <v>542.98789841759992</v>
      </c>
      <c r="O19" s="284" t="s">
        <v>104</v>
      </c>
    </row>
    <row r="20" spans="1:16" ht="13.5" thickBot="1" x14ac:dyDescent="0.25">
      <c r="C20" s="286">
        <v>2002</v>
      </c>
      <c r="D20" s="259">
        <f>SUM(D13:D18)</f>
        <v>5926602.75</v>
      </c>
      <c r="L20" s="149">
        <f>L13+L14+L15+L17+L18</f>
        <v>463.2346398200001</v>
      </c>
      <c r="M20" s="241">
        <f>M13+M14+M15+M17+M18</f>
        <v>92.646927964</v>
      </c>
      <c r="N20" s="149">
        <f>N13+N14+N15+N17+N18</f>
        <v>370.58771185600011</v>
      </c>
      <c r="O20" s="284">
        <v>2002</v>
      </c>
    </row>
    <row r="21" spans="1:16" ht="13.5" thickBot="1" x14ac:dyDescent="0.25">
      <c r="C21" s="287">
        <v>2001</v>
      </c>
      <c r="D21" s="259">
        <f>D8+D9+D10+D11+D12</f>
        <v>919663.62</v>
      </c>
      <c r="L21" s="99">
        <f>L8+L9+L10+L11+L12</f>
        <v>87.20611482000001</v>
      </c>
      <c r="M21" s="278">
        <f>M8+M9+M10+M11+M12</f>
        <v>17.441222963999994</v>
      </c>
      <c r="N21" s="99">
        <f>N8+N9+N10+N11+N12</f>
        <v>69.764891856000006</v>
      </c>
      <c r="O21" s="284">
        <v>2001</v>
      </c>
    </row>
    <row r="22" spans="1:16" ht="13.5" thickBot="1" x14ac:dyDescent="0.25">
      <c r="C22" s="286">
        <v>2000</v>
      </c>
      <c r="D22" s="259">
        <f>SUM(D5:D7)</f>
        <v>200595</v>
      </c>
      <c r="E22" s="86"/>
      <c r="F22" s="86"/>
      <c r="G22" s="86"/>
      <c r="H22" s="86"/>
      <c r="I22" s="86"/>
      <c r="J22" s="86"/>
      <c r="K22" s="86"/>
      <c r="L22" s="259">
        <f>SUM(L5:L7)</f>
        <v>24.097904430000003</v>
      </c>
      <c r="M22" s="279">
        <f>SUM(M5:M7)</f>
        <v>4.8195808859999998</v>
      </c>
      <c r="N22" s="259">
        <f>SUM(N5:N7)</f>
        <v>19.278323543999999</v>
      </c>
      <c r="O22" s="284">
        <v>2000</v>
      </c>
    </row>
    <row r="23" spans="1:16" ht="13.5" thickBot="1" x14ac:dyDescent="0.25">
      <c r="C23" s="287">
        <v>99</v>
      </c>
      <c r="D23" s="175">
        <f>D2+D3+D4</f>
        <v>373993.41000000003</v>
      </c>
      <c r="E23" s="86"/>
      <c r="F23" s="86"/>
      <c r="G23" s="86"/>
      <c r="H23" s="86"/>
      <c r="I23" s="86"/>
      <c r="J23" s="86"/>
      <c r="K23" s="86"/>
      <c r="L23" s="175">
        <f>L2+L3+L4</f>
        <v>11.603806552</v>
      </c>
      <c r="M23" s="283">
        <f>M2+M3+M4</f>
        <v>2.3207613103999996</v>
      </c>
      <c r="N23" s="175">
        <f>N2+N3+N4</f>
        <v>9.2830452416</v>
      </c>
      <c r="O23" s="284">
        <v>1999</v>
      </c>
    </row>
    <row r="24" spans="1:16" ht="13.5" thickBot="1" x14ac:dyDescent="0.25"/>
    <row r="25" spans="1:16" x14ac:dyDescent="0.2">
      <c r="G25" s="177" t="s">
        <v>102</v>
      </c>
      <c r="H25" s="205">
        <v>0.34</v>
      </c>
      <c r="K25" s="226" t="s">
        <v>104</v>
      </c>
      <c r="L25" s="270" t="s">
        <v>19</v>
      </c>
      <c r="M25" s="260" t="s">
        <v>20</v>
      </c>
      <c r="N25" s="272" t="s">
        <v>21</v>
      </c>
    </row>
    <row r="26" spans="1:16" x14ac:dyDescent="0.2">
      <c r="L26" s="271">
        <f>+N19</f>
        <v>542.98789841759992</v>
      </c>
      <c r="M26" s="84">
        <f>(L26*O26)/1000</f>
        <v>17123666.364497431</v>
      </c>
      <c r="N26" s="273">
        <f>+D19</f>
        <v>7420854.7800000003</v>
      </c>
      <c r="O26">
        <v>31536000</v>
      </c>
    </row>
    <row r="27" spans="1:16" x14ac:dyDescent="0.2">
      <c r="L27" s="263"/>
      <c r="M27" s="84">
        <v>1</v>
      </c>
      <c r="N27" s="274">
        <f>M27*N26/M26</f>
        <v>0.43336833491370108</v>
      </c>
    </row>
    <row r="28" spans="1:16" ht="13.5" thickBot="1" x14ac:dyDescent="0.25">
      <c r="L28" s="264">
        <v>0.34</v>
      </c>
      <c r="M28" s="268">
        <f>(L28*86400*365)/1000</f>
        <v>10722.240000000002</v>
      </c>
      <c r="N28" s="265"/>
    </row>
    <row r="30" spans="1:16" ht="13.5" thickBot="1" x14ac:dyDescent="0.25">
      <c r="P30" s="277"/>
    </row>
    <row r="31" spans="1:16" x14ac:dyDescent="0.2">
      <c r="L31" s="256" t="s">
        <v>19</v>
      </c>
      <c r="M31" s="218" t="s">
        <v>20</v>
      </c>
      <c r="N31" s="221" t="s">
        <v>21</v>
      </c>
    </row>
    <row r="32" spans="1:16" x14ac:dyDescent="0.2">
      <c r="K32" s="227">
        <v>2002</v>
      </c>
      <c r="L32" s="257">
        <f>+N20</f>
        <v>370.58771185600011</v>
      </c>
      <c r="M32" s="80">
        <f>(L32*O26)/1000</f>
        <v>11686854.081090821</v>
      </c>
      <c r="N32" s="222">
        <f>+D20</f>
        <v>5926602.75</v>
      </c>
      <c r="P32" s="277"/>
    </row>
    <row r="33" spans="11:15" x14ac:dyDescent="0.2">
      <c r="L33" s="257"/>
      <c r="M33" s="80">
        <v>1</v>
      </c>
      <c r="N33" s="275">
        <f>M33*N32/M32</f>
        <v>0.50711703157046917</v>
      </c>
    </row>
    <row r="34" spans="11:15" x14ac:dyDescent="0.2">
      <c r="K34" s="227">
        <v>2001</v>
      </c>
      <c r="L34" s="261">
        <f>+N21</f>
        <v>69.764891856000006</v>
      </c>
      <c r="M34" s="84">
        <f>(L34*O37)/1000</f>
        <v>2200105.6295708162</v>
      </c>
      <c r="N34" s="262">
        <f>+D21</f>
        <v>919663.62</v>
      </c>
    </row>
    <row r="35" spans="11:15" x14ac:dyDescent="0.2">
      <c r="L35" s="266"/>
      <c r="M35" s="84">
        <v>1</v>
      </c>
      <c r="N35" s="276">
        <f>M35*N34/M34</f>
        <v>0.41800884813853351</v>
      </c>
    </row>
    <row r="36" spans="11:15" x14ac:dyDescent="0.2">
      <c r="K36" s="227">
        <v>2000</v>
      </c>
      <c r="L36" s="261">
        <f>+N22</f>
        <v>19.278323543999999</v>
      </c>
      <c r="M36" s="84">
        <f>(L36*O42)/1000</f>
        <v>607961.21128358401</v>
      </c>
      <c r="N36" s="262">
        <f>+D22</f>
        <v>200595</v>
      </c>
    </row>
    <row r="37" spans="11:15" x14ac:dyDescent="0.2">
      <c r="L37" s="266"/>
      <c r="M37" s="84">
        <v>1</v>
      </c>
      <c r="N37" s="276">
        <f>M37*N36/M36</f>
        <v>0.32994703654939639</v>
      </c>
      <c r="O37">
        <v>31536000</v>
      </c>
    </row>
    <row r="38" spans="11:15" x14ac:dyDescent="0.2">
      <c r="K38" s="227">
        <v>1999</v>
      </c>
      <c r="L38" s="261">
        <f>+N23</f>
        <v>9.2830452416</v>
      </c>
      <c r="M38" s="84">
        <f>(L38*O47)/1000</f>
        <v>292750.1147390976</v>
      </c>
      <c r="N38" s="262">
        <f>+D23</f>
        <v>373993.41000000003</v>
      </c>
    </row>
    <row r="39" spans="11:15" x14ac:dyDescent="0.2">
      <c r="L39" s="266"/>
      <c r="M39" s="84">
        <v>1</v>
      </c>
      <c r="N39" s="276">
        <f>M39*N38/M38</f>
        <v>1.2775175522418067</v>
      </c>
    </row>
    <row r="40" spans="11:15" ht="13.5" thickBot="1" x14ac:dyDescent="0.25">
      <c r="L40" s="267">
        <v>0.34</v>
      </c>
      <c r="M40" s="268">
        <f>(L40*86400*365)/1000</f>
        <v>10722.240000000002</v>
      </c>
      <c r="N40" s="269"/>
    </row>
    <row r="42" spans="11:15" x14ac:dyDescent="0.2">
      <c r="O42">
        <v>31536000</v>
      </c>
    </row>
    <row r="47" spans="11:15" x14ac:dyDescent="0.2">
      <c r="O47">
        <v>31536000</v>
      </c>
    </row>
  </sheetData>
  <mergeCells count="6">
    <mergeCell ref="A2:A4"/>
    <mergeCell ref="B14:B15"/>
    <mergeCell ref="A13:A18"/>
    <mergeCell ref="A5:A7"/>
    <mergeCell ref="A8:A12"/>
    <mergeCell ref="B16:B17"/>
  </mergeCells>
  <phoneticPr fontId="0" type="noConversion"/>
  <pageMargins left="0.75" right="0.75" top="1" bottom="1" header="0" footer="0"/>
  <pageSetup paperSize="9" scale="70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C28" sqref="C28"/>
    </sheetView>
  </sheetViews>
  <sheetFormatPr baseColWidth="10" defaultRowHeight="12.75" x14ac:dyDescent="0.2"/>
  <cols>
    <col min="1" max="1" width="11.28515625" customWidth="1"/>
    <col min="3" max="3" width="37.85546875" customWidth="1"/>
    <col min="4" max="4" width="14.140625" bestFit="1" customWidth="1"/>
    <col min="5" max="5" width="9.5703125" customWidth="1"/>
    <col min="7" max="7" width="9.42578125" customWidth="1"/>
    <col min="8" max="8" width="9" customWidth="1"/>
    <col min="9" max="9" width="10" customWidth="1"/>
    <col min="12" max="12" width="12.42578125" bestFit="1" customWidth="1"/>
    <col min="13" max="13" width="15.28515625" customWidth="1"/>
    <col min="14" max="14" width="17.42578125" customWidth="1"/>
  </cols>
  <sheetData>
    <row r="1" spans="1:14" ht="13.5" thickBot="1" x14ac:dyDescent="0.25"/>
    <row r="2" spans="1:14" ht="39" thickBot="1" x14ac:dyDescent="0.25">
      <c r="A2" s="88" t="s">
        <v>46</v>
      </c>
      <c r="B2" s="89" t="s">
        <v>72</v>
      </c>
      <c r="C2" s="90" t="s">
        <v>33</v>
      </c>
      <c r="D2" s="91" t="s">
        <v>36</v>
      </c>
      <c r="E2" s="92" t="s">
        <v>34</v>
      </c>
      <c r="F2" s="88" t="s">
        <v>69</v>
      </c>
      <c r="G2" s="93" t="s">
        <v>9</v>
      </c>
      <c r="H2" s="94" t="s">
        <v>29</v>
      </c>
      <c r="I2" s="95" t="s">
        <v>37</v>
      </c>
      <c r="J2" s="79" t="s">
        <v>62</v>
      </c>
      <c r="K2" s="96" t="s">
        <v>15</v>
      </c>
      <c r="L2" s="95" t="s">
        <v>17</v>
      </c>
      <c r="M2" s="77" t="s">
        <v>108</v>
      </c>
      <c r="N2" s="77" t="s">
        <v>109</v>
      </c>
    </row>
    <row r="3" spans="1:14" ht="13.5" thickBot="1" x14ac:dyDescent="0.25">
      <c r="A3" s="724">
        <v>2003</v>
      </c>
      <c r="B3" s="97">
        <v>233825</v>
      </c>
      <c r="C3" s="98" t="s">
        <v>73</v>
      </c>
      <c r="D3" s="99">
        <v>103563.9</v>
      </c>
      <c r="E3" s="100" t="s">
        <v>74</v>
      </c>
      <c r="F3" s="101">
        <v>491</v>
      </c>
      <c r="G3" s="102">
        <v>5</v>
      </c>
      <c r="H3" s="103">
        <f t="shared" ref="H3:H13" si="0">+H$23*F3</f>
        <v>166.94000000000003</v>
      </c>
      <c r="I3" s="99">
        <v>360</v>
      </c>
      <c r="J3" s="103">
        <f>I3/1000</f>
        <v>0.36</v>
      </c>
      <c r="K3" s="104">
        <f t="shared" ref="K3:K13" si="1">+G3*J3</f>
        <v>1.7999999999999998</v>
      </c>
      <c r="L3" s="105">
        <f t="shared" ref="L3:L13" si="2">+K3/100*H3</f>
        <v>3.0049200000000003</v>
      </c>
      <c r="M3" s="106">
        <f>+L3-(L3*0.8)</f>
        <v>0.60098399999999996</v>
      </c>
      <c r="N3" s="107">
        <f t="shared" ref="N3:N13" si="3">L3-(L3*0.2)</f>
        <v>2.4039360000000003</v>
      </c>
    </row>
    <row r="4" spans="1:14" ht="13.5" thickBot="1" x14ac:dyDescent="0.25">
      <c r="A4" s="725"/>
      <c r="B4" s="97">
        <v>235496</v>
      </c>
      <c r="C4" s="108" t="s">
        <v>75</v>
      </c>
      <c r="D4" s="109">
        <v>36333.33</v>
      </c>
      <c r="E4" s="110" t="s">
        <v>74</v>
      </c>
      <c r="F4" s="111">
        <v>491</v>
      </c>
      <c r="G4" s="112">
        <v>5</v>
      </c>
      <c r="H4" s="113">
        <f t="shared" si="0"/>
        <v>166.94000000000003</v>
      </c>
      <c r="I4" s="114">
        <v>133.5</v>
      </c>
      <c r="J4" s="114">
        <f t="shared" ref="J4:J18" si="4">I4/1000</f>
        <v>0.13350000000000001</v>
      </c>
      <c r="K4" s="115">
        <f t="shared" si="1"/>
        <v>0.66749999999999998</v>
      </c>
      <c r="L4" s="116">
        <f t="shared" si="2"/>
        <v>1.1143245000000002</v>
      </c>
      <c r="M4" s="117">
        <f t="shared" ref="M4:M18" si="5">+L4-(L4*0.8)</f>
        <v>0.22286490000000003</v>
      </c>
      <c r="N4" s="118">
        <f t="shared" si="3"/>
        <v>0.89145960000000013</v>
      </c>
    </row>
    <row r="5" spans="1:14" x14ac:dyDescent="0.2">
      <c r="A5" s="725"/>
      <c r="B5" s="721">
        <v>234162</v>
      </c>
      <c r="C5" s="52" t="s">
        <v>76</v>
      </c>
      <c r="D5" s="120">
        <f>784692.58*1032/1744</f>
        <v>464336.4349541284</v>
      </c>
      <c r="E5" s="719" t="s">
        <v>77</v>
      </c>
      <c r="F5" s="122">
        <v>4687</v>
      </c>
      <c r="G5" s="123">
        <v>3.8</v>
      </c>
      <c r="H5" s="124">
        <f t="shared" si="0"/>
        <v>1593.5800000000002</v>
      </c>
      <c r="I5" s="124">
        <v>1050.81</v>
      </c>
      <c r="J5" s="124">
        <f t="shared" si="4"/>
        <v>1.05081</v>
      </c>
      <c r="K5" s="125">
        <f t="shared" si="1"/>
        <v>3.9930779999999997</v>
      </c>
      <c r="L5" s="126">
        <f t="shared" si="2"/>
        <v>63.632892392400002</v>
      </c>
      <c r="M5" s="127">
        <f t="shared" si="5"/>
        <v>12.72657847848</v>
      </c>
      <c r="N5" s="128">
        <f t="shared" si="3"/>
        <v>50.906313913920002</v>
      </c>
    </row>
    <row r="6" spans="1:14" ht="13.5" thickBot="1" x14ac:dyDescent="0.25">
      <c r="A6" s="725"/>
      <c r="B6" s="722"/>
      <c r="C6" s="42" t="s">
        <v>78</v>
      </c>
      <c r="D6" s="130">
        <f>784692.58*712/1744</f>
        <v>320356.1450458715</v>
      </c>
      <c r="E6" s="720"/>
      <c r="F6" s="131">
        <v>4211</v>
      </c>
      <c r="G6" s="132">
        <v>3.8</v>
      </c>
      <c r="H6" s="133">
        <f t="shared" si="0"/>
        <v>1431.74</v>
      </c>
      <c r="I6" s="133">
        <v>836.7</v>
      </c>
      <c r="J6" s="133">
        <f t="shared" si="4"/>
        <v>0.8367</v>
      </c>
      <c r="K6" s="134">
        <f t="shared" si="1"/>
        <v>3.1794599999999997</v>
      </c>
      <c r="L6" s="135">
        <f t="shared" si="2"/>
        <v>45.521600604</v>
      </c>
      <c r="M6" s="136">
        <f t="shared" si="5"/>
        <v>9.1043201207999971</v>
      </c>
      <c r="N6" s="137">
        <f t="shared" si="3"/>
        <v>36.417280483200003</v>
      </c>
    </row>
    <row r="7" spans="1:14" x14ac:dyDescent="0.2">
      <c r="A7" s="725"/>
      <c r="B7" s="721">
        <v>234167</v>
      </c>
      <c r="C7" s="138" t="s">
        <v>79</v>
      </c>
      <c r="D7" s="139">
        <f>896388.4*2337/5827</f>
        <v>359509.12833361933</v>
      </c>
      <c r="E7" s="723" t="s">
        <v>77</v>
      </c>
      <c r="F7" s="140">
        <v>2337</v>
      </c>
      <c r="G7" s="141">
        <v>4.3</v>
      </c>
      <c r="H7" s="142">
        <f t="shared" si="0"/>
        <v>794.58</v>
      </c>
      <c r="I7" s="143">
        <v>2132.54</v>
      </c>
      <c r="J7" s="142">
        <f t="shared" si="4"/>
        <v>2.1325400000000001</v>
      </c>
      <c r="K7" s="144">
        <f t="shared" si="1"/>
        <v>9.1699219999999997</v>
      </c>
      <c r="L7" s="145">
        <f t="shared" si="2"/>
        <v>72.862366227600006</v>
      </c>
      <c r="M7" s="146">
        <f t="shared" si="5"/>
        <v>14.572473245520001</v>
      </c>
      <c r="N7" s="147">
        <f t="shared" si="3"/>
        <v>58.289892982080005</v>
      </c>
    </row>
    <row r="8" spans="1:14" ht="13.5" thickBot="1" x14ac:dyDescent="0.25">
      <c r="A8" s="725"/>
      <c r="B8" s="722"/>
      <c r="C8" s="42" t="s">
        <v>80</v>
      </c>
      <c r="D8" s="130">
        <f>896388.4*3490/5827</f>
        <v>536879.27166638069</v>
      </c>
      <c r="E8" s="720"/>
      <c r="F8" s="131">
        <v>3490</v>
      </c>
      <c r="G8" s="132">
        <v>7.9</v>
      </c>
      <c r="H8" s="133">
        <f t="shared" si="0"/>
        <v>1186.6000000000001</v>
      </c>
      <c r="I8" s="133">
        <v>613.69000000000005</v>
      </c>
      <c r="J8" s="133">
        <f t="shared" si="4"/>
        <v>0.61369000000000007</v>
      </c>
      <c r="K8" s="134">
        <f t="shared" si="1"/>
        <v>4.8481510000000005</v>
      </c>
      <c r="L8" s="135">
        <f t="shared" si="2"/>
        <v>57.528159766000016</v>
      </c>
      <c r="M8" s="136">
        <f t="shared" si="5"/>
        <v>11.505631953200002</v>
      </c>
      <c r="N8" s="137">
        <f t="shared" si="3"/>
        <v>46.022527812800014</v>
      </c>
    </row>
    <row r="9" spans="1:14" ht="13.5" thickBot="1" x14ac:dyDescent="0.25">
      <c r="A9" s="725"/>
      <c r="B9" s="119">
        <v>234165</v>
      </c>
      <c r="C9" s="148" t="s">
        <v>81</v>
      </c>
      <c r="D9" s="149">
        <v>748260.77</v>
      </c>
      <c r="E9" s="150" t="s">
        <v>77</v>
      </c>
      <c r="F9" s="151">
        <v>6584</v>
      </c>
      <c r="G9" s="152">
        <v>1.6</v>
      </c>
      <c r="H9" s="113">
        <f t="shared" si="0"/>
        <v>2238.56</v>
      </c>
      <c r="I9" s="113">
        <v>1579</v>
      </c>
      <c r="J9" s="113">
        <f t="shared" si="4"/>
        <v>1.579</v>
      </c>
      <c r="K9" s="153">
        <f t="shared" si="1"/>
        <v>2.5264000000000002</v>
      </c>
      <c r="L9" s="154">
        <f t="shared" si="2"/>
        <v>56.554979840000001</v>
      </c>
      <c r="M9" s="155">
        <f t="shared" si="5"/>
        <v>11.310995968</v>
      </c>
      <c r="N9" s="156">
        <f t="shared" si="3"/>
        <v>45.243983872000001</v>
      </c>
    </row>
    <row r="10" spans="1:14" x14ac:dyDescent="0.2">
      <c r="A10" s="725"/>
      <c r="B10" s="721">
        <v>228919</v>
      </c>
      <c r="C10" s="52" t="s">
        <v>82</v>
      </c>
      <c r="D10" s="120">
        <f>547504.58*2285/4900</f>
        <v>255315.91128571428</v>
      </c>
      <c r="E10" s="121" t="s">
        <v>77</v>
      </c>
      <c r="F10" s="122">
        <v>2615</v>
      </c>
      <c r="G10" s="123">
        <v>4.45</v>
      </c>
      <c r="H10" s="124">
        <f t="shared" si="0"/>
        <v>889.1</v>
      </c>
      <c r="I10" s="124">
        <v>903</v>
      </c>
      <c r="J10" s="124">
        <f t="shared" si="4"/>
        <v>0.90300000000000002</v>
      </c>
      <c r="K10" s="125">
        <f t="shared" si="1"/>
        <v>4.0183499999999999</v>
      </c>
      <c r="L10" s="126">
        <f t="shared" si="2"/>
        <v>35.727149849999996</v>
      </c>
      <c r="M10" s="127">
        <f t="shared" si="5"/>
        <v>7.1454299699999986</v>
      </c>
      <c r="N10" s="128">
        <f t="shared" si="3"/>
        <v>28.581719879999998</v>
      </c>
    </row>
    <row r="11" spans="1:14" ht="13.5" thickBot="1" x14ac:dyDescent="0.25">
      <c r="A11" s="725"/>
      <c r="B11" s="722"/>
      <c r="C11" s="42" t="s">
        <v>83</v>
      </c>
      <c r="D11" s="130">
        <f>547504.58*2615/4900</f>
        <v>292188.66871428565</v>
      </c>
      <c r="E11" s="157"/>
      <c r="F11" s="131">
        <v>2285</v>
      </c>
      <c r="G11" s="132">
        <v>4.45</v>
      </c>
      <c r="H11" s="133">
        <f t="shared" si="0"/>
        <v>776.90000000000009</v>
      </c>
      <c r="I11" s="133">
        <v>629</v>
      </c>
      <c r="J11" s="133">
        <f t="shared" si="4"/>
        <v>0.629</v>
      </c>
      <c r="K11" s="134">
        <f t="shared" si="1"/>
        <v>2.7990500000000003</v>
      </c>
      <c r="L11" s="135">
        <f t="shared" si="2"/>
        <v>21.745819450000003</v>
      </c>
      <c r="M11" s="136">
        <f t="shared" si="5"/>
        <v>4.3491638899999998</v>
      </c>
      <c r="N11" s="137">
        <f t="shared" si="3"/>
        <v>17.396655560000003</v>
      </c>
    </row>
    <row r="12" spans="1:14" ht="12.75" customHeight="1" thickBot="1" x14ac:dyDescent="0.25">
      <c r="A12" s="725"/>
      <c r="B12" s="97">
        <v>234166</v>
      </c>
      <c r="C12" s="158" t="s">
        <v>84</v>
      </c>
      <c r="D12" s="149">
        <v>327565.94</v>
      </c>
      <c r="E12" s="150" t="s">
        <v>77</v>
      </c>
      <c r="F12" s="151">
        <v>681</v>
      </c>
      <c r="G12" s="152">
        <v>4.45</v>
      </c>
      <c r="H12" s="113">
        <f t="shared" si="0"/>
        <v>231.54000000000002</v>
      </c>
      <c r="I12" s="113">
        <v>1282</v>
      </c>
      <c r="J12" s="133">
        <f t="shared" si="4"/>
        <v>1.282</v>
      </c>
      <c r="K12" s="153">
        <f t="shared" si="1"/>
        <v>5.7049000000000003</v>
      </c>
      <c r="L12" s="154">
        <f t="shared" si="2"/>
        <v>13.209125460000001</v>
      </c>
      <c r="M12" s="155">
        <f t="shared" si="5"/>
        <v>2.6418250919999995</v>
      </c>
      <c r="N12" s="156">
        <f t="shared" si="3"/>
        <v>10.567300368000001</v>
      </c>
    </row>
    <row r="13" spans="1:14" x14ac:dyDescent="0.2">
      <c r="A13" s="725"/>
      <c r="B13" s="721">
        <v>231173</v>
      </c>
      <c r="C13" s="727" t="s">
        <v>85</v>
      </c>
      <c r="D13" s="109">
        <v>587505.64</v>
      </c>
      <c r="E13" s="159" t="s">
        <v>77</v>
      </c>
      <c r="F13" s="111">
        <v>3814</v>
      </c>
      <c r="G13" s="160">
        <v>4.5</v>
      </c>
      <c r="H13" s="114">
        <f t="shared" si="0"/>
        <v>1296.76</v>
      </c>
      <c r="I13" s="114">
        <v>1580</v>
      </c>
      <c r="J13" s="114">
        <f t="shared" si="4"/>
        <v>1.58</v>
      </c>
      <c r="K13" s="115">
        <f t="shared" si="1"/>
        <v>7.11</v>
      </c>
      <c r="L13" s="116">
        <f t="shared" si="2"/>
        <v>92.199635999999998</v>
      </c>
      <c r="M13" s="117">
        <f t="shared" si="5"/>
        <v>18.4399272</v>
      </c>
      <c r="N13" s="118">
        <f t="shared" si="3"/>
        <v>73.759708799999999</v>
      </c>
    </row>
    <row r="14" spans="1:14" ht="12.75" customHeight="1" thickBot="1" x14ac:dyDescent="0.25">
      <c r="A14" s="725"/>
      <c r="B14" s="722"/>
      <c r="C14" s="728"/>
      <c r="D14" s="161"/>
      <c r="E14" s="162"/>
      <c r="F14" s="163"/>
      <c r="G14" s="164"/>
      <c r="H14" s="165"/>
      <c r="I14" s="165"/>
      <c r="J14" s="165"/>
      <c r="K14" s="166"/>
      <c r="L14" s="167"/>
      <c r="M14" s="168"/>
      <c r="N14" s="169"/>
    </row>
    <row r="15" spans="1:14" x14ac:dyDescent="0.2">
      <c r="A15" s="725"/>
      <c r="B15" s="721">
        <v>233844</v>
      </c>
      <c r="C15" s="729" t="s">
        <v>86</v>
      </c>
      <c r="D15" s="149">
        <v>137227.79999999999</v>
      </c>
      <c r="E15" s="170" t="s">
        <v>87</v>
      </c>
      <c r="F15" s="151">
        <v>267</v>
      </c>
      <c r="G15" s="152">
        <v>3.9</v>
      </c>
      <c r="H15" s="113">
        <f>+H$23*F15</f>
        <v>90.78</v>
      </c>
      <c r="I15" s="113">
        <v>490.11</v>
      </c>
      <c r="J15" s="113">
        <f t="shared" si="4"/>
        <v>0.49010999999999999</v>
      </c>
      <c r="K15" s="153">
        <f>+G15*J15</f>
        <v>1.9114289999999998</v>
      </c>
      <c r="L15" s="154">
        <f>+K15/100*H15</f>
        <v>1.7351952462</v>
      </c>
      <c r="M15" s="155">
        <f t="shared" si="5"/>
        <v>0.34703904923999995</v>
      </c>
      <c r="N15" s="156">
        <f>L15-(L15*0.2)</f>
        <v>1.38815619696</v>
      </c>
    </row>
    <row r="16" spans="1:14" ht="13.5" thickBot="1" x14ac:dyDescent="0.25">
      <c r="A16" s="725"/>
      <c r="B16" s="722"/>
      <c r="C16" s="728"/>
      <c r="D16" s="161"/>
      <c r="E16" s="162"/>
      <c r="F16" s="163"/>
      <c r="G16" s="164"/>
      <c r="H16" s="165"/>
      <c r="I16" s="165"/>
      <c r="J16" s="165"/>
      <c r="K16" s="166"/>
      <c r="L16" s="167"/>
      <c r="M16" s="168"/>
      <c r="N16" s="169"/>
    </row>
    <row r="17" spans="1:15" ht="12.75" customHeight="1" thickBot="1" x14ac:dyDescent="0.25">
      <c r="A17" s="725"/>
      <c r="B17" s="119">
        <v>233838</v>
      </c>
      <c r="C17" s="171" t="s">
        <v>88</v>
      </c>
      <c r="D17" s="161">
        <v>246000</v>
      </c>
      <c r="E17" s="172" t="s">
        <v>87</v>
      </c>
      <c r="F17" s="163">
        <v>2569</v>
      </c>
      <c r="G17" s="164">
        <v>7</v>
      </c>
      <c r="H17" s="165">
        <f>+H$23*F17</f>
        <v>873.46</v>
      </c>
      <c r="I17" s="165">
        <v>856</v>
      </c>
      <c r="J17" s="165">
        <f t="shared" si="4"/>
        <v>0.85599999999999998</v>
      </c>
      <c r="K17" s="166">
        <f>+G17*J17</f>
        <v>5.992</v>
      </c>
      <c r="L17" s="167">
        <f>+K17/100*H17</f>
        <v>52.337723200000006</v>
      </c>
      <c r="M17" s="168">
        <f t="shared" si="5"/>
        <v>10.46754464</v>
      </c>
      <c r="N17" s="169">
        <f>L17-(L17*0.2)</f>
        <v>41.870178560000006</v>
      </c>
    </row>
    <row r="18" spans="1:15" x14ac:dyDescent="0.2">
      <c r="A18" s="725"/>
      <c r="B18" s="721">
        <v>233836</v>
      </c>
      <c r="C18" s="727" t="s">
        <v>89</v>
      </c>
      <c r="D18" s="109">
        <v>508661.1</v>
      </c>
      <c r="E18" s="110" t="s">
        <v>87</v>
      </c>
      <c r="F18" s="111">
        <v>1038</v>
      </c>
      <c r="G18" s="112">
        <v>3.9</v>
      </c>
      <c r="H18" s="114">
        <f>+H$23*F18</f>
        <v>352.92</v>
      </c>
      <c r="I18" s="114">
        <v>1500</v>
      </c>
      <c r="J18" s="114">
        <f t="shared" si="4"/>
        <v>1.5</v>
      </c>
      <c r="K18" s="115">
        <f>+G18*J18</f>
        <v>5.85</v>
      </c>
      <c r="L18" s="116">
        <f>+K18/100*H18</f>
        <v>20.645820000000001</v>
      </c>
      <c r="M18" s="117">
        <f t="shared" si="5"/>
        <v>4.1291639999999994</v>
      </c>
      <c r="N18" s="118">
        <f>L18-(L18*0.2)</f>
        <v>16.516656000000001</v>
      </c>
    </row>
    <row r="19" spans="1:15" ht="13.5" thickBot="1" x14ac:dyDescent="0.25">
      <c r="A19" s="726"/>
      <c r="B19" s="722"/>
      <c r="C19" s="728"/>
      <c r="D19" s="161"/>
      <c r="E19" s="172"/>
      <c r="F19" s="163"/>
      <c r="G19" s="164"/>
      <c r="H19" s="165"/>
      <c r="I19" s="165"/>
      <c r="J19" s="165"/>
      <c r="K19" s="166"/>
      <c r="L19" s="167"/>
      <c r="M19" s="168"/>
      <c r="N19" s="169"/>
    </row>
    <row r="20" spans="1:15" ht="13.5" thickBot="1" x14ac:dyDescent="0.25">
      <c r="B20" s="173"/>
      <c r="C20" s="174" t="s">
        <v>90</v>
      </c>
      <c r="D20" s="175">
        <f>D3+D4+D5+D6+D7+D8+D9+D10+D11+D12+D13+D15+D17+D18</f>
        <v>4923704.0399999991</v>
      </c>
      <c r="F20" s="163">
        <f>SUM(F3:F18)</f>
        <v>35560</v>
      </c>
      <c r="H20" s="165">
        <f>(H3+H4+H5+H6+H7+H8+H9+H10+H11+H12+H13+H15+H17+H18)/14</f>
        <v>863.60000000000025</v>
      </c>
      <c r="J20" s="86"/>
      <c r="K20" s="86"/>
      <c r="L20" s="176">
        <f>L3+L4+L5+L6+L7+L8+L9+L10+L11+L12+L13+L15+L17+L18</f>
        <v>537.81971253619997</v>
      </c>
      <c r="M20" s="176">
        <f>M3+M4+M5+M6+M7+M8+M9+M10+M11+M12+M13+M15+M17+M18</f>
        <v>107.56394250724</v>
      </c>
      <c r="N20" s="176">
        <f>N3+N4+N5+N6+N7+N8+N9+N10+N11+N12+N13+N15+N17+N18</f>
        <v>430.25577002896</v>
      </c>
    </row>
    <row r="21" spans="1:15" x14ac:dyDescent="0.2">
      <c r="B21" s="173"/>
      <c r="D21" s="86"/>
      <c r="F21" s="87"/>
      <c r="H21" s="177"/>
      <c r="J21" s="86"/>
      <c r="K21" s="86"/>
      <c r="L21" s="15"/>
      <c r="M21" s="86"/>
      <c r="N21" s="15"/>
    </row>
    <row r="22" spans="1:15" x14ac:dyDescent="0.2">
      <c r="B22" s="178"/>
      <c r="C22" s="179"/>
      <c r="D22" s="180"/>
      <c r="E22" s="179"/>
      <c r="F22" s="181"/>
      <c r="G22" s="179"/>
      <c r="H22" s="182"/>
      <c r="I22" s="179"/>
      <c r="J22" s="180"/>
      <c r="K22" s="180"/>
      <c r="L22" s="179"/>
      <c r="M22" s="180"/>
      <c r="N22" s="179"/>
    </row>
    <row r="23" spans="1:15" x14ac:dyDescent="0.2">
      <c r="B23" s="178"/>
      <c r="C23" s="179"/>
      <c r="D23" s="180"/>
      <c r="E23" s="179"/>
      <c r="F23" s="183" t="s">
        <v>16</v>
      </c>
      <c r="G23" s="184"/>
      <c r="H23" s="185">
        <v>0.34</v>
      </c>
      <c r="I23" s="186"/>
      <c r="J23" s="180"/>
      <c r="K23" s="86"/>
      <c r="L23" s="21" t="s">
        <v>19</v>
      </c>
      <c r="M23" s="84" t="s">
        <v>20</v>
      </c>
      <c r="N23" s="21" t="s">
        <v>21</v>
      </c>
    </row>
    <row r="24" spans="1:15" x14ac:dyDescent="0.2">
      <c r="B24" s="173"/>
      <c r="D24" s="86"/>
      <c r="F24" s="187"/>
      <c r="G24" s="184"/>
      <c r="H24" s="185"/>
      <c r="J24" s="86"/>
      <c r="K24" s="86"/>
      <c r="L24" s="22">
        <f>+N20</f>
        <v>430.25577002896</v>
      </c>
      <c r="M24" s="84">
        <f>(L24*O24)/1000</f>
        <v>13568545.963633282</v>
      </c>
      <c r="N24" s="84">
        <f>+D20</f>
        <v>4923704.0399999991</v>
      </c>
      <c r="O24">
        <v>31536000</v>
      </c>
    </row>
    <row r="25" spans="1:15" x14ac:dyDescent="0.2">
      <c r="B25" s="173"/>
      <c r="D25" s="86"/>
      <c r="F25" s="87"/>
      <c r="H25" s="177"/>
      <c r="J25" s="86"/>
      <c r="K25" s="86"/>
      <c r="L25" s="86"/>
      <c r="M25" s="84">
        <v>1</v>
      </c>
      <c r="N25" s="30">
        <f>M25*N24/M24</f>
        <v>0.36287632095558509</v>
      </c>
    </row>
    <row r="26" spans="1:15" x14ac:dyDescent="0.2">
      <c r="B26" s="173"/>
      <c r="D26" s="86"/>
      <c r="F26" s="87"/>
      <c r="H26" s="177"/>
      <c r="J26" s="86"/>
      <c r="K26" s="86"/>
      <c r="L26" s="39">
        <v>0.34</v>
      </c>
      <c r="M26" s="188">
        <f>(L26*86400*365)/1000</f>
        <v>10722.240000000002</v>
      </c>
      <c r="N26" s="40"/>
    </row>
    <row r="27" spans="1:15" x14ac:dyDescent="0.2">
      <c r="B27" s="173"/>
      <c r="D27" s="86"/>
      <c r="F27" s="87"/>
      <c r="H27" s="177"/>
      <c r="J27" s="86"/>
      <c r="K27" s="86"/>
      <c r="M27" s="86"/>
    </row>
    <row r="28" spans="1:15" x14ac:dyDescent="0.2">
      <c r="B28" s="173"/>
      <c r="D28" s="86"/>
      <c r="F28" s="87"/>
      <c r="H28" s="177"/>
      <c r="J28" s="86"/>
      <c r="K28" s="86"/>
      <c r="M28" s="86"/>
    </row>
    <row r="29" spans="1:15" x14ac:dyDescent="0.2">
      <c r="B29" s="173"/>
      <c r="D29" s="86"/>
      <c r="F29" s="87"/>
      <c r="H29" s="177"/>
      <c r="J29" s="86"/>
      <c r="K29" s="189" t="s">
        <v>22</v>
      </c>
      <c r="L29" s="19"/>
      <c r="M29" s="190"/>
      <c r="N29" s="36"/>
    </row>
    <row r="30" spans="1:15" x14ac:dyDescent="0.2">
      <c r="B30" s="173"/>
      <c r="D30" s="86"/>
      <c r="F30" s="87"/>
      <c r="H30" s="177"/>
      <c r="J30" s="86"/>
      <c r="K30" s="191" t="s">
        <v>25</v>
      </c>
      <c r="L30" s="32"/>
      <c r="M30" s="192"/>
      <c r="N30" s="34" t="s">
        <v>26</v>
      </c>
    </row>
    <row r="31" spans="1:15" x14ac:dyDescent="0.2">
      <c r="B31" s="173"/>
      <c r="D31" s="86"/>
      <c r="F31" s="87"/>
      <c r="H31" s="177"/>
      <c r="J31" s="86"/>
      <c r="K31" s="86"/>
      <c r="M31" s="86"/>
    </row>
  </sheetData>
  <mergeCells count="12">
    <mergeCell ref="E5:E6"/>
    <mergeCell ref="B7:B8"/>
    <mergeCell ref="E7:E8"/>
    <mergeCell ref="B10:B11"/>
    <mergeCell ref="A3:A19"/>
    <mergeCell ref="B5:B6"/>
    <mergeCell ref="B13:B14"/>
    <mergeCell ref="C13:C14"/>
    <mergeCell ref="B15:B16"/>
    <mergeCell ref="C15:C16"/>
    <mergeCell ref="B18:B19"/>
    <mergeCell ref="C18:C19"/>
  </mergeCells>
  <phoneticPr fontId="0" type="noConversion"/>
  <printOptions horizontalCentered="1"/>
  <pageMargins left="0.75" right="0.75" top="1" bottom="1" header="0" footer="0"/>
  <pageSetup paperSize="9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view="pageBreakPreview" zoomScale="75" zoomScaleNormal="100" workbookViewId="0">
      <selection activeCell="I18" sqref="I18"/>
    </sheetView>
  </sheetViews>
  <sheetFormatPr baseColWidth="10" defaultRowHeight="12.75" x14ac:dyDescent="0.2"/>
  <cols>
    <col min="1" max="1" width="8.28515625" customWidth="1"/>
    <col min="2" max="2" width="11.5703125" bestFit="1" customWidth="1"/>
    <col min="3" max="3" width="38.28515625" customWidth="1"/>
    <col min="4" max="4" width="12.7109375" bestFit="1" customWidth="1"/>
    <col min="6" max="7" width="11.5703125" bestFit="1" customWidth="1"/>
    <col min="8" max="8" width="13.7109375" customWidth="1"/>
    <col min="9" max="12" width="11.5703125" bestFit="1" customWidth="1"/>
    <col min="13" max="13" width="15.7109375" customWidth="1"/>
    <col min="14" max="14" width="14.5703125" customWidth="1"/>
    <col min="15" max="15" width="11.5703125" bestFit="1" customWidth="1"/>
  </cols>
  <sheetData>
    <row r="1" spans="1:15" ht="39" thickBot="1" x14ac:dyDescent="0.25">
      <c r="A1" s="75" t="s">
        <v>46</v>
      </c>
      <c r="B1" s="75" t="s">
        <v>67</v>
      </c>
      <c r="C1" s="76" t="s">
        <v>33</v>
      </c>
      <c r="D1" s="193" t="s">
        <v>68</v>
      </c>
      <c r="E1" s="75" t="s">
        <v>34</v>
      </c>
      <c r="F1" s="79" t="s">
        <v>69</v>
      </c>
      <c r="G1" s="78" t="s">
        <v>9</v>
      </c>
      <c r="H1" s="79" t="s">
        <v>29</v>
      </c>
      <c r="I1" s="79" t="s">
        <v>37</v>
      </c>
      <c r="J1" s="79" t="s">
        <v>62</v>
      </c>
      <c r="K1" s="78" t="s">
        <v>15</v>
      </c>
      <c r="L1" s="79" t="s">
        <v>17</v>
      </c>
      <c r="M1" s="77" t="s">
        <v>108</v>
      </c>
      <c r="N1" s="77" t="s">
        <v>109</v>
      </c>
      <c r="O1" s="87"/>
    </row>
    <row r="2" spans="1:15" x14ac:dyDescent="0.2">
      <c r="A2" s="732">
        <v>2004</v>
      </c>
      <c r="B2" s="58">
        <v>236049</v>
      </c>
      <c r="C2" s="58" t="s">
        <v>91</v>
      </c>
      <c r="D2" s="194">
        <v>510219.47</v>
      </c>
      <c r="E2" s="81" t="s">
        <v>87</v>
      </c>
      <c r="F2" s="85">
        <v>2300</v>
      </c>
      <c r="G2" s="82">
        <v>4.5</v>
      </c>
      <c r="H2" s="83">
        <f>+H$16*F2</f>
        <v>782</v>
      </c>
      <c r="I2" s="80">
        <v>1178.02</v>
      </c>
      <c r="J2" s="83">
        <f>I2/1000</f>
        <v>1.1780200000000001</v>
      </c>
      <c r="K2" s="84">
        <f t="shared" ref="K2:K12" si="0">+G2*J2</f>
        <v>5.3010900000000003</v>
      </c>
      <c r="L2" s="84">
        <f t="shared" ref="L2:L12" si="1">+K2/100*H2</f>
        <v>41.454523799999997</v>
      </c>
      <c r="M2" s="84">
        <f>+L2-(L2*0.8)</f>
        <v>8.2909047599999965</v>
      </c>
      <c r="N2" s="84">
        <f t="shared" ref="N2:N12" si="2">L2-(L2*0.2)</f>
        <v>33.16361904</v>
      </c>
      <c r="O2" s="87"/>
    </row>
    <row r="3" spans="1:15" x14ac:dyDescent="0.2">
      <c r="A3" s="733"/>
      <c r="B3" s="58">
        <v>236134</v>
      </c>
      <c r="C3" s="195" t="s">
        <v>92</v>
      </c>
      <c r="D3" s="194">
        <v>223997.91</v>
      </c>
      <c r="E3" s="81" t="s">
        <v>87</v>
      </c>
      <c r="F3" s="85">
        <v>947.98</v>
      </c>
      <c r="G3" s="82">
        <v>4.5</v>
      </c>
      <c r="H3" s="83">
        <f t="shared" ref="H3:H12" si="3">+H$16*F3</f>
        <v>322.31320000000005</v>
      </c>
      <c r="I3" s="80">
        <v>637</v>
      </c>
      <c r="J3" s="83">
        <f t="shared" ref="J3:J12" si="4">I3/1000</f>
        <v>0.63700000000000001</v>
      </c>
      <c r="K3" s="84">
        <f t="shared" si="0"/>
        <v>2.8665000000000003</v>
      </c>
      <c r="L3" s="84">
        <f t="shared" si="1"/>
        <v>9.2391078780000022</v>
      </c>
      <c r="M3" s="84">
        <f t="shared" ref="M3:M12" si="5">+L3-(L3*0.8)</f>
        <v>1.8478215756000003</v>
      </c>
      <c r="N3" s="84">
        <f t="shared" si="2"/>
        <v>7.391286302400002</v>
      </c>
      <c r="O3" s="87"/>
    </row>
    <row r="4" spans="1:15" x14ac:dyDescent="0.2">
      <c r="A4" s="733"/>
      <c r="B4" s="58">
        <v>236107</v>
      </c>
      <c r="C4" s="58" t="s">
        <v>93</v>
      </c>
      <c r="D4" s="194">
        <v>405979.58</v>
      </c>
      <c r="E4" s="81" t="s">
        <v>87</v>
      </c>
      <c r="F4" s="85">
        <v>754</v>
      </c>
      <c r="G4" s="85">
        <v>4</v>
      </c>
      <c r="H4" s="83">
        <f t="shared" si="3"/>
        <v>256.36</v>
      </c>
      <c r="I4" s="80">
        <v>1100</v>
      </c>
      <c r="J4" s="83">
        <f t="shared" si="4"/>
        <v>1.1000000000000001</v>
      </c>
      <c r="K4" s="84">
        <f t="shared" si="0"/>
        <v>4.4000000000000004</v>
      </c>
      <c r="L4" s="84">
        <f t="shared" si="1"/>
        <v>11.279840000000002</v>
      </c>
      <c r="M4" s="84">
        <f t="shared" si="5"/>
        <v>2.2559679999999993</v>
      </c>
      <c r="N4" s="84">
        <f t="shared" si="2"/>
        <v>9.0238720000000008</v>
      </c>
      <c r="O4" s="87"/>
    </row>
    <row r="5" spans="1:15" x14ac:dyDescent="0.2">
      <c r="A5" s="733"/>
      <c r="B5" s="58">
        <v>236.46799999999999</v>
      </c>
      <c r="C5" s="730" t="s">
        <v>94</v>
      </c>
      <c r="D5" s="194">
        <v>759890.08</v>
      </c>
      <c r="E5" s="731" t="s">
        <v>87</v>
      </c>
      <c r="F5" s="85">
        <v>1422</v>
      </c>
      <c r="G5" s="85">
        <v>4.5</v>
      </c>
      <c r="H5" s="83">
        <f t="shared" si="3"/>
        <v>483.48</v>
      </c>
      <c r="I5" s="80">
        <v>800</v>
      </c>
      <c r="J5" s="83">
        <f t="shared" si="4"/>
        <v>0.8</v>
      </c>
      <c r="K5" s="84">
        <f t="shared" si="0"/>
        <v>3.6</v>
      </c>
      <c r="L5" s="84">
        <f t="shared" si="1"/>
        <v>17.405280000000001</v>
      </c>
      <c r="M5" s="84">
        <f t="shared" si="5"/>
        <v>3.4810559999999988</v>
      </c>
      <c r="N5" s="84">
        <f t="shared" si="2"/>
        <v>13.924224000000001</v>
      </c>
      <c r="O5" s="87"/>
    </row>
    <row r="6" spans="1:15" x14ac:dyDescent="0.2">
      <c r="A6" s="733"/>
      <c r="B6" s="58"/>
      <c r="C6" s="730"/>
      <c r="D6" s="194"/>
      <c r="E6" s="731"/>
      <c r="F6" s="85"/>
      <c r="G6" s="85"/>
      <c r="H6" s="83"/>
      <c r="I6" s="80"/>
      <c r="J6" s="83"/>
      <c r="K6" s="84"/>
      <c r="L6" s="84"/>
      <c r="M6" s="84"/>
      <c r="N6" s="84"/>
      <c r="O6" s="87"/>
    </row>
    <row r="7" spans="1:15" x14ac:dyDescent="0.2">
      <c r="A7" s="733"/>
      <c r="B7" s="58">
        <v>236518</v>
      </c>
      <c r="C7" s="58" t="s">
        <v>95</v>
      </c>
      <c r="D7" s="194">
        <v>766176.97</v>
      </c>
      <c r="E7" s="81" t="s">
        <v>77</v>
      </c>
      <c r="F7" s="85">
        <v>6584</v>
      </c>
      <c r="G7" s="85">
        <v>1.6</v>
      </c>
      <c r="H7" s="83">
        <f t="shared" si="3"/>
        <v>2238.56</v>
      </c>
      <c r="I7" s="80">
        <v>1980</v>
      </c>
      <c r="J7" s="83">
        <f t="shared" si="4"/>
        <v>1.98</v>
      </c>
      <c r="K7" s="84">
        <f t="shared" si="0"/>
        <v>3.1680000000000001</v>
      </c>
      <c r="L7" s="84">
        <f t="shared" si="1"/>
        <v>70.917580799999996</v>
      </c>
      <c r="M7" s="84">
        <f t="shared" si="5"/>
        <v>14.183516159999996</v>
      </c>
      <c r="N7" s="84">
        <f t="shared" si="2"/>
        <v>56.73406464</v>
      </c>
      <c r="O7" s="87"/>
    </row>
    <row r="8" spans="1:15" x14ac:dyDescent="0.2">
      <c r="A8" s="733"/>
      <c r="B8" s="58">
        <v>236519</v>
      </c>
      <c r="C8" s="58" t="s">
        <v>96</v>
      </c>
      <c r="D8" s="194">
        <v>456989.54</v>
      </c>
      <c r="E8" s="81" t="s">
        <v>77</v>
      </c>
      <c r="F8" s="85">
        <v>1494</v>
      </c>
      <c r="G8" s="85">
        <v>4.45</v>
      </c>
      <c r="H8" s="83">
        <f t="shared" si="3"/>
        <v>507.96000000000004</v>
      </c>
      <c r="I8" s="80">
        <v>1400</v>
      </c>
      <c r="J8" s="83">
        <f t="shared" si="4"/>
        <v>1.4</v>
      </c>
      <c r="K8" s="84">
        <f t="shared" si="0"/>
        <v>6.2299999999999995</v>
      </c>
      <c r="L8" s="84">
        <f t="shared" si="1"/>
        <v>31.645907999999999</v>
      </c>
      <c r="M8" s="84">
        <f t="shared" si="5"/>
        <v>6.3291815999999983</v>
      </c>
      <c r="N8" s="84">
        <f t="shared" si="2"/>
        <v>25.3167264</v>
      </c>
      <c r="O8" s="87"/>
    </row>
    <row r="9" spans="1:15" x14ac:dyDescent="0.2">
      <c r="A9" s="733"/>
      <c r="B9" s="58">
        <v>236659</v>
      </c>
      <c r="C9" s="58" t="s">
        <v>97</v>
      </c>
      <c r="D9" s="194">
        <v>887380.93</v>
      </c>
      <c r="E9" s="81" t="s">
        <v>77</v>
      </c>
      <c r="F9" s="85">
        <v>3786</v>
      </c>
      <c r="G9" s="85">
        <v>4.45</v>
      </c>
      <c r="H9" s="83">
        <f t="shared" si="3"/>
        <v>1287.24</v>
      </c>
      <c r="I9" s="80">
        <v>2520</v>
      </c>
      <c r="J9" s="83">
        <f t="shared" si="4"/>
        <v>2.52</v>
      </c>
      <c r="K9" s="84">
        <f t="shared" si="0"/>
        <v>11.214</v>
      </c>
      <c r="L9" s="84">
        <f t="shared" si="1"/>
        <v>144.35109360000001</v>
      </c>
      <c r="M9" s="84">
        <f t="shared" si="5"/>
        <v>28.870218719999997</v>
      </c>
      <c r="N9" s="84">
        <f t="shared" si="2"/>
        <v>115.48087488000002</v>
      </c>
      <c r="O9" s="87"/>
    </row>
    <row r="10" spans="1:15" x14ac:dyDescent="0.2">
      <c r="A10" s="733"/>
      <c r="B10" s="58">
        <v>236661</v>
      </c>
      <c r="C10" s="58" t="s">
        <v>98</v>
      </c>
      <c r="D10" s="194">
        <v>996320.33</v>
      </c>
      <c r="E10" s="81" t="s">
        <v>77</v>
      </c>
      <c r="F10" s="85">
        <v>4689</v>
      </c>
      <c r="G10" s="85">
        <v>3.8</v>
      </c>
      <c r="H10" s="83">
        <f t="shared" si="3"/>
        <v>1594.2600000000002</v>
      </c>
      <c r="I10" s="80">
        <v>1950</v>
      </c>
      <c r="J10" s="83">
        <f t="shared" si="4"/>
        <v>1.95</v>
      </c>
      <c r="K10" s="84">
        <f t="shared" si="0"/>
        <v>7.4099999999999993</v>
      </c>
      <c r="L10" s="84">
        <f t="shared" si="1"/>
        <v>118.13466600000001</v>
      </c>
      <c r="M10" s="84">
        <f t="shared" si="5"/>
        <v>23.626933199999996</v>
      </c>
      <c r="N10" s="84">
        <f t="shared" si="2"/>
        <v>94.507732800000014</v>
      </c>
      <c r="O10" s="87"/>
    </row>
    <row r="11" spans="1:15" x14ac:dyDescent="0.2">
      <c r="A11" s="733"/>
      <c r="B11" s="58">
        <v>236503</v>
      </c>
      <c r="C11" s="58" t="s">
        <v>99</v>
      </c>
      <c r="D11" s="194">
        <v>515878.51</v>
      </c>
      <c r="E11" s="81" t="s">
        <v>77</v>
      </c>
      <c r="F11" s="85">
        <v>2400</v>
      </c>
      <c r="G11" s="85">
        <v>7.9</v>
      </c>
      <c r="H11" s="83">
        <f t="shared" si="3"/>
        <v>816.00000000000011</v>
      </c>
      <c r="I11" s="80">
        <v>1000</v>
      </c>
      <c r="J11" s="83">
        <f t="shared" si="4"/>
        <v>1</v>
      </c>
      <c r="K11" s="84">
        <f t="shared" si="0"/>
        <v>7.9</v>
      </c>
      <c r="L11" s="84">
        <f t="shared" si="1"/>
        <v>64.464000000000013</v>
      </c>
      <c r="M11" s="84">
        <f t="shared" si="5"/>
        <v>12.892800000000001</v>
      </c>
      <c r="N11" s="84">
        <f t="shared" si="2"/>
        <v>51.571200000000012</v>
      </c>
      <c r="O11" s="87"/>
    </row>
    <row r="12" spans="1:15" ht="13.5" thickBot="1" x14ac:dyDescent="0.25">
      <c r="A12" s="733"/>
      <c r="B12" s="174">
        <v>236457</v>
      </c>
      <c r="C12" s="174" t="s">
        <v>100</v>
      </c>
      <c r="D12" s="196">
        <v>534996.89</v>
      </c>
      <c r="E12" s="129" t="s">
        <v>77</v>
      </c>
      <c r="F12" s="85">
        <v>4211</v>
      </c>
      <c r="G12" s="85">
        <v>3.8</v>
      </c>
      <c r="H12" s="83">
        <f t="shared" si="3"/>
        <v>1431.74</v>
      </c>
      <c r="I12" s="80">
        <v>942.39</v>
      </c>
      <c r="J12" s="83">
        <f t="shared" si="4"/>
        <v>0.94238999999999995</v>
      </c>
      <c r="K12" s="84">
        <f t="shared" si="0"/>
        <v>3.5810819999999994</v>
      </c>
      <c r="L12" s="84">
        <f t="shared" si="1"/>
        <v>51.271783426799992</v>
      </c>
      <c r="M12" s="84">
        <f t="shared" si="5"/>
        <v>10.254356685359994</v>
      </c>
      <c r="N12" s="84">
        <f t="shared" si="2"/>
        <v>41.017426741439991</v>
      </c>
      <c r="O12" s="87"/>
    </row>
    <row r="13" spans="1:15" x14ac:dyDescent="0.2">
      <c r="D13" s="197">
        <f>SUM(D2:D12)</f>
        <v>6057830.209999999</v>
      </c>
      <c r="F13" s="86"/>
      <c r="G13" s="86"/>
      <c r="H13" s="86"/>
      <c r="I13" s="86"/>
      <c r="J13" s="86"/>
      <c r="K13" s="86"/>
      <c r="L13" s="86"/>
      <c r="M13" s="86"/>
      <c r="N13" s="86">
        <f>SUM(N2:N12)</f>
        <v>448.13102680384003</v>
      </c>
      <c r="O13" s="87"/>
    </row>
    <row r="14" spans="1:15" x14ac:dyDescent="0.2">
      <c r="D14" s="197"/>
      <c r="F14" s="86"/>
      <c r="G14" s="86"/>
      <c r="H14" s="86"/>
      <c r="I14" s="86"/>
      <c r="J14" s="86"/>
      <c r="K14" s="86"/>
      <c r="L14" s="86"/>
      <c r="M14" s="86"/>
      <c r="N14" s="86"/>
      <c r="O14" s="87"/>
    </row>
    <row r="15" spans="1:15" x14ac:dyDescent="0.2">
      <c r="B15" s="38"/>
      <c r="C15" s="38"/>
      <c r="D15" s="197"/>
      <c r="F15" s="86"/>
      <c r="G15" s="86"/>
      <c r="H15" s="86"/>
      <c r="I15" s="86"/>
      <c r="J15" s="86"/>
      <c r="K15" s="86"/>
      <c r="L15" s="86"/>
      <c r="M15" s="86"/>
      <c r="N15" s="86"/>
      <c r="O15" s="87"/>
    </row>
    <row r="16" spans="1:15" x14ac:dyDescent="0.2">
      <c r="B16" s="38"/>
      <c r="C16" s="38"/>
      <c r="D16" s="198"/>
      <c r="E16" s="180"/>
      <c r="F16" s="199" t="s">
        <v>101</v>
      </c>
      <c r="G16" s="86" t="s">
        <v>102</v>
      </c>
      <c r="H16" s="185">
        <v>0.34</v>
      </c>
      <c r="I16" s="180"/>
      <c r="J16" s="180"/>
      <c r="K16" s="86"/>
      <c r="L16" s="84" t="s">
        <v>19</v>
      </c>
      <c r="M16" s="84" t="s">
        <v>20</v>
      </c>
      <c r="N16" s="84" t="s">
        <v>21</v>
      </c>
      <c r="O16" s="181"/>
    </row>
    <row r="17" spans="2:15" x14ac:dyDescent="0.2">
      <c r="B17" s="38"/>
      <c r="C17" s="38"/>
      <c r="D17" s="200"/>
      <c r="E17" s="86"/>
      <c r="F17" s="185"/>
      <c r="G17" s="185"/>
      <c r="H17" s="185"/>
      <c r="I17" s="86"/>
      <c r="J17" s="86"/>
      <c r="K17" s="86"/>
      <c r="L17" s="84">
        <f>+N13</f>
        <v>448.13102680384003</v>
      </c>
      <c r="M17" s="84">
        <f>(N13*O17)/1000</f>
        <v>14132260.0612859</v>
      </c>
      <c r="N17" s="84">
        <f>+D13</f>
        <v>6057830.209999999</v>
      </c>
      <c r="O17" s="87">
        <f>60*60*24*365</f>
        <v>31536000</v>
      </c>
    </row>
    <row r="18" spans="2:15" x14ac:dyDescent="0.2">
      <c r="B18" s="38"/>
      <c r="C18" s="38"/>
      <c r="D18" s="200"/>
      <c r="E18" s="86"/>
      <c r="F18" s="86"/>
      <c r="G18" s="86"/>
      <c r="H18" s="177"/>
      <c r="I18" s="86"/>
      <c r="J18" s="86"/>
      <c r="K18" s="86"/>
      <c r="L18" s="86"/>
      <c r="M18" s="84">
        <v>1</v>
      </c>
      <c r="N18" s="84">
        <f>M18*N17/M17</f>
        <v>0.42865261350482076</v>
      </c>
      <c r="O18" s="87"/>
    </row>
    <row r="19" spans="2:15" x14ac:dyDescent="0.2">
      <c r="B19" s="38"/>
      <c r="C19" s="38"/>
      <c r="D19" s="200"/>
      <c r="E19" s="86"/>
      <c r="F19" s="86"/>
      <c r="G19" s="86"/>
      <c r="H19" s="177"/>
      <c r="I19" s="86"/>
      <c r="J19" s="86"/>
      <c r="K19" s="86"/>
      <c r="L19" s="201">
        <v>0.34</v>
      </c>
      <c r="M19" s="188">
        <f>(L19*86400*365)/1000</f>
        <v>10722.240000000002</v>
      </c>
      <c r="N19" s="202"/>
      <c r="O19" s="87"/>
    </row>
    <row r="20" spans="2:15" x14ac:dyDescent="0.2">
      <c r="B20" s="38"/>
      <c r="C20" s="38"/>
      <c r="D20" s="200"/>
      <c r="E20" s="86"/>
      <c r="F20" s="86"/>
      <c r="G20" s="86"/>
      <c r="H20" s="177"/>
      <c r="I20" s="86"/>
      <c r="J20" s="86"/>
      <c r="K20" s="86"/>
      <c r="L20" s="86"/>
      <c r="M20" s="86"/>
      <c r="N20" s="86"/>
      <c r="O20" s="87"/>
    </row>
    <row r="21" spans="2:15" x14ac:dyDescent="0.2">
      <c r="B21" s="38"/>
      <c r="C21" s="38"/>
      <c r="D21" s="200"/>
      <c r="E21" s="86"/>
      <c r="F21" s="86"/>
      <c r="G21" s="86"/>
      <c r="H21" s="177"/>
      <c r="I21" s="86"/>
      <c r="J21" s="86"/>
      <c r="K21" s="86"/>
      <c r="L21" s="86"/>
      <c r="M21" s="86"/>
      <c r="N21" s="86"/>
      <c r="O21" s="87"/>
    </row>
    <row r="22" spans="2:15" x14ac:dyDescent="0.2">
      <c r="B22" s="38"/>
      <c r="C22" s="38"/>
      <c r="D22" s="200"/>
      <c r="E22" s="86"/>
      <c r="F22" s="86"/>
      <c r="G22" s="86"/>
      <c r="H22" s="177"/>
      <c r="I22" s="86"/>
      <c r="J22" s="86"/>
      <c r="K22" s="189" t="s">
        <v>22</v>
      </c>
      <c r="L22" s="190"/>
      <c r="M22" s="190"/>
      <c r="N22" s="203"/>
      <c r="O22" s="87"/>
    </row>
    <row r="23" spans="2:15" x14ac:dyDescent="0.2">
      <c r="B23" s="38"/>
      <c r="C23" s="38"/>
      <c r="D23" s="200"/>
      <c r="E23" s="86"/>
      <c r="F23" s="86"/>
      <c r="G23" s="86"/>
      <c r="H23" s="177"/>
      <c r="I23" s="86"/>
      <c r="J23" s="86"/>
      <c r="K23" s="191" t="s">
        <v>25</v>
      </c>
      <c r="L23" s="192"/>
      <c r="M23" s="192"/>
      <c r="N23" s="204" t="s">
        <v>26</v>
      </c>
      <c r="O23" s="87"/>
    </row>
    <row r="24" spans="2:15" x14ac:dyDescent="0.2">
      <c r="D24" s="197"/>
      <c r="F24" s="86"/>
      <c r="G24" s="86"/>
      <c r="H24" s="86"/>
      <c r="I24" s="86"/>
      <c r="J24" s="86"/>
      <c r="K24" s="86"/>
      <c r="L24" s="86"/>
      <c r="M24" s="86"/>
      <c r="N24" s="86"/>
      <c r="O24" s="87"/>
    </row>
    <row r="25" spans="2:15" x14ac:dyDescent="0.2">
      <c r="D25" s="197"/>
      <c r="F25" s="86"/>
      <c r="G25" s="86"/>
      <c r="H25" s="86"/>
      <c r="I25" s="86"/>
      <c r="J25" s="86"/>
      <c r="K25" s="86"/>
      <c r="L25" s="86"/>
      <c r="M25" s="86"/>
      <c r="N25" s="86"/>
      <c r="O25" s="87"/>
    </row>
    <row r="26" spans="2:15" x14ac:dyDescent="0.2">
      <c r="D26" s="197"/>
      <c r="F26" s="86"/>
      <c r="G26" s="86"/>
      <c r="H26" s="86"/>
      <c r="I26" s="86"/>
      <c r="J26" s="86"/>
      <c r="K26" s="86"/>
      <c r="L26" s="86"/>
      <c r="M26" s="86"/>
      <c r="N26" s="86"/>
      <c r="O26" s="87"/>
    </row>
  </sheetData>
  <mergeCells count="3">
    <mergeCell ref="C5:C6"/>
    <mergeCell ref="E5:E6"/>
    <mergeCell ref="A2:A12"/>
  </mergeCells>
  <phoneticPr fontId="0" type="noConversion"/>
  <pageMargins left="0.75" right="0.75" top="1" bottom="1" header="0" footer="0"/>
  <pageSetup paperSize="9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1"/>
  <sheetViews>
    <sheetView tabSelected="1" view="pageBreakPreview" zoomScaleNormal="100" zoomScaleSheetLayoutView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P119" sqref="P119"/>
    </sheetView>
  </sheetViews>
  <sheetFormatPr baseColWidth="10" defaultRowHeight="12.75" x14ac:dyDescent="0.2"/>
  <cols>
    <col min="1" max="1" width="8.28515625" customWidth="1"/>
    <col min="2" max="2" width="1.85546875" style="87" hidden="1" customWidth="1"/>
    <col min="3" max="3" width="80.28515625" customWidth="1"/>
    <col min="4" max="4" width="16.140625" style="342" customWidth="1"/>
    <col min="5" max="5" width="10.5703125" style="515" customWidth="1"/>
    <col min="6" max="6" width="16.28515625" style="343" customWidth="1"/>
    <col min="7" max="7" width="24.5703125" customWidth="1"/>
    <col min="8" max="8" width="14.28515625" customWidth="1"/>
    <col min="9" max="9" width="11" style="1" customWidth="1"/>
    <col min="10" max="10" width="9.7109375" customWidth="1"/>
    <col min="11" max="11" width="10.5703125" hidden="1" customWidth="1"/>
    <col min="12" max="12" width="10.5703125" style="1" customWidth="1"/>
    <col min="13" max="13" width="14.5703125" style="566" customWidth="1"/>
    <col min="14" max="14" width="12.85546875" style="1" customWidth="1"/>
    <col min="15" max="15" width="16.140625" style="1" customWidth="1"/>
    <col min="16" max="16" width="15.42578125" style="1" customWidth="1"/>
    <col min="17" max="17" width="21.7109375" customWidth="1"/>
    <col min="18" max="18" width="12" style="87" customWidth="1"/>
    <col min="19" max="19" width="12" customWidth="1"/>
    <col min="20" max="21" width="12" style="87" customWidth="1"/>
    <col min="22" max="22" width="8.140625" customWidth="1"/>
    <col min="24" max="24" width="14.7109375" customWidth="1"/>
    <col min="25" max="25" width="5.140625" customWidth="1"/>
    <col min="26" max="26" width="21.140625" customWidth="1"/>
    <col min="27" max="27" width="65.85546875" customWidth="1"/>
    <col min="28" max="28" width="14.140625" customWidth="1"/>
    <col min="29" max="30" width="14.5703125" customWidth="1"/>
    <col min="31" max="31" width="14.42578125" customWidth="1"/>
    <col min="33" max="33" width="14.140625" customWidth="1"/>
    <col min="34" max="34" width="52.5703125" customWidth="1"/>
  </cols>
  <sheetData>
    <row r="1" spans="1:34" ht="18.75" thickBot="1" x14ac:dyDescent="0.3">
      <c r="A1" s="737" t="s">
        <v>289</v>
      </c>
      <c r="B1" s="738"/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  <c r="P1" s="739"/>
      <c r="Q1" s="1"/>
      <c r="AB1">
        <v>1.111</v>
      </c>
      <c r="AE1" s="734" t="s">
        <v>182</v>
      </c>
      <c r="AF1" s="735"/>
      <c r="AG1" s="736"/>
    </row>
    <row r="2" spans="1:34" ht="90" thickBot="1" x14ac:dyDescent="0.5">
      <c r="A2" s="345" t="s">
        <v>46</v>
      </c>
      <c r="B2" s="346" t="s">
        <v>159</v>
      </c>
      <c r="C2" s="344" t="s">
        <v>33</v>
      </c>
      <c r="D2" s="341" t="s">
        <v>156</v>
      </c>
      <c r="E2" s="513"/>
      <c r="F2" s="347" t="s">
        <v>288</v>
      </c>
      <c r="G2" s="75" t="s">
        <v>34</v>
      </c>
      <c r="H2" s="79" t="s">
        <v>155</v>
      </c>
      <c r="I2" s="78" t="s">
        <v>157</v>
      </c>
      <c r="J2" s="77" t="s">
        <v>29</v>
      </c>
      <c r="K2" s="79" t="s">
        <v>37</v>
      </c>
      <c r="L2" s="79" t="s">
        <v>62</v>
      </c>
      <c r="M2" s="557" t="s">
        <v>15</v>
      </c>
      <c r="N2" s="350" t="s">
        <v>17</v>
      </c>
      <c r="O2" s="352" t="s">
        <v>108</v>
      </c>
      <c r="P2" s="354" t="s">
        <v>109</v>
      </c>
      <c r="Q2" s="516" t="s">
        <v>259</v>
      </c>
      <c r="R2" s="87" t="s">
        <v>247</v>
      </c>
      <c r="S2" t="s">
        <v>248</v>
      </c>
      <c r="T2" s="87" t="s">
        <v>249</v>
      </c>
      <c r="U2" s="87" t="s">
        <v>250</v>
      </c>
      <c r="X2" s="405" t="s">
        <v>181</v>
      </c>
      <c r="Z2" s="405"/>
      <c r="AB2" t="s">
        <v>258</v>
      </c>
      <c r="AC2">
        <v>1.4330000000000001</v>
      </c>
      <c r="AE2" s="7" t="s">
        <v>183</v>
      </c>
      <c r="AF2" s="12">
        <v>0</v>
      </c>
      <c r="AG2" s="419" t="s">
        <v>184</v>
      </c>
    </row>
    <row r="3" spans="1:34" x14ac:dyDescent="0.2">
      <c r="A3" s="741">
        <v>1999</v>
      </c>
      <c r="B3" s="462"/>
      <c r="C3" s="52" t="s">
        <v>59</v>
      </c>
      <c r="D3" s="624">
        <v>81107.929999999993</v>
      </c>
      <c r="E3" s="514">
        <f t="shared" ref="E3:E34" si="0">+F3/D3</f>
        <v>11.535893014216143</v>
      </c>
      <c r="F3" s="616">
        <v>935652.40308453178</v>
      </c>
      <c r="G3" s="36" t="s">
        <v>40</v>
      </c>
      <c r="H3" s="348">
        <v>1180</v>
      </c>
      <c r="I3" s="649">
        <v>2.2000000000000002</v>
      </c>
      <c r="J3" s="349">
        <f t="shared" ref="J3:J34" si="1">+F$95*H3</f>
        <v>401.20000000000005</v>
      </c>
      <c r="K3" s="311">
        <v>332</v>
      </c>
      <c r="L3" s="552">
        <f t="shared" ref="L3:L19" si="2">+K3/1000</f>
        <v>0.33200000000000002</v>
      </c>
      <c r="M3" s="558">
        <f>+I3*L3</f>
        <v>0.73040000000000005</v>
      </c>
      <c r="N3" s="351">
        <f>+M3/100*J3</f>
        <v>2.9303648000000004</v>
      </c>
      <c r="O3" s="353">
        <f>+N3-(N3*0.8)</f>
        <v>0.58607296000000009</v>
      </c>
      <c r="P3" s="355">
        <f t="shared" ref="P3:P30" si="3">N3-(N3*0.2)</f>
        <v>2.3442918400000003</v>
      </c>
      <c r="R3" s="86">
        <f>+N3*0.2</f>
        <v>0.58607296000000009</v>
      </c>
      <c r="X3" s="423">
        <v>278708.3491087766</v>
      </c>
      <c r="Y3">
        <v>1.1399999999999999</v>
      </c>
      <c r="Z3" s="423">
        <f>+X3*(0.1+0.9*$Y$3)</f>
        <v>313825.60109648248</v>
      </c>
      <c r="AA3" s="452" t="s">
        <v>59</v>
      </c>
      <c r="AB3" s="507">
        <f>+Z3*$AB$1</f>
        <v>348660.24281819205</v>
      </c>
      <c r="AC3" s="507">
        <f>+Z3*$AC$2</f>
        <v>449712.08637125941</v>
      </c>
      <c r="AD3" s="507"/>
      <c r="AE3" s="442">
        <v>238008.83783840868</v>
      </c>
      <c r="AF3" s="485">
        <v>1.19</v>
      </c>
      <c r="AG3" s="443">
        <v>278708.3491087766</v>
      </c>
      <c r="AH3" s="141">
        <f>+'[1]2007'!AA3</f>
        <v>0</v>
      </c>
    </row>
    <row r="4" spans="1:34" x14ac:dyDescent="0.2">
      <c r="A4" s="741"/>
      <c r="B4" s="462"/>
      <c r="C4" s="41" t="s">
        <v>64</v>
      </c>
      <c r="D4" s="624">
        <v>190335.48</v>
      </c>
      <c r="E4" s="514">
        <f t="shared" si="0"/>
        <v>11.535893014216141</v>
      </c>
      <c r="F4" s="678">
        <v>2195689.7340894761</v>
      </c>
      <c r="G4" s="36" t="s">
        <v>40</v>
      </c>
      <c r="H4" s="348">
        <v>1550</v>
      </c>
      <c r="I4" s="649">
        <v>2.5</v>
      </c>
      <c r="J4" s="349">
        <f t="shared" si="1"/>
        <v>527</v>
      </c>
      <c r="K4" s="311">
        <v>600</v>
      </c>
      <c r="L4" s="552">
        <f t="shared" si="2"/>
        <v>0.6</v>
      </c>
      <c r="M4" s="558">
        <f t="shared" ref="M4:M30" si="4">+I4*L4</f>
        <v>1.5</v>
      </c>
      <c r="N4" s="351">
        <f t="shared" ref="N4:N30" si="5">+M4/100*J4</f>
        <v>7.9049999999999994</v>
      </c>
      <c r="O4" s="353">
        <f>+N4-(N4*0.8)</f>
        <v>1.5809999999999995</v>
      </c>
      <c r="P4" s="355">
        <f t="shared" si="3"/>
        <v>6.3239999999999998</v>
      </c>
      <c r="R4" s="87">
        <f>SUM(F3:F5)</f>
        <v>4314347.9657818731</v>
      </c>
      <c r="S4" s="16">
        <f>SUM(P3:P5)</f>
        <v>9.2830452416</v>
      </c>
      <c r="T4" s="87">
        <f>+R4/S4</f>
        <v>464755.67591204197</v>
      </c>
      <c r="U4" s="87">
        <f>+AVERAGE(J3:J5)</f>
        <v>367.35186666666669</v>
      </c>
      <c r="X4" s="421">
        <v>654043.16701987793</v>
      </c>
      <c r="Z4" s="423">
        <f t="shared" ref="Z4:Z67" si="6">+X4*(0.1+0.9*$Y$3)</f>
        <v>736452.60606438259</v>
      </c>
      <c r="AA4" s="452" t="s">
        <v>64</v>
      </c>
      <c r="AB4" s="507">
        <f t="shared" ref="AB4:AB67" si="7">+Z4*$AB$1</f>
        <v>818198.84533752908</v>
      </c>
      <c r="AC4" s="507">
        <f t="shared" ref="AC4:AC67" si="8">+Z4*$AC$2</f>
        <v>1055336.5844902603</v>
      </c>
      <c r="AD4" s="507"/>
      <c r="AE4" s="442">
        <v>558533.87448324333</v>
      </c>
      <c r="AF4" s="486"/>
      <c r="AG4" s="443">
        <v>654043.16701987793</v>
      </c>
      <c r="AH4" s="438">
        <f>+'[1]2007'!AA4</f>
        <v>0</v>
      </c>
    </row>
    <row r="5" spans="1:34" ht="13.5" thickBot="1" x14ac:dyDescent="0.25">
      <c r="A5" s="742"/>
      <c r="B5" s="463"/>
      <c r="C5" s="42" t="s">
        <v>65</v>
      </c>
      <c r="D5" s="625">
        <v>102550</v>
      </c>
      <c r="E5" s="514">
        <f t="shared" si="0"/>
        <v>11.535893014216144</v>
      </c>
      <c r="F5" s="678">
        <v>1183005.8286078656</v>
      </c>
      <c r="G5" s="665" t="s">
        <v>40</v>
      </c>
      <c r="H5" s="412">
        <v>511.34</v>
      </c>
      <c r="I5" s="650">
        <v>1.7</v>
      </c>
      <c r="J5" s="383">
        <f t="shared" si="1"/>
        <v>173.85560000000001</v>
      </c>
      <c r="K5" s="413">
        <v>260</v>
      </c>
      <c r="L5" s="660">
        <f t="shared" si="2"/>
        <v>0.26</v>
      </c>
      <c r="M5" s="559">
        <f t="shared" si="4"/>
        <v>0.442</v>
      </c>
      <c r="N5" s="386">
        <f t="shared" si="5"/>
        <v>0.76844175200000009</v>
      </c>
      <c r="O5" s="387">
        <f>+N5-(N5*0.8)</f>
        <v>0.15368835039999995</v>
      </c>
      <c r="P5" s="388">
        <f t="shared" si="3"/>
        <v>0.61475340160000003</v>
      </c>
      <c r="X5" s="421">
        <v>352388.98589946807</v>
      </c>
      <c r="Z5" s="423">
        <f t="shared" si="6"/>
        <v>396789.99812280107</v>
      </c>
      <c r="AA5" s="452" t="s">
        <v>65</v>
      </c>
      <c r="AB5" s="507">
        <f t="shared" si="7"/>
        <v>440833.68791443197</v>
      </c>
      <c r="AC5" s="507">
        <f t="shared" si="8"/>
        <v>568600.06730997399</v>
      </c>
      <c r="AD5" s="507"/>
      <c r="AE5" s="442">
        <v>300929.96233942616</v>
      </c>
      <c r="AF5" s="486"/>
      <c r="AG5" s="443">
        <v>352388.98589946807</v>
      </c>
      <c r="AH5" s="438">
        <f>+'[1]2007'!AA5</f>
        <v>0</v>
      </c>
    </row>
    <row r="6" spans="1:34" s="200" customFormat="1" x14ac:dyDescent="0.2">
      <c r="A6" s="743">
        <v>2000</v>
      </c>
      <c r="B6" s="464"/>
      <c r="C6" s="475" t="s">
        <v>35</v>
      </c>
      <c r="D6" s="626">
        <v>64000</v>
      </c>
      <c r="E6" s="514">
        <f>+F6/D6</f>
        <v>11.319346938630613</v>
      </c>
      <c r="F6" s="678">
        <v>724438.20407235925</v>
      </c>
      <c r="G6" s="666" t="s">
        <v>38</v>
      </c>
      <c r="H6" s="378">
        <v>2431.69</v>
      </c>
      <c r="I6" s="651">
        <v>4.45</v>
      </c>
      <c r="J6" s="380">
        <f t="shared" si="1"/>
        <v>826.77460000000008</v>
      </c>
      <c r="K6" s="381">
        <v>300</v>
      </c>
      <c r="L6" s="651">
        <f t="shared" si="2"/>
        <v>0.3</v>
      </c>
      <c r="M6" s="560">
        <f t="shared" si="4"/>
        <v>1.335</v>
      </c>
      <c r="N6" s="371">
        <f t="shared" si="5"/>
        <v>11.037440910000001</v>
      </c>
      <c r="O6" s="372">
        <f>+N6-(N6*0.8)</f>
        <v>2.2074881820000005</v>
      </c>
      <c r="P6" s="396">
        <f t="shared" si="3"/>
        <v>8.8299527280000003</v>
      </c>
      <c r="R6" s="489"/>
      <c r="T6" s="489"/>
      <c r="U6" s="489"/>
      <c r="X6" s="421">
        <v>215792.71877324817</v>
      </c>
      <c r="Z6" s="423">
        <f t="shared" si="6"/>
        <v>242982.60133867746</v>
      </c>
      <c r="AA6" s="453" t="s">
        <v>35</v>
      </c>
      <c r="AB6" s="507">
        <f t="shared" si="7"/>
        <v>269953.67008727067</v>
      </c>
      <c r="AC6" s="507">
        <f t="shared" si="8"/>
        <v>348194.06771832483</v>
      </c>
      <c r="AD6" s="507"/>
      <c r="AE6" s="442">
        <v>184280.71628800014</v>
      </c>
      <c r="AF6" s="486"/>
      <c r="AG6" s="443">
        <v>215792.71877324817</v>
      </c>
      <c r="AH6" s="438">
        <f>+'[1]2007'!AA6</f>
        <v>0</v>
      </c>
    </row>
    <row r="7" spans="1:34" x14ac:dyDescent="0.2">
      <c r="A7" s="741"/>
      <c r="B7" s="462"/>
      <c r="C7" s="41" t="s">
        <v>48</v>
      </c>
      <c r="D7" s="627">
        <v>62795</v>
      </c>
      <c r="E7" s="514">
        <f t="shared" si="0"/>
        <v>11.319346938630609</v>
      </c>
      <c r="F7" s="678">
        <v>710798.39101130911</v>
      </c>
      <c r="G7" s="36" t="s">
        <v>40</v>
      </c>
      <c r="H7" s="24">
        <v>905.38</v>
      </c>
      <c r="I7" s="84">
        <v>3.9</v>
      </c>
      <c r="J7" s="349">
        <f t="shared" si="1"/>
        <v>307.82920000000001</v>
      </c>
      <c r="K7" s="83">
        <v>900</v>
      </c>
      <c r="L7" s="84">
        <f t="shared" si="2"/>
        <v>0.9</v>
      </c>
      <c r="M7" s="558">
        <f t="shared" si="4"/>
        <v>3.51</v>
      </c>
      <c r="N7" s="351">
        <f t="shared" si="5"/>
        <v>10.80480492</v>
      </c>
      <c r="O7" s="353">
        <f t="shared" ref="O7:O19" si="9">+N7-(N7*0.8)</f>
        <v>2.160960983999999</v>
      </c>
      <c r="P7" s="355">
        <f t="shared" si="3"/>
        <v>8.6438439359999997</v>
      </c>
      <c r="R7" s="87">
        <f>SUM(F6:F8)</f>
        <v>2270604.3991546072</v>
      </c>
      <c r="S7" s="86">
        <f>SUM(P6:P8)</f>
        <v>19.278323543999999</v>
      </c>
      <c r="T7" s="87">
        <f>+R7/S7</f>
        <v>117780.17906859377</v>
      </c>
      <c r="U7" s="87">
        <f>+AVERAGE(J6:J8)</f>
        <v>416.75953333333337</v>
      </c>
      <c r="X7" s="421">
        <v>211729.74649009557</v>
      </c>
      <c r="Z7" s="423">
        <f t="shared" si="6"/>
        <v>238407.69454784764</v>
      </c>
      <c r="AA7" s="452" t="s">
        <v>48</v>
      </c>
      <c r="AB7" s="507">
        <f t="shared" si="7"/>
        <v>264870.94864265871</v>
      </c>
      <c r="AC7" s="507">
        <f t="shared" si="8"/>
        <v>341638.22628706566</v>
      </c>
      <c r="AD7" s="507"/>
      <c r="AE7" s="442">
        <v>180811.05592664011</v>
      </c>
      <c r="AF7" s="486"/>
      <c r="AG7" s="443">
        <v>211729.74649009557</v>
      </c>
      <c r="AH7" s="438">
        <f>+'[1]2007'!AA7</f>
        <v>0</v>
      </c>
    </row>
    <row r="8" spans="1:34" ht="13.5" thickBot="1" x14ac:dyDescent="0.25">
      <c r="A8" s="742"/>
      <c r="B8" s="463"/>
      <c r="C8" s="42" t="s">
        <v>50</v>
      </c>
      <c r="D8" s="628">
        <v>73800</v>
      </c>
      <c r="E8" s="514">
        <f t="shared" si="0"/>
        <v>11.319346938630611</v>
      </c>
      <c r="F8" s="678">
        <v>835367.80407093908</v>
      </c>
      <c r="G8" s="665" t="s">
        <v>40</v>
      </c>
      <c r="H8" s="382">
        <v>340.22</v>
      </c>
      <c r="I8" s="268">
        <v>3.9</v>
      </c>
      <c r="J8" s="383">
        <f t="shared" si="1"/>
        <v>115.67480000000002</v>
      </c>
      <c r="K8" s="385">
        <v>500</v>
      </c>
      <c r="L8" s="268">
        <f t="shared" si="2"/>
        <v>0.5</v>
      </c>
      <c r="M8" s="559">
        <f t="shared" si="4"/>
        <v>1.95</v>
      </c>
      <c r="N8" s="386">
        <f t="shared" si="5"/>
        <v>2.2556586000000003</v>
      </c>
      <c r="O8" s="387">
        <f t="shared" si="9"/>
        <v>0.45113172000000001</v>
      </c>
      <c r="P8" s="388">
        <f t="shared" si="3"/>
        <v>1.8045268800000003</v>
      </c>
      <c r="X8" s="421">
        <v>248835.97883540179</v>
      </c>
      <c r="Z8" s="423">
        <f t="shared" si="6"/>
        <v>280189.31216866244</v>
      </c>
      <c r="AA8" s="452" t="s">
        <v>50</v>
      </c>
      <c r="AB8" s="507">
        <f t="shared" si="7"/>
        <v>311290.32581938396</v>
      </c>
      <c r="AC8" s="507">
        <f t="shared" si="8"/>
        <v>401511.2843376933</v>
      </c>
      <c r="AD8" s="507"/>
      <c r="AE8" s="442">
        <v>212498.70096960015</v>
      </c>
      <c r="AF8" s="486"/>
      <c r="AG8" s="443">
        <v>248835.97883540179</v>
      </c>
      <c r="AH8" s="438">
        <f>+'[1]2007'!AA8</f>
        <v>0</v>
      </c>
    </row>
    <row r="9" spans="1:34" x14ac:dyDescent="0.2">
      <c r="A9" s="743">
        <v>2001</v>
      </c>
      <c r="B9" s="465"/>
      <c r="C9" s="138" t="s">
        <v>52</v>
      </c>
      <c r="D9" s="629">
        <v>139200</v>
      </c>
      <c r="E9" s="514">
        <f t="shared" si="0"/>
        <v>11.492668552944668</v>
      </c>
      <c r="F9" s="678">
        <v>1599779.4625698978</v>
      </c>
      <c r="G9" s="34" t="s">
        <v>38</v>
      </c>
      <c r="H9" s="395">
        <v>478.49</v>
      </c>
      <c r="I9" s="410">
        <v>3.9</v>
      </c>
      <c r="J9" s="380">
        <f t="shared" si="1"/>
        <v>162.68660000000003</v>
      </c>
      <c r="K9" s="379">
        <v>800</v>
      </c>
      <c r="L9" s="410">
        <f t="shared" si="2"/>
        <v>0.8</v>
      </c>
      <c r="M9" s="560">
        <f t="shared" si="4"/>
        <v>3.12</v>
      </c>
      <c r="N9" s="371">
        <f t="shared" si="5"/>
        <v>5.075821920000001</v>
      </c>
      <c r="O9" s="372">
        <f t="shared" si="9"/>
        <v>1.0151643840000002</v>
      </c>
      <c r="P9" s="396">
        <f t="shared" si="3"/>
        <v>4.0606575360000008</v>
      </c>
      <c r="X9" s="421">
        <v>476535.8283493871</v>
      </c>
      <c r="Z9" s="423">
        <f t="shared" si="6"/>
        <v>536579.34272140998</v>
      </c>
      <c r="AA9" s="452" t="s">
        <v>207</v>
      </c>
      <c r="AB9" s="507">
        <f t="shared" si="7"/>
        <v>596139.64976348646</v>
      </c>
      <c r="AC9" s="507">
        <f t="shared" si="8"/>
        <v>768918.19811978051</v>
      </c>
      <c r="AD9" s="507"/>
      <c r="AE9" s="442">
        <v>406947.76118649624</v>
      </c>
      <c r="AF9" s="486"/>
      <c r="AG9" s="443">
        <v>476535.8283493871</v>
      </c>
      <c r="AH9" s="438">
        <f>+'[1]2007'!AA9</f>
        <v>0</v>
      </c>
    </row>
    <row r="10" spans="1:34" x14ac:dyDescent="0.2">
      <c r="A10" s="741"/>
      <c r="B10" s="462"/>
      <c r="C10" s="41" t="s">
        <v>54</v>
      </c>
      <c r="D10" s="627">
        <v>260000</v>
      </c>
      <c r="E10" s="514">
        <f t="shared" si="0"/>
        <v>11.492668552944666</v>
      </c>
      <c r="F10" s="678">
        <v>2988093.8237656131</v>
      </c>
      <c r="G10" s="36" t="s">
        <v>55</v>
      </c>
      <c r="H10" s="24">
        <v>1661</v>
      </c>
      <c r="I10" s="84">
        <v>2.7</v>
      </c>
      <c r="J10" s="349">
        <f t="shared" si="1"/>
        <v>564.74</v>
      </c>
      <c r="K10" s="83">
        <v>1312</v>
      </c>
      <c r="L10" s="84">
        <f t="shared" si="2"/>
        <v>1.3120000000000001</v>
      </c>
      <c r="M10" s="558">
        <f t="shared" si="4"/>
        <v>3.5424000000000002</v>
      </c>
      <c r="N10" s="351">
        <f t="shared" si="5"/>
        <v>20.005349760000001</v>
      </c>
      <c r="O10" s="353">
        <f t="shared" si="9"/>
        <v>4.0010699519999982</v>
      </c>
      <c r="P10" s="355">
        <f t="shared" si="3"/>
        <v>16.004279808</v>
      </c>
      <c r="X10" s="421">
        <v>890081.28858362534</v>
      </c>
      <c r="Z10" s="423">
        <f t="shared" si="6"/>
        <v>1002231.5309451623</v>
      </c>
      <c r="AA10" s="452" t="s">
        <v>54</v>
      </c>
      <c r="AB10" s="507">
        <f t="shared" si="7"/>
        <v>1113479.2308800754</v>
      </c>
      <c r="AC10" s="507">
        <f t="shared" si="8"/>
        <v>1436197.7838444177</v>
      </c>
      <c r="AD10" s="507"/>
      <c r="AE10" s="442">
        <v>760103.57692880044</v>
      </c>
      <c r="AF10" s="486"/>
      <c r="AG10" s="443">
        <v>890081.28858362534</v>
      </c>
      <c r="AH10" s="438">
        <f>+'[1]2007'!AA10</f>
        <v>0</v>
      </c>
    </row>
    <row r="11" spans="1:34" x14ac:dyDescent="0.2">
      <c r="A11" s="741"/>
      <c r="B11" s="462"/>
      <c r="C11" s="41" t="s">
        <v>57</v>
      </c>
      <c r="D11" s="627">
        <v>139329.73000000001</v>
      </c>
      <c r="E11" s="514">
        <f t="shared" si="0"/>
        <v>11.492668552944666</v>
      </c>
      <c r="F11" s="678">
        <v>1601270.4064612712</v>
      </c>
      <c r="G11" s="36" t="s">
        <v>55</v>
      </c>
      <c r="H11" s="24">
        <v>1972.59</v>
      </c>
      <c r="I11" s="84">
        <v>6.8</v>
      </c>
      <c r="J11" s="349">
        <f t="shared" si="1"/>
        <v>670.68060000000003</v>
      </c>
      <c r="K11" s="83">
        <v>650</v>
      </c>
      <c r="L11" s="84">
        <f t="shared" si="2"/>
        <v>0.65</v>
      </c>
      <c r="M11" s="558">
        <f t="shared" si="4"/>
        <v>4.42</v>
      </c>
      <c r="N11" s="351">
        <f t="shared" si="5"/>
        <v>29.644082519999998</v>
      </c>
      <c r="O11" s="353">
        <f t="shared" si="9"/>
        <v>5.9288165039999967</v>
      </c>
      <c r="P11" s="355">
        <f t="shared" si="3"/>
        <v>23.715266015999998</v>
      </c>
      <c r="R11" s="87">
        <f>SUM(F9:F13)</f>
        <v>10569389.164861254</v>
      </c>
      <c r="S11" s="86">
        <f>SUM(P9:P13)</f>
        <v>69.764891856000006</v>
      </c>
      <c r="T11" s="87">
        <f>+R11/S11</f>
        <v>151500.11536859069</v>
      </c>
      <c r="U11" s="87">
        <f>+AVERAGE(J9:J13)</f>
        <v>405.82128</v>
      </c>
      <c r="X11" s="421">
        <v>476979.94467849465</v>
      </c>
      <c r="Z11" s="423">
        <f t="shared" si="6"/>
        <v>537079.41770798503</v>
      </c>
      <c r="AA11" s="452" t="s">
        <v>208</v>
      </c>
      <c r="AB11" s="507">
        <f t="shared" si="7"/>
        <v>596695.23307357135</v>
      </c>
      <c r="AC11" s="507">
        <f t="shared" si="8"/>
        <v>769634.80557554262</v>
      </c>
      <c r="AD11" s="507"/>
      <c r="AE11" s="442">
        <v>407327.02363663079</v>
      </c>
      <c r="AF11" s="486"/>
      <c r="AG11" s="443">
        <v>476979.94467849465</v>
      </c>
      <c r="AH11" s="438">
        <f>+'[1]2007'!AA11</f>
        <v>0</v>
      </c>
    </row>
    <row r="12" spans="1:34" x14ac:dyDescent="0.2">
      <c r="A12" s="741"/>
      <c r="B12" s="462"/>
      <c r="C12" s="49" t="s">
        <v>60</v>
      </c>
      <c r="D12" s="627">
        <v>135200</v>
      </c>
      <c r="E12" s="514">
        <f t="shared" si="0"/>
        <v>11.492668552944668</v>
      </c>
      <c r="F12" s="678">
        <v>1553808.7883581191</v>
      </c>
      <c r="G12" s="36" t="s">
        <v>40</v>
      </c>
      <c r="H12" s="24">
        <v>676.29</v>
      </c>
      <c r="I12" s="84">
        <v>5.4</v>
      </c>
      <c r="J12" s="349">
        <f t="shared" si="1"/>
        <v>229.93860000000001</v>
      </c>
      <c r="K12" s="83">
        <v>1550</v>
      </c>
      <c r="L12" s="84">
        <f t="shared" si="2"/>
        <v>1.55</v>
      </c>
      <c r="M12" s="558">
        <f t="shared" si="4"/>
        <v>8.370000000000001</v>
      </c>
      <c r="N12" s="351">
        <f t="shared" si="5"/>
        <v>19.245860820000004</v>
      </c>
      <c r="O12" s="353">
        <f t="shared" si="9"/>
        <v>3.8491721640000005</v>
      </c>
      <c r="P12" s="355">
        <f t="shared" si="3"/>
        <v>15.396688656000004</v>
      </c>
      <c r="X12" s="421">
        <v>462842.27006348519</v>
      </c>
      <c r="Z12" s="423">
        <f t="shared" si="6"/>
        <v>521160.39609148441</v>
      </c>
      <c r="AA12" s="454" t="s">
        <v>209</v>
      </c>
      <c r="AB12" s="507">
        <f t="shared" si="7"/>
        <v>579009.20005763916</v>
      </c>
      <c r="AC12" s="507">
        <f t="shared" si="8"/>
        <v>746822.84759909718</v>
      </c>
      <c r="AD12" s="507"/>
      <c r="AE12" s="442">
        <v>395253.86000297626</v>
      </c>
      <c r="AF12" s="486"/>
      <c r="AG12" s="443">
        <v>462842.27006348519</v>
      </c>
      <c r="AH12" s="438">
        <f>+'[1]2007'!AA12</f>
        <v>0</v>
      </c>
    </row>
    <row r="13" spans="1:34" ht="13.5" thickBot="1" x14ac:dyDescent="0.25">
      <c r="A13" s="742"/>
      <c r="B13" s="463"/>
      <c r="C13" s="42" t="s">
        <v>61</v>
      </c>
      <c r="D13" s="628">
        <v>245933.89</v>
      </c>
      <c r="E13" s="514">
        <f t="shared" si="0"/>
        <v>11.492668552944666</v>
      </c>
      <c r="F13" s="678">
        <v>2826436.683706353</v>
      </c>
      <c r="G13" s="665" t="s">
        <v>40</v>
      </c>
      <c r="H13" s="382">
        <v>1179.5899999999999</v>
      </c>
      <c r="I13" s="268">
        <v>2.2000000000000002</v>
      </c>
      <c r="J13" s="383">
        <f t="shared" si="1"/>
        <v>401.06060000000002</v>
      </c>
      <c r="K13" s="385">
        <v>1500</v>
      </c>
      <c r="L13" s="268">
        <f t="shared" si="2"/>
        <v>1.5</v>
      </c>
      <c r="M13" s="559">
        <f t="shared" si="4"/>
        <v>3.3000000000000003</v>
      </c>
      <c r="N13" s="386">
        <f t="shared" si="5"/>
        <v>13.234999800000001</v>
      </c>
      <c r="O13" s="387">
        <f t="shared" si="9"/>
        <v>2.6469999599999987</v>
      </c>
      <c r="P13" s="388">
        <f t="shared" si="3"/>
        <v>10.58799984</v>
      </c>
      <c r="X13" s="421">
        <v>841927.51429839828</v>
      </c>
      <c r="Z13" s="423">
        <f t="shared" si="6"/>
        <v>948010.38109999651</v>
      </c>
      <c r="AA13" s="452" t="s">
        <v>61</v>
      </c>
      <c r="AB13" s="507">
        <f t="shared" si="7"/>
        <v>1053239.533402096</v>
      </c>
      <c r="AC13" s="507">
        <f t="shared" si="8"/>
        <v>1358498.8761162951</v>
      </c>
      <c r="AD13" s="507"/>
      <c r="AE13" s="442">
        <v>718981.65183466976</v>
      </c>
      <c r="AF13" s="486"/>
      <c r="AG13" s="443">
        <v>841927.51429839828</v>
      </c>
      <c r="AH13" s="438">
        <f>+'[1]2007'!AA13</f>
        <v>0</v>
      </c>
    </row>
    <row r="14" spans="1:34" x14ac:dyDescent="0.2">
      <c r="A14" s="743">
        <v>2002</v>
      </c>
      <c r="B14" s="466"/>
      <c r="C14" s="138" t="s">
        <v>7</v>
      </c>
      <c r="D14" s="626">
        <v>1153931.23</v>
      </c>
      <c r="E14" s="514">
        <f t="shared" si="0"/>
        <v>5.31750336031768</v>
      </c>
      <c r="F14" s="678">
        <v>6136033.1931005139</v>
      </c>
      <c r="G14" s="667"/>
      <c r="H14" s="395">
        <v>5160</v>
      </c>
      <c r="I14" s="652">
        <v>1.6</v>
      </c>
      <c r="J14" s="380">
        <f t="shared" si="1"/>
        <v>1754.4</v>
      </c>
      <c r="K14" s="381">
        <v>2171</v>
      </c>
      <c r="L14" s="410">
        <f t="shared" si="2"/>
        <v>2.1709999999999998</v>
      </c>
      <c r="M14" s="561">
        <f t="shared" si="4"/>
        <v>3.4735999999999998</v>
      </c>
      <c r="N14" s="371">
        <f t="shared" si="5"/>
        <v>60.940838399999997</v>
      </c>
      <c r="O14" s="372">
        <f t="shared" si="9"/>
        <v>12.188167679999999</v>
      </c>
      <c r="P14" s="396">
        <f t="shared" si="3"/>
        <v>48.752670719999998</v>
      </c>
      <c r="X14" s="421">
        <v>1827776.7210214648</v>
      </c>
      <c r="Z14" s="423">
        <f t="shared" si="6"/>
        <v>2058076.5878701697</v>
      </c>
      <c r="AA14" s="452" t="s">
        <v>7</v>
      </c>
      <c r="AB14" s="507">
        <f t="shared" si="7"/>
        <v>2286523.0891237585</v>
      </c>
      <c r="AC14" s="507">
        <f t="shared" si="8"/>
        <v>2949223.7504179534</v>
      </c>
      <c r="AD14" s="507"/>
      <c r="AE14" s="442">
        <v>1560868.250231823</v>
      </c>
      <c r="AF14" s="486"/>
      <c r="AG14" s="443">
        <v>1827776.7210214648</v>
      </c>
      <c r="AH14" s="438">
        <f>+'[1]2007'!AA14</f>
        <v>0</v>
      </c>
    </row>
    <row r="15" spans="1:34" x14ac:dyDescent="0.2">
      <c r="A15" s="741"/>
      <c r="B15" s="740"/>
      <c r="C15" s="41" t="s">
        <v>8</v>
      </c>
      <c r="D15" s="627">
        <v>966865.49</v>
      </c>
      <c r="E15" s="514">
        <f t="shared" si="0"/>
        <v>4.9719055308773168</v>
      </c>
      <c r="F15" s="678">
        <v>4807163.8773454074</v>
      </c>
      <c r="G15" s="36"/>
      <c r="H15" s="24">
        <v>3793</v>
      </c>
      <c r="I15" s="614">
        <v>3.8</v>
      </c>
      <c r="J15" s="349">
        <f t="shared" si="1"/>
        <v>1289.6200000000001</v>
      </c>
      <c r="K15" s="80">
        <v>1847</v>
      </c>
      <c r="L15" s="84">
        <f t="shared" si="2"/>
        <v>1.847</v>
      </c>
      <c r="M15" s="562">
        <f t="shared" si="4"/>
        <v>7.0185999999999993</v>
      </c>
      <c r="N15" s="351">
        <f t="shared" si="5"/>
        <v>90.513269320000006</v>
      </c>
      <c r="O15" s="353">
        <f t="shared" si="9"/>
        <v>18.102653864000004</v>
      </c>
      <c r="P15" s="355">
        <f t="shared" si="3"/>
        <v>72.410615456000002</v>
      </c>
      <c r="X15" s="421">
        <v>1431938.51021322</v>
      </c>
      <c r="Z15" s="423">
        <f t="shared" si="6"/>
        <v>1612362.7625000859</v>
      </c>
      <c r="AA15" s="452" t="s">
        <v>8</v>
      </c>
      <c r="AB15" s="507">
        <f t="shared" si="7"/>
        <v>1791335.0291375953</v>
      </c>
      <c r="AC15" s="507">
        <f t="shared" si="8"/>
        <v>2310515.838662623</v>
      </c>
      <c r="AD15" s="507"/>
      <c r="AE15" s="442">
        <v>1222833.9113691032</v>
      </c>
      <c r="AF15" s="486"/>
      <c r="AG15" s="443">
        <v>1431938.51021322</v>
      </c>
      <c r="AH15" s="438">
        <f>+'[1]2007'!AA15</f>
        <v>0</v>
      </c>
    </row>
    <row r="16" spans="1:34" x14ac:dyDescent="0.2">
      <c r="A16" s="741"/>
      <c r="B16" s="740"/>
      <c r="C16" s="41" t="s">
        <v>70</v>
      </c>
      <c r="D16" s="627">
        <v>837566.21</v>
      </c>
      <c r="E16" s="514">
        <f t="shared" si="0"/>
        <v>5.3175033603176818</v>
      </c>
      <c r="F16" s="678">
        <v>4453761.1361635448</v>
      </c>
      <c r="G16" s="36"/>
      <c r="H16" s="24">
        <v>3777</v>
      </c>
      <c r="I16" s="614">
        <v>4.45</v>
      </c>
      <c r="J16" s="349">
        <f t="shared" si="1"/>
        <v>1284.18</v>
      </c>
      <c r="K16" s="80">
        <v>1600</v>
      </c>
      <c r="L16" s="84">
        <f t="shared" si="2"/>
        <v>1.6</v>
      </c>
      <c r="M16" s="562">
        <f t="shared" si="4"/>
        <v>7.120000000000001</v>
      </c>
      <c r="N16" s="351">
        <f t="shared" si="5"/>
        <v>91.433616000000015</v>
      </c>
      <c r="O16" s="353">
        <f t="shared" si="9"/>
        <v>18.286723199999997</v>
      </c>
      <c r="P16" s="355">
        <f t="shared" si="3"/>
        <v>73.146892800000018</v>
      </c>
      <c r="R16" s="87">
        <f>SUM(F14:F19)</f>
        <v>31757932.299798451</v>
      </c>
      <c r="S16" s="86">
        <f>SUM(P14:P19)</f>
        <v>444.66163777600013</v>
      </c>
      <c r="T16" s="87">
        <f>+R16/S16</f>
        <v>71420.445574386657</v>
      </c>
      <c r="U16" s="87">
        <f>+AVERAGE(J14:J19)</f>
        <v>1090.1533333333334</v>
      </c>
      <c r="X16" s="421">
        <v>1326668.3326979335</v>
      </c>
      <c r="Z16" s="423">
        <f t="shared" si="6"/>
        <v>1493828.5426178733</v>
      </c>
      <c r="AA16" s="452" t="s">
        <v>70</v>
      </c>
      <c r="AB16" s="507">
        <f t="shared" si="7"/>
        <v>1659643.5108484572</v>
      </c>
      <c r="AC16" s="507">
        <f t="shared" si="8"/>
        <v>2140656.3015714125</v>
      </c>
      <c r="AD16" s="507"/>
      <c r="AE16" s="442">
        <v>1132936.2362920013</v>
      </c>
      <c r="AF16" s="486"/>
      <c r="AG16" s="443">
        <v>1326668.3326979335</v>
      </c>
      <c r="AH16" s="438">
        <f>+'[1]2007'!AA16</f>
        <v>0</v>
      </c>
    </row>
    <row r="17" spans="1:34" x14ac:dyDescent="0.2">
      <c r="A17" s="741"/>
      <c r="B17" s="467"/>
      <c r="C17" s="41" t="s">
        <v>107</v>
      </c>
      <c r="D17" s="627">
        <v>1431662.57</v>
      </c>
      <c r="E17" s="514">
        <f t="shared" si="0"/>
        <v>5.5395399393820091</v>
      </c>
      <c r="F17" s="678">
        <v>7930751.9862332921</v>
      </c>
      <c r="G17" s="36"/>
      <c r="H17" s="24">
        <v>2337</v>
      </c>
      <c r="I17" s="614">
        <v>4.3</v>
      </c>
      <c r="J17" s="349">
        <f t="shared" si="1"/>
        <v>794.58</v>
      </c>
      <c r="K17" s="80">
        <v>2710</v>
      </c>
      <c r="L17" s="84">
        <f>+K17/1000</f>
        <v>2.71</v>
      </c>
      <c r="M17" s="562">
        <f>+I17*L17</f>
        <v>11.652999999999999</v>
      </c>
      <c r="N17" s="351">
        <f>+M17/100*J17</f>
        <v>92.592407399999985</v>
      </c>
      <c r="O17" s="353">
        <f>+N17-(N17*0.8)</f>
        <v>18.518481479999991</v>
      </c>
      <c r="P17" s="355">
        <f>N17-(N17*0.2)</f>
        <v>74.073925919999994</v>
      </c>
      <c r="X17" s="421">
        <v>2362380.2877942645</v>
      </c>
      <c r="Z17" s="423">
        <f t="shared" si="6"/>
        <v>2660040.2040563421</v>
      </c>
      <c r="AA17" s="452" t="s">
        <v>210</v>
      </c>
      <c r="AB17" s="507">
        <f t="shared" si="7"/>
        <v>2955304.666706596</v>
      </c>
      <c r="AC17" s="507">
        <f t="shared" si="8"/>
        <v>3811837.6124127386</v>
      </c>
      <c r="AD17" s="507"/>
      <c r="AE17" s="442">
        <v>2017404.1740343848</v>
      </c>
      <c r="AF17" s="486"/>
      <c r="AG17" s="443">
        <v>2362380.2877942645</v>
      </c>
      <c r="AH17" s="438">
        <f>+'[1]2007'!AA17</f>
        <v>0</v>
      </c>
    </row>
    <row r="18" spans="1:34" x14ac:dyDescent="0.2">
      <c r="A18" s="741"/>
      <c r="B18" s="468"/>
      <c r="C18" s="301" t="s">
        <v>106</v>
      </c>
      <c r="D18" s="630">
        <v>1132235.29</v>
      </c>
      <c r="E18" s="514">
        <f t="shared" si="0"/>
        <v>5.6875611753346638</v>
      </c>
      <c r="F18" s="678">
        <v>6439657.4767477838</v>
      </c>
      <c r="G18" s="36"/>
      <c r="H18" s="304">
        <v>3490</v>
      </c>
      <c r="I18" s="613">
        <v>7.9</v>
      </c>
      <c r="J18" s="349">
        <f t="shared" si="1"/>
        <v>1186.6000000000001</v>
      </c>
      <c r="K18" s="80">
        <v>2200</v>
      </c>
      <c r="L18" s="552">
        <f>+K18/1000</f>
        <v>2.2000000000000002</v>
      </c>
      <c r="M18" s="558">
        <f>+I18*L18</f>
        <v>17.380000000000003</v>
      </c>
      <c r="N18" s="351">
        <f>+M18/100*J18</f>
        <v>206.23108000000008</v>
      </c>
      <c r="O18" s="353">
        <f>+N18-(N18*0.8)</f>
        <v>41.246216000000004</v>
      </c>
      <c r="P18" s="355">
        <f>N18-(N18*0.2)</f>
        <v>164.98486400000007</v>
      </c>
      <c r="X18" s="421">
        <v>1918219.0931734443</v>
      </c>
      <c r="Z18" s="423">
        <f t="shared" si="6"/>
        <v>2159914.6989132985</v>
      </c>
      <c r="AA18" s="453" t="s">
        <v>106</v>
      </c>
      <c r="AB18" s="507">
        <f t="shared" si="7"/>
        <v>2399665.2304926747</v>
      </c>
      <c r="AC18" s="507">
        <f t="shared" si="8"/>
        <v>3095157.7635427569</v>
      </c>
      <c r="AD18" s="507"/>
      <c r="AE18" s="442">
        <v>1638103.4100541796</v>
      </c>
      <c r="AF18" s="486"/>
      <c r="AG18" s="443">
        <v>1918219.0931734443</v>
      </c>
      <c r="AH18" s="438">
        <f>+'[1]2007'!AA18</f>
        <v>0</v>
      </c>
    </row>
    <row r="19" spans="1:34" ht="13.5" thickBot="1" x14ac:dyDescent="0.25">
      <c r="A19" s="742"/>
      <c r="B19" s="469"/>
      <c r="C19" s="42" t="s">
        <v>71</v>
      </c>
      <c r="D19" s="628">
        <v>374341.96</v>
      </c>
      <c r="E19" s="514">
        <f t="shared" si="0"/>
        <v>5.3175033603176818</v>
      </c>
      <c r="F19" s="678">
        <v>1990564.6302079074</v>
      </c>
      <c r="G19" s="665"/>
      <c r="H19" s="382">
        <v>681</v>
      </c>
      <c r="I19" s="615">
        <v>4.45</v>
      </c>
      <c r="J19" s="383">
        <f t="shared" si="1"/>
        <v>231.54000000000002</v>
      </c>
      <c r="K19" s="384">
        <v>1370</v>
      </c>
      <c r="L19" s="268">
        <f t="shared" si="2"/>
        <v>1.37</v>
      </c>
      <c r="M19" s="563">
        <f t="shared" si="4"/>
        <v>6.0965000000000007</v>
      </c>
      <c r="N19" s="386">
        <f t="shared" si="5"/>
        <v>14.115836100000003</v>
      </c>
      <c r="O19" s="387">
        <f t="shared" si="9"/>
        <v>2.8231672200000002</v>
      </c>
      <c r="P19" s="388">
        <f t="shared" si="3"/>
        <v>11.292668880000003</v>
      </c>
      <c r="X19" s="421">
        <v>592941.33168537996</v>
      </c>
      <c r="Z19" s="423">
        <f t="shared" si="6"/>
        <v>667651.93947773788</v>
      </c>
      <c r="AA19" s="452" t="s">
        <v>71</v>
      </c>
      <c r="AB19" s="507">
        <f t="shared" si="7"/>
        <v>741761.30475976679</v>
      </c>
      <c r="AC19" s="507">
        <f t="shared" si="8"/>
        <v>956745.22927159839</v>
      </c>
      <c r="AD19" s="507"/>
      <c r="AE19" s="442">
        <v>506354.68120015366</v>
      </c>
      <c r="AF19" s="486"/>
      <c r="AG19" s="443">
        <v>592941.33168537996</v>
      </c>
      <c r="AH19" s="438">
        <f>+'[1]2007'!AA19</f>
        <v>0</v>
      </c>
    </row>
    <row r="20" spans="1:34" x14ac:dyDescent="0.2">
      <c r="A20" s="752">
        <v>2003</v>
      </c>
      <c r="B20" s="470">
        <v>233825</v>
      </c>
      <c r="C20" s="475" t="s">
        <v>73</v>
      </c>
      <c r="D20" s="626">
        <v>103563.9</v>
      </c>
      <c r="E20" s="514">
        <f t="shared" si="0"/>
        <v>5.1221457461397337</v>
      </c>
      <c r="F20" s="678">
        <v>530469.38983864069</v>
      </c>
      <c r="G20" s="668" t="s">
        <v>74</v>
      </c>
      <c r="H20" s="395">
        <v>491</v>
      </c>
      <c r="I20" s="653">
        <v>5</v>
      </c>
      <c r="J20" s="380">
        <f t="shared" si="1"/>
        <v>166.94000000000003</v>
      </c>
      <c r="K20" s="381">
        <v>360</v>
      </c>
      <c r="L20" s="410">
        <f>K20/1000</f>
        <v>0.36</v>
      </c>
      <c r="M20" s="560">
        <f t="shared" si="4"/>
        <v>1.7999999999999998</v>
      </c>
      <c r="N20" s="371">
        <f t="shared" si="5"/>
        <v>3.0049200000000003</v>
      </c>
      <c r="O20" s="372">
        <f>+N20-(N20*0.8)</f>
        <v>0.60098399999999996</v>
      </c>
      <c r="P20" s="396">
        <f t="shared" si="3"/>
        <v>2.4039360000000003</v>
      </c>
      <c r="X20" s="421">
        <v>158014.0738240699</v>
      </c>
      <c r="Z20" s="423">
        <f t="shared" si="6"/>
        <v>177923.84712590271</v>
      </c>
      <c r="AA20" s="453" t="s">
        <v>211</v>
      </c>
      <c r="AB20" s="507">
        <f t="shared" si="7"/>
        <v>197673.39415687791</v>
      </c>
      <c r="AC20" s="507">
        <f t="shared" si="8"/>
        <v>254964.87293141859</v>
      </c>
      <c r="AD20" s="507"/>
      <c r="AE20" s="442">
        <v>134939.43110509811</v>
      </c>
      <c r="AF20" s="486"/>
      <c r="AG20" s="443">
        <v>158014.0738240699</v>
      </c>
      <c r="AH20" s="438">
        <f>+'[1]2007'!AA20</f>
        <v>0</v>
      </c>
    </row>
    <row r="21" spans="1:34" x14ac:dyDescent="0.2">
      <c r="A21" s="753"/>
      <c r="B21" s="471">
        <v>235496</v>
      </c>
      <c r="C21" s="477" t="s">
        <v>75</v>
      </c>
      <c r="D21" s="630">
        <v>36333.33</v>
      </c>
      <c r="E21" s="514">
        <f t="shared" si="0"/>
        <v>5.0495671975402496</v>
      </c>
      <c r="F21" s="678">
        <v>183467.59134540509</v>
      </c>
      <c r="G21" s="669" t="s">
        <v>74</v>
      </c>
      <c r="H21" s="24">
        <v>491</v>
      </c>
      <c r="I21" s="654">
        <v>5</v>
      </c>
      <c r="J21" s="349">
        <f t="shared" si="1"/>
        <v>166.94000000000003</v>
      </c>
      <c r="K21" s="83">
        <v>133.5</v>
      </c>
      <c r="L21" s="84">
        <f t="shared" ref="L21:L33" si="10">K21/1000</f>
        <v>0.13350000000000001</v>
      </c>
      <c r="M21" s="558">
        <f t="shared" si="4"/>
        <v>0.66749999999999998</v>
      </c>
      <c r="N21" s="351">
        <f t="shared" si="5"/>
        <v>1.1143245000000002</v>
      </c>
      <c r="O21" s="353">
        <f t="shared" ref="O21:O33" si="11">+N21-(N21*0.8)</f>
        <v>0.22286490000000003</v>
      </c>
      <c r="P21" s="355">
        <f t="shared" si="3"/>
        <v>0.89145960000000013</v>
      </c>
      <c r="X21" s="421">
        <v>54650.583197638414</v>
      </c>
      <c r="Z21" s="423">
        <f t="shared" si="6"/>
        <v>61536.55668054086</v>
      </c>
      <c r="AA21" s="455" t="s">
        <v>212</v>
      </c>
      <c r="AB21" s="507">
        <f t="shared" si="7"/>
        <v>68367.114472080895</v>
      </c>
      <c r="AC21" s="507">
        <f t="shared" si="8"/>
        <v>88181.885723215062</v>
      </c>
      <c r="AD21" s="507"/>
      <c r="AE21" s="442">
        <v>46670.011270400013</v>
      </c>
      <c r="AF21" s="486"/>
      <c r="AG21" s="443">
        <v>54650.583197638414</v>
      </c>
      <c r="AH21" s="438">
        <f>+'[1]2007'!AA21</f>
        <v>0</v>
      </c>
    </row>
    <row r="22" spans="1:34" x14ac:dyDescent="0.2">
      <c r="A22" s="753"/>
      <c r="B22" s="745">
        <v>234162</v>
      </c>
      <c r="C22" s="41" t="s">
        <v>76</v>
      </c>
      <c r="D22" s="630">
        <f>784692.58*1032/1744</f>
        <v>464336.4349541284</v>
      </c>
      <c r="E22" s="514">
        <f t="shared" si="0"/>
        <v>5.1221457461397319</v>
      </c>
      <c r="F22" s="678">
        <v>2378398.8950779773</v>
      </c>
      <c r="G22" s="744" t="s">
        <v>77</v>
      </c>
      <c r="H22" s="24">
        <v>4687</v>
      </c>
      <c r="I22" s="654">
        <v>3.8</v>
      </c>
      <c r="J22" s="349">
        <f t="shared" si="1"/>
        <v>1593.5800000000002</v>
      </c>
      <c r="K22" s="83">
        <v>1050.81</v>
      </c>
      <c r="L22" s="84">
        <f t="shared" si="10"/>
        <v>1.05081</v>
      </c>
      <c r="M22" s="558">
        <f t="shared" si="4"/>
        <v>3.9930779999999997</v>
      </c>
      <c r="N22" s="351">
        <f t="shared" si="5"/>
        <v>63.632892392400002</v>
      </c>
      <c r="O22" s="353">
        <f t="shared" si="11"/>
        <v>12.72657847848</v>
      </c>
      <c r="P22" s="355">
        <f t="shared" si="3"/>
        <v>50.906313913920002</v>
      </c>
      <c r="X22" s="421">
        <v>708467.83205390163</v>
      </c>
      <c r="Z22" s="423">
        <f t="shared" si="6"/>
        <v>797734.77889269334</v>
      </c>
      <c r="AA22" s="452" t="s">
        <v>213</v>
      </c>
      <c r="AB22" s="507">
        <f t="shared" si="7"/>
        <v>886283.33934978233</v>
      </c>
      <c r="AC22" s="507">
        <f t="shared" si="8"/>
        <v>1143153.9381532297</v>
      </c>
      <c r="AD22" s="507"/>
      <c r="AE22" s="442">
        <v>605010.95820145309</v>
      </c>
      <c r="AF22" s="486"/>
      <c r="AG22" s="443">
        <v>708467.83205390163</v>
      </c>
      <c r="AH22" s="438">
        <f>+'[1]2007'!AA22</f>
        <v>0</v>
      </c>
    </row>
    <row r="23" spans="1:34" x14ac:dyDescent="0.2">
      <c r="A23" s="753"/>
      <c r="B23" s="745"/>
      <c r="C23" s="41" t="s">
        <v>78</v>
      </c>
      <c r="D23" s="630">
        <v>320356.15000000002</v>
      </c>
      <c r="E23" s="514">
        <f t="shared" si="0"/>
        <v>6.3716631609921093</v>
      </c>
      <c r="F23" s="678">
        <v>2041201.4793522623</v>
      </c>
      <c r="G23" s="744"/>
      <c r="H23" s="24">
        <v>4211</v>
      </c>
      <c r="I23" s="21">
        <v>3.8</v>
      </c>
      <c r="J23" s="349">
        <f t="shared" si="1"/>
        <v>1431.74</v>
      </c>
      <c r="K23" s="83">
        <v>836.7</v>
      </c>
      <c r="L23" s="84">
        <f t="shared" si="10"/>
        <v>0.8367</v>
      </c>
      <c r="M23" s="558">
        <f t="shared" si="4"/>
        <v>3.1794599999999997</v>
      </c>
      <c r="N23" s="351">
        <f t="shared" si="5"/>
        <v>45.521600604</v>
      </c>
      <c r="O23" s="353">
        <f t="shared" si="11"/>
        <v>9.1043201207999971</v>
      </c>
      <c r="P23" s="355">
        <f t="shared" si="3"/>
        <v>36.417280483200003</v>
      </c>
      <c r="X23" s="421">
        <v>608024.83126553171</v>
      </c>
      <c r="Z23" s="423">
        <f t="shared" si="6"/>
        <v>684635.96000498882</v>
      </c>
      <c r="AA23" s="452" t="s">
        <v>214</v>
      </c>
      <c r="AB23" s="507">
        <f t="shared" si="7"/>
        <v>760630.55156554258</v>
      </c>
      <c r="AC23" s="507">
        <f t="shared" si="8"/>
        <v>981083.33068714908</v>
      </c>
      <c r="AD23" s="507"/>
      <c r="AE23" s="442">
        <v>519235.55189199973</v>
      </c>
      <c r="AF23" s="486"/>
      <c r="AG23" s="443">
        <v>608024.83126553171</v>
      </c>
      <c r="AH23" s="438">
        <f>+'[1]2007'!AA23</f>
        <v>0</v>
      </c>
    </row>
    <row r="24" spans="1:34" x14ac:dyDescent="0.2">
      <c r="A24" s="753"/>
      <c r="B24" s="745">
        <v>234167</v>
      </c>
      <c r="C24" s="41" t="s">
        <v>79</v>
      </c>
      <c r="D24" s="630">
        <f>896388.4*2337/5827</f>
        <v>359509.12833361933</v>
      </c>
      <c r="E24" s="514">
        <f t="shared" si="0"/>
        <v>5.1221457461397337</v>
      </c>
      <c r="F24" s="678">
        <v>1841458.1523924519</v>
      </c>
      <c r="G24" s="744" t="s">
        <v>77</v>
      </c>
      <c r="H24" s="24">
        <v>2337</v>
      </c>
      <c r="I24" s="21">
        <v>4.3</v>
      </c>
      <c r="J24" s="349">
        <f t="shared" si="1"/>
        <v>794.58</v>
      </c>
      <c r="K24" s="312">
        <v>2132.54</v>
      </c>
      <c r="L24" s="84">
        <f t="shared" si="10"/>
        <v>2.1325400000000001</v>
      </c>
      <c r="M24" s="558">
        <f t="shared" si="4"/>
        <v>9.1699219999999997</v>
      </c>
      <c r="N24" s="351">
        <f t="shared" si="5"/>
        <v>72.862366227600006</v>
      </c>
      <c r="O24" s="353">
        <f t="shared" si="11"/>
        <v>14.572473245520001</v>
      </c>
      <c r="P24" s="355">
        <f t="shared" si="3"/>
        <v>58.289892982080005</v>
      </c>
      <c r="X24" s="421">
        <v>548526.09784814541</v>
      </c>
      <c r="Z24" s="423">
        <f t="shared" si="6"/>
        <v>617640.38617701177</v>
      </c>
      <c r="AA24" s="452" t="s">
        <v>215</v>
      </c>
      <c r="AB24" s="507">
        <f t="shared" si="7"/>
        <v>686198.46904266009</v>
      </c>
      <c r="AC24" s="507">
        <f t="shared" si="8"/>
        <v>885078.67339165788</v>
      </c>
      <c r="AD24" s="507"/>
      <c r="AE24" s="442">
        <v>468425.36110003875</v>
      </c>
      <c r="AF24" s="486"/>
      <c r="AG24" s="443">
        <v>548526.09784814541</v>
      </c>
      <c r="AH24" s="438">
        <f>+'[1]2007'!AA24</f>
        <v>0</v>
      </c>
    </row>
    <row r="25" spans="1:34" x14ac:dyDescent="0.2">
      <c r="A25" s="753"/>
      <c r="B25" s="745"/>
      <c r="C25" s="41" t="s">
        <v>80</v>
      </c>
      <c r="D25" s="630">
        <f>896388.4*3490/5827</f>
        <v>536879.27166638069</v>
      </c>
      <c r="E25" s="514">
        <f t="shared" si="0"/>
        <v>5.1221457461397328</v>
      </c>
      <c r="F25" s="678">
        <v>2749973.8775565499</v>
      </c>
      <c r="G25" s="744"/>
      <c r="H25" s="24">
        <v>3490</v>
      </c>
      <c r="I25" s="21">
        <v>7.9</v>
      </c>
      <c r="J25" s="349">
        <f t="shared" si="1"/>
        <v>1186.6000000000001</v>
      </c>
      <c r="K25" s="83">
        <v>613.69000000000005</v>
      </c>
      <c r="L25" s="84">
        <f t="shared" si="10"/>
        <v>0.61369000000000007</v>
      </c>
      <c r="M25" s="558">
        <f t="shared" si="4"/>
        <v>4.8481510000000005</v>
      </c>
      <c r="N25" s="351">
        <f t="shared" si="5"/>
        <v>57.528159766000016</v>
      </c>
      <c r="O25" s="353">
        <f t="shared" si="11"/>
        <v>11.505631953200002</v>
      </c>
      <c r="P25" s="355">
        <f t="shared" si="3"/>
        <v>46.022527812800014</v>
      </c>
      <c r="X25" s="421">
        <v>819151.08322209131</v>
      </c>
      <c r="Z25" s="423">
        <f t="shared" si="6"/>
        <v>922364.11970807496</v>
      </c>
      <c r="AA25" s="452" t="s">
        <v>216</v>
      </c>
      <c r="AB25" s="507">
        <f t="shared" si="7"/>
        <v>1024746.5369956712</v>
      </c>
      <c r="AC25" s="507">
        <f t="shared" si="8"/>
        <v>1321747.7835416715</v>
      </c>
      <c r="AD25" s="507"/>
      <c r="AE25" s="442">
        <v>699531.24100947159</v>
      </c>
      <c r="AF25" s="486"/>
      <c r="AG25" s="443">
        <v>819151.08322209131</v>
      </c>
      <c r="AH25" s="438">
        <f>+'[1]2007'!AA25</f>
        <v>0</v>
      </c>
    </row>
    <row r="26" spans="1:34" x14ac:dyDescent="0.2">
      <c r="A26" s="753"/>
      <c r="B26" s="471">
        <v>234165</v>
      </c>
      <c r="C26" s="477" t="s">
        <v>81</v>
      </c>
      <c r="D26" s="630">
        <v>748260.77</v>
      </c>
      <c r="E26" s="514">
        <f t="shared" si="0"/>
        <v>4.5897152230041129</v>
      </c>
      <c r="F26" s="678">
        <v>3434303.8468457791</v>
      </c>
      <c r="G26" s="670" t="s">
        <v>77</v>
      </c>
      <c r="H26" s="24">
        <v>6584</v>
      </c>
      <c r="I26" s="21">
        <v>1.6</v>
      </c>
      <c r="J26" s="349">
        <f t="shared" si="1"/>
        <v>2238.56</v>
      </c>
      <c r="K26" s="83">
        <v>1579</v>
      </c>
      <c r="L26" s="84">
        <f t="shared" si="10"/>
        <v>1.579</v>
      </c>
      <c r="M26" s="558">
        <f t="shared" si="4"/>
        <v>2.5264000000000002</v>
      </c>
      <c r="N26" s="351">
        <f t="shared" si="5"/>
        <v>56.554979840000001</v>
      </c>
      <c r="O26" s="353">
        <f t="shared" si="11"/>
        <v>11.310995968</v>
      </c>
      <c r="P26" s="355">
        <f t="shared" si="3"/>
        <v>45.243983872000001</v>
      </c>
      <c r="R26" s="87">
        <f>SUM(F20:F33)</f>
        <v>26203717.24010301</v>
      </c>
      <c r="S26" s="86">
        <f>SUM(P20:P33)</f>
        <v>430.25577002896</v>
      </c>
      <c r="T26" s="87">
        <f>+R26/S26</f>
        <v>60902.651551516137</v>
      </c>
      <c r="U26" s="87">
        <f>+AVERAGE(J20:J33)</f>
        <v>863.60000000000025</v>
      </c>
      <c r="X26" s="421">
        <v>1022996.523427763</v>
      </c>
      <c r="Z26" s="423">
        <f t="shared" si="6"/>
        <v>1151894.0853796613</v>
      </c>
      <c r="AA26" s="455" t="s">
        <v>217</v>
      </c>
      <c r="AB26" s="507">
        <f t="shared" si="7"/>
        <v>1279754.3288568037</v>
      </c>
      <c r="AC26" s="507">
        <f t="shared" si="8"/>
        <v>1650664.2243490547</v>
      </c>
      <c r="AD26" s="507"/>
      <c r="AE26" s="442">
        <v>873609.32829014771</v>
      </c>
      <c r="AF26" s="486"/>
      <c r="AG26" s="443">
        <v>1022996.523427763</v>
      </c>
      <c r="AH26" s="438">
        <f>+'[1]2007'!AA26</f>
        <v>0</v>
      </c>
    </row>
    <row r="27" spans="1:34" x14ac:dyDescent="0.2">
      <c r="A27" s="753"/>
      <c r="B27" s="745">
        <v>228919</v>
      </c>
      <c r="C27" s="41" t="s">
        <v>82</v>
      </c>
      <c r="D27" s="630">
        <v>255315.91</v>
      </c>
      <c r="E27" s="514">
        <f t="shared" si="0"/>
        <v>5.7406344390268753</v>
      </c>
      <c r="F27" s="678">
        <v>1465675.3057774862</v>
      </c>
      <c r="G27" s="670" t="s">
        <v>77</v>
      </c>
      <c r="H27" s="24">
        <v>2615</v>
      </c>
      <c r="I27" s="21">
        <v>4.45</v>
      </c>
      <c r="J27" s="349">
        <f t="shared" si="1"/>
        <v>889.1</v>
      </c>
      <c r="K27" s="83">
        <v>903</v>
      </c>
      <c r="L27" s="84">
        <f t="shared" si="10"/>
        <v>0.90300000000000002</v>
      </c>
      <c r="M27" s="558">
        <f t="shared" si="4"/>
        <v>4.0183499999999999</v>
      </c>
      <c r="N27" s="351">
        <f t="shared" si="5"/>
        <v>35.727149849999996</v>
      </c>
      <c r="O27" s="353">
        <f t="shared" si="11"/>
        <v>7.1454299699999986</v>
      </c>
      <c r="P27" s="355">
        <f t="shared" si="3"/>
        <v>28.581719879999998</v>
      </c>
      <c r="X27" s="421">
        <v>436589.42514984251</v>
      </c>
      <c r="Z27" s="423">
        <f t="shared" si="6"/>
        <v>491599.69271872274</v>
      </c>
      <c r="AA27" s="452" t="s">
        <v>218</v>
      </c>
      <c r="AB27" s="507">
        <f t="shared" si="7"/>
        <v>546167.25861050095</v>
      </c>
      <c r="AC27" s="507">
        <f t="shared" si="8"/>
        <v>704462.35966592969</v>
      </c>
      <c r="AD27" s="507"/>
      <c r="AE27" s="442">
        <v>372834.69269841374</v>
      </c>
      <c r="AF27" s="486"/>
      <c r="AG27" s="443">
        <v>436589.42514984251</v>
      </c>
      <c r="AH27" s="438">
        <f>+'[1]2007'!AA27</f>
        <v>0</v>
      </c>
    </row>
    <row r="28" spans="1:34" x14ac:dyDescent="0.2">
      <c r="A28" s="753"/>
      <c r="B28" s="745"/>
      <c r="C28" s="41" t="s">
        <v>83</v>
      </c>
      <c r="D28" s="630">
        <v>292187.67</v>
      </c>
      <c r="E28" s="514">
        <f t="shared" si="0"/>
        <v>4.9794021269730466</v>
      </c>
      <c r="F28" s="678">
        <v>1454919.9054732986</v>
      </c>
      <c r="G28" s="671"/>
      <c r="H28" s="24">
        <v>2285</v>
      </c>
      <c r="I28" s="21">
        <v>4.45</v>
      </c>
      <c r="J28" s="349">
        <f t="shared" si="1"/>
        <v>776.90000000000009</v>
      </c>
      <c r="K28" s="83">
        <v>629</v>
      </c>
      <c r="L28" s="84">
        <f t="shared" si="10"/>
        <v>0.629</v>
      </c>
      <c r="M28" s="558">
        <f t="shared" si="4"/>
        <v>2.7990500000000003</v>
      </c>
      <c r="N28" s="351">
        <f t="shared" si="5"/>
        <v>21.745819450000003</v>
      </c>
      <c r="O28" s="353">
        <f t="shared" si="11"/>
        <v>4.3491638899999998</v>
      </c>
      <c r="P28" s="355">
        <f t="shared" si="3"/>
        <v>17.396655560000003</v>
      </c>
      <c r="X28" s="421">
        <v>433385.65005889855</v>
      </c>
      <c r="Z28" s="423">
        <f t="shared" si="6"/>
        <v>487992.24196631979</v>
      </c>
      <c r="AA28" s="452" t="s">
        <v>219</v>
      </c>
      <c r="AB28" s="507">
        <f t="shared" si="7"/>
        <v>542159.38082458125</v>
      </c>
      <c r="AC28" s="507">
        <f t="shared" si="8"/>
        <v>699292.88273773633</v>
      </c>
      <c r="AD28" s="507"/>
      <c r="AE28" s="442">
        <v>370098.76179239841</v>
      </c>
      <c r="AF28" s="486"/>
      <c r="AG28" s="443">
        <v>433385.65005889855</v>
      </c>
      <c r="AH28" s="438">
        <f>+'[1]2007'!AA28</f>
        <v>0</v>
      </c>
    </row>
    <row r="29" spans="1:34" x14ac:dyDescent="0.2">
      <c r="A29" s="753"/>
      <c r="B29" s="471">
        <v>234166</v>
      </c>
      <c r="C29" s="301" t="s">
        <v>84</v>
      </c>
      <c r="D29" s="630">
        <v>327565.94</v>
      </c>
      <c r="E29" s="514">
        <f t="shared" si="0"/>
        <v>5.1221457461397337</v>
      </c>
      <c r="F29" s="678">
        <v>1677840.4861512631</v>
      </c>
      <c r="G29" s="670" t="s">
        <v>77</v>
      </c>
      <c r="H29" s="24">
        <v>681</v>
      </c>
      <c r="I29" s="21">
        <v>4.45</v>
      </c>
      <c r="J29" s="349">
        <f t="shared" si="1"/>
        <v>231.54000000000002</v>
      </c>
      <c r="K29" s="83">
        <v>1282</v>
      </c>
      <c r="L29" s="84">
        <f t="shared" si="10"/>
        <v>1.282</v>
      </c>
      <c r="M29" s="558">
        <f t="shared" si="4"/>
        <v>5.7049000000000003</v>
      </c>
      <c r="N29" s="351">
        <f t="shared" si="5"/>
        <v>13.209125460000001</v>
      </c>
      <c r="O29" s="353">
        <f t="shared" si="11"/>
        <v>2.6418250919999995</v>
      </c>
      <c r="P29" s="355">
        <f t="shared" si="3"/>
        <v>10.567300368000001</v>
      </c>
      <c r="X29" s="421">
        <v>499788.32996257226</v>
      </c>
      <c r="Z29" s="423">
        <f t="shared" si="6"/>
        <v>562761.65953785647</v>
      </c>
      <c r="AA29" s="453" t="s">
        <v>220</v>
      </c>
      <c r="AB29" s="507">
        <f t="shared" si="7"/>
        <v>625228.20374655852</v>
      </c>
      <c r="AC29" s="507">
        <f t="shared" si="8"/>
        <v>806437.45811774838</v>
      </c>
      <c r="AD29" s="507"/>
      <c r="AE29" s="442">
        <v>426804.72242747416</v>
      </c>
      <c r="AF29" s="486"/>
      <c r="AG29" s="443">
        <v>499788.32996257226</v>
      </c>
      <c r="AH29" s="438">
        <f>+'[1]2007'!AA29</f>
        <v>0</v>
      </c>
    </row>
    <row r="30" spans="1:34" x14ac:dyDescent="0.2">
      <c r="A30" s="753"/>
      <c r="B30" s="471">
        <v>231173</v>
      </c>
      <c r="C30" s="477" t="s">
        <v>85</v>
      </c>
      <c r="D30" s="630">
        <v>527505.64</v>
      </c>
      <c r="E30" s="514">
        <f t="shared" si="0"/>
        <v>5.9014715680872181</v>
      </c>
      <c r="F30" s="678">
        <v>3113059.5364656518</v>
      </c>
      <c r="G30" s="670" t="s">
        <v>77</v>
      </c>
      <c r="H30" s="24">
        <v>3814</v>
      </c>
      <c r="I30" s="21">
        <v>4.5</v>
      </c>
      <c r="J30" s="349">
        <f t="shared" si="1"/>
        <v>1296.76</v>
      </c>
      <c r="K30" s="83">
        <v>1580</v>
      </c>
      <c r="L30" s="84">
        <f t="shared" si="10"/>
        <v>1.58</v>
      </c>
      <c r="M30" s="558">
        <f t="shared" si="4"/>
        <v>7.11</v>
      </c>
      <c r="N30" s="351">
        <f t="shared" si="5"/>
        <v>92.199635999999998</v>
      </c>
      <c r="O30" s="353">
        <f t="shared" si="11"/>
        <v>18.4399272</v>
      </c>
      <c r="P30" s="355">
        <f t="shared" si="3"/>
        <v>73.759708799999999</v>
      </c>
      <c r="X30" s="421">
        <v>927305.56906108698</v>
      </c>
      <c r="Z30" s="423">
        <f t="shared" si="6"/>
        <v>1044146.070762784</v>
      </c>
      <c r="AA30" s="456" t="s">
        <v>221</v>
      </c>
      <c r="AB30" s="507">
        <f t="shared" si="7"/>
        <v>1160046.2846174529</v>
      </c>
      <c r="AC30" s="507">
        <f t="shared" si="8"/>
        <v>1496261.3194030696</v>
      </c>
      <c r="AD30" s="507"/>
      <c r="AE30" s="442">
        <v>791892.03164909221</v>
      </c>
      <c r="AF30" s="486"/>
      <c r="AG30" s="443">
        <v>927305.56906108698</v>
      </c>
      <c r="AH30" s="438">
        <f>+'[1]2007'!AA30</f>
        <v>0</v>
      </c>
    </row>
    <row r="31" spans="1:34" x14ac:dyDescent="0.2">
      <c r="A31" s="753"/>
      <c r="B31" s="471">
        <v>233844</v>
      </c>
      <c r="C31" s="477" t="s">
        <v>86</v>
      </c>
      <c r="D31" s="630">
        <v>137227.79999999999</v>
      </c>
      <c r="E31" s="514">
        <f t="shared" si="0"/>
        <v>5.1221457461397346</v>
      </c>
      <c r="F31" s="678">
        <v>702900.79202211415</v>
      </c>
      <c r="G31" s="671" t="s">
        <v>87</v>
      </c>
      <c r="H31" s="24">
        <v>267</v>
      </c>
      <c r="I31" s="21">
        <v>3.9</v>
      </c>
      <c r="J31" s="349">
        <f t="shared" si="1"/>
        <v>90.78</v>
      </c>
      <c r="K31" s="83">
        <v>490.11</v>
      </c>
      <c r="L31" s="84">
        <f t="shared" si="10"/>
        <v>0.49010999999999999</v>
      </c>
      <c r="M31" s="558">
        <f>+I31*L31</f>
        <v>1.9114289999999998</v>
      </c>
      <c r="N31" s="351">
        <f>+M31/100*J31</f>
        <v>1.7351952462</v>
      </c>
      <c r="O31" s="353">
        <f t="shared" si="11"/>
        <v>0.34703904923999995</v>
      </c>
      <c r="P31" s="355">
        <f>N31-(N31*0.2)</f>
        <v>1.38815619696</v>
      </c>
      <c r="X31" s="421">
        <v>209377.24168281318</v>
      </c>
      <c r="Z31" s="423">
        <f t="shared" si="6"/>
        <v>235758.77413484766</v>
      </c>
      <c r="AA31" s="456" t="s">
        <v>222</v>
      </c>
      <c r="AB31" s="507">
        <f t="shared" si="7"/>
        <v>261927.99806381573</v>
      </c>
      <c r="AC31" s="507">
        <f t="shared" si="8"/>
        <v>337842.3233352367</v>
      </c>
      <c r="AD31" s="507"/>
      <c r="AE31" s="442">
        <v>178802.08512622816</v>
      </c>
      <c r="AF31" s="486"/>
      <c r="AG31" s="443">
        <v>209377.24168281318</v>
      </c>
      <c r="AH31" s="438">
        <f>+'[1]2007'!AA32</f>
        <v>0</v>
      </c>
    </row>
    <row r="32" spans="1:34" x14ac:dyDescent="0.2">
      <c r="A32" s="753"/>
      <c r="B32" s="471">
        <v>233838</v>
      </c>
      <c r="C32" s="301" t="s">
        <v>88</v>
      </c>
      <c r="D32" s="631">
        <v>246000</v>
      </c>
      <c r="E32" s="514">
        <f t="shared" si="0"/>
        <v>7.0846784562775795</v>
      </c>
      <c r="F32" s="678">
        <v>1742830.9002442847</v>
      </c>
      <c r="G32" s="672" t="s">
        <v>87</v>
      </c>
      <c r="H32" s="389">
        <v>2569</v>
      </c>
      <c r="I32" s="10">
        <v>7</v>
      </c>
      <c r="J32" s="377">
        <f t="shared" si="1"/>
        <v>873.46</v>
      </c>
      <c r="K32" s="391">
        <v>856</v>
      </c>
      <c r="L32" s="580">
        <f t="shared" si="10"/>
        <v>0.85599999999999998</v>
      </c>
      <c r="M32" s="564">
        <f>+I32*L32</f>
        <v>5.992</v>
      </c>
      <c r="N32" s="393">
        <f>+M32/100*J32</f>
        <v>52.337723200000006</v>
      </c>
      <c r="O32" s="394">
        <f t="shared" si="11"/>
        <v>10.46754464</v>
      </c>
      <c r="P32" s="356">
        <f>N32-(N32*0.2)</f>
        <v>41.870178560000006</v>
      </c>
      <c r="X32" s="421">
        <v>519147.41134797578</v>
      </c>
      <c r="Z32" s="423">
        <f t="shared" si="6"/>
        <v>584559.98517782078</v>
      </c>
      <c r="AA32" s="453" t="s">
        <v>223</v>
      </c>
      <c r="AB32" s="507">
        <f t="shared" si="7"/>
        <v>649446.14353255893</v>
      </c>
      <c r="AC32" s="507">
        <f t="shared" si="8"/>
        <v>837674.45875981718</v>
      </c>
      <c r="AD32" s="507"/>
      <c r="AE32" s="442">
        <v>443336.81583943276</v>
      </c>
      <c r="AF32" s="486"/>
      <c r="AG32" s="443">
        <v>519147.41134797578</v>
      </c>
      <c r="AH32" s="438">
        <f>+'[1]2007'!AA34</f>
        <v>0</v>
      </c>
    </row>
    <row r="33" spans="1:34" x14ac:dyDescent="0.2">
      <c r="A33" s="753"/>
      <c r="B33" s="471">
        <v>233836</v>
      </c>
      <c r="C33" s="477" t="s">
        <v>89</v>
      </c>
      <c r="D33" s="632">
        <v>508661.1</v>
      </c>
      <c r="E33" s="514">
        <f t="shared" si="0"/>
        <v>5.6761114257800429</v>
      </c>
      <c r="F33" s="678">
        <v>2887217.0815598448</v>
      </c>
      <c r="G33" s="408" t="s">
        <v>87</v>
      </c>
      <c r="H33" s="389">
        <v>1038</v>
      </c>
      <c r="I33" s="655">
        <v>3.9</v>
      </c>
      <c r="J33" s="377">
        <f t="shared" si="1"/>
        <v>352.92</v>
      </c>
      <c r="K33" s="391">
        <v>1500</v>
      </c>
      <c r="L33" s="661">
        <f t="shared" si="10"/>
        <v>1.5</v>
      </c>
      <c r="M33" s="564">
        <f>+I33*L33</f>
        <v>5.85</v>
      </c>
      <c r="N33" s="460">
        <f>+M33/100*J33</f>
        <v>20.645820000000001</v>
      </c>
      <c r="O33" s="353">
        <f t="shared" si="11"/>
        <v>4.1291639999999994</v>
      </c>
      <c r="P33" s="461">
        <f>N33-(N33*0.2)</f>
        <v>16.516656000000001</v>
      </c>
      <c r="X33" s="421">
        <v>860032.53309392103</v>
      </c>
      <c r="Z33" s="423">
        <f t="shared" si="6"/>
        <v>968396.63226375519</v>
      </c>
      <c r="AA33" s="456" t="s">
        <v>224</v>
      </c>
      <c r="AB33" s="507">
        <f t="shared" si="7"/>
        <v>1075888.6584450321</v>
      </c>
      <c r="AC33" s="507">
        <f t="shared" si="8"/>
        <v>1387712.3740339612</v>
      </c>
      <c r="AD33" s="507"/>
      <c r="AE33" s="442">
        <v>734442.81220659346</v>
      </c>
      <c r="AF33" s="486"/>
      <c r="AG33" s="443">
        <v>860032.53309392103</v>
      </c>
      <c r="AH33" s="438">
        <f>+'[1]2007'!AA35</f>
        <v>0</v>
      </c>
    </row>
    <row r="34" spans="1:34" x14ac:dyDescent="0.2">
      <c r="A34" s="752">
        <v>2004</v>
      </c>
      <c r="B34" s="466">
        <v>236049</v>
      </c>
      <c r="C34" s="138" t="s">
        <v>91</v>
      </c>
      <c r="D34" s="626">
        <v>510219.47</v>
      </c>
      <c r="E34" s="514">
        <f t="shared" si="0"/>
        <v>4.7085469794636472</v>
      </c>
      <c r="F34" s="678">
        <v>2402392.3443320426</v>
      </c>
      <c r="G34" s="667" t="s">
        <v>87</v>
      </c>
      <c r="H34" s="395">
        <v>2300</v>
      </c>
      <c r="I34" s="652">
        <v>4.5</v>
      </c>
      <c r="J34" s="380">
        <f t="shared" si="1"/>
        <v>782</v>
      </c>
      <c r="K34" s="381">
        <v>1178.02</v>
      </c>
      <c r="L34" s="662">
        <f>K34/1000</f>
        <v>1.1780200000000001</v>
      </c>
      <c r="M34" s="560">
        <f t="shared" ref="M34:M43" si="12">+I34*L34</f>
        <v>5.3010900000000003</v>
      </c>
      <c r="N34" s="409">
        <f t="shared" ref="N34:N43" si="13">+M34/100*J34</f>
        <v>41.454523799999997</v>
      </c>
      <c r="O34" s="372">
        <f t="shared" ref="O34:O43" si="14">+N34-(N34*0.8)</f>
        <v>8.2909047599999965</v>
      </c>
      <c r="P34" s="396">
        <f t="shared" ref="P34:P43" si="15">N34-(N34*0.2)</f>
        <v>33.16361904</v>
      </c>
      <c r="X34" s="421">
        <v>715614.90356141911</v>
      </c>
      <c r="Z34" s="423">
        <f t="shared" si="6"/>
        <v>805782.38141015801</v>
      </c>
      <c r="AA34" s="452" t="s">
        <v>225</v>
      </c>
      <c r="AB34" s="507">
        <f t="shared" si="7"/>
        <v>895224.22574668552</v>
      </c>
      <c r="AC34" s="507">
        <f t="shared" si="8"/>
        <v>1154686.1525607565</v>
      </c>
      <c r="AD34" s="507"/>
      <c r="AE34" s="442">
        <v>611114.34975356027</v>
      </c>
      <c r="AF34" s="486"/>
      <c r="AG34" s="443">
        <v>715614.90356141911</v>
      </c>
      <c r="AH34" s="438">
        <f>+'[1]2007'!AA37</f>
        <v>0</v>
      </c>
    </row>
    <row r="35" spans="1:34" x14ac:dyDescent="0.2">
      <c r="A35" s="753"/>
      <c r="B35" s="468">
        <v>236134</v>
      </c>
      <c r="C35" s="478" t="s">
        <v>92</v>
      </c>
      <c r="D35" s="630">
        <v>223997.91</v>
      </c>
      <c r="E35" s="514">
        <f t="shared" ref="E35:E66" si="16">+F35/D35</f>
        <v>5.8710434224227726</v>
      </c>
      <c r="F35" s="678">
        <v>1315101.4561419482</v>
      </c>
      <c r="G35" s="673" t="s">
        <v>87</v>
      </c>
      <c r="H35" s="24">
        <v>947.98</v>
      </c>
      <c r="I35" s="649">
        <v>4.5</v>
      </c>
      <c r="J35" s="349">
        <f t="shared" ref="J35:J66" si="17">+F$95*H35</f>
        <v>322.31320000000005</v>
      </c>
      <c r="K35" s="80">
        <v>637</v>
      </c>
      <c r="L35" s="84">
        <f t="shared" ref="L35:L64" si="18">K35/1000</f>
        <v>0.63700000000000001</v>
      </c>
      <c r="M35" s="558">
        <f t="shared" si="12"/>
        <v>2.8665000000000003</v>
      </c>
      <c r="N35" s="351">
        <f t="shared" si="13"/>
        <v>9.2391078780000022</v>
      </c>
      <c r="O35" s="353">
        <f t="shared" si="14"/>
        <v>1.8478215756000003</v>
      </c>
      <c r="P35" s="355">
        <f t="shared" si="15"/>
        <v>7.391286302400002</v>
      </c>
      <c r="X35" s="421">
        <v>391737.09653664654</v>
      </c>
      <c r="Z35" s="423">
        <f t="shared" si="6"/>
        <v>441095.97070026404</v>
      </c>
      <c r="AA35" s="457" t="s">
        <v>226</v>
      </c>
      <c r="AB35" s="507">
        <f t="shared" si="7"/>
        <v>490057.62344799336</v>
      </c>
      <c r="AC35" s="507">
        <f t="shared" si="8"/>
        <v>632090.5260134784</v>
      </c>
      <c r="AD35" s="507"/>
      <c r="AE35" s="442">
        <v>334532.10635068023</v>
      </c>
      <c r="AF35" s="486"/>
      <c r="AG35" s="443">
        <v>391737.09653664654</v>
      </c>
      <c r="AH35" s="438">
        <f>+'[1]2007'!AA38</f>
        <v>0</v>
      </c>
    </row>
    <row r="36" spans="1:34" x14ac:dyDescent="0.2">
      <c r="A36" s="753"/>
      <c r="B36" s="468">
        <v>236107</v>
      </c>
      <c r="C36" s="41" t="s">
        <v>93</v>
      </c>
      <c r="D36" s="631">
        <v>405979.58</v>
      </c>
      <c r="E36" s="514">
        <f t="shared" si="16"/>
        <v>4.7085469794636472</v>
      </c>
      <c r="F36" s="678">
        <v>1911573.92513292</v>
      </c>
      <c r="G36" s="673" t="s">
        <v>87</v>
      </c>
      <c r="H36" s="389">
        <v>754</v>
      </c>
      <c r="I36" s="580">
        <v>4</v>
      </c>
      <c r="J36" s="377">
        <f t="shared" si="17"/>
        <v>256.36</v>
      </c>
      <c r="K36" s="390">
        <v>1100</v>
      </c>
      <c r="L36" s="580">
        <f t="shared" si="18"/>
        <v>1.1000000000000001</v>
      </c>
      <c r="M36" s="564">
        <f t="shared" si="12"/>
        <v>4.4000000000000004</v>
      </c>
      <c r="N36" s="393">
        <f t="shared" si="13"/>
        <v>11.279840000000002</v>
      </c>
      <c r="O36" s="394">
        <f t="shared" si="14"/>
        <v>2.2559679999999993</v>
      </c>
      <c r="P36" s="356">
        <f t="shared" si="15"/>
        <v>9.0238720000000008</v>
      </c>
      <c r="X36" s="421">
        <v>569411.90031341894</v>
      </c>
      <c r="Z36" s="423">
        <f t="shared" si="6"/>
        <v>641157.79975290981</v>
      </c>
      <c r="AA36" s="452" t="s">
        <v>227</v>
      </c>
      <c r="AB36" s="507">
        <f t="shared" si="7"/>
        <v>712326.31552548276</v>
      </c>
      <c r="AC36" s="507">
        <f t="shared" si="8"/>
        <v>918779.12704591977</v>
      </c>
      <c r="AD36" s="507"/>
      <c r="AE36" s="442">
        <v>486261.22998584027</v>
      </c>
      <c r="AF36" s="486"/>
      <c r="AG36" s="443">
        <v>569411.90031341894</v>
      </c>
      <c r="AH36" s="438">
        <f>+'[1]2007'!AA39</f>
        <v>0</v>
      </c>
    </row>
    <row r="37" spans="1:34" x14ac:dyDescent="0.2">
      <c r="A37" s="753"/>
      <c r="B37" s="471">
        <v>236468</v>
      </c>
      <c r="C37" s="478" t="s">
        <v>94</v>
      </c>
      <c r="D37" s="632">
        <v>759890.08</v>
      </c>
      <c r="E37" s="514">
        <f t="shared" si="16"/>
        <v>5.1432245941466599</v>
      </c>
      <c r="F37" s="678">
        <v>3908285.3483040729</v>
      </c>
      <c r="G37" s="418" t="s">
        <v>87</v>
      </c>
      <c r="H37" s="406">
        <v>1422</v>
      </c>
      <c r="I37" s="580">
        <v>4.5</v>
      </c>
      <c r="J37" s="407">
        <f t="shared" si="17"/>
        <v>483.48</v>
      </c>
      <c r="K37" s="390">
        <v>800</v>
      </c>
      <c r="L37" s="661">
        <f t="shared" si="18"/>
        <v>0.8</v>
      </c>
      <c r="M37" s="564">
        <f t="shared" si="12"/>
        <v>3.6</v>
      </c>
      <c r="N37" s="460">
        <f t="shared" si="13"/>
        <v>17.405280000000001</v>
      </c>
      <c r="O37" s="353">
        <f t="shared" si="14"/>
        <v>3.4810559999999988</v>
      </c>
      <c r="P37" s="461">
        <f t="shared" si="15"/>
        <v>13.924224000000001</v>
      </c>
      <c r="X37" s="421">
        <v>1164184.2137965816</v>
      </c>
      <c r="Z37" s="423">
        <f t="shared" si="6"/>
        <v>1310871.424734951</v>
      </c>
      <c r="AA37" s="458" t="s">
        <v>94</v>
      </c>
      <c r="AB37" s="507">
        <f t="shared" si="7"/>
        <v>1456378.1528805306</v>
      </c>
      <c r="AC37" s="507">
        <f t="shared" si="8"/>
        <v>1878478.7516451848</v>
      </c>
      <c r="AD37" s="507"/>
      <c r="AE37" s="442">
        <v>994179.51647872047</v>
      </c>
      <c r="AF37" s="486"/>
      <c r="AG37" s="443">
        <v>1164184.2137965816</v>
      </c>
      <c r="AH37" s="438">
        <f>+'[1]2007'!AA40</f>
        <v>0</v>
      </c>
    </row>
    <row r="38" spans="1:34" x14ac:dyDescent="0.2">
      <c r="A38" s="753"/>
      <c r="B38" s="468">
        <v>236518</v>
      </c>
      <c r="C38" s="41" t="s">
        <v>95</v>
      </c>
      <c r="D38" s="626">
        <v>766176.97</v>
      </c>
      <c r="E38" s="514">
        <f t="shared" si="16"/>
        <v>4.7085469794636472</v>
      </c>
      <c r="F38" s="678">
        <v>3607580.2578281094</v>
      </c>
      <c r="G38" s="673" t="s">
        <v>77</v>
      </c>
      <c r="H38" s="395">
        <v>6584</v>
      </c>
      <c r="I38" s="410">
        <v>1.6</v>
      </c>
      <c r="J38" s="380">
        <f t="shared" si="17"/>
        <v>2238.56</v>
      </c>
      <c r="K38" s="381">
        <v>1980</v>
      </c>
      <c r="L38" s="410">
        <f t="shared" si="18"/>
        <v>1.98</v>
      </c>
      <c r="M38" s="560">
        <f t="shared" si="12"/>
        <v>3.1680000000000001</v>
      </c>
      <c r="N38" s="371">
        <f t="shared" si="13"/>
        <v>70.917580799999996</v>
      </c>
      <c r="O38" s="372">
        <f t="shared" si="14"/>
        <v>14.183516159999996</v>
      </c>
      <c r="P38" s="396">
        <f t="shared" si="15"/>
        <v>56.73406464</v>
      </c>
      <c r="R38" s="87">
        <f>SUM(F34:F43)</f>
        <v>29475682.780800305</v>
      </c>
      <c r="S38" s="86">
        <f>SUM(P34:P43)</f>
        <v>448.13102680384003</v>
      </c>
      <c r="T38" s="87">
        <f>+R38/S38</f>
        <v>65774.697616959849</v>
      </c>
      <c r="U38" s="87">
        <f>+AVERAGE(J34:J43)</f>
        <v>971.99132000000009</v>
      </c>
      <c r="X38" s="421">
        <v>1074611.3990858293</v>
      </c>
      <c r="Z38" s="423">
        <f t="shared" si="6"/>
        <v>1210012.4353706439</v>
      </c>
      <c r="AA38" s="452" t="s">
        <v>228</v>
      </c>
      <c r="AB38" s="507">
        <f t="shared" si="7"/>
        <v>1344323.8156967852</v>
      </c>
      <c r="AC38" s="507">
        <f t="shared" si="8"/>
        <v>1733947.8198861326</v>
      </c>
      <c r="AD38" s="507"/>
      <c r="AE38" s="442">
        <v>917686.93346356042</v>
      </c>
      <c r="AF38" s="486"/>
      <c r="AG38" s="443">
        <v>1074611.3990858293</v>
      </c>
      <c r="AH38" s="438">
        <f>+'[1]2007'!AA42</f>
        <v>0</v>
      </c>
    </row>
    <row r="39" spans="1:34" x14ac:dyDescent="0.2">
      <c r="A39" s="753"/>
      <c r="B39" s="468">
        <v>236519</v>
      </c>
      <c r="C39" s="41" t="s">
        <v>96</v>
      </c>
      <c r="D39" s="630">
        <v>454989.54</v>
      </c>
      <c r="E39" s="514">
        <f t="shared" si="16"/>
        <v>4.9635638140433498</v>
      </c>
      <c r="F39" s="678">
        <v>2258369.6165122292</v>
      </c>
      <c r="G39" s="673" t="s">
        <v>77</v>
      </c>
      <c r="H39" s="24">
        <v>1494</v>
      </c>
      <c r="I39" s="84">
        <v>4.45</v>
      </c>
      <c r="J39" s="349">
        <f t="shared" si="17"/>
        <v>507.96000000000004</v>
      </c>
      <c r="K39" s="80">
        <v>1400</v>
      </c>
      <c r="L39" s="84">
        <f t="shared" si="18"/>
        <v>1.4</v>
      </c>
      <c r="M39" s="558">
        <f t="shared" si="12"/>
        <v>6.2299999999999995</v>
      </c>
      <c r="N39" s="351">
        <f t="shared" si="13"/>
        <v>31.645907999999999</v>
      </c>
      <c r="O39" s="353">
        <f t="shared" si="14"/>
        <v>6.3291815999999983</v>
      </c>
      <c r="P39" s="355">
        <f t="shared" si="15"/>
        <v>25.3167264</v>
      </c>
      <c r="X39" s="421">
        <v>672713.99658733991</v>
      </c>
      <c r="Z39" s="423">
        <f t="shared" si="6"/>
        <v>757475.96015734482</v>
      </c>
      <c r="AA39" s="452" t="s">
        <v>229</v>
      </c>
      <c r="AB39" s="507">
        <f t="shared" si="7"/>
        <v>841555.7917348101</v>
      </c>
      <c r="AC39" s="507">
        <f t="shared" si="8"/>
        <v>1085463.0509054752</v>
      </c>
      <c r="AD39" s="507"/>
      <c r="AE39" s="442">
        <v>574478.22082608019</v>
      </c>
      <c r="AF39" s="486"/>
      <c r="AG39" s="443">
        <v>672713.99658733991</v>
      </c>
      <c r="AH39" s="439">
        <f>+'[1]2007'!AA43</f>
        <v>0</v>
      </c>
    </row>
    <row r="40" spans="1:34" x14ac:dyDescent="0.2">
      <c r="A40" s="753"/>
      <c r="B40" s="468">
        <v>236659</v>
      </c>
      <c r="C40" s="41" t="s">
        <v>97</v>
      </c>
      <c r="D40" s="630">
        <v>887380.83</v>
      </c>
      <c r="E40" s="514">
        <f t="shared" si="16"/>
        <v>4.8557985328020834</v>
      </c>
      <c r="F40" s="678">
        <v>4308942.5323506948</v>
      </c>
      <c r="G40" s="673" t="s">
        <v>77</v>
      </c>
      <c r="H40" s="24">
        <v>3786</v>
      </c>
      <c r="I40" s="84">
        <v>4.45</v>
      </c>
      <c r="J40" s="349">
        <f t="shared" si="17"/>
        <v>1287.24</v>
      </c>
      <c r="K40" s="80">
        <v>2520</v>
      </c>
      <c r="L40" s="84">
        <f t="shared" si="18"/>
        <v>2.52</v>
      </c>
      <c r="M40" s="558">
        <f t="shared" si="12"/>
        <v>11.214</v>
      </c>
      <c r="N40" s="351">
        <f t="shared" si="13"/>
        <v>144.35109360000001</v>
      </c>
      <c r="O40" s="353">
        <f t="shared" si="14"/>
        <v>28.870218719999997</v>
      </c>
      <c r="P40" s="355">
        <f t="shared" si="15"/>
        <v>115.48087488000002</v>
      </c>
      <c r="X40" s="421">
        <v>1283530.3534057767</v>
      </c>
      <c r="Z40" s="423">
        <f t="shared" si="6"/>
        <v>1445255.1779349046</v>
      </c>
      <c r="AA40" s="452" t="s">
        <v>230</v>
      </c>
      <c r="AB40" s="507">
        <f t="shared" si="7"/>
        <v>1605678.5026856789</v>
      </c>
      <c r="AC40" s="507">
        <f t="shared" si="8"/>
        <v>2071050.6699807183</v>
      </c>
      <c r="AD40" s="507"/>
      <c r="AE40" s="442">
        <v>1096097.6544882806</v>
      </c>
      <c r="AF40" s="486"/>
      <c r="AG40" s="443">
        <v>1283530.3534057767</v>
      </c>
      <c r="AH40" s="438">
        <f>+'[1]2007'!AA44</f>
        <v>0</v>
      </c>
    </row>
    <row r="41" spans="1:34" x14ac:dyDescent="0.2">
      <c r="A41" s="753"/>
      <c r="B41" s="468">
        <v>236661</v>
      </c>
      <c r="C41" s="41" t="s">
        <v>98</v>
      </c>
      <c r="D41" s="630">
        <v>996320.33</v>
      </c>
      <c r="E41" s="514">
        <f t="shared" si="16"/>
        <v>4.8331254163363635</v>
      </c>
      <c r="F41" s="678">
        <v>4815341.1097356332</v>
      </c>
      <c r="G41" s="673" t="s">
        <v>77</v>
      </c>
      <c r="H41" s="24">
        <v>4689</v>
      </c>
      <c r="I41" s="84">
        <v>3.8</v>
      </c>
      <c r="J41" s="349">
        <f t="shared" si="17"/>
        <v>1594.2600000000002</v>
      </c>
      <c r="K41" s="80">
        <v>1950</v>
      </c>
      <c r="L41" s="84">
        <f t="shared" si="18"/>
        <v>1.95</v>
      </c>
      <c r="M41" s="558">
        <f t="shared" si="12"/>
        <v>7.4099999999999993</v>
      </c>
      <c r="N41" s="351">
        <f t="shared" si="13"/>
        <v>118.13466600000001</v>
      </c>
      <c r="O41" s="353">
        <f t="shared" si="14"/>
        <v>23.626933199999996</v>
      </c>
      <c r="P41" s="355">
        <f t="shared" si="15"/>
        <v>94.507732800000014</v>
      </c>
      <c r="X41" s="421">
        <v>1434374.3110856868</v>
      </c>
      <c r="Z41" s="423">
        <f t="shared" si="6"/>
        <v>1615105.4742824836</v>
      </c>
      <c r="AA41" s="452" t="s">
        <v>231</v>
      </c>
      <c r="AB41" s="507">
        <f t="shared" si="7"/>
        <v>1794382.1819278393</v>
      </c>
      <c r="AC41" s="507">
        <f t="shared" si="8"/>
        <v>2314446.1446467992</v>
      </c>
      <c r="AD41" s="507"/>
      <c r="AE41" s="442">
        <v>1224914.0145906804</v>
      </c>
      <c r="AF41" s="486"/>
      <c r="AG41" s="443">
        <v>1434374.3110856868</v>
      </c>
      <c r="AH41" s="438">
        <f>+'[1]2007'!AA45</f>
        <v>0</v>
      </c>
    </row>
    <row r="42" spans="1:34" x14ac:dyDescent="0.2">
      <c r="A42" s="753"/>
      <c r="B42" s="468">
        <v>236503</v>
      </c>
      <c r="C42" s="41" t="s">
        <v>99</v>
      </c>
      <c r="D42" s="630">
        <v>515878.51</v>
      </c>
      <c r="E42" s="514">
        <f t="shared" si="16"/>
        <v>4.7085469794636472</v>
      </c>
      <c r="F42" s="678">
        <v>2429038.2000307068</v>
      </c>
      <c r="G42" s="673" t="s">
        <v>77</v>
      </c>
      <c r="H42" s="24">
        <v>2400</v>
      </c>
      <c r="I42" s="84">
        <v>7.9</v>
      </c>
      <c r="J42" s="349">
        <f t="shared" si="17"/>
        <v>816.00000000000011</v>
      </c>
      <c r="K42" s="80">
        <v>1000</v>
      </c>
      <c r="L42" s="84">
        <f t="shared" si="18"/>
        <v>1</v>
      </c>
      <c r="M42" s="558">
        <f t="shared" si="12"/>
        <v>7.9</v>
      </c>
      <c r="N42" s="351">
        <f t="shared" si="13"/>
        <v>64.464000000000013</v>
      </c>
      <c r="O42" s="353">
        <f t="shared" si="14"/>
        <v>12.892800000000001</v>
      </c>
      <c r="P42" s="355">
        <f t="shared" si="15"/>
        <v>51.571200000000012</v>
      </c>
      <c r="X42" s="421">
        <v>723552.06316030747</v>
      </c>
      <c r="Z42" s="423">
        <f t="shared" si="6"/>
        <v>814719.62311850628</v>
      </c>
      <c r="AA42" s="452" t="s">
        <v>232</v>
      </c>
      <c r="AB42" s="507">
        <f t="shared" si="7"/>
        <v>905153.50128466042</v>
      </c>
      <c r="AC42" s="507">
        <f t="shared" si="8"/>
        <v>1167493.2199288195</v>
      </c>
      <c r="AD42" s="507"/>
      <c r="AE42" s="442">
        <v>617892.4535954803</v>
      </c>
      <c r="AF42" s="486"/>
      <c r="AG42" s="443">
        <v>723552.06316030747</v>
      </c>
      <c r="AH42" s="438">
        <f>+'[1]2007'!AA46</f>
        <v>0</v>
      </c>
    </row>
    <row r="43" spans="1:34" ht="13.5" thickBot="1" x14ac:dyDescent="0.25">
      <c r="A43" s="754"/>
      <c r="B43" s="472">
        <v>236457</v>
      </c>
      <c r="C43" s="42" t="s">
        <v>100</v>
      </c>
      <c r="D43" s="633">
        <v>534996.89</v>
      </c>
      <c r="E43" s="514">
        <f t="shared" si="16"/>
        <v>4.7085469794636472</v>
      </c>
      <c r="F43" s="616">
        <v>2519057.9904319453</v>
      </c>
      <c r="G43" s="674" t="s">
        <v>77</v>
      </c>
      <c r="H43" s="382">
        <v>4211</v>
      </c>
      <c r="I43" s="268">
        <v>3.8</v>
      </c>
      <c r="J43" s="383">
        <f t="shared" si="17"/>
        <v>1431.74</v>
      </c>
      <c r="K43" s="384">
        <v>942.39</v>
      </c>
      <c r="L43" s="268">
        <f t="shared" si="18"/>
        <v>0.94238999999999995</v>
      </c>
      <c r="M43" s="559">
        <f t="shared" si="12"/>
        <v>3.5810819999999994</v>
      </c>
      <c r="N43" s="386">
        <f t="shared" si="13"/>
        <v>51.271783426799992</v>
      </c>
      <c r="O43" s="387">
        <f t="shared" si="14"/>
        <v>10.254356685359994</v>
      </c>
      <c r="P43" s="388">
        <f t="shared" si="15"/>
        <v>41.017426741439991</v>
      </c>
      <c r="X43" s="423">
        <v>750366.79380935652</v>
      </c>
      <c r="Z43" s="423">
        <f t="shared" si="6"/>
        <v>844913.0098293355</v>
      </c>
      <c r="AA43" s="459" t="s">
        <v>233</v>
      </c>
      <c r="AB43" s="507">
        <f t="shared" si="7"/>
        <v>938698.35392039176</v>
      </c>
      <c r="AC43" s="507">
        <f t="shared" si="8"/>
        <v>1210760.3430854378</v>
      </c>
      <c r="AD43" s="509"/>
      <c r="AE43" s="444">
        <v>640791.45500372036</v>
      </c>
      <c r="AF43" s="486"/>
      <c r="AG43" s="445">
        <v>750366.79380935652</v>
      </c>
      <c r="AH43" s="438">
        <f>+'[1]2007'!AA47</f>
        <v>0</v>
      </c>
    </row>
    <row r="44" spans="1:34" ht="17.25" customHeight="1" x14ac:dyDescent="0.2">
      <c r="A44" s="748">
        <v>2005</v>
      </c>
      <c r="B44" s="472"/>
      <c r="C44" s="138" t="s">
        <v>168</v>
      </c>
      <c r="D44" s="626">
        <v>955295.2</v>
      </c>
      <c r="E44" s="514">
        <f t="shared" si="16"/>
        <v>4.7952699028057788</v>
      </c>
      <c r="F44" s="678">
        <v>4580898.3208548268</v>
      </c>
      <c r="G44" s="667" t="s">
        <v>179</v>
      </c>
      <c r="H44" s="378">
        <f>3468*B$83/100</f>
        <v>1040.4000000000001</v>
      </c>
      <c r="I44" s="410">
        <v>5.4</v>
      </c>
      <c r="J44" s="380">
        <f t="shared" si="17"/>
        <v>353.73600000000005</v>
      </c>
      <c r="K44" s="381">
        <v>1207</v>
      </c>
      <c r="L44" s="410">
        <f t="shared" ref="L44:L56" si="19">K44/1000</f>
        <v>1.2070000000000001</v>
      </c>
      <c r="M44" s="560">
        <f t="shared" ref="M44:M56" si="20">+I44*L44</f>
        <v>6.5178000000000011</v>
      </c>
      <c r="N44" s="371">
        <f>+M44/100*J44</f>
        <v>23.055805008000007</v>
      </c>
      <c r="O44" s="372">
        <f t="shared" ref="O44:O56" si="21">+N44-(N44*0.8)</f>
        <v>4.6111610015999993</v>
      </c>
      <c r="P44" s="373">
        <f t="shared" ref="P44:P56" si="22">N44-(N44*0.2)</f>
        <v>18.444644006400004</v>
      </c>
      <c r="X44" s="421">
        <v>1364539.4424592401</v>
      </c>
      <c r="Z44" s="423">
        <f t="shared" si="6"/>
        <v>1536471.4122091045</v>
      </c>
      <c r="AA44" s="451" t="s">
        <v>194</v>
      </c>
      <c r="AB44" s="507">
        <f t="shared" si="7"/>
        <v>1707019.738964315</v>
      </c>
      <c r="AC44" s="507">
        <f t="shared" si="8"/>
        <v>2201763.533695647</v>
      </c>
      <c r="AD44" s="507"/>
      <c r="AE44" s="446">
        <v>1121489.4354200002</v>
      </c>
      <c r="AF44" s="486"/>
      <c r="AG44" s="447">
        <v>1313264.1288768202</v>
      </c>
      <c r="AH44" s="451" t="s">
        <v>194</v>
      </c>
    </row>
    <row r="45" spans="1:34" x14ac:dyDescent="0.2">
      <c r="A45" s="748"/>
      <c r="B45" s="473"/>
      <c r="C45" s="41" t="s">
        <v>169</v>
      </c>
      <c r="D45" s="630">
        <v>315977</v>
      </c>
      <c r="E45" s="514">
        <f t="shared" si="16"/>
        <v>4.4264988187496161</v>
      </c>
      <c r="F45" s="678">
        <v>1398671.8172520474</v>
      </c>
      <c r="G45" s="673"/>
      <c r="H45" s="304">
        <v>1070</v>
      </c>
      <c r="I45" s="84">
        <v>6.8</v>
      </c>
      <c r="J45" s="349">
        <f t="shared" si="17"/>
        <v>363.8</v>
      </c>
      <c r="K45" s="80">
        <v>1000</v>
      </c>
      <c r="L45" s="84">
        <f t="shared" si="19"/>
        <v>1</v>
      </c>
      <c r="M45" s="558">
        <f t="shared" si="20"/>
        <v>6.8</v>
      </c>
      <c r="N45" s="351">
        <f>+M45/100*J45</f>
        <v>24.738400000000002</v>
      </c>
      <c r="O45" s="353">
        <f t="shared" si="21"/>
        <v>4.9476799999999983</v>
      </c>
      <c r="P45" s="356">
        <f t="shared" si="22"/>
        <v>19.79072</v>
      </c>
      <c r="X45" s="421">
        <v>416630.69730402005</v>
      </c>
      <c r="Z45" s="423">
        <f t="shared" si="6"/>
        <v>469126.16516432661</v>
      </c>
      <c r="AA45" s="451" t="s">
        <v>195</v>
      </c>
      <c r="AB45" s="507">
        <f t="shared" si="7"/>
        <v>521199.16949756688</v>
      </c>
      <c r="AC45" s="507">
        <f t="shared" si="8"/>
        <v>672257.79468048003</v>
      </c>
      <c r="AD45" s="507"/>
      <c r="AE45" s="448">
        <v>1165277.0644400001</v>
      </c>
      <c r="AF45" s="486"/>
      <c r="AG45" s="443">
        <v>1364539.4424592401</v>
      </c>
      <c r="AH45" s="451" t="s">
        <v>195</v>
      </c>
    </row>
    <row r="46" spans="1:34" x14ac:dyDescent="0.2">
      <c r="A46" s="748"/>
      <c r="B46" s="473"/>
      <c r="C46" s="301" t="s">
        <v>170</v>
      </c>
      <c r="D46" s="630">
        <v>497430</v>
      </c>
      <c r="E46" s="514">
        <f t="shared" si="16"/>
        <v>4.4264931015289823</v>
      </c>
      <c r="F46" s="678">
        <v>2201870.4634935618</v>
      </c>
      <c r="G46" s="673"/>
      <c r="H46" s="304">
        <v>3194</v>
      </c>
      <c r="I46" s="84">
        <v>4</v>
      </c>
      <c r="J46" s="349">
        <f t="shared" si="17"/>
        <v>1085.96</v>
      </c>
      <c r="K46" s="80">
        <v>500</v>
      </c>
      <c r="L46" s="84">
        <f t="shared" si="19"/>
        <v>0.5</v>
      </c>
      <c r="M46" s="558">
        <f t="shared" si="20"/>
        <v>2</v>
      </c>
      <c r="N46" s="351">
        <f>+M46/100*J46</f>
        <v>21.719200000000001</v>
      </c>
      <c r="O46" s="353">
        <f t="shared" si="21"/>
        <v>4.3438400000000001</v>
      </c>
      <c r="P46" s="356">
        <f t="shared" si="22"/>
        <v>17.375360000000001</v>
      </c>
      <c r="X46" s="421">
        <v>655884.2576672401</v>
      </c>
      <c r="Z46" s="423">
        <f t="shared" si="6"/>
        <v>738525.67413331242</v>
      </c>
      <c r="AA46" s="451" t="s">
        <v>196</v>
      </c>
      <c r="AB46" s="507">
        <f t="shared" si="7"/>
        <v>820502.02396211005</v>
      </c>
      <c r="AC46" s="507">
        <f t="shared" si="8"/>
        <v>1058307.2910330368</v>
      </c>
      <c r="AD46" s="507"/>
      <c r="AE46" s="448">
        <v>355790.51862000005</v>
      </c>
      <c r="AF46" s="486"/>
      <c r="AG46" s="443">
        <v>416630.69730402005</v>
      </c>
      <c r="AH46" s="451" t="s">
        <v>196</v>
      </c>
    </row>
    <row r="47" spans="1:34" x14ac:dyDescent="0.2">
      <c r="A47" s="748"/>
      <c r="B47" s="473"/>
      <c r="C47" s="301" t="s">
        <v>171</v>
      </c>
      <c r="D47" s="630">
        <v>989652</v>
      </c>
      <c r="E47" s="514">
        <f t="shared" si="16"/>
        <v>2.6819107523354409</v>
      </c>
      <c r="F47" s="678">
        <v>2654158.3398702736</v>
      </c>
      <c r="G47" s="673" t="s">
        <v>180</v>
      </c>
      <c r="H47" s="304">
        <f>+H38*0.5</f>
        <v>3292</v>
      </c>
      <c r="I47" s="84">
        <v>1.6</v>
      </c>
      <c r="J47" s="349">
        <f t="shared" si="17"/>
        <v>1119.28</v>
      </c>
      <c r="K47" s="80">
        <v>1694</v>
      </c>
      <c r="L47" s="84">
        <f t="shared" si="19"/>
        <v>1.694</v>
      </c>
      <c r="M47" s="558">
        <f t="shared" si="20"/>
        <v>2.7103999999999999</v>
      </c>
      <c r="N47" s="351">
        <f t="shared" ref="N47:N52" si="23">+M47/100*J47</f>
        <v>30.336965119999999</v>
      </c>
      <c r="O47" s="353">
        <f t="shared" si="21"/>
        <v>6.0673930239999976</v>
      </c>
      <c r="P47" s="356">
        <f t="shared" si="22"/>
        <v>24.269572095999997</v>
      </c>
      <c r="X47" s="421">
        <v>1304902.3980068401</v>
      </c>
      <c r="Z47" s="423">
        <f t="shared" si="6"/>
        <v>1469320.1001557021</v>
      </c>
      <c r="AA47" s="438" t="s">
        <v>197</v>
      </c>
      <c r="AB47" s="507">
        <f t="shared" si="7"/>
        <v>1632414.6312729849</v>
      </c>
      <c r="AC47" s="507">
        <f t="shared" si="8"/>
        <v>2105535.7035231213</v>
      </c>
      <c r="AD47" s="507"/>
      <c r="AE47" s="448">
        <v>560106.11244000006</v>
      </c>
      <c r="AF47" s="486"/>
      <c r="AG47" s="443">
        <v>655884.2576672401</v>
      </c>
      <c r="AH47" s="438" t="s">
        <v>197</v>
      </c>
    </row>
    <row r="48" spans="1:34" x14ac:dyDescent="0.2">
      <c r="A48" s="748"/>
      <c r="B48" s="473"/>
      <c r="C48" s="301" t="s">
        <v>172</v>
      </c>
      <c r="D48" s="630">
        <v>978860</v>
      </c>
      <c r="E48" s="514">
        <f t="shared" si="16"/>
        <v>4.475298479475601</v>
      </c>
      <c r="F48" s="678">
        <v>4380690.6696194867</v>
      </c>
      <c r="G48" s="673" t="s">
        <v>180</v>
      </c>
      <c r="H48" s="304">
        <f>+H39*0.5</f>
        <v>747</v>
      </c>
      <c r="I48" s="84">
        <v>4.45</v>
      </c>
      <c r="J48" s="349">
        <f t="shared" si="17"/>
        <v>253.98000000000002</v>
      </c>
      <c r="K48" s="80">
        <v>1037</v>
      </c>
      <c r="L48" s="84">
        <f t="shared" si="19"/>
        <v>1.0369999999999999</v>
      </c>
      <c r="M48" s="558">
        <f t="shared" si="20"/>
        <v>4.6146500000000001</v>
      </c>
      <c r="N48" s="351">
        <f t="shared" si="23"/>
        <v>11.720288070000001</v>
      </c>
      <c r="O48" s="353">
        <f t="shared" si="21"/>
        <v>2.3440576140000005</v>
      </c>
      <c r="P48" s="356">
        <f t="shared" si="22"/>
        <v>9.376230456</v>
      </c>
      <c r="X48" s="421">
        <v>1290671.5947380401</v>
      </c>
      <c r="Z48" s="423">
        <f t="shared" si="6"/>
        <v>1453296.2156750334</v>
      </c>
      <c r="AA48" s="438" t="s">
        <v>198</v>
      </c>
      <c r="AB48" s="507">
        <f t="shared" si="7"/>
        <v>1614612.095614962</v>
      </c>
      <c r="AC48" s="507">
        <f t="shared" si="8"/>
        <v>2082573.4770623229</v>
      </c>
      <c r="AD48" s="507"/>
      <c r="AE48" s="448">
        <v>675157.93240000005</v>
      </c>
      <c r="AF48" s="486"/>
      <c r="AG48" s="443">
        <v>790609.93884040008</v>
      </c>
      <c r="AH48" s="438" t="s">
        <v>198</v>
      </c>
    </row>
    <row r="49" spans="1:34" x14ac:dyDescent="0.2">
      <c r="A49" s="748"/>
      <c r="B49" s="473"/>
      <c r="C49" s="301" t="s">
        <v>173</v>
      </c>
      <c r="D49" s="630">
        <v>818959.72</v>
      </c>
      <c r="E49" s="514">
        <f t="shared" si="16"/>
        <v>5.2907564356288166</v>
      </c>
      <c r="F49" s="678">
        <v>4332916.4091107734</v>
      </c>
      <c r="G49" s="673" t="s">
        <v>180</v>
      </c>
      <c r="H49" s="304">
        <f>+$H$41*0.5</f>
        <v>2344.5</v>
      </c>
      <c r="I49" s="84">
        <v>3.8</v>
      </c>
      <c r="J49" s="349">
        <f t="shared" si="17"/>
        <v>797.13000000000011</v>
      </c>
      <c r="K49" s="80">
        <v>1380</v>
      </c>
      <c r="L49" s="84">
        <f t="shared" si="19"/>
        <v>1.38</v>
      </c>
      <c r="M49" s="558">
        <f t="shared" si="20"/>
        <v>5.2439999999999998</v>
      </c>
      <c r="N49" s="351">
        <f t="shared" si="23"/>
        <v>41.801497200000007</v>
      </c>
      <c r="O49" s="353">
        <f t="shared" si="21"/>
        <v>8.3602994399999986</v>
      </c>
      <c r="P49" s="356">
        <f t="shared" si="22"/>
        <v>33.441197760000009</v>
      </c>
      <c r="X49" s="421">
        <v>1185552.5586343401</v>
      </c>
      <c r="Z49" s="423">
        <f t="shared" si="6"/>
        <v>1334932.1810222671</v>
      </c>
      <c r="AA49" s="438" t="s">
        <v>199</v>
      </c>
      <c r="AB49" s="507">
        <f t="shared" si="7"/>
        <v>1483109.6531157386</v>
      </c>
      <c r="AC49" s="507">
        <f t="shared" si="8"/>
        <v>1912957.8154049087</v>
      </c>
      <c r="AD49" s="507"/>
      <c r="AE49" s="448">
        <v>1114348.7600400001</v>
      </c>
      <c r="AF49" s="486"/>
      <c r="AG49" s="443">
        <v>1304902.3980068401</v>
      </c>
      <c r="AH49" s="438" t="s">
        <v>199</v>
      </c>
    </row>
    <row r="50" spans="1:34" x14ac:dyDescent="0.2">
      <c r="A50" s="748"/>
      <c r="B50" s="473"/>
      <c r="C50" s="301" t="s">
        <v>174</v>
      </c>
      <c r="D50" s="630">
        <v>879772.31</v>
      </c>
      <c r="E50" s="514">
        <f t="shared" si="16"/>
        <v>4.5239217236667191</v>
      </c>
      <c r="F50" s="678">
        <v>3980021.0650894516</v>
      </c>
      <c r="G50" s="673"/>
      <c r="H50" s="304">
        <v>1724</v>
      </c>
      <c r="I50" s="84">
        <v>3.8</v>
      </c>
      <c r="J50" s="349">
        <f t="shared" si="17"/>
        <v>586.16000000000008</v>
      </c>
      <c r="K50" s="80">
        <v>2265</v>
      </c>
      <c r="L50" s="84">
        <f t="shared" si="19"/>
        <v>2.2650000000000001</v>
      </c>
      <c r="M50" s="558">
        <f t="shared" si="20"/>
        <v>8.6069999999999993</v>
      </c>
      <c r="N50" s="351">
        <f t="shared" si="23"/>
        <v>50.450791200000005</v>
      </c>
      <c r="O50" s="353">
        <f t="shared" si="21"/>
        <v>10.090158240000001</v>
      </c>
      <c r="P50" s="356">
        <f t="shared" si="22"/>
        <v>40.360632960000004</v>
      </c>
      <c r="R50" s="87">
        <f>SUM(F44:F56)</f>
        <v>43087197.075975284</v>
      </c>
      <c r="S50" s="86">
        <f>SUM(P44:P56)</f>
        <v>277.32141961439999</v>
      </c>
      <c r="T50" s="87">
        <f>+R50/S50</f>
        <v>155369.16382400479</v>
      </c>
      <c r="U50" s="87">
        <f>+AVERAGE(J44:J56)</f>
        <v>573.36815384615397</v>
      </c>
      <c r="X50" s="421">
        <v>1171601.24756116</v>
      </c>
      <c r="Z50" s="423">
        <f t="shared" si="6"/>
        <v>1319223.0047538662</v>
      </c>
      <c r="AA50" s="438" t="s">
        <v>200</v>
      </c>
      <c r="AB50" s="507">
        <f t="shared" si="7"/>
        <v>1465656.7582815455</v>
      </c>
      <c r="AC50" s="507">
        <f t="shared" si="8"/>
        <v>1890446.5658122904</v>
      </c>
      <c r="AD50" s="507"/>
      <c r="AE50" s="448">
        <v>1102196.06724</v>
      </c>
      <c r="AF50" s="486"/>
      <c r="AG50" s="443">
        <v>1290671.5947380401</v>
      </c>
      <c r="AH50" s="438" t="s">
        <v>200</v>
      </c>
    </row>
    <row r="51" spans="1:34" x14ac:dyDescent="0.2">
      <c r="A51" s="748"/>
      <c r="B51" s="473"/>
      <c r="C51" s="301" t="s">
        <v>176</v>
      </c>
      <c r="D51" s="630">
        <v>888555.46</v>
      </c>
      <c r="E51" s="514">
        <f t="shared" si="16"/>
        <v>4.4264936354525872</v>
      </c>
      <c r="F51" s="678">
        <v>3933185.0884366455</v>
      </c>
      <c r="G51" s="673" t="s">
        <v>180</v>
      </c>
      <c r="H51" s="304">
        <f>+H17*0.5</f>
        <v>1168.5</v>
      </c>
      <c r="I51" s="21">
        <v>4.3</v>
      </c>
      <c r="J51" s="349">
        <f t="shared" si="17"/>
        <v>397.29</v>
      </c>
      <c r="K51" s="80">
        <v>2000</v>
      </c>
      <c r="L51" s="84">
        <f t="shared" si="19"/>
        <v>2</v>
      </c>
      <c r="M51" s="558">
        <f t="shared" si="20"/>
        <v>8.6</v>
      </c>
      <c r="N51" s="351">
        <f t="shared" si="23"/>
        <v>34.166939999999997</v>
      </c>
      <c r="O51" s="353">
        <f t="shared" si="21"/>
        <v>6.8333879999999994</v>
      </c>
      <c r="P51" s="356">
        <f t="shared" si="22"/>
        <v>27.333551999999997</v>
      </c>
      <c r="X51" s="421">
        <v>1690169.8437038201</v>
      </c>
      <c r="Z51" s="423">
        <f t="shared" si="6"/>
        <v>1903131.2440105018</v>
      </c>
      <c r="AA51" s="438" t="s">
        <v>201</v>
      </c>
      <c r="AB51" s="507">
        <f t="shared" si="7"/>
        <v>2114378.8120956672</v>
      </c>
      <c r="AC51" s="507">
        <f t="shared" si="8"/>
        <v>2727187.0726670492</v>
      </c>
      <c r="AD51" s="507"/>
      <c r="AE51" s="448">
        <v>1012427.4625400001</v>
      </c>
      <c r="AF51" s="486"/>
      <c r="AG51" s="443">
        <v>1185552.5586343401</v>
      </c>
      <c r="AH51" s="438" t="s">
        <v>201</v>
      </c>
    </row>
    <row r="52" spans="1:34" x14ac:dyDescent="0.2">
      <c r="A52" s="748"/>
      <c r="B52" s="473"/>
      <c r="C52" s="301" t="s">
        <v>175</v>
      </c>
      <c r="D52" s="630">
        <v>1214960</v>
      </c>
      <c r="E52" s="514">
        <f t="shared" si="16"/>
        <v>4.6701725545698505</v>
      </c>
      <c r="F52" s="678">
        <v>5674072.8469001856</v>
      </c>
      <c r="G52" s="673" t="s">
        <v>180</v>
      </c>
      <c r="H52" s="304">
        <f>+H43*0.5</f>
        <v>2105.5</v>
      </c>
      <c r="I52" s="84">
        <v>3.8</v>
      </c>
      <c r="J52" s="349">
        <f t="shared" si="17"/>
        <v>715.87</v>
      </c>
      <c r="K52" s="80">
        <v>1340</v>
      </c>
      <c r="L52" s="84">
        <f t="shared" si="19"/>
        <v>1.34</v>
      </c>
      <c r="M52" s="558">
        <f t="shared" si="20"/>
        <v>5.0919999999999996</v>
      </c>
      <c r="N52" s="351">
        <f t="shared" si="23"/>
        <v>36.452100399999992</v>
      </c>
      <c r="O52" s="353">
        <f t="shared" si="21"/>
        <v>7.290420079999997</v>
      </c>
      <c r="P52" s="355">
        <f t="shared" si="22"/>
        <v>29.161680319999995</v>
      </c>
      <c r="X52" s="421">
        <v>1497977.3261251203</v>
      </c>
      <c r="Z52" s="423">
        <f t="shared" si="6"/>
        <v>1686722.4692168855</v>
      </c>
      <c r="AA52" s="438" t="s">
        <v>202</v>
      </c>
      <c r="AB52" s="507">
        <f t="shared" si="7"/>
        <v>1873948.6632999599</v>
      </c>
      <c r="AC52" s="507">
        <f t="shared" si="8"/>
        <v>2417073.2983877971</v>
      </c>
      <c r="AD52" s="507"/>
      <c r="AE52" s="448">
        <v>1000513.44796</v>
      </c>
      <c r="AF52" s="486"/>
      <c r="AG52" s="443">
        <v>1171601.24756116</v>
      </c>
      <c r="AH52" s="438" t="s">
        <v>202</v>
      </c>
    </row>
    <row r="53" spans="1:34" x14ac:dyDescent="0.2">
      <c r="A53" s="748"/>
      <c r="B53" s="473"/>
      <c r="C53" s="41" t="s">
        <v>203</v>
      </c>
      <c r="D53" s="630">
        <v>627860.91</v>
      </c>
      <c r="E53" s="514">
        <f t="shared" si="16"/>
        <v>8.0095174732691401</v>
      </c>
      <c r="F53" s="678">
        <v>5028862.9294276629</v>
      </c>
      <c r="G53" s="673"/>
      <c r="H53" s="24">
        <v>2400</v>
      </c>
      <c r="I53" s="84">
        <v>7.9</v>
      </c>
      <c r="J53" s="349">
        <f t="shared" si="17"/>
        <v>816.00000000000011</v>
      </c>
      <c r="K53" s="80">
        <v>1029</v>
      </c>
      <c r="L53" s="84">
        <f t="shared" si="19"/>
        <v>1.0289999999999999</v>
      </c>
      <c r="M53" s="558">
        <f t="shared" si="20"/>
        <v>8.1290999999999993</v>
      </c>
      <c r="N53" s="351">
        <f>+M53/100*J53</f>
        <v>66.333455999999998</v>
      </c>
      <c r="O53" s="353">
        <f t="shared" si="21"/>
        <v>13.266691199999997</v>
      </c>
      <c r="P53" s="355">
        <f>N53-(N53*0.2)</f>
        <v>53.066764800000001</v>
      </c>
      <c r="X53" s="421">
        <v>861785.57933880016</v>
      </c>
      <c r="Z53" s="423">
        <f t="shared" si="6"/>
        <v>970370.56233548908</v>
      </c>
      <c r="AA53" s="438" t="s">
        <v>203</v>
      </c>
      <c r="AB53" s="507">
        <f t="shared" si="7"/>
        <v>1078081.6947547283</v>
      </c>
      <c r="AC53" s="507">
        <f t="shared" si="8"/>
        <v>1390541.0158267559</v>
      </c>
      <c r="AD53" s="507"/>
      <c r="AE53" s="448"/>
      <c r="AF53" s="486"/>
      <c r="AG53" s="443"/>
      <c r="AH53" s="438"/>
    </row>
    <row r="54" spans="1:34" x14ac:dyDescent="0.2">
      <c r="A54" s="748"/>
      <c r="B54" s="473"/>
      <c r="C54" s="301" t="s">
        <v>166</v>
      </c>
      <c r="D54" s="630">
        <v>152150</v>
      </c>
      <c r="E54" s="514">
        <f t="shared" si="16"/>
        <v>19.014802740121315</v>
      </c>
      <c r="F54" s="678">
        <v>2893102.2369094579</v>
      </c>
      <c r="G54" s="673"/>
      <c r="H54" s="24">
        <v>521</v>
      </c>
      <c r="I54" s="84">
        <v>4</v>
      </c>
      <c r="J54" s="349">
        <f t="shared" si="17"/>
        <v>177.14000000000001</v>
      </c>
      <c r="K54" s="80">
        <v>350</v>
      </c>
      <c r="L54" s="84">
        <f t="shared" si="19"/>
        <v>0.35</v>
      </c>
      <c r="M54" s="558">
        <f t="shared" si="20"/>
        <v>1.4</v>
      </c>
      <c r="N54" s="351">
        <f>+M54/100*J54</f>
        <v>2.4799600000000002</v>
      </c>
      <c r="O54" s="353">
        <f t="shared" si="21"/>
        <v>0.49599199999999999</v>
      </c>
      <c r="P54" s="356">
        <f t="shared" si="22"/>
        <v>1.9839680000000002</v>
      </c>
      <c r="X54" s="421">
        <v>240740.12868000002</v>
      </c>
      <c r="Z54" s="423">
        <f t="shared" si="6"/>
        <v>271073.38489368005</v>
      </c>
      <c r="AA54" s="438" t="s">
        <v>204</v>
      </c>
      <c r="AB54" s="507">
        <f t="shared" si="7"/>
        <v>301162.53061687853</v>
      </c>
      <c r="AC54" s="507">
        <f t="shared" si="8"/>
        <v>388448.16055264353</v>
      </c>
      <c r="AD54" s="507"/>
      <c r="AE54" s="448">
        <v>1443355.97242</v>
      </c>
      <c r="AF54" s="486"/>
      <c r="AG54" s="443">
        <v>1690169.8437038201</v>
      </c>
      <c r="AH54" s="438" t="s">
        <v>203</v>
      </c>
    </row>
    <row r="55" spans="1:34" x14ac:dyDescent="0.2">
      <c r="A55" s="748"/>
      <c r="B55" s="473"/>
      <c r="C55" s="301" t="s">
        <v>167</v>
      </c>
      <c r="D55" s="630">
        <v>255453</v>
      </c>
      <c r="E55" s="514">
        <f t="shared" si="16"/>
        <v>3.1637491356959329</v>
      </c>
      <c r="F55" s="678">
        <v>808189.2079609331</v>
      </c>
      <c r="G55" s="673"/>
      <c r="H55" s="24">
        <v>1152</v>
      </c>
      <c r="I55" s="580">
        <v>4</v>
      </c>
      <c r="J55" s="349">
        <f t="shared" si="17"/>
        <v>391.68</v>
      </c>
      <c r="K55" s="80">
        <v>73</v>
      </c>
      <c r="L55" s="84">
        <f t="shared" si="19"/>
        <v>7.2999999999999995E-2</v>
      </c>
      <c r="M55" s="558">
        <f t="shared" si="20"/>
        <v>0.29199999999999998</v>
      </c>
      <c r="N55" s="351">
        <f>+M55/100*J55</f>
        <v>1.1437055999999999</v>
      </c>
      <c r="O55" s="353">
        <f t="shared" si="21"/>
        <v>0.22874111999999991</v>
      </c>
      <c r="P55" s="356">
        <f t="shared" si="22"/>
        <v>0.91496447999999986</v>
      </c>
      <c r="X55" s="421">
        <v>368821.60381732002</v>
      </c>
      <c r="Z55" s="423">
        <f t="shared" si="6"/>
        <v>415293.12589830236</v>
      </c>
      <c r="AA55" s="438" t="s">
        <v>205</v>
      </c>
      <c r="AB55" s="507">
        <f t="shared" si="7"/>
        <v>461390.66287301393</v>
      </c>
      <c r="AC55" s="507">
        <f t="shared" si="8"/>
        <v>595115.04941226728</v>
      </c>
      <c r="AD55" s="507"/>
      <c r="AE55" s="448">
        <v>1279229.1427200001</v>
      </c>
      <c r="AF55" s="486"/>
      <c r="AG55" s="443">
        <v>1497977.3261251203</v>
      </c>
      <c r="AH55" s="438" t="s">
        <v>204</v>
      </c>
    </row>
    <row r="56" spans="1:34" ht="13.5" thickBot="1" x14ac:dyDescent="0.25">
      <c r="A56" s="748"/>
      <c r="B56" s="466"/>
      <c r="C56" s="479" t="s">
        <v>246</v>
      </c>
      <c r="D56" s="633">
        <v>229849.91</v>
      </c>
      <c r="E56" s="514">
        <f t="shared" si="16"/>
        <v>5.3102378027904322</v>
      </c>
      <c r="F56" s="678">
        <v>1220557.6810499786</v>
      </c>
      <c r="G56" s="675"/>
      <c r="H56" s="389">
        <v>1164</v>
      </c>
      <c r="I56" s="580">
        <v>4</v>
      </c>
      <c r="J56" s="377">
        <f t="shared" si="17"/>
        <v>395.76000000000005</v>
      </c>
      <c r="K56" s="390">
        <v>142.30000000000001</v>
      </c>
      <c r="L56" s="580">
        <f t="shared" si="19"/>
        <v>0.14230000000000001</v>
      </c>
      <c r="M56" s="564">
        <f t="shared" si="20"/>
        <v>0.56920000000000004</v>
      </c>
      <c r="N56" s="393">
        <f>+M56/100*J56</f>
        <v>2.2526659200000001</v>
      </c>
      <c r="O56" s="394">
        <f t="shared" si="21"/>
        <v>0.45053318399999998</v>
      </c>
      <c r="P56" s="356">
        <f t="shared" si="22"/>
        <v>1.8021327360000001</v>
      </c>
      <c r="X56" s="421">
        <v>354625.24</v>
      </c>
      <c r="Z56" s="423">
        <f t="shared" si="6"/>
        <v>399308.02024000004</v>
      </c>
      <c r="AB56" s="507">
        <f t="shared" si="7"/>
        <v>443631.21048664005</v>
      </c>
      <c r="AC56" s="507">
        <f t="shared" si="8"/>
        <v>572208.39300392009</v>
      </c>
      <c r="AD56" s="507"/>
      <c r="AE56" s="448">
        <v>735939.86280000012</v>
      </c>
      <c r="AF56" s="486"/>
      <c r="AG56" s="443">
        <v>861785.57933880016</v>
      </c>
      <c r="AH56" s="438" t="s">
        <v>205</v>
      </c>
    </row>
    <row r="57" spans="1:34" x14ac:dyDescent="0.2">
      <c r="A57" s="749">
        <v>2006</v>
      </c>
      <c r="B57" s="366"/>
      <c r="C57" s="480" t="s">
        <v>162</v>
      </c>
      <c r="D57" s="634">
        <v>126945</v>
      </c>
      <c r="E57" s="514">
        <f t="shared" si="16"/>
        <v>4.0373081381969858</v>
      </c>
      <c r="F57" s="616">
        <v>512516.08160341636</v>
      </c>
      <c r="G57" s="676"/>
      <c r="H57" s="397">
        <v>521</v>
      </c>
      <c r="I57" s="260">
        <v>4</v>
      </c>
      <c r="J57" s="398">
        <f t="shared" si="17"/>
        <v>177.14000000000001</v>
      </c>
      <c r="K57" s="398">
        <v>310</v>
      </c>
      <c r="L57" s="659">
        <f t="shared" si="18"/>
        <v>0.31</v>
      </c>
      <c r="M57" s="565">
        <f t="shared" ref="M57:M64" si="24">+I57*L57</f>
        <v>1.24</v>
      </c>
      <c r="N57" s="399">
        <f t="shared" ref="N57:N64" si="25">+M57/100*J57</f>
        <v>2.196536</v>
      </c>
      <c r="O57" s="400">
        <f t="shared" ref="O57:O65" si="26">+N57-(N57*0.8)</f>
        <v>0.43930720000000001</v>
      </c>
      <c r="P57" s="401">
        <f t="shared" ref="P57:P64" si="27">N57-(N57*0.2)</f>
        <v>1.7572288</v>
      </c>
      <c r="Q57" s="369"/>
      <c r="R57" s="494"/>
      <c r="S57" s="370"/>
      <c r="X57" s="421">
        <v>152666.21506500003</v>
      </c>
      <c r="Z57" s="423">
        <f t="shared" si="6"/>
        <v>171902.15816319003</v>
      </c>
      <c r="AA57" s="451" t="s">
        <v>234</v>
      </c>
      <c r="AB57" s="507">
        <f t="shared" si="7"/>
        <v>190983.29771930413</v>
      </c>
      <c r="AC57" s="507">
        <f t="shared" si="8"/>
        <v>246335.79264785134</v>
      </c>
      <c r="AD57" s="507"/>
      <c r="AE57" s="448">
        <v>205585.08</v>
      </c>
      <c r="AF57" s="486"/>
      <c r="AG57" s="443">
        <v>240740.12868000002</v>
      </c>
      <c r="AH57" s="438" t="s">
        <v>206</v>
      </c>
    </row>
    <row r="58" spans="1:34" x14ac:dyDescent="0.2">
      <c r="A58" s="750"/>
      <c r="B58" s="367"/>
      <c r="C58" s="301" t="s">
        <v>163</v>
      </c>
      <c r="D58" s="630">
        <v>888436.34</v>
      </c>
      <c r="E58" s="514">
        <f t="shared" si="16"/>
        <v>4.5380355205727021</v>
      </c>
      <c r="F58" s="616">
        <v>4031755.6686876062</v>
      </c>
      <c r="G58" s="673" t="s">
        <v>180</v>
      </c>
      <c r="H58" s="304">
        <f>+H38*0.5</f>
        <v>3292</v>
      </c>
      <c r="I58" s="84">
        <v>1.6</v>
      </c>
      <c r="J58" s="349">
        <f t="shared" si="17"/>
        <v>1119.28</v>
      </c>
      <c r="K58" s="80">
        <v>1058</v>
      </c>
      <c r="L58" s="84">
        <f t="shared" si="18"/>
        <v>1.0580000000000001</v>
      </c>
      <c r="M58" s="558">
        <f t="shared" si="24"/>
        <v>1.6928000000000001</v>
      </c>
      <c r="N58" s="351">
        <f t="shared" si="25"/>
        <v>18.947171840000003</v>
      </c>
      <c r="O58" s="353">
        <f t="shared" si="26"/>
        <v>3.7894343680000002</v>
      </c>
      <c r="P58" s="402">
        <f t="shared" si="27"/>
        <v>15.157737472000003</v>
      </c>
      <c r="X58" s="421">
        <v>1200963.0528660701</v>
      </c>
      <c r="Z58" s="423">
        <f t="shared" si="6"/>
        <v>1352284.397527195</v>
      </c>
      <c r="AA58" s="438" t="s">
        <v>235</v>
      </c>
      <c r="AB58" s="507">
        <f t="shared" si="7"/>
        <v>1502387.9656527138</v>
      </c>
      <c r="AC58" s="507">
        <f t="shared" si="8"/>
        <v>1937823.5416564706</v>
      </c>
      <c r="AD58" s="507"/>
      <c r="AE58" s="448">
        <v>314962.94092000002</v>
      </c>
      <c r="AF58" s="486"/>
      <c r="AG58" s="443">
        <v>368821.60381732002</v>
      </c>
      <c r="AH58" s="438">
        <f>+'[1]2007'!AA67</f>
        <v>0</v>
      </c>
    </row>
    <row r="59" spans="1:34" x14ac:dyDescent="0.2">
      <c r="A59" s="750"/>
      <c r="B59" s="367"/>
      <c r="C59" s="301" t="s">
        <v>164</v>
      </c>
      <c r="D59" s="630">
        <v>934285.68</v>
      </c>
      <c r="E59" s="514">
        <f t="shared" si="16"/>
        <v>4.519388008544218</v>
      </c>
      <c r="F59" s="679">
        <v>4222399.4987465804</v>
      </c>
      <c r="G59" s="673" t="s">
        <v>180</v>
      </c>
      <c r="H59" s="304">
        <f>+H40*0.5</f>
        <v>1893</v>
      </c>
      <c r="I59" s="84">
        <v>4.45</v>
      </c>
      <c r="J59" s="349">
        <f t="shared" si="17"/>
        <v>643.62</v>
      </c>
      <c r="K59" s="80">
        <v>1780</v>
      </c>
      <c r="L59" s="84">
        <f t="shared" si="18"/>
        <v>1.78</v>
      </c>
      <c r="M59" s="558">
        <f t="shared" si="24"/>
        <v>7.9210000000000003</v>
      </c>
      <c r="N59" s="351">
        <f t="shared" si="25"/>
        <v>50.981140199999999</v>
      </c>
      <c r="O59" s="353">
        <f t="shared" si="26"/>
        <v>10.196228039999994</v>
      </c>
      <c r="P59" s="402">
        <f t="shared" si="27"/>
        <v>40.784912159999998</v>
      </c>
      <c r="R59" s="87">
        <f>SUM(F57:O61)</f>
        <v>14142876.708599277</v>
      </c>
      <c r="S59" s="86">
        <f>SUM(P57:P61)</f>
        <v>84.945599864000002</v>
      </c>
      <c r="T59" s="87">
        <f>+R59/S59</f>
        <v>166493.34081155906</v>
      </c>
      <c r="U59" s="87">
        <f>+AVERAGE(J57:J61)</f>
        <v>516.42600000000004</v>
      </c>
      <c r="X59" s="421">
        <v>1257751.2649930802</v>
      </c>
      <c r="Z59" s="423">
        <f t="shared" si="6"/>
        <v>1416227.9243822084</v>
      </c>
      <c r="AA59" s="438" t="s">
        <v>236</v>
      </c>
      <c r="AB59" s="507">
        <f t="shared" si="7"/>
        <v>1573429.2239886336</v>
      </c>
      <c r="AC59" s="507">
        <f t="shared" si="8"/>
        <v>2029454.6156397047</v>
      </c>
      <c r="AD59" s="507"/>
      <c r="AE59" s="448">
        <v>117414.25804</v>
      </c>
      <c r="AF59" s="486"/>
      <c r="AG59" s="443">
        <v>137492.09616484001</v>
      </c>
      <c r="AH59" s="438">
        <f>+'[1]2007'!AA68</f>
        <v>0</v>
      </c>
    </row>
    <row r="60" spans="1:34" x14ac:dyDescent="0.2">
      <c r="A60" s="750"/>
      <c r="B60" s="367"/>
      <c r="C60" s="301" t="s">
        <v>165</v>
      </c>
      <c r="D60" s="630">
        <v>666223</v>
      </c>
      <c r="E60" s="514">
        <f t="shared" si="16"/>
        <v>4.0494304312632519</v>
      </c>
      <c r="F60" s="678">
        <v>2697823.6902074972</v>
      </c>
      <c r="G60" s="673" t="s">
        <v>179</v>
      </c>
      <c r="H60" s="304">
        <f>+$H$42*$B$83/100</f>
        <v>720</v>
      </c>
      <c r="I60" s="84">
        <v>7.9</v>
      </c>
      <c r="J60" s="349">
        <f t="shared" si="17"/>
        <v>244.8</v>
      </c>
      <c r="K60" s="80">
        <v>898</v>
      </c>
      <c r="L60" s="84">
        <f t="shared" si="18"/>
        <v>0.89800000000000002</v>
      </c>
      <c r="M60" s="558">
        <f t="shared" si="24"/>
        <v>7.0942000000000007</v>
      </c>
      <c r="N60" s="351">
        <f t="shared" si="25"/>
        <v>17.366601600000003</v>
      </c>
      <c r="O60" s="353">
        <f t="shared" si="26"/>
        <v>3.4733203199999991</v>
      </c>
      <c r="P60" s="402">
        <f t="shared" si="27"/>
        <v>13.893281280000002</v>
      </c>
      <c r="X60" s="421">
        <v>803616.79658546008</v>
      </c>
      <c r="Z60" s="423">
        <f t="shared" si="6"/>
        <v>904872.5129552281</v>
      </c>
      <c r="AA60" s="438" t="s">
        <v>237</v>
      </c>
      <c r="AB60" s="507">
        <f t="shared" si="7"/>
        <v>1005313.3618932584</v>
      </c>
      <c r="AC60" s="507">
        <f t="shared" si="8"/>
        <v>1296682.3110648419</v>
      </c>
      <c r="AD60" s="507"/>
      <c r="AE60" s="448">
        <v>36212.069920000009</v>
      </c>
      <c r="AF60" s="486"/>
      <c r="AG60" s="443">
        <v>42404.333876320015</v>
      </c>
      <c r="AH60" s="438">
        <f>+'[1]2007'!AA69</f>
        <v>0</v>
      </c>
    </row>
    <row r="61" spans="1:34" ht="13.5" thickBot="1" x14ac:dyDescent="0.25">
      <c r="A61" s="751"/>
      <c r="B61" s="474"/>
      <c r="C61" s="441" t="s">
        <v>177</v>
      </c>
      <c r="D61" s="631">
        <v>550124.46</v>
      </c>
      <c r="E61" s="526">
        <f t="shared" si="16"/>
        <v>4.8407324023628853</v>
      </c>
      <c r="F61" s="679">
        <v>2663005.2988543846</v>
      </c>
      <c r="G61" s="675" t="s">
        <v>180</v>
      </c>
      <c r="H61" s="568">
        <f>+H17*0.5</f>
        <v>1168.5</v>
      </c>
      <c r="I61" s="10">
        <v>4.3</v>
      </c>
      <c r="J61" s="377">
        <f t="shared" si="17"/>
        <v>397.29</v>
      </c>
      <c r="K61" s="390">
        <v>977</v>
      </c>
      <c r="L61" s="580">
        <f t="shared" si="18"/>
        <v>0.97699999999999998</v>
      </c>
      <c r="M61" s="564">
        <f t="shared" si="24"/>
        <v>4.2010999999999994</v>
      </c>
      <c r="N61" s="393">
        <f t="shared" si="25"/>
        <v>16.69055019</v>
      </c>
      <c r="O61" s="394">
        <f t="shared" si="26"/>
        <v>3.3381100379999999</v>
      </c>
      <c r="P61" s="402">
        <f t="shared" si="27"/>
        <v>13.352440152</v>
      </c>
      <c r="X61" s="421">
        <v>793245.23515874019</v>
      </c>
      <c r="Z61" s="423">
        <f t="shared" si="6"/>
        <v>893194.13478874159</v>
      </c>
      <c r="AA61" s="438" t="s">
        <v>238</v>
      </c>
      <c r="AB61" s="507">
        <f t="shared" si="7"/>
        <v>992338.68375029194</v>
      </c>
      <c r="AC61" s="507">
        <f t="shared" si="8"/>
        <v>1279947.1951522666</v>
      </c>
      <c r="AD61" s="507"/>
      <c r="AE61" s="448">
        <v>53820.435400000009</v>
      </c>
      <c r="AF61" s="486"/>
      <c r="AG61" s="443">
        <v>63023.729853400015</v>
      </c>
      <c r="AH61" s="438">
        <f>+'[1]2007'!AA70</f>
        <v>0</v>
      </c>
    </row>
    <row r="62" spans="1:34" x14ac:dyDescent="0.2">
      <c r="A62" s="755">
        <v>2007</v>
      </c>
      <c r="B62" s="367"/>
      <c r="C62" s="475" t="s">
        <v>178</v>
      </c>
      <c r="D62" s="635">
        <v>1059789.3500000001</v>
      </c>
      <c r="E62" s="569">
        <f t="shared" si="16"/>
        <v>3.5754086258775177</v>
      </c>
      <c r="F62" s="680">
        <v>3789179.9836031282</v>
      </c>
      <c r="G62" s="677"/>
      <c r="H62" s="570">
        <v>1165</v>
      </c>
      <c r="I62" s="656">
        <v>4</v>
      </c>
      <c r="J62" s="571">
        <f t="shared" si="17"/>
        <v>396.1</v>
      </c>
      <c r="K62" s="572">
        <v>1158</v>
      </c>
      <c r="L62" s="663">
        <f t="shared" si="18"/>
        <v>1.1579999999999999</v>
      </c>
      <c r="M62" s="573">
        <f t="shared" si="24"/>
        <v>4.6319999999999997</v>
      </c>
      <c r="N62" s="501">
        <f t="shared" si="25"/>
        <v>18.347352000000001</v>
      </c>
      <c r="O62" s="502">
        <f t="shared" si="26"/>
        <v>3.6694703999999998</v>
      </c>
      <c r="P62" s="401">
        <f t="shared" si="27"/>
        <v>14.677881600000001</v>
      </c>
      <c r="X62" s="425">
        <v>1126556.0790500003</v>
      </c>
      <c r="Z62" s="423">
        <f t="shared" si="6"/>
        <v>1268502.1450103004</v>
      </c>
      <c r="AA62" s="450" t="s">
        <v>239</v>
      </c>
      <c r="AB62" s="507">
        <f t="shared" si="7"/>
        <v>1409305.8831064438</v>
      </c>
      <c r="AC62" s="507">
        <f t="shared" si="8"/>
        <v>1817763.5737997605</v>
      </c>
      <c r="AD62" s="507"/>
      <c r="AE62" s="448">
        <v>310482.30541999999</v>
      </c>
      <c r="AF62" s="486"/>
      <c r="AG62" s="443">
        <v>363574.77964681998</v>
      </c>
      <c r="AH62" s="438">
        <f>+'[1]2007'!AA71</f>
        <v>0</v>
      </c>
    </row>
    <row r="63" spans="1:34" x14ac:dyDescent="0.2">
      <c r="A63" s="756"/>
      <c r="B63" s="367"/>
      <c r="C63" s="440" t="s">
        <v>240</v>
      </c>
      <c r="D63" s="636">
        <v>166895</v>
      </c>
      <c r="E63" s="567">
        <f t="shared" si="16"/>
        <v>3.5754086258775182</v>
      </c>
      <c r="F63" s="616">
        <v>596717.82261582837</v>
      </c>
      <c r="G63" s="551"/>
      <c r="H63" s="24">
        <v>521</v>
      </c>
      <c r="I63" s="84">
        <v>4</v>
      </c>
      <c r="J63" s="349">
        <f t="shared" si="17"/>
        <v>177.14000000000001</v>
      </c>
      <c r="K63" s="80">
        <v>373</v>
      </c>
      <c r="L63" s="84">
        <f t="shared" si="18"/>
        <v>0.373</v>
      </c>
      <c r="M63" s="558">
        <f t="shared" si="24"/>
        <v>1.492</v>
      </c>
      <c r="N63" s="351">
        <f>+M63/100*J63</f>
        <v>2.6429288</v>
      </c>
      <c r="O63" s="353">
        <f t="shared" si="26"/>
        <v>0.5285857599999999</v>
      </c>
      <c r="P63" s="498">
        <f>N63-(N63*0.2)</f>
        <v>2.1143430400000001</v>
      </c>
      <c r="X63" s="423">
        <v>177409.38500000004</v>
      </c>
      <c r="Z63" s="423">
        <f t="shared" si="6"/>
        <v>199762.96751000007</v>
      </c>
      <c r="AA63" s="451" t="s">
        <v>240</v>
      </c>
      <c r="AB63" s="507">
        <f t="shared" si="7"/>
        <v>221936.65690361007</v>
      </c>
      <c r="AC63" s="507">
        <f t="shared" si="8"/>
        <v>286260.33244183013</v>
      </c>
      <c r="AD63" s="507"/>
      <c r="AE63" s="448"/>
      <c r="AF63" s="486"/>
      <c r="AG63" s="443"/>
      <c r="AH63" s="438"/>
    </row>
    <row r="64" spans="1:34" x14ac:dyDescent="0.2">
      <c r="A64" s="756"/>
      <c r="B64" s="367"/>
      <c r="C64" s="41" t="s">
        <v>241</v>
      </c>
      <c r="D64" s="637">
        <v>529779.43000000005</v>
      </c>
      <c r="E64" s="567">
        <f t="shared" si="16"/>
        <v>3.5754086258775177</v>
      </c>
      <c r="F64" s="617">
        <v>1894177.9438344748</v>
      </c>
      <c r="G64" s="551"/>
      <c r="H64" s="24">
        <v>2100</v>
      </c>
      <c r="I64" s="552">
        <v>5</v>
      </c>
      <c r="J64" s="349">
        <f t="shared" si="17"/>
        <v>714</v>
      </c>
      <c r="K64" s="80">
        <v>1145</v>
      </c>
      <c r="L64" s="84">
        <f t="shared" si="18"/>
        <v>1.145</v>
      </c>
      <c r="M64" s="558">
        <f t="shared" si="24"/>
        <v>5.7249999999999996</v>
      </c>
      <c r="N64" s="351">
        <f t="shared" si="25"/>
        <v>40.8765</v>
      </c>
      <c r="O64" s="353">
        <f t="shared" si="26"/>
        <v>8.1753</v>
      </c>
      <c r="P64" s="498">
        <f t="shared" si="27"/>
        <v>32.7012</v>
      </c>
      <c r="X64" s="423">
        <v>563155.53408999997</v>
      </c>
      <c r="Z64" s="423">
        <f t="shared" si="6"/>
        <v>634113.13138534001</v>
      </c>
      <c r="AA64" s="438" t="s">
        <v>241</v>
      </c>
      <c r="AB64" s="507">
        <f t="shared" si="7"/>
        <v>704499.6889691127</v>
      </c>
      <c r="AC64" s="507">
        <f t="shared" si="8"/>
        <v>908684.11727519229</v>
      </c>
      <c r="AD64" s="507"/>
      <c r="AE64" s="448">
        <v>50444.800000000003</v>
      </c>
      <c r="AF64" s="486"/>
      <c r="AG64" s="443">
        <v>59070.860800000002</v>
      </c>
      <c r="AH64" s="438">
        <f>+'[1]2007'!AA72</f>
        <v>0</v>
      </c>
    </row>
    <row r="65" spans="1:34" x14ac:dyDescent="0.2">
      <c r="A65" s="756"/>
      <c r="B65" s="367"/>
      <c r="C65" s="41" t="s">
        <v>242</v>
      </c>
      <c r="D65" s="637">
        <v>507924.27</v>
      </c>
      <c r="E65" s="567">
        <f t="shared" si="16"/>
        <v>3.5754086258775186</v>
      </c>
      <c r="F65" s="617">
        <v>1816036.8162505417</v>
      </c>
      <c r="G65" s="551" t="s">
        <v>179</v>
      </c>
      <c r="H65" s="24">
        <f>+H38*B83/100</f>
        <v>1975.2</v>
      </c>
      <c r="I65" s="21">
        <v>6</v>
      </c>
      <c r="J65" s="349">
        <f t="shared" si="17"/>
        <v>671.5680000000001</v>
      </c>
      <c r="K65" s="80">
        <v>925</v>
      </c>
      <c r="L65" s="84">
        <f t="shared" ref="L65:L73" si="28">K65/1000</f>
        <v>0.92500000000000004</v>
      </c>
      <c r="M65" s="558">
        <f>+I65*L65</f>
        <v>5.5500000000000007</v>
      </c>
      <c r="N65" s="351">
        <f>+M65/100*J65</f>
        <v>37.272024000000009</v>
      </c>
      <c r="O65" s="353">
        <f t="shared" si="26"/>
        <v>7.4544047999999989</v>
      </c>
      <c r="P65" s="498">
        <f>N65-(N65*0.2)</f>
        <v>29.817619200000006</v>
      </c>
      <c r="R65" s="87">
        <f>SUM(F62:F69)</f>
        <v>16593094.227087533</v>
      </c>
      <c r="S65" s="86">
        <f>SUM(P62:P69)</f>
        <v>144.136150496</v>
      </c>
      <c r="T65" s="87">
        <f>+R65/S65</f>
        <v>115120.97534163033</v>
      </c>
      <c r="U65" s="87">
        <f>+AVERAGE(J62:J69)</f>
        <v>509.75350000000003</v>
      </c>
      <c r="X65" s="423">
        <v>539923.49901000015</v>
      </c>
      <c r="Z65" s="423">
        <f t="shared" si="6"/>
        <v>607953.85988526023</v>
      </c>
      <c r="AA65" s="438" t="s">
        <v>242</v>
      </c>
      <c r="AB65" s="507">
        <f t="shared" si="7"/>
        <v>675436.73833252408</v>
      </c>
      <c r="AC65" s="507">
        <f t="shared" si="8"/>
        <v>871197.88121557795</v>
      </c>
      <c r="AD65" s="507"/>
      <c r="AE65" s="442"/>
      <c r="AF65" s="486"/>
      <c r="AG65" s="443"/>
      <c r="AH65" s="438"/>
    </row>
    <row r="66" spans="1:34" x14ac:dyDescent="0.2">
      <c r="A66" s="756"/>
      <c r="B66" s="367"/>
      <c r="C66" s="41" t="s">
        <v>243</v>
      </c>
      <c r="D66" s="638">
        <v>438882.93</v>
      </c>
      <c r="E66" s="567">
        <f t="shared" si="16"/>
        <v>3.5754086258775182</v>
      </c>
      <c r="F66" s="618">
        <v>1569185.8136723989</v>
      </c>
      <c r="G66" s="551"/>
      <c r="H66" s="304">
        <f>+H22*0.5</f>
        <v>2343.5</v>
      </c>
      <c r="I66" s="21">
        <v>4.3</v>
      </c>
      <c r="J66" s="349">
        <f t="shared" si="17"/>
        <v>796.79000000000008</v>
      </c>
      <c r="K66" s="80">
        <v>490</v>
      </c>
      <c r="L66" s="84">
        <f t="shared" si="28"/>
        <v>0.49</v>
      </c>
      <c r="M66" s="558">
        <f t="shared" ref="M66:M73" si="29">+I66*L66</f>
        <v>2.1069999999999998</v>
      </c>
      <c r="N66" s="351">
        <f t="shared" ref="N66:N73" si="30">+M66/100*J66</f>
        <v>16.788365299999999</v>
      </c>
      <c r="O66" s="353">
        <f t="shared" ref="O66:O73" si="31">+N66-(N66*0.8)</f>
        <v>3.3576730599999998</v>
      </c>
      <c r="P66" s="498">
        <f t="shared" ref="P66:P73" si="32">N66-(N66*0.2)</f>
        <v>13.430692239999999</v>
      </c>
      <c r="X66" s="423">
        <v>466532.55459000007</v>
      </c>
      <c r="Z66" s="423">
        <f t="shared" si="6"/>
        <v>525315.65646834008</v>
      </c>
      <c r="AA66" s="438" t="s">
        <v>243</v>
      </c>
      <c r="AB66" s="507">
        <f t="shared" si="7"/>
        <v>583625.69433632586</v>
      </c>
      <c r="AC66" s="507">
        <f t="shared" si="8"/>
        <v>752777.3357191314</v>
      </c>
      <c r="AD66" s="507"/>
      <c r="AE66" s="442"/>
      <c r="AF66" s="486"/>
      <c r="AG66" s="443"/>
      <c r="AH66" s="438"/>
    </row>
    <row r="67" spans="1:34" x14ac:dyDescent="0.2">
      <c r="A67" s="756"/>
      <c r="B67" s="367"/>
      <c r="C67" s="41" t="s">
        <v>244</v>
      </c>
      <c r="D67" s="639">
        <v>616636.12</v>
      </c>
      <c r="E67" s="567">
        <f t="shared" ref="E67:E90" si="33">+F67/D67</f>
        <v>3.5754086258775186</v>
      </c>
      <c r="F67" s="618">
        <v>2204726.1024756446</v>
      </c>
      <c r="G67" s="551"/>
      <c r="H67" s="304">
        <f>+$H$42*$B$83/100</f>
        <v>720</v>
      </c>
      <c r="I67" s="84">
        <v>7.9</v>
      </c>
      <c r="J67" s="349">
        <f t="shared" ref="J67:J90" si="34">+F$95*H67</f>
        <v>244.8</v>
      </c>
      <c r="K67" s="80">
        <v>575</v>
      </c>
      <c r="L67" s="84">
        <f t="shared" si="28"/>
        <v>0.57499999999999996</v>
      </c>
      <c r="M67" s="558">
        <f t="shared" si="29"/>
        <v>4.5424999999999995</v>
      </c>
      <c r="N67" s="351">
        <f t="shared" si="30"/>
        <v>11.120039999999999</v>
      </c>
      <c r="O67" s="353">
        <f t="shared" si="31"/>
        <v>2.2240079999999995</v>
      </c>
      <c r="P67" s="498">
        <f t="shared" si="32"/>
        <v>8.8960319999999999</v>
      </c>
      <c r="X67" s="423">
        <v>655484.19556000014</v>
      </c>
      <c r="Z67" s="423">
        <f t="shared" si="6"/>
        <v>738075.20420056023</v>
      </c>
      <c r="AA67" s="438" t="s">
        <v>244</v>
      </c>
      <c r="AB67" s="507">
        <f t="shared" si="7"/>
        <v>820001.55186682241</v>
      </c>
      <c r="AC67" s="507">
        <f t="shared" si="8"/>
        <v>1057661.7676194028</v>
      </c>
      <c r="AD67" s="507"/>
      <c r="AE67" s="442"/>
      <c r="AF67" s="486"/>
      <c r="AG67" s="443"/>
      <c r="AH67" s="438"/>
    </row>
    <row r="68" spans="1:34" x14ac:dyDescent="0.2">
      <c r="A68" s="756"/>
      <c r="B68" s="367"/>
      <c r="C68" s="41" t="s">
        <v>245</v>
      </c>
      <c r="D68" s="637">
        <v>1109785.8999999999</v>
      </c>
      <c r="E68" s="567">
        <f t="shared" si="33"/>
        <v>3.5754086258775186</v>
      </c>
      <c r="F68" s="617">
        <v>3967938.0797372451</v>
      </c>
      <c r="G68" s="551"/>
      <c r="H68" s="304">
        <f>+$H$41*0.5</f>
        <v>2344.5</v>
      </c>
      <c r="I68" s="84">
        <v>3.8</v>
      </c>
      <c r="J68" s="349">
        <f t="shared" si="34"/>
        <v>797.13000000000011</v>
      </c>
      <c r="K68" s="80">
        <v>1583</v>
      </c>
      <c r="L68" s="84">
        <f t="shared" si="28"/>
        <v>1.583</v>
      </c>
      <c r="M68" s="558">
        <f t="shared" si="29"/>
        <v>6.0153999999999996</v>
      </c>
      <c r="N68" s="351">
        <f t="shared" si="30"/>
        <v>47.950558020000003</v>
      </c>
      <c r="O68" s="353">
        <f t="shared" si="31"/>
        <v>9.5901116040000005</v>
      </c>
      <c r="P68" s="498">
        <f t="shared" si="32"/>
        <v>38.360446416000002</v>
      </c>
      <c r="X68" s="423">
        <v>1179702.4117000001</v>
      </c>
      <c r="Z68" s="423">
        <f t="shared" ref="Z68:Z74" si="35">+X68*(0.1+0.9*$Y$3)</f>
        <v>1328344.9155742002</v>
      </c>
      <c r="AA68" s="58" t="s">
        <v>245</v>
      </c>
      <c r="AB68" s="507">
        <f t="shared" ref="AB68:AB74" si="36">+Z68*$AB$1</f>
        <v>1475791.2012029365</v>
      </c>
      <c r="AC68" s="507">
        <f t="shared" ref="AC68:AC74" si="37">+Z68*$AC$2</f>
        <v>1903518.264017829</v>
      </c>
      <c r="AD68" s="507"/>
      <c r="AE68" s="442"/>
      <c r="AF68" s="486"/>
      <c r="AG68" s="443"/>
      <c r="AH68" s="438"/>
    </row>
    <row r="69" spans="1:34" ht="13.5" thickBot="1" x14ac:dyDescent="0.25">
      <c r="A69" s="756"/>
      <c r="B69" s="367"/>
      <c r="C69" s="495" t="s">
        <v>186</v>
      </c>
      <c r="D69" s="637">
        <v>211201.5</v>
      </c>
      <c r="E69" s="567">
        <f t="shared" si="33"/>
        <v>3.5754086258775182</v>
      </c>
      <c r="F69" s="618">
        <v>755131.66489827062</v>
      </c>
      <c r="G69" s="551"/>
      <c r="H69" s="24">
        <v>825</v>
      </c>
      <c r="I69" s="84">
        <v>4</v>
      </c>
      <c r="J69" s="349">
        <f t="shared" si="34"/>
        <v>280.5</v>
      </c>
      <c r="K69" s="80">
        <v>461</v>
      </c>
      <c r="L69" s="84">
        <f t="shared" si="28"/>
        <v>0.46100000000000002</v>
      </c>
      <c r="M69" s="558">
        <f t="shared" si="29"/>
        <v>1.8440000000000001</v>
      </c>
      <c r="N69" s="351">
        <f t="shared" si="30"/>
        <v>5.1724200000000007</v>
      </c>
      <c r="O69" s="353">
        <f t="shared" si="31"/>
        <v>1.034484</v>
      </c>
      <c r="P69" s="498">
        <f t="shared" si="32"/>
        <v>4.1379360000000007</v>
      </c>
      <c r="X69" s="423">
        <v>224507.19450000004</v>
      </c>
      <c r="Z69" s="423">
        <f t="shared" si="35"/>
        <v>252795.10100700008</v>
      </c>
      <c r="AA69" s="41" t="s">
        <v>186</v>
      </c>
      <c r="AB69" s="507">
        <f t="shared" si="36"/>
        <v>280855.35721877706</v>
      </c>
      <c r="AC69" s="507">
        <f t="shared" si="37"/>
        <v>362255.37974303111</v>
      </c>
      <c r="AD69" s="507"/>
      <c r="AE69" s="442"/>
      <c r="AF69" s="486"/>
      <c r="AG69" s="443"/>
      <c r="AH69" s="438"/>
    </row>
    <row r="70" spans="1:34" x14ac:dyDescent="0.2">
      <c r="A70" s="756"/>
      <c r="B70" s="496"/>
      <c r="C70" s="52" t="s">
        <v>187</v>
      </c>
      <c r="D70" s="636">
        <v>1160777.78</v>
      </c>
      <c r="E70" s="567">
        <f t="shared" si="33"/>
        <v>3.5754086258775182</v>
      </c>
      <c r="F70" s="618">
        <v>4150254.8873389564</v>
      </c>
      <c r="G70" s="551"/>
      <c r="H70" s="304">
        <f>+$H$42*$B$83/100</f>
        <v>720</v>
      </c>
      <c r="I70" s="84">
        <v>7.9</v>
      </c>
      <c r="J70" s="349">
        <f t="shared" si="34"/>
        <v>244.8</v>
      </c>
      <c r="K70" s="80">
        <v>1128</v>
      </c>
      <c r="L70" s="84">
        <f t="shared" si="28"/>
        <v>1.1279999999999999</v>
      </c>
      <c r="M70" s="558">
        <f t="shared" si="29"/>
        <v>8.9111999999999991</v>
      </c>
      <c r="N70" s="351">
        <f t="shared" si="30"/>
        <v>21.814617600000002</v>
      </c>
      <c r="O70" s="353">
        <f t="shared" si="31"/>
        <v>4.3629235199999989</v>
      </c>
      <c r="P70" s="498">
        <f t="shared" si="32"/>
        <v>17.451694080000003</v>
      </c>
      <c r="X70" s="423">
        <v>1233906.7801400002</v>
      </c>
      <c r="Z70" s="423">
        <f t="shared" si="35"/>
        <v>1389379.0344376403</v>
      </c>
      <c r="AA70" s="41" t="s">
        <v>187</v>
      </c>
      <c r="AB70" s="507">
        <f t="shared" si="36"/>
        <v>1543600.1072602184</v>
      </c>
      <c r="AC70" s="507">
        <f t="shared" si="37"/>
        <v>1990980.1563491386</v>
      </c>
      <c r="AD70" s="507"/>
      <c r="AE70" s="442"/>
      <c r="AF70" s="486"/>
      <c r="AG70" s="443"/>
      <c r="AH70" s="438"/>
    </row>
    <row r="71" spans="1:34" x14ac:dyDescent="0.2">
      <c r="A71" s="756"/>
      <c r="B71" s="482"/>
      <c r="C71" s="301" t="s">
        <v>188</v>
      </c>
      <c r="D71" s="637">
        <v>644204.67000000004</v>
      </c>
      <c r="E71" s="567">
        <f t="shared" si="33"/>
        <v>3.5754086258775182</v>
      </c>
      <c r="F71" s="618">
        <v>2303294.9339485802</v>
      </c>
      <c r="G71" s="551"/>
      <c r="H71" s="24">
        <f>+$H$40*0.3</f>
        <v>1135.8</v>
      </c>
      <c r="I71" s="84">
        <v>4.45</v>
      </c>
      <c r="J71" s="349">
        <f t="shared" si="34"/>
        <v>386.17200000000003</v>
      </c>
      <c r="K71" s="80">
        <v>1217</v>
      </c>
      <c r="L71" s="84">
        <f t="shared" si="28"/>
        <v>1.2170000000000001</v>
      </c>
      <c r="M71" s="558">
        <f t="shared" si="29"/>
        <v>5.4156500000000003</v>
      </c>
      <c r="N71" s="351">
        <f t="shared" si="30"/>
        <v>20.913723918000002</v>
      </c>
      <c r="O71" s="353">
        <f t="shared" si="31"/>
        <v>4.1827447836000005</v>
      </c>
      <c r="P71" s="498">
        <f t="shared" si="32"/>
        <v>16.730979134400002</v>
      </c>
      <c r="R71" s="87">
        <f>SUM(F70:F73)</f>
        <v>17104300.145729009</v>
      </c>
      <c r="S71" s="86">
        <f>SUM(P70:P73)</f>
        <v>112.21403321439999</v>
      </c>
      <c r="T71" s="87">
        <f>+R71/S71</f>
        <v>152425.67846259428</v>
      </c>
      <c r="U71" s="87">
        <f>+AVERAGE(J70:J73)</f>
        <v>629.32299999999998</v>
      </c>
      <c r="X71" s="423">
        <v>684789.5642100001</v>
      </c>
      <c r="Z71" s="423">
        <f t="shared" si="35"/>
        <v>771073.04930046014</v>
      </c>
      <c r="AA71" s="301" t="s">
        <v>188</v>
      </c>
      <c r="AB71" s="507">
        <f t="shared" si="36"/>
        <v>856662.15777281125</v>
      </c>
      <c r="AC71" s="507">
        <f t="shared" si="37"/>
        <v>1104947.6796475595</v>
      </c>
      <c r="AD71" s="507"/>
      <c r="AE71" s="442"/>
      <c r="AF71" s="486"/>
      <c r="AG71" s="443"/>
      <c r="AH71" s="438"/>
    </row>
    <row r="72" spans="1:34" x14ac:dyDescent="0.2">
      <c r="A72" s="756"/>
      <c r="B72" s="482"/>
      <c r="C72" s="301" t="s">
        <v>189</v>
      </c>
      <c r="D72" s="637">
        <v>829368.54</v>
      </c>
      <c r="E72" s="567">
        <f t="shared" si="33"/>
        <v>3.5754086258775186</v>
      </c>
      <c r="F72" s="618">
        <v>2965331.4319474441</v>
      </c>
      <c r="G72" s="551"/>
      <c r="H72" s="24">
        <f>+$H$14*$B$83/100</f>
        <v>1548</v>
      </c>
      <c r="I72" s="552">
        <v>5</v>
      </c>
      <c r="J72" s="349">
        <f t="shared" si="34"/>
        <v>526.32000000000005</v>
      </c>
      <c r="K72" s="80">
        <v>1200</v>
      </c>
      <c r="L72" s="84">
        <f t="shared" si="28"/>
        <v>1.2</v>
      </c>
      <c r="M72" s="558">
        <f t="shared" si="29"/>
        <v>6</v>
      </c>
      <c r="N72" s="351">
        <f t="shared" si="30"/>
        <v>31.5792</v>
      </c>
      <c r="O72" s="353">
        <f t="shared" si="31"/>
        <v>6.3158399999999979</v>
      </c>
      <c r="P72" s="498">
        <f t="shared" si="32"/>
        <v>25.263359999999999</v>
      </c>
      <c r="X72" s="423">
        <v>881618.75802000018</v>
      </c>
      <c r="Z72" s="423">
        <f t="shared" si="35"/>
        <v>992702.72153052036</v>
      </c>
      <c r="AA72" s="301" t="s">
        <v>189</v>
      </c>
      <c r="AB72" s="507">
        <f t="shared" si="36"/>
        <v>1102892.7236204082</v>
      </c>
      <c r="AC72" s="507">
        <f t="shared" si="37"/>
        <v>1422542.9999532357</v>
      </c>
      <c r="AD72" s="507"/>
      <c r="AE72" s="442"/>
      <c r="AF72" s="486"/>
      <c r="AG72" s="443"/>
      <c r="AH72" s="438"/>
    </row>
    <row r="73" spans="1:34" s="200" customFormat="1" ht="13.5" thickBot="1" x14ac:dyDescent="0.25">
      <c r="A73" s="752"/>
      <c r="B73" s="519"/>
      <c r="C73" s="441" t="s">
        <v>190</v>
      </c>
      <c r="D73" s="640">
        <v>2149521.83</v>
      </c>
      <c r="E73" s="579">
        <f t="shared" si="33"/>
        <v>3.5754086258775177</v>
      </c>
      <c r="F73" s="619">
        <v>7685418.8924940275</v>
      </c>
      <c r="G73" s="581"/>
      <c r="H73" s="568">
        <v>4000</v>
      </c>
      <c r="I73" s="392">
        <v>5</v>
      </c>
      <c r="J73" s="377">
        <f t="shared" si="34"/>
        <v>1360</v>
      </c>
      <c r="K73" s="390">
        <v>970</v>
      </c>
      <c r="L73" s="392">
        <f t="shared" si="28"/>
        <v>0.97</v>
      </c>
      <c r="M73" s="564">
        <f t="shared" si="29"/>
        <v>4.8499999999999996</v>
      </c>
      <c r="N73" s="351">
        <f t="shared" si="30"/>
        <v>65.959999999999994</v>
      </c>
      <c r="O73" s="353">
        <f t="shared" si="31"/>
        <v>13.191999999999993</v>
      </c>
      <c r="P73" s="498">
        <f t="shared" si="32"/>
        <v>52.767999999999994</v>
      </c>
      <c r="R73" s="489"/>
      <c r="T73" s="489"/>
      <c r="U73" s="489"/>
      <c r="X73" s="520">
        <v>2284941.7052900004</v>
      </c>
      <c r="Z73" s="521">
        <f t="shared" si="35"/>
        <v>2572844.3601565408</v>
      </c>
      <c r="AA73" s="441" t="s">
        <v>190</v>
      </c>
      <c r="AB73" s="508">
        <f t="shared" si="36"/>
        <v>2858430.0841339165</v>
      </c>
      <c r="AC73" s="508">
        <f t="shared" si="37"/>
        <v>3686885.9681043229</v>
      </c>
      <c r="AD73" s="508"/>
      <c r="AE73" s="522"/>
      <c r="AF73" s="523"/>
      <c r="AG73" s="524"/>
      <c r="AH73" s="525"/>
    </row>
    <row r="74" spans="1:34" ht="13.5" thickBot="1" x14ac:dyDescent="0.25">
      <c r="A74" s="366">
        <v>2008</v>
      </c>
      <c r="B74" s="499"/>
      <c r="C74" s="592" t="s">
        <v>251</v>
      </c>
      <c r="D74" s="641">
        <v>235484.46</v>
      </c>
      <c r="E74" s="608">
        <f t="shared" si="33"/>
        <v>2.9715480567936585</v>
      </c>
      <c r="F74" s="620">
        <v>699753.38951810403</v>
      </c>
      <c r="G74" s="609"/>
      <c r="H74" s="610">
        <v>30000</v>
      </c>
      <c r="I74" s="657">
        <v>4.4999999999999998E-2</v>
      </c>
      <c r="J74" s="583">
        <f t="shared" si="34"/>
        <v>10200</v>
      </c>
      <c r="K74" s="582">
        <v>8000</v>
      </c>
      <c r="L74" s="657">
        <f>K74/1000</f>
        <v>8</v>
      </c>
      <c r="M74" s="611">
        <f>+I74*L74</f>
        <v>0.36</v>
      </c>
      <c r="N74" s="584">
        <f>+M74/100*J74</f>
        <v>36.72</v>
      </c>
      <c r="O74" s="585">
        <f>+N74-(N74*0.8)</f>
        <v>7.3439999999999976</v>
      </c>
      <c r="P74" s="586">
        <f>N74-(N74*0.2)</f>
        <v>29.375999999999998</v>
      </c>
      <c r="X74" s="503">
        <v>235484.46</v>
      </c>
      <c r="Z74" s="423">
        <f t="shared" si="35"/>
        <v>265155.50196000002</v>
      </c>
      <c r="AB74" s="507">
        <f t="shared" si="36"/>
        <v>294587.76267756004</v>
      </c>
      <c r="AC74" s="507">
        <f t="shared" si="37"/>
        <v>379967.83430868003</v>
      </c>
      <c r="AD74" s="509"/>
      <c r="AE74" s="444">
        <v>48668.102470000005</v>
      </c>
      <c r="AF74" s="486"/>
      <c r="AG74" s="445">
        <v>56990.347992370007</v>
      </c>
      <c r="AH74" s="439">
        <f>+'[1]2007'!AA73</f>
        <v>0</v>
      </c>
    </row>
    <row r="75" spans="1:34" s="38" customFormat="1" ht="13.5" thickBot="1" x14ac:dyDescent="0.25">
      <c r="A75" s="647">
        <v>2009</v>
      </c>
      <c r="B75" s="367"/>
      <c r="C75" s="592" t="s">
        <v>251</v>
      </c>
      <c r="D75" s="642">
        <v>225280.8</v>
      </c>
      <c r="E75" s="604">
        <f t="shared" si="33"/>
        <v>2.615772320168174</v>
      </c>
      <c r="F75" s="621">
        <v>589283.28090534231</v>
      </c>
      <c r="G75" s="605"/>
      <c r="H75" s="606">
        <v>30000</v>
      </c>
      <c r="I75" s="658">
        <v>4.4999999999999998E-2</v>
      </c>
      <c r="J75" s="575">
        <f t="shared" si="34"/>
        <v>10200</v>
      </c>
      <c r="K75" s="574">
        <v>8000</v>
      </c>
      <c r="L75" s="658">
        <f>K75/1000</f>
        <v>8</v>
      </c>
      <c r="M75" s="607">
        <f>+I75*L75</f>
        <v>0.36</v>
      </c>
      <c r="N75" s="576">
        <f>+M75/100*J75</f>
        <v>36.72</v>
      </c>
      <c r="O75" s="577">
        <f>+N75-(N75*0.8)</f>
        <v>7.3439999999999976</v>
      </c>
      <c r="P75" s="578">
        <f>N75-(N75*0.2)</f>
        <v>29.375999999999998</v>
      </c>
      <c r="R75" s="367"/>
      <c r="T75" s="367"/>
      <c r="U75" s="367"/>
      <c r="X75" s="500">
        <v>225280.8</v>
      </c>
      <c r="Z75" s="38">
        <v>1.1200000000000001</v>
      </c>
      <c r="AA75" s="38">
        <f>+Z75/0.9</f>
        <v>1.2444444444444445</v>
      </c>
      <c r="AC75" s="512">
        <f>+AA75*X75</f>
        <v>280349.44</v>
      </c>
      <c r="AD75" s="512"/>
      <c r="AE75" s="504"/>
      <c r="AF75" s="505"/>
      <c r="AG75" s="504"/>
    </row>
    <row r="76" spans="1:34" s="38" customFormat="1" ht="13.5" thickBot="1" x14ac:dyDescent="0.25">
      <c r="A76" s="758">
        <v>2010</v>
      </c>
      <c r="B76" s="499"/>
      <c r="C76" s="587" t="s">
        <v>257</v>
      </c>
      <c r="D76" s="643">
        <v>1946187.42</v>
      </c>
      <c r="E76" s="681">
        <f t="shared" si="33"/>
        <v>1.5218152200708606</v>
      </c>
      <c r="F76" s="622">
        <v>2961737.6368664401</v>
      </c>
      <c r="G76" s="589"/>
      <c r="H76" s="555">
        <v>7860</v>
      </c>
      <c r="I76" s="555">
        <v>4.5</v>
      </c>
      <c r="J76" s="555">
        <f t="shared" si="34"/>
        <v>2672.4</v>
      </c>
      <c r="K76" s="589"/>
      <c r="L76" s="555">
        <v>2.1</v>
      </c>
      <c r="M76" s="590">
        <f>+I76*L76</f>
        <v>9.4500000000000011</v>
      </c>
      <c r="N76" s="399">
        <f>+M76/100*J76</f>
        <v>252.54180000000005</v>
      </c>
      <c r="O76" s="400">
        <f>+N76-(N76*0.8)</f>
        <v>50.50836000000001</v>
      </c>
      <c r="P76" s="497">
        <f>N76-(N76*0.2)</f>
        <v>202.03344000000004</v>
      </c>
      <c r="R76" s="367"/>
      <c r="T76" s="367"/>
      <c r="U76" s="367"/>
      <c r="X76" s="174">
        <v>1946187.42</v>
      </c>
      <c r="Z76" s="38">
        <v>1.1200000000000001</v>
      </c>
      <c r="AA76" s="38">
        <f>+Z76/0.9</f>
        <v>1.2444444444444445</v>
      </c>
      <c r="AC76" s="512">
        <f>+AA76*X76</f>
        <v>2421922.1226666667</v>
      </c>
      <c r="AD76" s="512"/>
    </row>
    <row r="77" spans="1:34" ht="13.5" thickBot="1" x14ac:dyDescent="0.25">
      <c r="A77" s="759"/>
      <c r="B77" s="548"/>
      <c r="C77" s="588" t="s">
        <v>260</v>
      </c>
      <c r="D77" s="644">
        <v>62936045.969999999</v>
      </c>
      <c r="E77" s="682">
        <f t="shared" si="33"/>
        <v>2.6157723201681735</v>
      </c>
      <c r="F77" s="623">
        <v>164626366.98915774</v>
      </c>
      <c r="G77" s="553"/>
      <c r="H77" s="382">
        <v>7481</v>
      </c>
      <c r="I77" s="268">
        <v>2.2000000000000002</v>
      </c>
      <c r="J77" s="591">
        <f t="shared" si="34"/>
        <v>2543.54</v>
      </c>
      <c r="K77" s="403"/>
      <c r="L77" s="268">
        <v>15.64</v>
      </c>
      <c r="M77" s="563">
        <f t="shared" ref="M77:M90" si="38">+I77*L77</f>
        <v>34.408000000000001</v>
      </c>
      <c r="N77" s="386">
        <f t="shared" ref="N77:N89" si="39">+M77/100*J77</f>
        <v>875.18124319999993</v>
      </c>
      <c r="O77" s="387">
        <f t="shared" ref="O77:O90" si="40">+N77-(N77*0.8)</f>
        <v>175.03624863999994</v>
      </c>
      <c r="P77" s="404">
        <f t="shared" ref="P77:P90" si="41">N77-(N77*0.2)</f>
        <v>700.14499455999999</v>
      </c>
      <c r="AE77" s="442">
        <v>46369.05</v>
      </c>
      <c r="AF77" s="486"/>
      <c r="AG77" s="443">
        <v>54298.157550000004</v>
      </c>
      <c r="AH77" s="141">
        <f>+'[1]2007'!AA74</f>
        <v>0</v>
      </c>
    </row>
    <row r="78" spans="1:34" x14ac:dyDescent="0.2">
      <c r="A78" s="725">
        <v>2011</v>
      </c>
      <c r="B78" s="547"/>
      <c r="C78" s="598" t="s">
        <v>261</v>
      </c>
      <c r="D78" s="635">
        <v>1248000</v>
      </c>
      <c r="E78" s="681">
        <f t="shared" si="33"/>
        <v>4.0791531915829431</v>
      </c>
      <c r="F78" s="622">
        <v>5090783.1830955129</v>
      </c>
      <c r="G78" s="599"/>
      <c r="H78" s="600">
        <v>3215</v>
      </c>
      <c r="I78" s="659">
        <v>6.8</v>
      </c>
      <c r="J78" s="555">
        <f t="shared" si="34"/>
        <v>1093.1000000000001</v>
      </c>
      <c r="K78" s="601"/>
      <c r="L78" s="664">
        <v>0.65</v>
      </c>
      <c r="M78" s="590">
        <f t="shared" si="38"/>
        <v>4.42</v>
      </c>
      <c r="N78" s="399">
        <f t="shared" si="39"/>
        <v>48.315020000000004</v>
      </c>
      <c r="O78" s="400">
        <f t="shared" si="40"/>
        <v>9.6630040000000008</v>
      </c>
      <c r="P78" s="497">
        <f t="shared" si="41"/>
        <v>38.652016000000003</v>
      </c>
      <c r="X78">
        <f>SUM(X3:X43)</f>
        <v>31155344.285224583</v>
      </c>
      <c r="AE78" s="442">
        <v>48064.93510000001</v>
      </c>
      <c r="AF78" s="486"/>
      <c r="AG78" s="443">
        <v>56284.039002100013</v>
      </c>
      <c r="AH78" s="438">
        <f>+'[1]2007'!AA75</f>
        <v>0</v>
      </c>
    </row>
    <row r="79" spans="1:34" ht="13.5" thickBot="1" x14ac:dyDescent="0.25">
      <c r="A79" s="726"/>
      <c r="B79" s="367"/>
      <c r="C79" s="593" t="s">
        <v>193</v>
      </c>
      <c r="D79" s="645">
        <v>239725</v>
      </c>
      <c r="E79" s="682">
        <f t="shared" si="33"/>
        <v>2.3731872090275958</v>
      </c>
      <c r="F79" s="623">
        <v>568912.30368414044</v>
      </c>
      <c r="G79" s="602"/>
      <c r="H79" s="603">
        <v>21700</v>
      </c>
      <c r="I79" s="660">
        <v>0.05</v>
      </c>
      <c r="J79" s="591">
        <f t="shared" si="34"/>
        <v>7378.0000000000009</v>
      </c>
      <c r="K79" s="403"/>
      <c r="L79" s="591">
        <v>1</v>
      </c>
      <c r="M79" s="563">
        <f t="shared" si="38"/>
        <v>0.05</v>
      </c>
      <c r="N79" s="386">
        <f t="shared" si="39"/>
        <v>3.6890000000000005</v>
      </c>
      <c r="O79" s="387">
        <f t="shared" si="40"/>
        <v>0.73780000000000001</v>
      </c>
      <c r="P79" s="404">
        <f t="shared" si="41"/>
        <v>2.9512000000000005</v>
      </c>
      <c r="AE79" s="442">
        <v>36936.301480000002</v>
      </c>
      <c r="AF79" s="486"/>
      <c r="AG79" s="443">
        <v>43252.409033080003</v>
      </c>
      <c r="AH79" s="438">
        <f>+'[1]2007'!AA76</f>
        <v>0</v>
      </c>
    </row>
    <row r="80" spans="1:34" ht="15" x14ac:dyDescent="0.2">
      <c r="A80" s="725">
        <v>2012</v>
      </c>
      <c r="B80" s="367"/>
      <c r="C80" s="594" t="s">
        <v>193</v>
      </c>
      <c r="D80" s="691">
        <v>271329.7</v>
      </c>
      <c r="E80" s="681">
        <f t="shared" si="33"/>
        <v>2.0829952580899751</v>
      </c>
      <c r="F80" s="622">
        <v>565178.47847897559</v>
      </c>
      <c r="G80" s="589"/>
      <c r="H80" s="555">
        <v>21700</v>
      </c>
      <c r="I80" s="659">
        <v>0.05</v>
      </c>
      <c r="J80" s="555">
        <f t="shared" si="34"/>
        <v>7378.0000000000009</v>
      </c>
      <c r="K80" s="589"/>
      <c r="L80" s="555">
        <v>1</v>
      </c>
      <c r="M80" s="686">
        <f t="shared" si="38"/>
        <v>0.05</v>
      </c>
      <c r="N80" s="371">
        <f t="shared" si="39"/>
        <v>3.6890000000000005</v>
      </c>
      <c r="O80" s="372">
        <f t="shared" si="40"/>
        <v>0.73780000000000001</v>
      </c>
      <c r="P80" s="690">
        <f t="shared" si="41"/>
        <v>2.9512000000000005</v>
      </c>
      <c r="Q80" s="493"/>
      <c r="R80" s="202" t="s">
        <v>19</v>
      </c>
      <c r="S80" s="87" t="s">
        <v>143</v>
      </c>
      <c r="T80"/>
      <c r="U80"/>
      <c r="Z80" s="442">
        <v>130372.51500000001</v>
      </c>
      <c r="AA80" s="486"/>
      <c r="AB80" s="510"/>
      <c r="AC80" s="510"/>
      <c r="AD80" s="510"/>
      <c r="AE80" s="443">
        <v>152666.21506500003</v>
      </c>
      <c r="AF80" s="438">
        <f>+'[1]2007'!AA77</f>
        <v>0</v>
      </c>
    </row>
    <row r="81" spans="1:34" ht="13.5" thickBot="1" x14ac:dyDescent="0.25">
      <c r="A81" s="725"/>
      <c r="B81" s="367"/>
      <c r="C81" s="525" t="s">
        <v>262</v>
      </c>
      <c r="D81" s="638">
        <v>224415.6</v>
      </c>
      <c r="E81" s="579">
        <f t="shared" si="33"/>
        <v>2.0829952580899751</v>
      </c>
      <c r="F81" s="618">
        <v>467456.63064141665</v>
      </c>
      <c r="G81" s="58"/>
      <c r="H81" s="21">
        <v>21700</v>
      </c>
      <c r="I81" s="552">
        <v>0.05</v>
      </c>
      <c r="J81" s="21">
        <f t="shared" si="34"/>
        <v>7378.0000000000009</v>
      </c>
      <c r="K81" s="58"/>
      <c r="L81" s="21">
        <v>0.3</v>
      </c>
      <c r="M81" s="687">
        <f t="shared" si="38"/>
        <v>1.4999999999999999E-2</v>
      </c>
      <c r="N81" s="351">
        <f t="shared" si="39"/>
        <v>1.1067</v>
      </c>
      <c r="O81" s="353">
        <f t="shared" si="40"/>
        <v>0.22133999999999998</v>
      </c>
      <c r="P81" s="498">
        <f t="shared" si="41"/>
        <v>0.88536000000000004</v>
      </c>
      <c r="Q81" s="481"/>
      <c r="R81" s="84">
        <f>+P92</f>
        <v>3240.1713352391976</v>
      </c>
      <c r="S81" s="87">
        <f>60*60*24*365</f>
        <v>31536000</v>
      </c>
      <c r="T81"/>
      <c r="U81"/>
      <c r="Z81" s="442">
        <v>1025587.5771700001</v>
      </c>
      <c r="AA81" s="487"/>
      <c r="AB81" s="510"/>
      <c r="AC81" s="510"/>
      <c r="AD81" s="510"/>
      <c r="AE81" s="443">
        <v>1200963.0528660701</v>
      </c>
      <c r="AF81" s="438">
        <f>+'[1]2007'!AA78</f>
        <v>0</v>
      </c>
    </row>
    <row r="82" spans="1:34" ht="18" x14ac:dyDescent="0.25">
      <c r="A82" s="725"/>
      <c r="B82" s="481">
        <v>50</v>
      </c>
      <c r="C82" s="525" t="s">
        <v>263</v>
      </c>
      <c r="D82" s="638">
        <v>234869</v>
      </c>
      <c r="E82" s="567">
        <f t="shared" si="33"/>
        <v>2.0829952580899755</v>
      </c>
      <c r="F82" s="618">
        <v>489231.01327233447</v>
      </c>
      <c r="G82" s="58"/>
      <c r="H82" s="21">
        <v>41000</v>
      </c>
      <c r="I82" s="552">
        <v>0.05</v>
      </c>
      <c r="J82" s="21">
        <f t="shared" si="34"/>
        <v>13940.000000000002</v>
      </c>
      <c r="K82" s="58"/>
      <c r="L82" s="21">
        <v>1</v>
      </c>
      <c r="M82" s="687">
        <f t="shared" si="38"/>
        <v>0.05</v>
      </c>
      <c r="N82" s="351">
        <f t="shared" si="39"/>
        <v>6.9700000000000006</v>
      </c>
      <c r="O82" s="353">
        <f t="shared" si="40"/>
        <v>1.3940000000000001</v>
      </c>
      <c r="P82" s="498">
        <f t="shared" si="41"/>
        <v>5.5760000000000005</v>
      </c>
      <c r="Q82" s="518"/>
      <c r="R82" s="517"/>
      <c r="S82" s="87">
        <f>+X97*181*2</f>
        <v>42533478.118356869</v>
      </c>
      <c r="T82"/>
      <c r="U82"/>
      <c r="Z82" s="442">
        <v>1074083.0614800001</v>
      </c>
      <c r="AA82" s="476">
        <v>1.07</v>
      </c>
      <c r="AB82" s="511"/>
      <c r="AC82" s="511"/>
      <c r="AD82" s="511"/>
      <c r="AE82" s="443">
        <v>1257751.2649930802</v>
      </c>
      <c r="AF82" s="438">
        <f>+'[1]2007'!AA79</f>
        <v>0</v>
      </c>
    </row>
    <row r="83" spans="1:34" x14ac:dyDescent="0.2">
      <c r="A83" s="725"/>
      <c r="B83" s="545">
        <v>30</v>
      </c>
      <c r="C83" s="525" t="s">
        <v>264</v>
      </c>
      <c r="D83" s="638">
        <v>225722.11</v>
      </c>
      <c r="E83" s="567">
        <f t="shared" si="33"/>
        <v>2.0829952580899755</v>
      </c>
      <c r="F83" s="618">
        <v>470178.0847760638</v>
      </c>
      <c r="G83" s="58"/>
      <c r="H83" s="21">
        <v>29000</v>
      </c>
      <c r="I83" s="552">
        <v>0.05</v>
      </c>
      <c r="J83" s="21">
        <f t="shared" si="34"/>
        <v>9860</v>
      </c>
      <c r="K83" s="58"/>
      <c r="L83" s="21">
        <v>1</v>
      </c>
      <c r="M83" s="687">
        <f t="shared" si="38"/>
        <v>0.05</v>
      </c>
      <c r="N83" s="351">
        <f t="shared" si="39"/>
        <v>4.93</v>
      </c>
      <c r="O83" s="353">
        <f t="shared" si="40"/>
        <v>0.98599999999999977</v>
      </c>
      <c r="P83" s="498">
        <f t="shared" si="41"/>
        <v>3.944</v>
      </c>
      <c r="AE83" s="442">
        <v>686265.41126000008</v>
      </c>
      <c r="AF83" s="427"/>
      <c r="AG83" s="443">
        <v>803616.79658546008</v>
      </c>
      <c r="AH83" s="438">
        <f>+'[1]2007'!AA80</f>
        <v>0</v>
      </c>
    </row>
    <row r="84" spans="1:34" ht="13.5" thickBot="1" x14ac:dyDescent="0.25">
      <c r="A84" s="757"/>
      <c r="B84" s="546" t="s">
        <v>154</v>
      </c>
      <c r="C84" s="595" t="s">
        <v>265</v>
      </c>
      <c r="D84" s="684">
        <v>309920.99</v>
      </c>
      <c r="E84" s="604">
        <f t="shared" si="33"/>
        <v>2.0829952580899751</v>
      </c>
      <c r="F84" s="623">
        <v>645563.95255255059</v>
      </c>
      <c r="G84" s="403"/>
      <c r="H84" s="591">
        <v>2100</v>
      </c>
      <c r="I84" s="660">
        <v>0.01</v>
      </c>
      <c r="J84" s="591">
        <f t="shared" si="34"/>
        <v>714</v>
      </c>
      <c r="K84" s="403"/>
      <c r="L84" s="591">
        <v>1</v>
      </c>
      <c r="M84" s="688">
        <f t="shared" si="38"/>
        <v>0.01</v>
      </c>
      <c r="N84" s="386">
        <f t="shared" si="39"/>
        <v>7.1400000000000005E-2</v>
      </c>
      <c r="O84" s="387">
        <f t="shared" si="40"/>
        <v>1.4280000000000001E-2</v>
      </c>
      <c r="P84" s="404">
        <f t="shared" si="41"/>
        <v>5.7120000000000004E-2</v>
      </c>
      <c r="AE84" s="442">
        <v>677408.3989400001</v>
      </c>
      <c r="AF84" s="427"/>
      <c r="AG84" s="443">
        <v>793245.23515874019</v>
      </c>
      <c r="AH84" s="439">
        <f>+'[1]2007'!AA81</f>
        <v>0</v>
      </c>
    </row>
    <row r="85" spans="1:34" ht="13.5" thickBot="1" x14ac:dyDescent="0.25">
      <c r="A85" s="554">
        <v>2013</v>
      </c>
      <c r="B85" s="546"/>
      <c r="C85" s="593" t="s">
        <v>266</v>
      </c>
      <c r="D85" s="691">
        <v>281212.94</v>
      </c>
      <c r="E85" s="681">
        <f t="shared" si="33"/>
        <v>1.8042549865754971</v>
      </c>
      <c r="F85" s="622">
        <v>507379.84928455605</v>
      </c>
      <c r="G85" s="589"/>
      <c r="H85" s="555">
        <v>21700</v>
      </c>
      <c r="I85" s="659">
        <v>0.05</v>
      </c>
      <c r="J85" s="555">
        <f t="shared" si="34"/>
        <v>7378.0000000000009</v>
      </c>
      <c r="K85" s="589"/>
      <c r="L85" s="555">
        <v>1</v>
      </c>
      <c r="M85" s="686">
        <f t="shared" si="38"/>
        <v>0.05</v>
      </c>
      <c r="N85" s="399">
        <f t="shared" si="39"/>
        <v>3.6890000000000005</v>
      </c>
      <c r="O85" s="400">
        <f t="shared" si="40"/>
        <v>0.73780000000000001</v>
      </c>
      <c r="P85" s="497">
        <f t="shared" si="41"/>
        <v>2.9512000000000005</v>
      </c>
      <c r="X85">
        <f>+O95/R81</f>
        <v>136801.36015152204</v>
      </c>
      <c r="AE85" s="449">
        <v>632953.65639999998</v>
      </c>
      <c r="AF85" s="427"/>
      <c r="AG85" s="443">
        <v>741188.73164440005</v>
      </c>
      <c r="AH85" s="123">
        <f>+'[1]2007'!AA82</f>
        <v>0</v>
      </c>
    </row>
    <row r="86" spans="1:34" x14ac:dyDescent="0.2">
      <c r="A86" s="549"/>
      <c r="B86" s="544"/>
      <c r="C86" s="596" t="s">
        <v>263</v>
      </c>
      <c r="D86" s="638">
        <v>265524.78000000003</v>
      </c>
      <c r="E86" s="567">
        <f t="shared" si="33"/>
        <v>1.8042549865754969</v>
      </c>
      <c r="F86" s="618">
        <v>479074.40837436181</v>
      </c>
      <c r="G86" s="58"/>
      <c r="H86" s="21">
        <v>41000</v>
      </c>
      <c r="I86" s="552">
        <v>0.05</v>
      </c>
      <c r="J86" s="21">
        <f t="shared" si="34"/>
        <v>13940.000000000002</v>
      </c>
      <c r="K86" s="58"/>
      <c r="L86" s="21">
        <v>1</v>
      </c>
      <c r="M86" s="687">
        <f t="shared" si="38"/>
        <v>0.05</v>
      </c>
      <c r="N86" s="351">
        <f t="shared" si="39"/>
        <v>6.9700000000000006</v>
      </c>
      <c r="O86" s="353">
        <f t="shared" si="40"/>
        <v>1.3940000000000001</v>
      </c>
      <c r="P86" s="498">
        <f t="shared" si="41"/>
        <v>5.5760000000000005</v>
      </c>
      <c r="AE86" s="420">
        <v>1059789.3500000001</v>
      </c>
      <c r="AF86" s="427"/>
      <c r="AG86" s="425">
        <v>1126556.0790500003</v>
      </c>
      <c r="AH86" s="438">
        <f>+'[1]2007'!AA83</f>
        <v>0</v>
      </c>
    </row>
    <row r="87" spans="1:34" x14ac:dyDescent="0.2">
      <c r="A87" s="549"/>
      <c r="B87" s="544"/>
      <c r="C87" s="597" t="s">
        <v>267</v>
      </c>
      <c r="D87" s="638">
        <v>309479</v>
      </c>
      <c r="E87" s="567">
        <f t="shared" si="33"/>
        <v>1.8042549865754967</v>
      </c>
      <c r="F87" s="618">
        <v>558379.02899039816</v>
      </c>
      <c r="G87" s="58"/>
      <c r="H87" s="21">
        <v>29000</v>
      </c>
      <c r="I87" s="552">
        <v>0.05</v>
      </c>
      <c r="J87" s="21">
        <f t="shared" si="34"/>
        <v>9860</v>
      </c>
      <c r="K87" s="58"/>
      <c r="L87" s="21">
        <v>1</v>
      </c>
      <c r="M87" s="687">
        <f t="shared" si="38"/>
        <v>0.05</v>
      </c>
      <c r="N87" s="351">
        <f t="shared" si="39"/>
        <v>4.93</v>
      </c>
      <c r="O87" s="353">
        <f t="shared" si="40"/>
        <v>0.98599999999999977</v>
      </c>
      <c r="P87" s="498">
        <f t="shared" si="41"/>
        <v>3.944</v>
      </c>
      <c r="AE87" s="420">
        <v>166895</v>
      </c>
      <c r="AF87" s="427"/>
      <c r="AG87" s="423">
        <v>177409.38500000004</v>
      </c>
      <c r="AH87" s="438">
        <f>+'[1]2007'!AA84</f>
        <v>0</v>
      </c>
    </row>
    <row r="88" spans="1:34" ht="13.5" thickBot="1" x14ac:dyDescent="0.25">
      <c r="A88" s="648"/>
      <c r="B88" s="544"/>
      <c r="C88" s="597" t="s">
        <v>268</v>
      </c>
      <c r="D88" s="638">
        <v>857577</v>
      </c>
      <c r="E88" s="683">
        <f t="shared" si="33"/>
        <v>1.3107666521213759</v>
      </c>
      <c r="F88" s="623">
        <v>1124083.3332262931</v>
      </c>
      <c r="G88" s="403"/>
      <c r="H88" s="591">
        <v>78000</v>
      </c>
      <c r="I88" s="660">
        <v>1E-3</v>
      </c>
      <c r="J88" s="591">
        <f t="shared" si="34"/>
        <v>26520.000000000004</v>
      </c>
      <c r="K88" s="403"/>
      <c r="L88" s="591">
        <v>0.2</v>
      </c>
      <c r="M88" s="688">
        <f t="shared" si="38"/>
        <v>2.0000000000000001E-4</v>
      </c>
      <c r="N88" s="386">
        <f t="shared" si="39"/>
        <v>5.3040000000000004E-2</v>
      </c>
      <c r="O88" s="387">
        <f t="shared" si="40"/>
        <v>1.0607999999999999E-2</v>
      </c>
      <c r="P88" s="404">
        <f t="shared" si="41"/>
        <v>4.2432000000000004E-2</v>
      </c>
      <c r="S88" s="685">
        <f>+O95*X88/R81</f>
        <v>136801.36015152204</v>
      </c>
      <c r="T88" s="481"/>
      <c r="U88" s="368"/>
      <c r="V88" s="481"/>
      <c r="W88" s="481"/>
      <c r="X88" s="21">
        <v>1</v>
      </c>
      <c r="AE88" s="420">
        <v>174277.55</v>
      </c>
      <c r="AF88" s="427"/>
      <c r="AG88" s="423">
        <v>185257.03565000001</v>
      </c>
      <c r="AH88" s="438">
        <f>+'[1]2007'!AA85</f>
        <v>0</v>
      </c>
    </row>
    <row r="89" spans="1:34" x14ac:dyDescent="0.2">
      <c r="A89" s="554">
        <v>2014</v>
      </c>
      <c r="B89" s="544"/>
      <c r="C89" s="598" t="s">
        <v>269</v>
      </c>
      <c r="D89" s="691">
        <v>1436325.86</v>
      </c>
      <c r="E89" s="692">
        <f t="shared" si="33"/>
        <v>1.1068922868281126</v>
      </c>
      <c r="F89" s="622">
        <v>1589858.0158057555</v>
      </c>
      <c r="G89" s="411"/>
      <c r="H89" s="12">
        <v>6200</v>
      </c>
      <c r="I89" s="651">
        <v>6.6</v>
      </c>
      <c r="J89" s="12">
        <f t="shared" si="34"/>
        <v>2108</v>
      </c>
      <c r="K89" s="411"/>
      <c r="L89" s="12">
        <v>1</v>
      </c>
      <c r="M89" s="689">
        <f t="shared" si="38"/>
        <v>6.6</v>
      </c>
      <c r="N89" s="371">
        <f t="shared" si="39"/>
        <v>139.12800000000001</v>
      </c>
      <c r="O89" s="372">
        <f t="shared" si="40"/>
        <v>27.825599999999994</v>
      </c>
      <c r="P89" s="690">
        <f t="shared" si="41"/>
        <v>111.30240000000001</v>
      </c>
      <c r="S89" s="40">
        <f>+X89*O95/R81</f>
        <v>46512.462451517495</v>
      </c>
      <c r="T89" s="492"/>
      <c r="U89" s="488"/>
      <c r="V89" s="492">
        <f>(X89*86400*365)/1000</f>
        <v>10722.240000000002</v>
      </c>
      <c r="W89" s="492"/>
      <c r="X89" s="84">
        <v>0.34</v>
      </c>
      <c r="AE89" s="420">
        <v>105250.86</v>
      </c>
      <c r="AF89" s="427"/>
      <c r="AG89" s="423">
        <v>111881.66418000002</v>
      </c>
      <c r="AH89" s="438">
        <f>+'[1]2007'!AA86</f>
        <v>0</v>
      </c>
    </row>
    <row r="90" spans="1:34" ht="13.5" thickBot="1" x14ac:dyDescent="0.25">
      <c r="A90" s="550"/>
      <c r="B90" s="544"/>
      <c r="C90" s="595" t="s">
        <v>270</v>
      </c>
      <c r="D90" s="684">
        <v>3405502.81</v>
      </c>
      <c r="E90" s="693">
        <f t="shared" si="33"/>
        <v>1.1068922868281126</v>
      </c>
      <c r="F90" s="623">
        <v>3769524.7931604632</v>
      </c>
      <c r="G90" s="403"/>
      <c r="H90" s="591">
        <v>3215</v>
      </c>
      <c r="I90" s="660">
        <v>6.8</v>
      </c>
      <c r="J90" s="591">
        <f t="shared" si="34"/>
        <v>1093.1000000000001</v>
      </c>
      <c r="K90" s="403"/>
      <c r="L90" s="591">
        <v>1.016</v>
      </c>
      <c r="M90" s="688">
        <f t="shared" si="38"/>
        <v>6.9088000000000003</v>
      </c>
      <c r="N90" s="386">
        <f>+M90/100*J90</f>
        <v>75.5200928</v>
      </c>
      <c r="O90" s="387">
        <f t="shared" si="40"/>
        <v>15.10401856</v>
      </c>
      <c r="P90" s="404">
        <f t="shared" si="41"/>
        <v>60.41607424</v>
      </c>
      <c r="AE90" s="420">
        <v>529779.43000000005</v>
      </c>
      <c r="AF90" s="427"/>
      <c r="AG90" s="423">
        <v>563155.53408999997</v>
      </c>
      <c r="AH90" s="438">
        <f>+'[1]2007'!AA87</f>
        <v>0</v>
      </c>
    </row>
    <row r="91" spans="1:34" ht="13.5" thickBot="1" x14ac:dyDescent="0.25">
      <c r="B91" s="543"/>
      <c r="AE91" s="420">
        <v>507924.27</v>
      </c>
      <c r="AF91" s="427"/>
      <c r="AG91" s="423">
        <v>539923.49901000015</v>
      </c>
      <c r="AH91" s="438">
        <f>+'[1]2007'!AA88</f>
        <v>0</v>
      </c>
    </row>
    <row r="92" spans="1:34" ht="13.5" thickBot="1" x14ac:dyDescent="0.25">
      <c r="F92" s="343">
        <f>SUM(F3:F91)</f>
        <v>380706509.90918112</v>
      </c>
      <c r="N92" s="484">
        <f>SUM(N3:N90)</f>
        <v>4050.2141690489971</v>
      </c>
      <c r="O92" s="340">
        <f>+N92-(N92*0.8)</f>
        <v>810.04283380979905</v>
      </c>
      <c r="P92" s="375">
        <f>N92-(N92*0.2)</f>
        <v>3240.1713352391976</v>
      </c>
      <c r="AE92" s="420">
        <v>438882.93</v>
      </c>
      <c r="AF92" s="427"/>
      <c r="AG92" s="423">
        <v>466532.55459000007</v>
      </c>
      <c r="AH92" s="438">
        <f>+'[1]2007'!AA89</f>
        <v>0</v>
      </c>
    </row>
    <row r="93" spans="1:34" ht="13.5" thickBot="1" x14ac:dyDescent="0.25">
      <c r="N93" s="357"/>
      <c r="O93" s="357"/>
      <c r="P93" s="357"/>
      <c r="AE93" s="420">
        <v>616636.12</v>
      </c>
      <c r="AF93" s="427"/>
      <c r="AG93" s="423">
        <v>655484.19556000014</v>
      </c>
      <c r="AH93" s="438">
        <f>+'[1]2007'!AA90</f>
        <v>0</v>
      </c>
    </row>
    <row r="94" spans="1:34" ht="15.75" thickBot="1" x14ac:dyDescent="0.25">
      <c r="F94" s="612"/>
      <c r="N94" s="414" t="s">
        <v>144</v>
      </c>
      <c r="O94" s="417" t="s">
        <v>145</v>
      </c>
      <c r="P94" s="490" t="s">
        <v>20</v>
      </c>
      <c r="R94"/>
      <c r="T94"/>
      <c r="U94" s="1" t="s">
        <v>19</v>
      </c>
      <c r="V94" s="1"/>
      <c r="W94" s="1"/>
      <c r="X94" s="1"/>
      <c r="AE94" s="420">
        <v>1109785.8999999999</v>
      </c>
      <c r="AF94" s="427"/>
      <c r="AG94" s="423">
        <v>1179702.4117000001</v>
      </c>
      <c r="AH94" s="438">
        <f>+'[1]2007'!AA91</f>
        <v>0</v>
      </c>
    </row>
    <row r="95" spans="1:34" ht="13.5" thickBot="1" x14ac:dyDescent="0.25">
      <c r="D95" s="760" t="s">
        <v>286</v>
      </c>
      <c r="E95" s="761"/>
      <c r="F95" s="556">
        <v>0.34</v>
      </c>
      <c r="N95" s="358">
        <f>+F92</f>
        <v>380706509.90918112</v>
      </c>
      <c r="O95" s="415">
        <f>+N95*(1+Hoja1!B37)</f>
        <v>443259845.78469551</v>
      </c>
      <c r="P95" s="416">
        <f>(P92*S81)/1000</f>
        <v>102182043.22810334</v>
      </c>
      <c r="R95"/>
      <c r="S95" s="86">
        <f>SUM(K3:K75)</f>
        <v>94321.06</v>
      </c>
      <c r="T95" s="86">
        <f>SUM(L3:L75)</f>
        <v>94.321060000000017</v>
      </c>
      <c r="U95" s="86">
        <f>AVERAGE(M3:M61)</f>
        <v>4.7953841016949141</v>
      </c>
      <c r="V95" s="86">
        <f>SUM(N3:N61)</f>
        <v>2229.5521434110001</v>
      </c>
      <c r="W95" s="86">
        <f>SUM(O3:O61)</f>
        <v>445.91042868220012</v>
      </c>
      <c r="X95" s="86">
        <f>SUM(P3:P61)</f>
        <v>1783.6417147288005</v>
      </c>
      <c r="AE95" s="420">
        <v>46980</v>
      </c>
      <c r="AF95" s="427"/>
      <c r="AG95" s="423">
        <v>49939.74</v>
      </c>
      <c r="AH95" s="438">
        <f>+'[1]2007'!AA92</f>
        <v>0</v>
      </c>
    </row>
    <row r="96" spans="1:34" ht="18.75" thickBot="1" x14ac:dyDescent="0.3">
      <c r="F96" s="612"/>
      <c r="N96" s="360">
        <f>P96*N95/P95</f>
        <v>3.7257672471798315</v>
      </c>
      <c r="O96" s="483">
        <f>+N96*(1+Hoja1!B36/100)</f>
        <v>4.3379426735008249</v>
      </c>
      <c r="P96" s="491">
        <v>1</v>
      </c>
      <c r="R96"/>
      <c r="S96" s="241">
        <f>SUM(K44:K61)</f>
        <v>19040.3</v>
      </c>
      <c r="T96" s="241">
        <f>SUM(L44:L61)</f>
        <v>19.040300000000002</v>
      </c>
      <c r="U96" s="241">
        <f>AVERAGE(M44:M61)</f>
        <v>4.595847222222222</v>
      </c>
      <c r="V96" s="241">
        <f>SUM(N44:N61)</f>
        <v>452.83377434800002</v>
      </c>
      <c r="W96" s="241">
        <f>SUM(O44:O61)</f>
        <v>90.566754869599976</v>
      </c>
      <c r="X96" s="241">
        <f>SUM(P44:P61)</f>
        <v>362.26701947839996</v>
      </c>
      <c r="AE96" s="420">
        <v>211201.5</v>
      </c>
      <c r="AF96" s="428"/>
      <c r="AG96" s="423">
        <v>224507.19450000004</v>
      </c>
      <c r="AH96" s="438">
        <f>+'[1]2007'!AA93</f>
        <v>0</v>
      </c>
    </row>
    <row r="97" spans="6:34" x14ac:dyDescent="0.2">
      <c r="F97" s="612"/>
      <c r="R97"/>
      <c r="T97"/>
      <c r="U97" s="1"/>
      <c r="V97" s="376"/>
      <c r="W97" s="1"/>
      <c r="X97" s="1">
        <f>+N95/R81</f>
        <v>117495.79590706318</v>
      </c>
      <c r="AE97" s="420">
        <v>1160777.78</v>
      </c>
      <c r="AF97" s="746">
        <v>1</v>
      </c>
      <c r="AG97" s="423">
        <v>1233906.7801400002</v>
      </c>
      <c r="AH97" s="438">
        <f>+'[1]2007'!AA94</f>
        <v>0</v>
      </c>
    </row>
    <row r="98" spans="6:34" x14ac:dyDescent="0.2">
      <c r="F98" s="612"/>
      <c r="R98"/>
      <c r="T98"/>
      <c r="U98" s="1"/>
      <c r="V98" s="1"/>
      <c r="W98" s="1"/>
      <c r="X98" s="1"/>
      <c r="AE98" s="420">
        <v>644204.67000000004</v>
      </c>
      <c r="AF98" s="731"/>
      <c r="AG98" s="423">
        <v>684789.5642100001</v>
      </c>
      <c r="AH98" s="438">
        <f>+'[1]2007'!AA95</f>
        <v>0</v>
      </c>
    </row>
    <row r="99" spans="6:34" ht="13.5" thickBot="1" x14ac:dyDescent="0.25">
      <c r="R99"/>
      <c r="T99"/>
      <c r="U99" s="361">
        <f>+N96</f>
        <v>3.7257672471798315</v>
      </c>
      <c r="V99" s="1"/>
      <c r="W99" s="1"/>
      <c r="X99" s="1"/>
      <c r="AE99" s="420">
        <v>829368.54</v>
      </c>
      <c r="AF99" s="747"/>
      <c r="AG99" s="423">
        <v>881618.75802000018</v>
      </c>
      <c r="AH99" s="438">
        <f>+'[1]2007'!AA96</f>
        <v>0</v>
      </c>
    </row>
    <row r="100" spans="6:34" ht="13.5" thickBot="1" x14ac:dyDescent="0.25">
      <c r="R100"/>
      <c r="T100"/>
      <c r="U100" s="1"/>
      <c r="V100" s="1"/>
      <c r="W100" s="1"/>
      <c r="X100" s="1"/>
      <c r="AE100" s="420">
        <v>2149521.83</v>
      </c>
      <c r="AG100" s="426">
        <v>2284941.7052900004</v>
      </c>
      <c r="AH100" s="438">
        <f>+'[1]2007'!AA97</f>
        <v>0</v>
      </c>
    </row>
    <row r="101" spans="6:34" x14ac:dyDescent="0.2">
      <c r="AE101" s="429">
        <v>672222.57</v>
      </c>
      <c r="AF101" s="431">
        <v>39417</v>
      </c>
      <c r="AG101" s="425">
        <v>672222.57</v>
      </c>
      <c r="AH101" s="438">
        <f>+'[1]2007'!AA98</f>
        <v>0</v>
      </c>
    </row>
    <row r="102" spans="6:34" x14ac:dyDescent="0.2">
      <c r="AE102" s="422">
        <v>136457.4</v>
      </c>
      <c r="AF102" s="433">
        <v>344.38</v>
      </c>
      <c r="AG102" s="423">
        <v>136457.4</v>
      </c>
      <c r="AH102" s="438">
        <f>+'[1]2007'!AA99</f>
        <v>0</v>
      </c>
    </row>
    <row r="103" spans="6:34" ht="13.5" thickBot="1" x14ac:dyDescent="0.25">
      <c r="AE103" s="424">
        <v>132082.85</v>
      </c>
      <c r="AF103" s="433">
        <v>641.16999999999996</v>
      </c>
      <c r="AG103" s="426">
        <v>132082.85</v>
      </c>
      <c r="AH103" s="132">
        <f>+'[1]2007'!AA100</f>
        <v>0</v>
      </c>
    </row>
    <row r="104" spans="6:34" ht="13.5" thickBot="1" x14ac:dyDescent="0.25">
      <c r="AF104" s="433">
        <v>456.08</v>
      </c>
      <c r="AH104" s="141">
        <f>+'[1]2007'!AA101</f>
        <v>0</v>
      </c>
    </row>
    <row r="105" spans="6:34" ht="15.75" x14ac:dyDescent="0.2">
      <c r="R105" s="696" t="s">
        <v>290</v>
      </c>
      <c r="S105">
        <v>1.07</v>
      </c>
      <c r="U105" s="698"/>
      <c r="AE105" s="430">
        <v>39600</v>
      </c>
      <c r="AF105" s="433">
        <v>275</v>
      </c>
      <c r="AG105" s="430">
        <v>39600</v>
      </c>
      <c r="AH105" s="438">
        <f>+'[1]2007'!AA102</f>
        <v>0</v>
      </c>
    </row>
    <row r="106" spans="6:34" x14ac:dyDescent="0.2">
      <c r="R106" s="696" t="s">
        <v>291</v>
      </c>
      <c r="S106">
        <v>1.1399999999999999</v>
      </c>
      <c r="U106" s="699">
        <v>1</v>
      </c>
      <c r="AE106" s="432">
        <v>369.09</v>
      </c>
      <c r="AF106" s="433">
        <v>365.3</v>
      </c>
      <c r="AG106" s="432">
        <v>369.09</v>
      </c>
      <c r="AH106" s="438">
        <f>+'[1]2007'!AA103</f>
        <v>0</v>
      </c>
    </row>
    <row r="107" spans="6:34" x14ac:dyDescent="0.2">
      <c r="R107" s="696" t="s">
        <v>292</v>
      </c>
      <c r="S107">
        <v>1.28</v>
      </c>
      <c r="AE107" s="432">
        <v>702.53</v>
      </c>
      <c r="AF107" s="433">
        <v>415.45</v>
      </c>
      <c r="AG107" s="432">
        <v>702.53</v>
      </c>
      <c r="AH107" s="438">
        <f>+'[1]2007'!AA104</f>
        <v>0</v>
      </c>
    </row>
    <row r="108" spans="6:34" x14ac:dyDescent="0.2">
      <c r="R108" s="696" t="s">
        <v>293</v>
      </c>
      <c r="S108">
        <v>1.1100000000000001</v>
      </c>
      <c r="AE108" s="432">
        <v>448.78</v>
      </c>
      <c r="AF108" s="433">
        <v>240.62</v>
      </c>
      <c r="AG108" s="432">
        <v>448.78</v>
      </c>
      <c r="AH108" s="438">
        <f>+'[1]2007'!AA105</f>
        <v>0</v>
      </c>
    </row>
    <row r="109" spans="6:34" x14ac:dyDescent="0.2">
      <c r="R109" s="696" t="s">
        <v>294</v>
      </c>
      <c r="S109">
        <v>1.35</v>
      </c>
      <c r="AE109" s="432">
        <v>297.39999999999998</v>
      </c>
      <c r="AF109" s="435">
        <v>9.2999999999999992E-3</v>
      </c>
      <c r="AG109" s="432">
        <v>297.39999999999998</v>
      </c>
      <c r="AH109" s="438">
        <f>+'[1]2007'!AA106</f>
        <v>0</v>
      </c>
    </row>
    <row r="110" spans="6:34" x14ac:dyDescent="0.2">
      <c r="R110" s="696" t="s">
        <v>295</v>
      </c>
      <c r="S110">
        <v>1.17</v>
      </c>
      <c r="AE110" s="432">
        <v>397.34</v>
      </c>
      <c r="AF110" s="435">
        <v>1.55</v>
      </c>
      <c r="AG110" s="432">
        <v>397.34</v>
      </c>
      <c r="AH110" s="438">
        <f>+'[1]2007'!AA107</f>
        <v>0</v>
      </c>
    </row>
    <row r="111" spans="6:34" x14ac:dyDescent="0.2">
      <c r="R111" s="696" t="s">
        <v>296</v>
      </c>
      <c r="S111">
        <v>1.63</v>
      </c>
      <c r="AE111" s="432">
        <v>486.32</v>
      </c>
      <c r="AF111" s="152"/>
      <c r="AG111" s="432">
        <v>486.32</v>
      </c>
      <c r="AH111" s="438">
        <f>+'[1]2007'!AA108</f>
        <v>0</v>
      </c>
    </row>
    <row r="112" spans="6:34" ht="13.5" thickBot="1" x14ac:dyDescent="0.25">
      <c r="Q112" s="695">
        <v>42038</v>
      </c>
      <c r="R112" s="696" t="s">
        <v>297</v>
      </c>
      <c r="S112">
        <v>1.1100000000000001</v>
      </c>
      <c r="AE112" s="432">
        <v>244.02</v>
      </c>
      <c r="AF112" s="164"/>
      <c r="AG112" s="432">
        <v>244.02</v>
      </c>
      <c r="AH112" s="438">
        <f>+'[1]2007'!AA109</f>
        <v>0</v>
      </c>
    </row>
    <row r="113" spans="16:34" ht="13.5" thickBot="1" x14ac:dyDescent="0.25">
      <c r="R113" s="187" t="s">
        <v>298</v>
      </c>
      <c r="S113">
        <f>+S105*S106*S107*S108*S109*S110*S111*S112</f>
        <v>4.9528114029239045</v>
      </c>
      <c r="AE113" s="434">
        <v>9.2999999999999992E-3</v>
      </c>
      <c r="AG113" s="434">
        <v>9.2999999999999992E-3</v>
      </c>
      <c r="AH113" s="439">
        <f>+'[1]2007'!AA110</f>
        <v>0</v>
      </c>
    </row>
    <row r="114" spans="16:34" x14ac:dyDescent="0.2">
      <c r="AE114" s="434">
        <v>1.55</v>
      </c>
      <c r="AG114" s="434">
        <v>1.55</v>
      </c>
      <c r="AH114" s="52">
        <f>+'[1]2007'!AA111</f>
        <v>0</v>
      </c>
    </row>
    <row r="115" spans="16:34" x14ac:dyDescent="0.2">
      <c r="P115" s="694">
        <f>O96/0.845</f>
        <v>5.1336599686400293</v>
      </c>
      <c r="AE115" s="436"/>
      <c r="AG115" s="436"/>
      <c r="AH115" s="41">
        <f>+'[1]2007'!AA112</f>
        <v>0</v>
      </c>
    </row>
    <row r="116" spans="16:34" ht="13.5" thickBot="1" x14ac:dyDescent="0.25">
      <c r="AE116" s="437">
        <v>1.1923795712841538</v>
      </c>
      <c r="AG116" s="437">
        <v>1.0719588056117051</v>
      </c>
      <c r="AH116" s="41">
        <f>+'[1]2007'!AA113</f>
        <v>0</v>
      </c>
    </row>
    <row r="117" spans="16:34" ht="15.75" x14ac:dyDescent="0.25">
      <c r="Q117" s="697">
        <v>53418498</v>
      </c>
      <c r="S117">
        <f>+Q117*S113</f>
        <v>264571746.02146778</v>
      </c>
      <c r="AH117" s="41">
        <f>+'[1]2007'!AA114</f>
        <v>0</v>
      </c>
    </row>
    <row r="118" spans="16:34" ht="15.75" x14ac:dyDescent="0.25">
      <c r="P118" s="697">
        <v>2207520</v>
      </c>
      <c r="AH118" s="41">
        <f>+'[1]2007'!AA115</f>
        <v>0</v>
      </c>
    </row>
    <row r="119" spans="16:34" x14ac:dyDescent="0.2">
      <c r="P119" s="694">
        <f>+P118*O96</f>
        <v>9576095.2106065415</v>
      </c>
      <c r="AH119" s="41">
        <f>+'[1]2007'!AA116</f>
        <v>0</v>
      </c>
    </row>
    <row r="120" spans="16:34" x14ac:dyDescent="0.2">
      <c r="Q120">
        <f>+Q117*S113</f>
        <v>264571746.02146778</v>
      </c>
      <c r="AH120" s="41">
        <f>+'[1]2007'!AA117</f>
        <v>0</v>
      </c>
    </row>
    <row r="121" spans="16:34" x14ac:dyDescent="0.2">
      <c r="AH121" s="41">
        <f>+'[1]2007'!AA118</f>
        <v>0</v>
      </c>
    </row>
    <row r="122" spans="16:34" x14ac:dyDescent="0.2">
      <c r="AH122" s="41">
        <f>+'[1]2007'!AA119</f>
        <v>0</v>
      </c>
    </row>
    <row r="123" spans="16:34" ht="25.5" x14ac:dyDescent="0.2">
      <c r="AH123" s="440" t="s">
        <v>185</v>
      </c>
    </row>
    <row r="124" spans="16:34" x14ac:dyDescent="0.2">
      <c r="AH124" s="41" t="s">
        <v>186</v>
      </c>
    </row>
    <row r="125" spans="16:34" x14ac:dyDescent="0.2">
      <c r="AH125" s="41" t="s">
        <v>187</v>
      </c>
    </row>
    <row r="126" spans="16:34" x14ac:dyDescent="0.2">
      <c r="AH126" s="301" t="s">
        <v>188</v>
      </c>
    </row>
    <row r="127" spans="16:34" x14ac:dyDescent="0.2">
      <c r="AH127" s="301" t="s">
        <v>189</v>
      </c>
    </row>
    <row r="128" spans="16:34" ht="13.5" thickBot="1" x14ac:dyDescent="0.25">
      <c r="AH128" s="441" t="s">
        <v>190</v>
      </c>
    </row>
    <row r="129" spans="34:34" x14ac:dyDescent="0.2">
      <c r="AH129" s="282" t="s">
        <v>191</v>
      </c>
    </row>
    <row r="130" spans="34:34" x14ac:dyDescent="0.2">
      <c r="AH130" s="301" t="s">
        <v>192</v>
      </c>
    </row>
    <row r="131" spans="34:34" ht="13.5" thickBot="1" x14ac:dyDescent="0.25">
      <c r="AH131" s="441" t="s">
        <v>193</v>
      </c>
    </row>
  </sheetData>
  <mergeCells count="22">
    <mergeCell ref="G22:G23"/>
    <mergeCell ref="B22:B23"/>
    <mergeCell ref="AF97:AF99"/>
    <mergeCell ref="A44:A56"/>
    <mergeCell ref="A57:A61"/>
    <mergeCell ref="B27:B28"/>
    <mergeCell ref="A20:A33"/>
    <mergeCell ref="A34:A43"/>
    <mergeCell ref="G24:G25"/>
    <mergeCell ref="A78:A79"/>
    <mergeCell ref="A62:A73"/>
    <mergeCell ref="A80:A84"/>
    <mergeCell ref="A76:A77"/>
    <mergeCell ref="B24:B25"/>
    <mergeCell ref="D95:E95"/>
    <mergeCell ref="AE1:AG1"/>
    <mergeCell ref="A1:P1"/>
    <mergeCell ref="B15:B16"/>
    <mergeCell ref="A3:A5"/>
    <mergeCell ref="A6:A8"/>
    <mergeCell ref="A9:A13"/>
    <mergeCell ref="A14:A19"/>
  </mergeCells>
  <phoneticPr fontId="0" type="noConversion"/>
  <pageMargins left="2.1259842519685042" right="0.23622047244094491" top="1.1811023622047245" bottom="0.19685039370078741" header="0.55118110236220474" footer="0"/>
  <pageSetup paperSize="8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4</vt:i4>
      </vt:variant>
    </vt:vector>
  </HeadingPairs>
  <TitlesOfParts>
    <vt:vector size="16" baseType="lpstr">
      <vt:lpstr>perdidas</vt:lpstr>
      <vt:lpstr>1998</vt:lpstr>
      <vt:lpstr>1997</vt:lpstr>
      <vt:lpstr>1999</vt:lpstr>
      <vt:lpstr>Obras1999-2002</vt:lpstr>
      <vt:lpstr>1999-00-01-02</vt:lpstr>
      <vt:lpstr>2003</vt:lpstr>
      <vt:lpstr>2004</vt:lpstr>
      <vt:lpstr>1999 a 2014</vt:lpstr>
      <vt:lpstr>Hoja2</vt:lpstr>
      <vt:lpstr>Hoja1</vt:lpstr>
      <vt:lpstr>Informe de compatibilidad</vt:lpstr>
      <vt:lpstr>'1999 a 2014'!Área_de_impresión</vt:lpstr>
      <vt:lpstr>'1999-00-01-02'!Área_de_impresión</vt:lpstr>
      <vt:lpstr>Hoja1!Área_de_impresión</vt:lpstr>
      <vt:lpstr>'Obras1999-2002'!Área_de_impresión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JSATLAR</dc:creator>
  <cp:lastModifiedBy>DGI</cp:lastModifiedBy>
  <cp:lastPrinted>2015-09-02T13:48:24Z</cp:lastPrinted>
  <dcterms:created xsi:type="dcterms:W3CDTF">2000-05-11T16:05:10Z</dcterms:created>
  <dcterms:modified xsi:type="dcterms:W3CDTF">2019-10-15T14:02:44Z</dcterms:modified>
</cp:coreProperties>
</file>