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xr:revisionPtr revIDLastSave="0" documentId="8_{55FFE1D4-8CBD-4850-BB28-1FD9CEF0FA05}" xr6:coauthVersionLast="47" xr6:coauthVersionMax="47" xr10:uidLastSave="{00000000-0000-0000-0000-000000000000}"/>
  <bookViews>
    <workbookView xWindow="1770" yWindow="1770" windowWidth="21600" windowHeight="11505" activeTab="1" xr2:uid="{00000000-000D-0000-FFFF-FFFF00000000}"/>
  </bookViews>
  <sheets>
    <sheet name="EJERCICIO 1 - laboratorio" sheetId="1" r:id="rId1"/>
    <sheet name="CREATO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" l="1"/>
  <c r="C18" i="2"/>
  <c r="M50" i="2"/>
  <c r="I18" i="2"/>
  <c r="N24" i="2"/>
  <c r="N23" i="2"/>
  <c r="N22" i="2"/>
  <c r="N21" i="2"/>
  <c r="N20" i="2"/>
  <c r="C20" i="2"/>
  <c r="C56" i="2"/>
  <c r="J56" i="2" s="1"/>
  <c r="D56" i="2"/>
  <c r="E56" i="2"/>
  <c r="K56" i="2"/>
  <c r="L56" i="2"/>
  <c r="C46" i="2" l="1"/>
  <c r="P27" i="2"/>
  <c r="C57" i="2" s="1"/>
  <c r="K97" i="2"/>
  <c r="E46" i="2"/>
  <c r="M97" i="2"/>
  <c r="D46" i="2"/>
  <c r="L97" i="2"/>
  <c r="E48" i="2" l="1"/>
  <c r="L46" i="2"/>
  <c r="L48" i="2" s="1"/>
  <c r="K46" i="2"/>
  <c r="K48" i="2" s="1"/>
  <c r="D48" i="2"/>
  <c r="C48" i="2"/>
  <c r="J46" i="2"/>
  <c r="J48" i="2" s="1"/>
  <c r="C54" i="2" l="1"/>
  <c r="D55" i="2"/>
  <c r="K55" i="2" s="1"/>
  <c r="D52" i="2"/>
  <c r="K52" i="2" s="1"/>
  <c r="N18" i="2"/>
  <c r="N19" i="2"/>
  <c r="J2" i="2"/>
  <c r="J94" i="2"/>
  <c r="B78" i="2"/>
  <c r="B77" i="2"/>
  <c r="I71" i="2"/>
  <c r="E64" i="2"/>
  <c r="L64" i="2" s="1"/>
  <c r="D64" i="2"/>
  <c r="K64" i="2" s="1"/>
  <c r="C64" i="2"/>
  <c r="J64" i="2" s="1"/>
  <c r="E62" i="2"/>
  <c r="L62" i="2" s="1"/>
  <c r="D62" i="2"/>
  <c r="K62" i="2" s="1"/>
  <c r="C62" i="2"/>
  <c r="L41" i="2"/>
  <c r="K41" i="2"/>
  <c r="J41" i="2"/>
  <c r="E41" i="2"/>
  <c r="D41" i="2"/>
  <c r="C41" i="2"/>
  <c r="C33" i="2"/>
  <c r="C31" i="2"/>
  <c r="J71" i="2" s="1"/>
  <c r="D63" i="2"/>
  <c r="C14" i="1"/>
  <c r="R29" i="1"/>
  <c r="J102" i="1"/>
  <c r="N69" i="1"/>
  <c r="M69" i="1"/>
  <c r="N68" i="1"/>
  <c r="M68" i="1"/>
  <c r="G68" i="1"/>
  <c r="F68" i="1"/>
  <c r="N61" i="1"/>
  <c r="M61" i="1"/>
  <c r="L61" i="1"/>
  <c r="N59" i="1"/>
  <c r="M59" i="1"/>
  <c r="L59" i="1"/>
  <c r="K59" i="1"/>
  <c r="J59" i="1"/>
  <c r="G61" i="1"/>
  <c r="F61" i="1"/>
  <c r="E61" i="1"/>
  <c r="D61" i="1"/>
  <c r="K61" i="1" s="1"/>
  <c r="C61" i="1"/>
  <c r="J61" i="1" s="1"/>
  <c r="G59" i="1"/>
  <c r="F59" i="1"/>
  <c r="E59" i="1"/>
  <c r="D59" i="1"/>
  <c r="C59" i="1"/>
  <c r="K53" i="1"/>
  <c r="N53" i="1"/>
  <c r="M53" i="1"/>
  <c r="M47" i="1"/>
  <c r="E47" i="1"/>
  <c r="E50" i="2" s="1"/>
  <c r="G53" i="1"/>
  <c r="F53" i="1"/>
  <c r="E53" i="1"/>
  <c r="L53" i="1" s="1"/>
  <c r="D53" i="1"/>
  <c r="C53" i="1"/>
  <c r="J53" i="1" s="1"/>
  <c r="J49" i="1"/>
  <c r="G49" i="1"/>
  <c r="N49" i="1" s="1"/>
  <c r="F49" i="1"/>
  <c r="M49" i="1" s="1"/>
  <c r="E49" i="1"/>
  <c r="L49" i="1" s="1"/>
  <c r="D49" i="1"/>
  <c r="K49" i="1" s="1"/>
  <c r="C49" i="1"/>
  <c r="F75" i="1"/>
  <c r="E75" i="1"/>
  <c r="D75" i="1"/>
  <c r="D50" i="1" s="1"/>
  <c r="C75" i="1"/>
  <c r="C50" i="1" s="1"/>
  <c r="G74" i="1"/>
  <c r="G50" i="1" s="1"/>
  <c r="F74" i="1"/>
  <c r="F50" i="1" s="1"/>
  <c r="E74" i="1"/>
  <c r="E50" i="1" s="1"/>
  <c r="D74" i="1"/>
  <c r="C74" i="1"/>
  <c r="G78" i="1" s="1"/>
  <c r="N44" i="1"/>
  <c r="M44" i="1"/>
  <c r="L44" i="1"/>
  <c r="K44" i="1"/>
  <c r="J44" i="1"/>
  <c r="G44" i="1"/>
  <c r="F44" i="1"/>
  <c r="E44" i="1"/>
  <c r="D44" i="1"/>
  <c r="C44" i="1"/>
  <c r="N38" i="1"/>
  <c r="M38" i="1"/>
  <c r="L38" i="1"/>
  <c r="K38" i="1"/>
  <c r="J38" i="1"/>
  <c r="G38" i="1"/>
  <c r="F38" i="1"/>
  <c r="E38" i="1"/>
  <c r="D38" i="1"/>
  <c r="C38" i="1"/>
  <c r="C77" i="2" l="1"/>
  <c r="N29" i="2"/>
  <c r="I4" i="2"/>
  <c r="D7" i="2"/>
  <c r="R32" i="2"/>
  <c r="E52" i="2"/>
  <c r="L52" i="2" s="1"/>
  <c r="C52" i="2"/>
  <c r="J52" i="2" s="1"/>
  <c r="E55" i="2"/>
  <c r="L55" i="2" s="1"/>
  <c r="C78" i="2"/>
  <c r="D65" i="2"/>
  <c r="K65" i="2" s="1"/>
  <c r="D77" i="2"/>
  <c r="E77" i="2"/>
  <c r="D78" i="2"/>
  <c r="E78" i="2"/>
  <c r="K63" i="2"/>
  <c r="J54" i="2"/>
  <c r="C32" i="2"/>
  <c r="D33" i="2"/>
  <c r="C63" i="2"/>
  <c r="J63" i="2" s="1"/>
  <c r="E63" i="2"/>
  <c r="L63" i="2" s="1"/>
  <c r="E54" i="2"/>
  <c r="D54" i="2"/>
  <c r="E65" i="2"/>
  <c r="L65" i="2" s="1"/>
  <c r="C71" i="2"/>
  <c r="C72" i="2" s="1"/>
  <c r="C100" i="2" s="1"/>
  <c r="C55" i="2"/>
  <c r="J55" i="2" s="1"/>
  <c r="J62" i="2"/>
  <c r="C65" i="2"/>
  <c r="J65" i="2" s="1"/>
  <c r="P24" i="1"/>
  <c r="C54" i="1" s="1"/>
  <c r="J91" i="1"/>
  <c r="E53" i="2" l="1"/>
  <c r="G81" i="2"/>
  <c r="S32" i="2"/>
  <c r="C53" i="2"/>
  <c r="D53" i="2"/>
  <c r="D58" i="2" s="1"/>
  <c r="D95" i="2" s="1"/>
  <c r="E7" i="2"/>
  <c r="P32" i="2" s="1"/>
  <c r="K54" i="2"/>
  <c r="K58" i="2" s="1"/>
  <c r="L98" i="2" s="1"/>
  <c r="K78" i="2"/>
  <c r="J78" i="2"/>
  <c r="L54" i="2"/>
  <c r="L58" i="2" s="1"/>
  <c r="M98" i="2" s="1"/>
  <c r="L78" i="2"/>
  <c r="E33" i="2"/>
  <c r="J58" i="2"/>
  <c r="K98" i="2" s="1"/>
  <c r="E58" i="2"/>
  <c r="E95" i="2" s="1"/>
  <c r="J72" i="2"/>
  <c r="J73" i="2" s="1"/>
  <c r="K106" i="2" s="1"/>
  <c r="D31" i="2"/>
  <c r="D32" i="2" s="1"/>
  <c r="M70" i="1"/>
  <c r="N103" i="1" s="1"/>
  <c r="B75" i="1"/>
  <c r="B74" i="1"/>
  <c r="C28" i="1"/>
  <c r="C30" i="1"/>
  <c r="D30" i="1" s="1"/>
  <c r="I23" i="1"/>
  <c r="I21" i="1"/>
  <c r="C21" i="1"/>
  <c r="C22" i="1"/>
  <c r="D7" i="1"/>
  <c r="N70" i="1"/>
  <c r="O103" i="1" s="1"/>
  <c r="G69" i="1"/>
  <c r="G97" i="1" s="1"/>
  <c r="F69" i="1"/>
  <c r="F97" i="1" s="1"/>
  <c r="I68" i="1"/>
  <c r="E60" i="1" l="1"/>
  <c r="L60" i="1" s="1"/>
  <c r="D60" i="1"/>
  <c r="K60" i="1" s="1"/>
  <c r="F60" i="1"/>
  <c r="M60" i="1" s="1"/>
  <c r="C60" i="1"/>
  <c r="J60" i="1" s="1"/>
  <c r="G60" i="1"/>
  <c r="N60" i="1" s="1"/>
  <c r="G62" i="1"/>
  <c r="N62" i="1" s="1"/>
  <c r="F62" i="1"/>
  <c r="M62" i="1" s="1"/>
  <c r="E62" i="1"/>
  <c r="L62" i="1" s="1"/>
  <c r="D62" i="1"/>
  <c r="K62" i="1" s="1"/>
  <c r="C62" i="1"/>
  <c r="J62" i="1" s="1"/>
  <c r="J68" i="1"/>
  <c r="C68" i="1"/>
  <c r="S29" i="1"/>
  <c r="E51" i="1"/>
  <c r="D51" i="1"/>
  <c r="C51" i="1"/>
  <c r="F51" i="1"/>
  <c r="G51" i="1"/>
  <c r="C52" i="1"/>
  <c r="J52" i="1" s="1"/>
  <c r="G52" i="1"/>
  <c r="N52" i="1" s="1"/>
  <c r="F52" i="1"/>
  <c r="M52" i="1" s="1"/>
  <c r="D52" i="1"/>
  <c r="K52" i="1" s="1"/>
  <c r="E52" i="1"/>
  <c r="L52" i="1" s="1"/>
  <c r="F7" i="2"/>
  <c r="K72" i="2"/>
  <c r="E31" i="2"/>
  <c r="E32" i="2" s="1"/>
  <c r="L72" i="2" s="1"/>
  <c r="D71" i="2"/>
  <c r="D72" i="2" s="1"/>
  <c r="D100" i="2" s="1"/>
  <c r="K71" i="2"/>
  <c r="E7" i="1"/>
  <c r="F7" i="1" s="1"/>
  <c r="G7" i="1" s="1"/>
  <c r="H7" i="1" s="1"/>
  <c r="I7" i="1" s="1"/>
  <c r="J7" i="1" s="1"/>
  <c r="K7" i="1" s="1"/>
  <c r="L7" i="1" s="1"/>
  <c r="M7" i="1" s="1"/>
  <c r="N7" i="1" s="1"/>
  <c r="E30" i="1"/>
  <c r="C29" i="1"/>
  <c r="J69" i="1" s="1"/>
  <c r="M75" i="1" l="1"/>
  <c r="M51" i="1"/>
  <c r="N75" i="1"/>
  <c r="N51" i="1"/>
  <c r="C37" i="1"/>
  <c r="C55" i="1"/>
  <c r="C92" i="1" s="1"/>
  <c r="L51" i="1"/>
  <c r="L75" i="1"/>
  <c r="J75" i="1"/>
  <c r="J51" i="1"/>
  <c r="K75" i="1"/>
  <c r="K51" i="1"/>
  <c r="J37" i="1"/>
  <c r="J39" i="1" s="1"/>
  <c r="K88" i="1" s="1"/>
  <c r="G7" i="2"/>
  <c r="K73" i="2"/>
  <c r="L106" i="2" s="1"/>
  <c r="E71" i="2"/>
  <c r="E72" i="2" s="1"/>
  <c r="E100" i="2" s="1"/>
  <c r="L71" i="2"/>
  <c r="L73" i="2" s="1"/>
  <c r="M106" i="2" s="1"/>
  <c r="N27" i="1"/>
  <c r="P29" i="1" s="1"/>
  <c r="N26" i="1"/>
  <c r="N28" i="1" s="1"/>
  <c r="C8" i="1"/>
  <c r="C69" i="1"/>
  <c r="C97" i="1" s="1"/>
  <c r="J55" i="1"/>
  <c r="K95" i="1" s="1"/>
  <c r="J70" i="1"/>
  <c r="K103" i="1" s="1"/>
  <c r="D55" i="1"/>
  <c r="D92" i="1" s="1"/>
  <c r="D28" i="1"/>
  <c r="J93" i="1" l="1"/>
  <c r="J99" i="1" s="1"/>
  <c r="J100" i="1" s="1"/>
  <c r="J105" i="1" s="1"/>
  <c r="C43" i="1"/>
  <c r="C63" i="1"/>
  <c r="J63" i="1" s="1"/>
  <c r="J64" i="1" s="1"/>
  <c r="K97" i="1" s="1"/>
  <c r="D68" i="1"/>
  <c r="K68" i="1"/>
  <c r="H7" i="2"/>
  <c r="C39" i="1"/>
  <c r="K55" i="1"/>
  <c r="L95" i="1" s="1"/>
  <c r="D29" i="1"/>
  <c r="K69" i="1" s="1"/>
  <c r="D8" i="1"/>
  <c r="E55" i="1"/>
  <c r="E92" i="1" s="1"/>
  <c r="J43" i="1" l="1"/>
  <c r="J45" i="1" s="1"/>
  <c r="K94" i="1" s="1"/>
  <c r="C45" i="1"/>
  <c r="C64" i="1"/>
  <c r="C88" i="1"/>
  <c r="J73" i="1"/>
  <c r="I7" i="2"/>
  <c r="E28" i="1"/>
  <c r="K70" i="1"/>
  <c r="L103" i="1" s="1"/>
  <c r="E8" i="1"/>
  <c r="L55" i="1"/>
  <c r="M95" i="1" s="1"/>
  <c r="D69" i="1"/>
  <c r="D97" i="1" s="1"/>
  <c r="G55" i="1"/>
  <c r="G92" i="1" s="1"/>
  <c r="F55" i="1"/>
  <c r="F92" i="1" s="1"/>
  <c r="E68" i="1" l="1"/>
  <c r="L68" i="1"/>
  <c r="C93" i="1"/>
  <c r="J76" i="1"/>
  <c r="J46" i="1"/>
  <c r="C89" i="1"/>
  <c r="C90" i="1" s="1"/>
  <c r="C94" i="1" s="1"/>
  <c r="J74" i="1"/>
  <c r="J77" i="1" s="1"/>
  <c r="K96" i="1" s="1"/>
  <c r="F8" i="1"/>
  <c r="G8" i="1" s="1"/>
  <c r="H8" i="1" s="1"/>
  <c r="I8" i="1" s="1"/>
  <c r="J8" i="1" s="1"/>
  <c r="K8" i="1" s="1"/>
  <c r="L8" i="1" s="1"/>
  <c r="M8" i="1" s="1"/>
  <c r="N8" i="1" s="1"/>
  <c r="J7" i="2"/>
  <c r="M55" i="1"/>
  <c r="N95" i="1" s="1"/>
  <c r="K91" i="1"/>
  <c r="E29" i="1"/>
  <c r="L69" i="1" s="1"/>
  <c r="L70" i="1" s="1"/>
  <c r="M103" i="1" s="1"/>
  <c r="N55" i="1"/>
  <c r="O95" i="1" s="1"/>
  <c r="J80" i="1" l="1"/>
  <c r="K98" i="1" s="1"/>
  <c r="C98" i="1"/>
  <c r="C100" i="1" s="1"/>
  <c r="J81" i="1" s="1"/>
  <c r="K37" i="1"/>
  <c r="K39" i="1" s="1"/>
  <c r="L88" i="1" s="1"/>
  <c r="C9" i="1"/>
  <c r="L37" i="1" s="1"/>
  <c r="D37" i="1"/>
  <c r="K7" i="2"/>
  <c r="K99" i="1"/>
  <c r="K100" i="1" s="1"/>
  <c r="E69" i="1"/>
  <c r="E97" i="1" s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D39" i="1"/>
  <c r="D88" i="1" l="1"/>
  <c r="K73" i="1"/>
  <c r="D63" i="1"/>
  <c r="K63" i="1" s="1"/>
  <c r="D43" i="1"/>
  <c r="K43" i="1" s="1"/>
  <c r="E37" i="1"/>
  <c r="L7" i="2"/>
  <c r="J82" i="1"/>
  <c r="L39" i="1"/>
  <c r="M88" i="1" s="1"/>
  <c r="K64" i="1"/>
  <c r="L97" i="1" s="1"/>
  <c r="D64" i="1"/>
  <c r="K45" i="1"/>
  <c r="L94" i="1" s="1"/>
  <c r="C101" i="1"/>
  <c r="C10" i="1"/>
  <c r="K76" i="1" l="1"/>
  <c r="D93" i="1"/>
  <c r="K104" i="1"/>
  <c r="K105" i="1" s="1"/>
  <c r="E63" i="1"/>
  <c r="L63" i="1" s="1"/>
  <c r="E43" i="1"/>
  <c r="L43" i="1" s="1"/>
  <c r="D45" i="1"/>
  <c r="M7" i="2"/>
  <c r="D10" i="1"/>
  <c r="E39" i="1"/>
  <c r="E88" i="1" l="1"/>
  <c r="L73" i="1"/>
  <c r="K74" i="1"/>
  <c r="K77" i="1" s="1"/>
  <c r="L96" i="1" s="1"/>
  <c r="D89" i="1"/>
  <c r="D90" i="1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N7" i="2"/>
  <c r="C40" i="2"/>
  <c r="D94" i="1"/>
  <c r="L91" i="1"/>
  <c r="L64" i="1"/>
  <c r="M97" i="1" s="1"/>
  <c r="E64" i="1"/>
  <c r="L45" i="1"/>
  <c r="M94" i="1" s="1"/>
  <c r="E45" i="1"/>
  <c r="D98" i="1" l="1"/>
  <c r="D100" i="1" s="1"/>
  <c r="K81" i="1" s="1"/>
  <c r="K80" i="1"/>
  <c r="L98" i="1" s="1"/>
  <c r="F37" i="1"/>
  <c r="M37" i="1"/>
  <c r="M39" i="1" s="1"/>
  <c r="N88" i="1" s="1"/>
  <c r="E89" i="1"/>
  <c r="E90" i="1" s="1"/>
  <c r="L74" i="1"/>
  <c r="C11" i="1"/>
  <c r="L76" i="1"/>
  <c r="E93" i="1"/>
  <c r="C66" i="2"/>
  <c r="C42" i="2"/>
  <c r="C8" i="2"/>
  <c r="J40" i="2"/>
  <c r="J42" i="2" s="1"/>
  <c r="K91" i="2" s="1"/>
  <c r="L99" i="1"/>
  <c r="L100" i="1" s="1"/>
  <c r="K82" i="1"/>
  <c r="L104" i="1" s="1"/>
  <c r="D11" i="1" l="1"/>
  <c r="E11" i="1" s="1"/>
  <c r="F43" i="1"/>
  <c r="M43" i="1" s="1"/>
  <c r="M45" i="1" s="1"/>
  <c r="N94" i="1" s="1"/>
  <c r="F63" i="1"/>
  <c r="M63" i="1" s="1"/>
  <c r="F39" i="1"/>
  <c r="K94" i="2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C9" i="2" s="1"/>
  <c r="C91" i="2"/>
  <c r="J76" i="2"/>
  <c r="J66" i="2"/>
  <c r="J67" i="2" s="1"/>
  <c r="K100" i="2" s="1"/>
  <c r="C67" i="2"/>
  <c r="L77" i="1"/>
  <c r="M96" i="1" s="1"/>
  <c r="D101" i="1"/>
  <c r="L105" i="1"/>
  <c r="E94" i="1"/>
  <c r="L80" i="1" s="1"/>
  <c r="M98" i="1" s="1"/>
  <c r="M91" i="1"/>
  <c r="M64" i="1"/>
  <c r="N97" i="1" s="1"/>
  <c r="F64" i="1"/>
  <c r="F45" i="1"/>
  <c r="F11" i="1"/>
  <c r="G11" i="1" s="1"/>
  <c r="H11" i="1" s="1"/>
  <c r="I11" i="1" s="1"/>
  <c r="J11" i="1" s="1"/>
  <c r="K11" i="1" s="1"/>
  <c r="L11" i="1" s="1"/>
  <c r="M11" i="1" s="1"/>
  <c r="N11" i="1" s="1"/>
  <c r="O90" i="1" s="1"/>
  <c r="M73" i="1" l="1"/>
  <c r="F88" i="1"/>
  <c r="M76" i="1"/>
  <c r="F93" i="1"/>
  <c r="M74" i="1"/>
  <c r="F89" i="1"/>
  <c r="N37" i="1"/>
  <c r="G37" i="1"/>
  <c r="D40" i="2"/>
  <c r="D42" i="2" s="1"/>
  <c r="C92" i="2"/>
  <c r="C93" i="2" s="1"/>
  <c r="J77" i="2"/>
  <c r="D66" i="2"/>
  <c r="J79" i="2"/>
  <c r="C96" i="2"/>
  <c r="K40" i="2"/>
  <c r="K42" i="2" s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F90" i="1"/>
  <c r="E98" i="1"/>
  <c r="E100" i="1" s="1"/>
  <c r="L81" i="1" s="1"/>
  <c r="N39" i="1"/>
  <c r="O88" i="1" s="1"/>
  <c r="G43" i="1" l="1"/>
  <c r="N43" i="1" s="1"/>
  <c r="G63" i="1"/>
  <c r="N63" i="1" s="1"/>
  <c r="J80" i="2"/>
  <c r="K99" i="2" s="1"/>
  <c r="L91" i="2"/>
  <c r="L94" i="2" s="1"/>
  <c r="L40" i="2"/>
  <c r="L42" i="2" s="1"/>
  <c r="K76" i="2"/>
  <c r="D91" i="2"/>
  <c r="E40" i="2"/>
  <c r="K66" i="2"/>
  <c r="K67" i="2" s="1"/>
  <c r="L100" i="2" s="1"/>
  <c r="D67" i="2"/>
  <c r="M77" i="1"/>
  <c r="N96" i="1" s="1"/>
  <c r="N91" i="1"/>
  <c r="L82" i="1"/>
  <c r="M104" i="1" s="1"/>
  <c r="M99" i="1"/>
  <c r="M100" i="1" s="1"/>
  <c r="N64" i="1"/>
  <c r="O97" i="1" s="1"/>
  <c r="F94" i="1"/>
  <c r="M80" i="1" s="1"/>
  <c r="N98" i="1" s="1"/>
  <c r="G39" i="1"/>
  <c r="N73" i="1" l="1"/>
  <c r="G88" i="1"/>
  <c r="M91" i="2"/>
  <c r="M94" i="2" s="1"/>
  <c r="K77" i="2"/>
  <c r="D92" i="2"/>
  <c r="D93" i="2" s="1"/>
  <c r="K79" i="2"/>
  <c r="D96" i="2"/>
  <c r="E42" i="2"/>
  <c r="E66" i="2"/>
  <c r="G64" i="1"/>
  <c r="F98" i="1"/>
  <c r="F100" i="1" s="1"/>
  <c r="M81" i="1" s="1"/>
  <c r="N99" i="1"/>
  <c r="N100" i="1" s="1"/>
  <c r="E101" i="1"/>
  <c r="M105" i="1"/>
  <c r="N45" i="1"/>
  <c r="O94" i="1" s="1"/>
  <c r="G45" i="1"/>
  <c r="G89" i="1" l="1"/>
  <c r="N74" i="1"/>
  <c r="N76" i="1"/>
  <c r="G93" i="1"/>
  <c r="D97" i="2"/>
  <c r="D101" i="2" s="1"/>
  <c r="K80" i="2"/>
  <c r="L99" i="2" s="1"/>
  <c r="L76" i="2"/>
  <c r="E91" i="2"/>
  <c r="L66" i="2"/>
  <c r="L67" i="2" s="1"/>
  <c r="M100" i="2" s="1"/>
  <c r="E67" i="2"/>
  <c r="O91" i="1"/>
  <c r="G90" i="1"/>
  <c r="M82" i="1"/>
  <c r="N104" i="1" l="1"/>
  <c r="N105" i="1" s="1"/>
  <c r="K83" i="2"/>
  <c r="L77" i="2"/>
  <c r="E92" i="2"/>
  <c r="E93" i="2" s="1"/>
  <c r="L79" i="2"/>
  <c r="E96" i="2"/>
  <c r="D103" i="2"/>
  <c r="K84" i="2" s="1"/>
  <c r="N77" i="1"/>
  <c r="O96" i="1" s="1"/>
  <c r="G94" i="1"/>
  <c r="N80" i="1" s="1"/>
  <c r="O98" i="1" s="1"/>
  <c r="F101" i="1"/>
  <c r="K85" i="2" l="1"/>
  <c r="L107" i="2" s="1"/>
  <c r="L101" i="2"/>
  <c r="L102" i="2" s="1"/>
  <c r="L103" i="2" s="1"/>
  <c r="E97" i="2"/>
  <c r="E101" i="2" s="1"/>
  <c r="D104" i="2"/>
  <c r="L80" i="2"/>
  <c r="M99" i="2" s="1"/>
  <c r="O99" i="1"/>
  <c r="O100" i="1" s="1"/>
  <c r="G98" i="1"/>
  <c r="G100" i="1" l="1"/>
  <c r="N81" i="1" s="1"/>
  <c r="N82" i="1" s="1"/>
  <c r="O104" i="1" s="1"/>
  <c r="O105" i="1" s="1"/>
  <c r="L83" i="2"/>
  <c r="L108" i="2"/>
  <c r="E103" i="2"/>
  <c r="L84" i="2" s="1"/>
  <c r="G101" i="1"/>
  <c r="L85" i="2" l="1"/>
  <c r="M107" i="2" s="1"/>
  <c r="M101" i="2"/>
  <c r="M102" i="2" s="1"/>
  <c r="M103" i="2" s="1"/>
  <c r="M108" i="2" s="1"/>
  <c r="E104" i="2"/>
  <c r="C58" i="2" l="1"/>
  <c r="C95" i="2" s="1"/>
  <c r="C97" i="2" s="1"/>
  <c r="C101" i="2" l="1"/>
  <c r="J83" i="2"/>
  <c r="C103" i="2" l="1"/>
  <c r="J84" i="2" s="1"/>
  <c r="J85" i="2" l="1"/>
  <c r="K107" i="2" s="1"/>
  <c r="K101" i="2"/>
  <c r="K102" i="2" s="1"/>
  <c r="K103" i="2" s="1"/>
  <c r="K108" i="2" s="1"/>
  <c r="C104" i="2"/>
  <c r="J96" i="2"/>
  <c r="J102" i="2" s="1"/>
  <c r="J103" i="2" s="1"/>
  <c r="J108" i="2" s="1"/>
</calcChain>
</file>

<file path=xl/sharedStrings.xml><?xml version="1.0" encoding="utf-8"?>
<sst xmlns="http://schemas.openxmlformats.org/spreadsheetml/2006/main" count="506" uniqueCount="165">
  <si>
    <t>EJERCICIO N° 1: FLUJO DE CAJA ECONÓMICO - FINANCIERO</t>
  </si>
  <si>
    <t>Ppto de ventas</t>
  </si>
  <si>
    <t>Ppto de ingreso x ventas</t>
  </si>
  <si>
    <t>Datos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</si>
  <si>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</si>
  <si>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</si>
  <si>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</si>
  <si>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</si>
  <si>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</si>
  <si>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</si>
  <si>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</si>
  <si>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</si>
  <si>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</si>
  <si>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</si>
  <si>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</si>
  <si>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</si>
  <si>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</si>
  <si>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Año 1</t>
  </si>
  <si>
    <t>Año 2</t>
  </si>
  <si>
    <t>Año 3</t>
  </si>
  <si>
    <t>Año 4</t>
  </si>
  <si>
    <t>Año5</t>
  </si>
  <si>
    <t>Año 5</t>
  </si>
  <si>
    <t>Se sabe que las ventas son con 30 días de crédito</t>
  </si>
  <si>
    <t xml:space="preserve">El precio es de </t>
  </si>
  <si>
    <t>Cantidad</t>
  </si>
  <si>
    <t>Precio</t>
  </si>
  <si>
    <t>TOTAL</t>
  </si>
  <si>
    <t>La empresa proyecta las siguientes ventas:</t>
  </si>
  <si>
    <t>Ppto de compras</t>
  </si>
  <si>
    <t>Ppto de egresos x compras</t>
  </si>
  <si>
    <t>PRESUPUESTO DE RESULTADOS</t>
  </si>
  <si>
    <t>PRESUPUESTO DE CAJA</t>
  </si>
  <si>
    <t>Costo</t>
  </si>
  <si>
    <t>Las compras se realizan según lo que se planea vender en el mes</t>
  </si>
  <si>
    <t xml:space="preserve">El costo por kilo es de </t>
  </si>
  <si>
    <t>Los pagos a los proveedores son al contado</t>
  </si>
  <si>
    <t>Ppto de gastos administrativos</t>
  </si>
  <si>
    <t>Ppto de egresos por gastos de administración</t>
  </si>
  <si>
    <t>(costo total, no incluye IGV)</t>
  </si>
  <si>
    <t>Planilla</t>
  </si>
  <si>
    <t>Depreciación</t>
  </si>
  <si>
    <t>Luz,agua,telf</t>
  </si>
  <si>
    <t>Alquiler</t>
  </si>
  <si>
    <t>Otros</t>
  </si>
  <si>
    <t>Ppto de gastos de ventas</t>
  </si>
  <si>
    <t>Ppto de egresos por gastos de ventas</t>
  </si>
  <si>
    <t>Página web</t>
  </si>
  <si>
    <t>Muestras</t>
  </si>
  <si>
    <t>Ferias</t>
  </si>
  <si>
    <t>Merchandising</t>
  </si>
  <si>
    <t>Ppto de gastos financieros</t>
  </si>
  <si>
    <t>Ppto de egresos x financiamiento</t>
  </si>
  <si>
    <t>Intereses</t>
  </si>
  <si>
    <t>Amortización</t>
  </si>
  <si>
    <t>VENTAS</t>
  </si>
  <si>
    <t>COSTO DE VENTAS</t>
  </si>
  <si>
    <t>UTILIDAD BRUTA</t>
  </si>
  <si>
    <t>GASTOS ADMINIST</t>
  </si>
  <si>
    <t>GASTOS VENTAS</t>
  </si>
  <si>
    <t>UTILIDAD OPERATIVA</t>
  </si>
  <si>
    <t>INTERESES</t>
  </si>
  <si>
    <t>UTILIDAD ANTES DE IR</t>
  </si>
  <si>
    <t>IMPUESTO RENTA</t>
  </si>
  <si>
    <t>UTILIDAD NETA</t>
  </si>
  <si>
    <t>ESTADO DE RESULTADOS AÑO 1- 5</t>
  </si>
  <si>
    <t>Cuadro IGV</t>
  </si>
  <si>
    <t>IGV compras</t>
  </si>
  <si>
    <t>IGV Administ.</t>
  </si>
  <si>
    <t>IGV gastos ventas</t>
  </si>
  <si>
    <t>Año 0</t>
  </si>
  <si>
    <t>Ingreso ventas</t>
  </si>
  <si>
    <t>Crédito fiscal</t>
  </si>
  <si>
    <t>TOTAL INGRESOS</t>
  </si>
  <si>
    <t>Compras</t>
  </si>
  <si>
    <t>Inversión</t>
  </si>
  <si>
    <t>Gasto Administ</t>
  </si>
  <si>
    <t>Gasto ventas</t>
  </si>
  <si>
    <t>TOTAL EGRESOS</t>
  </si>
  <si>
    <t>FLUJO ECONÓMICO</t>
  </si>
  <si>
    <t>Préstamo</t>
  </si>
  <si>
    <t>Escudo fiscal</t>
  </si>
  <si>
    <t>FLUJO FINANCIERO</t>
  </si>
  <si>
    <t>Cuota</t>
  </si>
  <si>
    <t>FLUJO DE CAJA ECONÓMICO - FINANCIERO AÑO 1 - 5</t>
  </si>
  <si>
    <t>Los gastos administrativos son los siguientes</t>
  </si>
  <si>
    <t>Anual</t>
  </si>
  <si>
    <t>Sin IGV</t>
  </si>
  <si>
    <t>Los gastos de ventas son los siguientes</t>
  </si>
  <si>
    <t xml:space="preserve">La empresa adquiere al inicio un préstamo de </t>
  </si>
  <si>
    <t>a</t>
  </si>
  <si>
    <t>años</t>
  </si>
  <si>
    <t>Interés</t>
  </si>
  <si>
    <t>a una tasa (TEA) del</t>
  </si>
  <si>
    <t>anual</t>
  </si>
  <si>
    <t>Valor residual</t>
  </si>
  <si>
    <t>La estructura de inversión es la siguiente</t>
  </si>
  <si>
    <t xml:space="preserve">Muebles </t>
  </si>
  <si>
    <t>Computadoras</t>
  </si>
  <si>
    <t>Licencias</t>
  </si>
  <si>
    <t>Gastos notariales</t>
  </si>
  <si>
    <t>Caja y bancos</t>
  </si>
  <si>
    <t>Inventario</t>
  </si>
  <si>
    <t>Total</t>
  </si>
  <si>
    <t>Sin IGV x kilo</t>
  </si>
  <si>
    <t>Libros contables+legaliz</t>
  </si>
  <si>
    <t>otros gastos pre-operativos</t>
  </si>
  <si>
    <t>Imp renta sin deuda</t>
  </si>
  <si>
    <t>Imp renta con deuda</t>
  </si>
  <si>
    <t>IR (sin deuda)</t>
  </si>
  <si>
    <t>Intangibles</t>
  </si>
  <si>
    <t>Gastos pre -operativos</t>
  </si>
  <si>
    <t>Activos no corrientes</t>
  </si>
  <si>
    <t>capital de trabajo</t>
  </si>
  <si>
    <t>IGV ventas</t>
  </si>
  <si>
    <t>TOTAL DÉBITO FISCAL</t>
  </si>
  <si>
    <t>Dévolución de IGV</t>
  </si>
  <si>
    <t>Gastos de transporte</t>
  </si>
  <si>
    <t>Gastos de Transporte</t>
  </si>
  <si>
    <t>Gasto Pre-operativo</t>
  </si>
  <si>
    <t>Gasto Pre-Operativo</t>
  </si>
  <si>
    <t>VENTA LOCAL</t>
  </si>
  <si>
    <t>P. del devengado</t>
  </si>
  <si>
    <t>No IGV</t>
  </si>
  <si>
    <t>P. del efectivo</t>
  </si>
  <si>
    <t>SI IGV</t>
  </si>
  <si>
    <t>OJO</t>
  </si>
  <si>
    <t>NO IGV</t>
  </si>
  <si>
    <t>JUST IN TIME</t>
  </si>
  <si>
    <t>Al contado</t>
  </si>
  <si>
    <t>Si depreciación</t>
  </si>
  <si>
    <t>No depreciación</t>
  </si>
  <si>
    <t>P Publicidad</t>
  </si>
  <si>
    <t>SOLO INTERES</t>
  </si>
  <si>
    <t>Ahorro</t>
  </si>
  <si>
    <t>IR</t>
  </si>
  <si>
    <t>PROYECTO</t>
  </si>
  <si>
    <t>INVERSIONISTA</t>
  </si>
  <si>
    <t>LIQUIDACIÓN</t>
  </si>
  <si>
    <t>ACTIVOS</t>
  </si>
  <si>
    <t>Y PASIVOS</t>
  </si>
  <si>
    <t>AÑO 0</t>
  </si>
  <si>
    <t>Vendo</t>
  </si>
  <si>
    <t>Compro</t>
  </si>
  <si>
    <t>Mes 1</t>
  </si>
  <si>
    <t>Mes 2</t>
  </si>
  <si>
    <t>…. Dic año 5</t>
  </si>
  <si>
    <t>Cantidad de Paginas</t>
  </si>
  <si>
    <t>Objetivo mensual</t>
  </si>
  <si>
    <t xml:space="preserve">Venta al mes </t>
  </si>
  <si>
    <t>Los gastos administrativos y fijos son los siguientes</t>
  </si>
  <si>
    <t>Muebles ( Escritorios y Sillas)</t>
  </si>
  <si>
    <t>Licencia Adobe Creative Cloud</t>
  </si>
  <si>
    <t>Postman</t>
  </si>
  <si>
    <t xml:space="preserve">Oracle </t>
  </si>
  <si>
    <t>Anydesk</t>
  </si>
  <si>
    <t>Gastos Constitucion Empresas</t>
  </si>
  <si>
    <t>Luz,agua,internet</t>
  </si>
  <si>
    <t>FLUJO DE CAJA ECONÓMICO - FINANCIERO AÑO 1 - 3</t>
  </si>
  <si>
    <t>Sin IGV xpagina</t>
  </si>
  <si>
    <t>Hosting ( Anual)</t>
  </si>
  <si>
    <t xml:space="preserve">Licencias </t>
  </si>
  <si>
    <t>ESTADO DE RESULTADOS AÑO 1- 3</t>
  </si>
  <si>
    <t>Se sabe que las ventas son al contado</t>
  </si>
  <si>
    <t>FLUJO DE CAJA ECONÓMICO - FINANCIERO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</si>
</sst>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&quot;$&quot;#,##0.00"/>
    <numFmt numFmtId="165" formatCode="[$S/.-280A]\ #,##0.00"/>
    <numFmt numFmtId="166" formatCode="#,##0.00_ ;[Red]\-#,##0.00\ "/>
    <numFmt numFmtId="167" formatCode="0.0%"/>
    <numFmt numFmtId="168" formatCode="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2" borderId="1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Border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0" xfId="0" applyFill="1" applyBorder="1" applyAlignment="1"/>
    <xf numFmtId="9" fontId="0" fillId="2" borderId="0" xfId="0" applyNumberFormat="1" applyFill="1"/>
    <xf numFmtId="16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/>
    <xf numFmtId="9" fontId="1" fillId="2" borderId="0" xfId="0" applyNumberFormat="1" applyFont="1" applyFill="1" applyBorder="1"/>
    <xf numFmtId="0" fontId="1" fillId="3" borderId="2" xfId="0" applyFont="1" applyFill="1" applyBorder="1" applyAlignment="1">
      <alignment horizontal="center"/>
    </xf>
    <xf numFmtId="0" fontId="0" fillId="3" borderId="1" xfId="0" applyFill="1" applyBorder="1"/>
    <xf numFmtId="0" fontId="1" fillId="4" borderId="2" xfId="0" applyFont="1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1" xfId="0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1" xfId="0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1" xfId="0" applyFill="1" applyBorder="1"/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8" borderId="1" xfId="0" applyFont="1" applyFill="1" applyBorder="1"/>
    <xf numFmtId="0" fontId="1" fillId="8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1" fillId="9" borderId="2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0" fillId="9" borderId="9" xfId="0" applyFill="1" applyBorder="1"/>
    <xf numFmtId="0" fontId="1" fillId="9" borderId="9" xfId="0" applyFont="1" applyFill="1" applyBorder="1"/>
    <xf numFmtId="0" fontId="1" fillId="9" borderId="17" xfId="0" applyFont="1" applyFill="1" applyBorder="1"/>
    <xf numFmtId="0" fontId="1" fillId="9" borderId="14" xfId="0" applyFont="1" applyFill="1" applyBorder="1"/>
    <xf numFmtId="0" fontId="0" fillId="9" borderId="17" xfId="0" applyFont="1" applyFill="1" applyBorder="1"/>
    <xf numFmtId="0" fontId="0" fillId="2" borderId="0" xfId="0" applyFill="1" applyAlignment="1">
      <alignment horizontal="left"/>
    </xf>
    <xf numFmtId="43" fontId="0" fillId="2" borderId="0" xfId="0" applyNumberFormat="1" applyFill="1"/>
    <xf numFmtId="4" fontId="0" fillId="2" borderId="0" xfId="0" applyNumberFormat="1" applyFill="1" applyBorder="1" applyAlignment="1">
      <alignment horizontal="center"/>
    </xf>
    <xf numFmtId="4" fontId="4" fillId="2" borderId="0" xfId="0" applyNumberFormat="1" applyFont="1" applyFill="1" applyBorder="1" applyAlignment="1">
      <alignment horizontal="center"/>
    </xf>
    <xf numFmtId="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/>
    <xf numFmtId="165" fontId="0" fillId="2" borderId="1" xfId="0" applyNumberFormat="1" applyFill="1" applyBorder="1" applyAlignment="1">
      <alignment horizontal="center"/>
    </xf>
    <xf numFmtId="165" fontId="0" fillId="2" borderId="0" xfId="0" applyNumberFormat="1" applyFill="1"/>
    <xf numFmtId="4" fontId="0" fillId="2" borderId="1" xfId="0" applyNumberFormat="1" applyFill="1" applyBorder="1" applyAlignment="1">
      <alignment horizontal="center"/>
    </xf>
    <xf numFmtId="4" fontId="0" fillId="2" borderId="1" xfId="0" applyNumberFormat="1" applyFill="1" applyBorder="1"/>
    <xf numFmtId="4" fontId="0" fillId="2" borderId="1" xfId="0" applyNumberFormat="1" applyFill="1" applyBorder="1" applyAlignment="1">
      <alignment horizontal="right"/>
    </xf>
    <xf numFmtId="4" fontId="1" fillId="5" borderId="1" xfId="1" applyNumberFormat="1" applyFont="1" applyFill="1" applyBorder="1"/>
    <xf numFmtId="4" fontId="1" fillId="6" borderId="1" xfId="1" applyNumberFormat="1" applyFont="1" applyFill="1" applyBorder="1"/>
    <xf numFmtId="4" fontId="1" fillId="7" borderId="1" xfId="1" applyNumberFormat="1" applyFont="1" applyFill="1" applyBorder="1"/>
    <xf numFmtId="4" fontId="1" fillId="2" borderId="2" xfId="0" applyNumberFormat="1" applyFont="1" applyFill="1" applyBorder="1" applyAlignment="1">
      <alignment horizontal="center"/>
    </xf>
    <xf numFmtId="4" fontId="1" fillId="8" borderId="1" xfId="1" applyNumberFormat="1" applyFont="1" applyFill="1" applyBorder="1"/>
    <xf numFmtId="4" fontId="0" fillId="8" borderId="1" xfId="1" applyNumberFormat="1" applyFont="1" applyFill="1" applyBorder="1"/>
    <xf numFmtId="4" fontId="0" fillId="2" borderId="1" xfId="1" applyNumberFormat="1" applyFont="1" applyFill="1" applyBorder="1"/>
    <xf numFmtId="4" fontId="1" fillId="9" borderId="1" xfId="1" applyNumberFormat="1" applyFont="1" applyFill="1" applyBorder="1"/>
    <xf numFmtId="4" fontId="1" fillId="9" borderId="10" xfId="1" applyNumberFormat="1" applyFont="1" applyFill="1" applyBorder="1"/>
    <xf numFmtId="4" fontId="0" fillId="2" borderId="0" xfId="1" applyNumberFormat="1" applyFont="1" applyFill="1" applyBorder="1"/>
    <xf numFmtId="4" fontId="0" fillId="2" borderId="7" xfId="1" applyNumberFormat="1" applyFont="1" applyFill="1" applyBorder="1"/>
    <xf numFmtId="4" fontId="0" fillId="9" borderId="1" xfId="1" applyNumberFormat="1" applyFont="1" applyFill="1" applyBorder="1"/>
    <xf numFmtId="4" fontId="0" fillId="9" borderId="10" xfId="1" applyNumberFormat="1" applyFont="1" applyFill="1" applyBorder="1"/>
    <xf numFmtId="4" fontId="0" fillId="2" borderId="12" xfId="0" applyNumberFormat="1" applyFill="1" applyBorder="1"/>
    <xf numFmtId="4" fontId="0" fillId="2" borderId="13" xfId="0" applyNumberFormat="1" applyFill="1" applyBorder="1"/>
    <xf numFmtId="4" fontId="0" fillId="2" borderId="10" xfId="1" applyNumberFormat="1" applyFont="1" applyFill="1" applyBorder="1"/>
    <xf numFmtId="4" fontId="1" fillId="9" borderId="2" xfId="1" applyNumberFormat="1" applyFont="1" applyFill="1" applyBorder="1"/>
    <xf numFmtId="4" fontId="1" fillId="9" borderId="8" xfId="1" applyNumberFormat="1" applyFont="1" applyFill="1" applyBorder="1"/>
    <xf numFmtId="4" fontId="0" fillId="2" borderId="2" xfId="1" applyNumberFormat="1" applyFont="1" applyFill="1" applyBorder="1"/>
    <xf numFmtId="166" fontId="1" fillId="9" borderId="15" xfId="1" applyNumberFormat="1" applyFont="1" applyFill="1" applyBorder="1"/>
    <xf numFmtId="166" fontId="1" fillId="9" borderId="16" xfId="1" applyNumberFormat="1" applyFont="1" applyFill="1" applyBorder="1"/>
    <xf numFmtId="167" fontId="0" fillId="2" borderId="0" xfId="0" applyNumberFormat="1" applyFill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4" fontId="1" fillId="4" borderId="1" xfId="1" applyNumberFormat="1" applyFont="1" applyFill="1" applyBorder="1" applyAlignment="1">
      <alignment horizontal="righ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43" fontId="0" fillId="10" borderId="1" xfId="1" applyFont="1" applyFill="1" applyBorder="1" applyAlignment="1">
      <alignment horizontal="center"/>
    </xf>
    <xf numFmtId="43" fontId="0" fillId="11" borderId="1" xfId="1" applyFont="1" applyFill="1" applyBorder="1" applyAlignment="1">
      <alignment horizontal="center"/>
    </xf>
    <xf numFmtId="43" fontId="0" fillId="5" borderId="1" xfId="1" applyFont="1" applyFill="1" applyBorder="1" applyAlignment="1">
      <alignment horizontal="center"/>
    </xf>
    <xf numFmtId="43" fontId="0" fillId="12" borderId="1" xfId="1" applyFont="1" applyFill="1" applyBorder="1" applyAlignment="1">
      <alignment horizontal="center"/>
    </xf>
    <xf numFmtId="43" fontId="0" fillId="13" borderId="1" xfId="1" applyFont="1" applyFill="1" applyBorder="1" applyAlignment="1">
      <alignment horizontal="center"/>
    </xf>
    <xf numFmtId="43" fontId="0" fillId="14" borderId="1" xfId="1" applyFont="1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1" fillId="4" borderId="1" xfId="0" applyFont="1" applyFill="1" applyBorder="1"/>
    <xf numFmtId="4" fontId="1" fillId="4" borderId="1" xfId="1" applyNumberFormat="1" applyFont="1" applyFill="1" applyBorder="1"/>
    <xf numFmtId="0" fontId="1" fillId="3" borderId="1" xfId="0" applyFont="1" applyFill="1" applyBorder="1"/>
    <xf numFmtId="4" fontId="1" fillId="3" borderId="1" xfId="1" applyNumberFormat="1" applyFont="1" applyFill="1" applyBorder="1"/>
    <xf numFmtId="4" fontId="0" fillId="10" borderId="1" xfId="0" applyNumberFormat="1" applyFill="1" applyBorder="1"/>
    <xf numFmtId="165" fontId="1" fillId="15" borderId="1" xfId="0" applyNumberFormat="1" applyFont="1" applyFill="1" applyBorder="1" applyAlignment="1">
      <alignment horizontal="center"/>
    </xf>
    <xf numFmtId="165" fontId="1" fillId="10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165" fontId="1" fillId="16" borderId="1" xfId="0" applyNumberFormat="1" applyFont="1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 wrapText="1"/>
    </xf>
    <xf numFmtId="0" fontId="5" fillId="17" borderId="1" xfId="0" applyFont="1" applyFill="1" applyBorder="1" applyAlignment="1">
      <alignment horizontal="center"/>
    </xf>
    <xf numFmtId="165" fontId="1" fillId="18" borderId="1" xfId="0" applyNumberFormat="1" applyFont="1" applyFill="1" applyBorder="1" applyAlignment="1">
      <alignment horizontal="center"/>
    </xf>
    <xf numFmtId="0" fontId="5" fillId="17" borderId="0" xfId="0" applyFont="1" applyFill="1" applyBorder="1" applyAlignment="1">
      <alignment horizontal="center"/>
    </xf>
    <xf numFmtId="165" fontId="1" fillId="19" borderId="1" xfId="0" applyNumberFormat="1" applyFont="1" applyFill="1" applyBorder="1"/>
    <xf numFmtId="43" fontId="0" fillId="2" borderId="0" xfId="1" applyFont="1" applyFill="1" applyBorder="1" applyAlignment="1">
      <alignment horizontal="center"/>
    </xf>
    <xf numFmtId="0" fontId="0" fillId="18" borderId="1" xfId="0" applyFill="1" applyBorder="1"/>
    <xf numFmtId="165" fontId="1" fillId="5" borderId="1" xfId="0" applyNumberFormat="1" applyFont="1" applyFill="1" applyBorder="1" applyAlignment="1">
      <alignment horizontal="center"/>
    </xf>
    <xf numFmtId="0" fontId="0" fillId="20" borderId="1" xfId="0" applyFill="1" applyBorder="1"/>
    <xf numFmtId="165" fontId="1" fillId="20" borderId="1" xfId="0" applyNumberFormat="1" applyFont="1" applyFill="1" applyBorder="1" applyAlignment="1">
      <alignment horizontal="center"/>
    </xf>
    <xf numFmtId="4" fontId="0" fillId="2" borderId="8" xfId="1" applyNumberFormat="1" applyFont="1" applyFill="1" applyBorder="1"/>
    <xf numFmtId="0" fontId="0" fillId="10" borderId="1" xfId="0" applyFill="1" applyBorder="1" applyAlignment="1"/>
    <xf numFmtId="0" fontId="1" fillId="2" borderId="0" xfId="0" applyFont="1" applyFill="1" applyBorder="1" applyAlignment="1"/>
    <xf numFmtId="0" fontId="1" fillId="5" borderId="18" xfId="0" applyFont="1" applyFill="1" applyBorder="1" applyAlignment="1">
      <alignment horizontal="center"/>
    </xf>
    <xf numFmtId="0" fontId="2" fillId="2" borderId="0" xfId="0" applyFont="1" applyFill="1" applyBorder="1"/>
    <xf numFmtId="4" fontId="0" fillId="2" borderId="0" xfId="0" applyNumberFormat="1" applyFill="1" applyBorder="1" applyAlignment="1">
      <alignment horizontal="right"/>
    </xf>
    <xf numFmtId="4" fontId="1" fillId="2" borderId="0" xfId="1" applyNumberFormat="1" applyFont="1" applyFill="1" applyBorder="1" applyAlignment="1">
      <alignment horizontal="right"/>
    </xf>
    <xf numFmtId="4" fontId="0" fillId="2" borderId="0" xfId="0" applyNumberFormat="1" applyFill="1" applyBorder="1"/>
    <xf numFmtId="4" fontId="1" fillId="2" borderId="0" xfId="1" applyNumberFormat="1" applyFont="1" applyFill="1" applyBorder="1"/>
    <xf numFmtId="0" fontId="1" fillId="3" borderId="1" xfId="0" applyFont="1" applyFill="1" applyBorder="1" applyAlignment="1">
      <alignment horizontal="center"/>
    </xf>
    <xf numFmtId="4" fontId="1" fillId="9" borderId="0" xfId="1" applyNumberFormat="1" applyFont="1" applyFill="1" applyBorder="1"/>
    <xf numFmtId="4" fontId="0" fillId="9" borderId="0" xfId="1" applyNumberFormat="1" applyFont="1" applyFill="1" applyBorder="1"/>
    <xf numFmtId="0" fontId="1" fillId="9" borderId="7" xfId="0" applyFont="1" applyFill="1" applyBorder="1" applyAlignment="1">
      <alignment horizontal="center"/>
    </xf>
    <xf numFmtId="0" fontId="0" fillId="9" borderId="6" xfId="0" applyFill="1" applyBorder="1"/>
    <xf numFmtId="0" fontId="1" fillId="9" borderId="6" xfId="0" applyFont="1" applyFill="1" applyBorder="1"/>
    <xf numFmtId="4" fontId="1" fillId="9" borderId="7" xfId="1" applyNumberFormat="1" applyFont="1" applyFill="1" applyBorder="1"/>
    <xf numFmtId="4" fontId="0" fillId="9" borderId="7" xfId="1" applyNumberFormat="1" applyFont="1" applyFill="1" applyBorder="1"/>
    <xf numFmtId="0" fontId="0" fillId="10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15" borderId="1" xfId="0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9" borderId="1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0" fillId="18" borderId="1" xfId="0" applyFill="1" applyBorder="1" applyAlignment="1">
      <alignment horizontal="left"/>
    </xf>
    <xf numFmtId="0" fontId="0" fillId="16" borderId="18" xfId="0" applyFill="1" applyBorder="1" applyAlignment="1">
      <alignment horizontal="left"/>
    </xf>
    <xf numFmtId="0" fontId="0" fillId="16" borderId="19" xfId="0" applyFill="1" applyBorder="1" applyAlignment="1">
      <alignment horizontal="left"/>
    </xf>
    <xf numFmtId="0" fontId="0" fillId="19" borderId="1" xfId="0" applyFill="1" applyBorder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21</xdr:row>
      <xdr:rowOff>19050</xdr:rowOff>
    </xdr:from>
    <xdr:to>
      <xdr:col>14</xdr:col>
      <xdr:colOff>352425</xdr:colOff>
      <xdr:row>24</xdr:row>
      <xdr:rowOff>180975</xdr:rowOff>
    </xdr:to>
    <xdr:sp macro="" textlink="">
      <xdr:nvSpPr>
        <xdr:cNvPr id="2" name="1 Cerrar llav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420475" y="4019550"/>
          <a:ext cx="238125" cy="733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14</xdr:col>
      <xdr:colOff>114300</xdr:colOff>
      <xdr:row>19</xdr:row>
      <xdr:rowOff>38100</xdr:rowOff>
    </xdr:from>
    <xdr:to>
      <xdr:col>14</xdr:col>
      <xdr:colOff>352425</xdr:colOff>
      <xdr:row>20</xdr:row>
      <xdr:rowOff>152400</xdr:rowOff>
    </xdr:to>
    <xdr:sp macro="" textlink="">
      <xdr:nvSpPr>
        <xdr:cNvPr id="3" name="1 Cerrar llav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420475" y="3657600"/>
          <a:ext cx="238125" cy="304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14</xdr:col>
      <xdr:colOff>142875</xdr:colOff>
      <xdr:row>25</xdr:row>
      <xdr:rowOff>57150</xdr:rowOff>
    </xdr:from>
    <xdr:to>
      <xdr:col>14</xdr:col>
      <xdr:colOff>381000</xdr:colOff>
      <xdr:row>26</xdr:row>
      <xdr:rowOff>171450</xdr:rowOff>
    </xdr:to>
    <xdr:sp macro="" textlink="">
      <xdr:nvSpPr>
        <xdr:cNvPr id="4" name="1 Cerrar llav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1449050" y="4819650"/>
          <a:ext cx="238125" cy="304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804862</xdr:colOff>
      <xdr:row>18</xdr:row>
      <xdr:rowOff>185739</xdr:rowOff>
    </xdr:from>
    <xdr:to>
      <xdr:col>15</xdr:col>
      <xdr:colOff>97896</xdr:colOff>
      <xdr:row>24</xdr:row>
      <xdr:rowOff>166689</xdr:rowOff>
    </xdr:to>
    <xdr:sp macro="" textlink="">
      <xdr:nvSpPr>
        <xdr:cNvPr id="2" name="1 Cerrar llave">
          <a:extLst>
            <a:ext uri="{FF2B5EF4-FFF2-40B4-BE49-F238E27FC236}">
              <a16:creationId xmlns:a16="http://schemas.microsoft.com/office/drawing/2014/main" id="{0F914518-82DE-4EF5-9864-91459DAE7331}"/>
            </a:ext>
          </a:extLst>
        </xdr:cNvPr>
        <xdr:cNvSpPr/>
      </xdr:nvSpPr>
      <xdr:spPr>
        <a:xfrm>
          <a:off x="14556581" y="4376739"/>
          <a:ext cx="245534" cy="11239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14</xdr:col>
      <xdr:colOff>114300</xdr:colOff>
      <xdr:row>17</xdr:row>
      <xdr:rowOff>38100</xdr:rowOff>
    </xdr:from>
    <xdr:to>
      <xdr:col>14</xdr:col>
      <xdr:colOff>352425</xdr:colOff>
      <xdr:row>18</xdr:row>
      <xdr:rowOff>152400</xdr:rowOff>
    </xdr:to>
    <xdr:sp macro="" textlink="">
      <xdr:nvSpPr>
        <xdr:cNvPr id="3" name="1 Cerrar llave">
          <a:extLst>
            <a:ext uri="{FF2B5EF4-FFF2-40B4-BE49-F238E27FC236}">
              <a16:creationId xmlns:a16="http://schemas.microsoft.com/office/drawing/2014/main" id="{FAE03DAA-91C2-403F-BFF9-C01B69D7058C}"/>
            </a:ext>
          </a:extLst>
        </xdr:cNvPr>
        <xdr:cNvSpPr/>
      </xdr:nvSpPr>
      <xdr:spPr>
        <a:xfrm>
          <a:off x="13601700" y="3657600"/>
          <a:ext cx="238125" cy="304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14</xdr:col>
      <xdr:colOff>121708</xdr:colOff>
      <xdr:row>25</xdr:row>
      <xdr:rowOff>67733</xdr:rowOff>
    </xdr:from>
    <xdr:to>
      <xdr:col>14</xdr:col>
      <xdr:colOff>359833</xdr:colOff>
      <xdr:row>26</xdr:row>
      <xdr:rowOff>182033</xdr:rowOff>
    </xdr:to>
    <xdr:sp macro="" textlink="">
      <xdr:nvSpPr>
        <xdr:cNvPr id="4" name="1 Cerrar llave">
          <a:extLst>
            <a:ext uri="{FF2B5EF4-FFF2-40B4-BE49-F238E27FC236}">
              <a16:creationId xmlns:a16="http://schemas.microsoft.com/office/drawing/2014/main" id="{82BF16D5-3799-4020-9914-9DA7875C0F01}"/>
            </a:ext>
          </a:extLst>
        </xdr:cNvPr>
        <xdr:cNvSpPr/>
      </xdr:nvSpPr>
      <xdr:spPr>
        <a:xfrm>
          <a:off x="13118041" y="5592233"/>
          <a:ext cx="238125" cy="304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09"/>
  <sheetViews>
    <sheetView topLeftCell="D87" zoomScale="90" zoomScaleNormal="90" workbookViewId="0">
      <selection activeCell="J105" sqref="J105"/>
    </sheetView>
  </sheetViews>
  <sheetFormatPr baseColWidth="10" defaultColWidth="11.42578125" defaultRowHeight="15" x14ac:dyDescent="0.25"/>
  <cols>
    <col min="1" max="1" width="1.28515625" style="1" customWidth="1"/>
    <col min="2" max="2" width="19.7109375" style="1" customWidth="1"/>
    <col min="3" max="7" width="14.5703125" style="1" customWidth="1"/>
    <col min="8" max="8" width="11.42578125" style="1" customWidth="1"/>
    <col min="9" max="9" width="19.140625" style="1" customWidth="1"/>
    <col min="10" max="14" width="15.5703125" style="1" customWidth="1"/>
    <col min="15" max="15" width="14.28515625" style="1" customWidth="1"/>
    <col min="16" max="16" width="11.42578125" style="1" customWidth="1"/>
    <col min="17" max="16384" width="11.42578125" style="1"/>
  </cols>
  <sheetData>
    <row r="2" spans="2:15" x14ac:dyDescent="0.25">
      <c r="B2" s="3" t="s">
        <v>0</v>
      </c>
      <c r="E2" s="1" t="s">
        <v>121</v>
      </c>
    </row>
    <row r="4" spans="2:15" x14ac:dyDescent="0.25">
      <c r="B4" s="1" t="s">
        <v>3</v>
      </c>
    </row>
    <row r="5" spans="2:15" x14ac:dyDescent="0.25">
      <c r="B5" s="1" t="s">
        <v>28</v>
      </c>
    </row>
    <row r="6" spans="2:15" x14ac:dyDescent="0.25">
      <c r="B6" s="1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  <c r="J6" s="8" t="s">
        <v>12</v>
      </c>
      <c r="K6" s="8" t="s">
        <v>13</v>
      </c>
      <c r="L6" s="8" t="s">
        <v>14</v>
      </c>
      <c r="M6" s="8" t="s">
        <v>15</v>
      </c>
      <c r="N6" s="8" t="s">
        <v>16</v>
      </c>
    </row>
    <row r="7" spans="2:15" x14ac:dyDescent="0.25">
      <c r="B7" s="7" t="s">
        <v>17</v>
      </c>
      <c r="C7" s="93">
        <v>1500</v>
      </c>
      <c r="D7" s="93">
        <f>C7*(1+$O$7)</f>
        <v>1515</v>
      </c>
      <c r="E7" s="93">
        <f t="shared" ref="E7:N7" si="0">D7*(1+$O$7)</f>
        <v>1530.15</v>
      </c>
      <c r="F7" s="93">
        <f t="shared" si="0"/>
        <v>1545.4515000000001</v>
      </c>
      <c r="G7" s="93">
        <f t="shared" si="0"/>
        <v>1560.9060150000003</v>
      </c>
      <c r="H7" s="93">
        <f t="shared" si="0"/>
        <v>1576.5150751500003</v>
      </c>
      <c r="I7" s="93">
        <f t="shared" si="0"/>
        <v>1592.2802259015002</v>
      </c>
      <c r="J7" s="93">
        <f t="shared" si="0"/>
        <v>1608.2030281605153</v>
      </c>
      <c r="K7" s="93">
        <f t="shared" si="0"/>
        <v>1624.2850584421203</v>
      </c>
      <c r="L7" s="93">
        <f t="shared" si="0"/>
        <v>1640.5279090265415</v>
      </c>
      <c r="M7" s="93">
        <f t="shared" si="0"/>
        <v>1656.9331881168068</v>
      </c>
      <c r="N7" s="94">
        <f t="shared" si="0"/>
        <v>1673.502519997975</v>
      </c>
      <c r="O7" s="20">
        <v>0.01</v>
      </c>
    </row>
    <row r="8" spans="2:15" x14ac:dyDescent="0.25">
      <c r="B8" s="7" t="s">
        <v>18</v>
      </c>
      <c r="C8" s="94">
        <f>N7*(1+O8)</f>
        <v>1690.2375451979549</v>
      </c>
      <c r="D8" s="94">
        <f>C8*(1+$O$8)</f>
        <v>1707.1399206499345</v>
      </c>
      <c r="E8" s="94">
        <f t="shared" ref="E8:N8" si="1">D8*(1+$O$8)</f>
        <v>1724.2113198564339</v>
      </c>
      <c r="F8" s="94">
        <f t="shared" si="1"/>
        <v>1741.4534330549982</v>
      </c>
      <c r="G8" s="94">
        <f t="shared" si="1"/>
        <v>1758.8679673855481</v>
      </c>
      <c r="H8" s="94">
        <f t="shared" si="1"/>
        <v>1776.4566470594036</v>
      </c>
      <c r="I8" s="94">
        <f t="shared" si="1"/>
        <v>1794.2212135299976</v>
      </c>
      <c r="J8" s="94">
        <f t="shared" si="1"/>
        <v>1812.1634256652976</v>
      </c>
      <c r="K8" s="94">
        <f t="shared" si="1"/>
        <v>1830.2850599219505</v>
      </c>
      <c r="L8" s="94">
        <f t="shared" si="1"/>
        <v>1848.58791052117</v>
      </c>
      <c r="M8" s="94">
        <f t="shared" si="1"/>
        <v>1867.0737896263818</v>
      </c>
      <c r="N8" s="95">
        <f t="shared" si="1"/>
        <v>1885.7445275226455</v>
      </c>
      <c r="O8" s="20">
        <v>0.01</v>
      </c>
    </row>
    <row r="9" spans="2:15" x14ac:dyDescent="0.25">
      <c r="B9" s="7" t="s">
        <v>19</v>
      </c>
      <c r="C9" s="95">
        <f>N8*(1+O9)</f>
        <v>1904.6019727978719</v>
      </c>
      <c r="D9" s="95">
        <f>C9*(1+$O$9)</f>
        <v>1923.6479925258507</v>
      </c>
      <c r="E9" s="95">
        <f t="shared" ref="E9:N9" si="2">D9*(1+$O$9)</f>
        <v>1942.8844724511091</v>
      </c>
      <c r="F9" s="95">
        <f t="shared" si="2"/>
        <v>1962.3133171756201</v>
      </c>
      <c r="G9" s="95">
        <f t="shared" si="2"/>
        <v>1981.9364503473764</v>
      </c>
      <c r="H9" s="95">
        <f t="shared" si="2"/>
        <v>2001.7558148508501</v>
      </c>
      <c r="I9" s="95">
        <f t="shared" si="2"/>
        <v>2021.7733729993586</v>
      </c>
      <c r="J9" s="95">
        <f t="shared" si="2"/>
        <v>2041.9911067293522</v>
      </c>
      <c r="K9" s="95">
        <f t="shared" si="2"/>
        <v>2062.4110177966459</v>
      </c>
      <c r="L9" s="95">
        <f t="shared" si="2"/>
        <v>2083.0351279746124</v>
      </c>
      <c r="M9" s="95">
        <f t="shared" si="2"/>
        <v>2103.8654792543584</v>
      </c>
      <c r="N9" s="96">
        <f t="shared" si="2"/>
        <v>2124.9041340469021</v>
      </c>
      <c r="O9" s="20">
        <v>0.01</v>
      </c>
    </row>
    <row r="10" spans="2:15" x14ac:dyDescent="0.25">
      <c r="B10" s="7" t="s">
        <v>20</v>
      </c>
      <c r="C10" s="96">
        <f>N9*(1+O10)</f>
        <v>2146.153175387371</v>
      </c>
      <c r="D10" s="96">
        <f>C10*(1+$O$10)</f>
        <v>2167.6147071412447</v>
      </c>
      <c r="E10" s="96">
        <f t="shared" ref="E10:N10" si="3">D10*(1+$O$10)</f>
        <v>2189.290854212657</v>
      </c>
      <c r="F10" s="96">
        <f t="shared" si="3"/>
        <v>2211.1837627547834</v>
      </c>
      <c r="G10" s="96">
        <f t="shared" si="3"/>
        <v>2233.295600382331</v>
      </c>
      <c r="H10" s="96">
        <f t="shared" si="3"/>
        <v>2255.6285563861543</v>
      </c>
      <c r="I10" s="96">
        <f t="shared" si="3"/>
        <v>2278.1848419500157</v>
      </c>
      <c r="J10" s="96">
        <f t="shared" si="3"/>
        <v>2300.9666903695156</v>
      </c>
      <c r="K10" s="96">
        <f t="shared" si="3"/>
        <v>2323.9763572732109</v>
      </c>
      <c r="L10" s="96">
        <f t="shared" si="3"/>
        <v>2347.2161208459429</v>
      </c>
      <c r="M10" s="96">
        <f t="shared" si="3"/>
        <v>2370.6882820544024</v>
      </c>
      <c r="N10" s="97">
        <f t="shared" si="3"/>
        <v>2394.3951648749467</v>
      </c>
      <c r="O10" s="20">
        <v>0.01</v>
      </c>
    </row>
    <row r="11" spans="2:15" x14ac:dyDescent="0.25">
      <c r="B11" s="7" t="s">
        <v>22</v>
      </c>
      <c r="C11" s="97">
        <f>N10*(1+O11)</f>
        <v>2418.3391165236962</v>
      </c>
      <c r="D11" s="97">
        <f>C11*(1+$O$11)</f>
        <v>2442.5225076889333</v>
      </c>
      <c r="E11" s="97">
        <f t="shared" ref="E11:N11" si="4">D11*(1+$O$11)</f>
        <v>2466.9477327658228</v>
      </c>
      <c r="F11" s="97">
        <f t="shared" si="4"/>
        <v>2491.6172100934809</v>
      </c>
      <c r="G11" s="97">
        <f t="shared" si="4"/>
        <v>2516.5333821944159</v>
      </c>
      <c r="H11" s="97">
        <f t="shared" si="4"/>
        <v>2541.6987160163603</v>
      </c>
      <c r="I11" s="97">
        <f t="shared" si="4"/>
        <v>2567.1157031765238</v>
      </c>
      <c r="J11" s="97">
        <f t="shared" si="4"/>
        <v>2592.786860208289</v>
      </c>
      <c r="K11" s="97">
        <f t="shared" si="4"/>
        <v>2618.714728810372</v>
      </c>
      <c r="L11" s="97">
        <f t="shared" si="4"/>
        <v>2644.9018760984759</v>
      </c>
      <c r="M11" s="97">
        <f t="shared" si="4"/>
        <v>2671.3508948594608</v>
      </c>
      <c r="N11" s="98">
        <f t="shared" si="4"/>
        <v>2698.0644038080554</v>
      </c>
      <c r="O11" s="20">
        <v>0.01</v>
      </c>
    </row>
    <row r="12" spans="2:15" x14ac:dyDescent="0.25">
      <c r="B12" s="5" t="s">
        <v>24</v>
      </c>
      <c r="C12" s="58">
        <v>10</v>
      </c>
      <c r="D12" s="6" t="s">
        <v>104</v>
      </c>
      <c r="F12" s="6"/>
      <c r="G12" s="6"/>
      <c r="H12" s="6"/>
      <c r="I12" s="6"/>
      <c r="J12" s="6"/>
      <c r="K12" s="6"/>
      <c r="L12" s="6"/>
      <c r="M12" s="6"/>
      <c r="N12" s="99" t="s">
        <v>126</v>
      </c>
    </row>
    <row r="13" spans="2:15" x14ac:dyDescent="0.25">
      <c r="B13" s="91" t="s">
        <v>23</v>
      </c>
      <c r="C13" s="92"/>
      <c r="D13" s="92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2:15" x14ac:dyDescent="0.25">
      <c r="B14" s="5"/>
      <c r="C14" s="109">
        <f>+C7/C12</f>
        <v>150</v>
      </c>
      <c r="D14" s="6"/>
      <c r="E14" s="6"/>
      <c r="F14" s="6"/>
      <c r="G14" s="6"/>
      <c r="H14" s="54"/>
      <c r="I14" s="6"/>
      <c r="J14" s="6"/>
      <c r="K14" s="6"/>
      <c r="L14" s="6"/>
      <c r="M14" s="6"/>
      <c r="N14" s="6"/>
    </row>
    <row r="15" spans="2:15" x14ac:dyDescent="0.25">
      <c r="B15" s="5" t="s">
        <v>34</v>
      </c>
      <c r="C15" s="6"/>
      <c r="D15" s="6"/>
      <c r="E15" s="6"/>
      <c r="F15" s="6" t="s">
        <v>128</v>
      </c>
      <c r="G15" s="6"/>
      <c r="H15" s="54"/>
      <c r="I15" s="6"/>
      <c r="J15" s="6"/>
      <c r="K15" s="6"/>
      <c r="L15" s="6"/>
      <c r="M15" s="6"/>
      <c r="N15" s="6"/>
    </row>
    <row r="16" spans="2:15" x14ac:dyDescent="0.25">
      <c r="B16" s="5" t="s">
        <v>35</v>
      </c>
      <c r="C16" s="58">
        <v>5</v>
      </c>
      <c r="D16" s="19" t="s">
        <v>39</v>
      </c>
      <c r="F16" s="19"/>
      <c r="G16" s="19"/>
      <c r="H16" s="55"/>
      <c r="I16" s="6"/>
      <c r="J16" s="6"/>
      <c r="K16" s="6"/>
      <c r="L16" s="6"/>
      <c r="M16" s="6"/>
      <c r="N16" s="6"/>
    </row>
    <row r="17" spans="2:20" x14ac:dyDescent="0.25">
      <c r="B17" s="5" t="s">
        <v>36</v>
      </c>
      <c r="C17" s="6"/>
      <c r="D17" s="6"/>
      <c r="E17" s="6"/>
      <c r="F17" s="6"/>
      <c r="G17" s="6"/>
      <c r="H17" s="56"/>
      <c r="I17" s="6"/>
      <c r="J17" s="6"/>
      <c r="K17" s="6"/>
      <c r="L17" s="6"/>
      <c r="M17" s="6"/>
      <c r="N17" s="6"/>
    </row>
    <row r="18" spans="2:20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 t="s">
        <v>141</v>
      </c>
    </row>
    <row r="19" spans="2:20" x14ac:dyDescent="0.25">
      <c r="B19" s="5" t="s">
        <v>85</v>
      </c>
      <c r="C19" s="6"/>
      <c r="D19" s="6"/>
      <c r="E19" s="6"/>
      <c r="F19" s="6"/>
      <c r="G19" s="6" t="s">
        <v>88</v>
      </c>
      <c r="H19" s="6"/>
      <c r="I19" s="6" t="s">
        <v>132</v>
      </c>
      <c r="J19" s="6"/>
      <c r="L19" s="143" t="s">
        <v>96</v>
      </c>
      <c r="M19" s="143"/>
      <c r="N19" s="143"/>
      <c r="O19" s="143"/>
    </row>
    <row r="20" spans="2:20" x14ac:dyDescent="0.25">
      <c r="B20" s="4" t="s">
        <v>40</v>
      </c>
      <c r="C20" s="59">
        <v>2500</v>
      </c>
      <c r="D20" s="6" t="s">
        <v>86</v>
      </c>
      <c r="E20" s="6"/>
      <c r="F20" s="6"/>
      <c r="G20" s="144" t="s">
        <v>47</v>
      </c>
      <c r="H20" s="144"/>
      <c r="I20" s="60">
        <v>350</v>
      </c>
      <c r="J20" s="6" t="s">
        <v>87</v>
      </c>
      <c r="L20" s="141" t="s">
        <v>97</v>
      </c>
      <c r="M20" s="141"/>
      <c r="N20" s="105">
        <v>5000</v>
      </c>
      <c r="P20" s="1" t="s">
        <v>112</v>
      </c>
    </row>
    <row r="21" spans="2:20" x14ac:dyDescent="0.25">
      <c r="B21" s="4" t="s">
        <v>42</v>
      </c>
      <c r="C21" s="59">
        <f>200*12</f>
        <v>2400</v>
      </c>
      <c r="D21" s="6" t="s">
        <v>87</v>
      </c>
      <c r="E21" s="6"/>
      <c r="F21" s="6"/>
      <c r="G21" s="144" t="s">
        <v>48</v>
      </c>
      <c r="H21" s="144"/>
      <c r="I21" s="60">
        <f>400*12</f>
        <v>4800</v>
      </c>
      <c r="J21" s="6" t="s">
        <v>87</v>
      </c>
      <c r="L21" s="141" t="s">
        <v>98</v>
      </c>
      <c r="M21" s="141"/>
      <c r="N21" s="105">
        <v>4000</v>
      </c>
    </row>
    <row r="22" spans="2:20" x14ac:dyDescent="0.25">
      <c r="B22" s="4" t="s">
        <v>43</v>
      </c>
      <c r="C22" s="59">
        <f>300*12</f>
        <v>3600</v>
      </c>
      <c r="D22" s="6" t="s">
        <v>87</v>
      </c>
      <c r="E22" s="6"/>
      <c r="F22" s="6"/>
      <c r="G22" s="144" t="s">
        <v>49</v>
      </c>
      <c r="H22" s="144"/>
      <c r="I22" s="60">
        <v>6000</v>
      </c>
      <c r="J22" s="6" t="s">
        <v>87</v>
      </c>
      <c r="L22" s="138" t="s">
        <v>99</v>
      </c>
      <c r="M22" s="138"/>
      <c r="N22" s="106">
        <v>150</v>
      </c>
    </row>
    <row r="23" spans="2:20" x14ac:dyDescent="0.25">
      <c r="B23" s="4" t="s">
        <v>44</v>
      </c>
      <c r="C23" s="59">
        <v>3000</v>
      </c>
      <c r="D23" s="6" t="s">
        <v>87</v>
      </c>
      <c r="E23" s="6"/>
      <c r="F23" s="6"/>
      <c r="G23" s="144" t="s">
        <v>50</v>
      </c>
      <c r="H23" s="144"/>
      <c r="I23" s="60">
        <f>100*12</f>
        <v>1200</v>
      </c>
      <c r="J23" s="6" t="s">
        <v>87</v>
      </c>
      <c r="L23" s="138" t="s">
        <v>100</v>
      </c>
      <c r="M23" s="138"/>
      <c r="N23" s="106">
        <v>300</v>
      </c>
      <c r="P23" s="1" t="s">
        <v>110</v>
      </c>
      <c r="Q23" s="1" t="s">
        <v>111</v>
      </c>
    </row>
    <row r="24" spans="2:20" x14ac:dyDescent="0.25">
      <c r="B24" s="5"/>
      <c r="C24" s="6"/>
      <c r="D24" s="6"/>
      <c r="E24" s="6"/>
      <c r="F24" s="6"/>
      <c r="G24" s="140" t="s">
        <v>117</v>
      </c>
      <c r="H24" s="140"/>
      <c r="I24" s="60">
        <v>0.8</v>
      </c>
      <c r="J24" s="6" t="s">
        <v>104</v>
      </c>
      <c r="L24" s="138" t="s">
        <v>105</v>
      </c>
      <c r="M24" s="138"/>
      <c r="N24" s="106">
        <v>50</v>
      </c>
      <c r="P24" s="62">
        <f>SUM(N22:N25)</f>
        <v>2000</v>
      </c>
    </row>
    <row r="25" spans="2:20" x14ac:dyDescent="0.25">
      <c r="B25" s="5"/>
      <c r="C25" s="6"/>
      <c r="D25" s="6"/>
      <c r="E25" s="6"/>
      <c r="F25" s="6"/>
      <c r="G25" s="6"/>
      <c r="H25" s="6"/>
      <c r="I25" s="5"/>
      <c r="J25" s="5"/>
      <c r="K25" s="6"/>
      <c r="L25" s="138" t="s">
        <v>106</v>
      </c>
      <c r="M25" s="138"/>
      <c r="N25" s="106">
        <v>1500</v>
      </c>
    </row>
    <row r="26" spans="2:20" x14ac:dyDescent="0.25">
      <c r="B26" s="5" t="s">
        <v>89</v>
      </c>
      <c r="C26" s="6"/>
      <c r="D26" s="6"/>
      <c r="E26" s="58">
        <v>15000</v>
      </c>
      <c r="F26" s="6" t="s">
        <v>90</v>
      </c>
      <c r="G26" s="57">
        <v>3</v>
      </c>
      <c r="H26" s="6" t="s">
        <v>91</v>
      </c>
      <c r="I26" s="5" t="s">
        <v>93</v>
      </c>
      <c r="J26" s="23">
        <v>0.25</v>
      </c>
      <c r="K26" s="17" t="s">
        <v>94</v>
      </c>
      <c r="L26" s="142" t="s">
        <v>101</v>
      </c>
      <c r="M26" s="142"/>
      <c r="N26" s="108">
        <f>(C20+C21+C22+C23+I20+I21+I22+I23)/3+(I24*(C7+D7+E7))</f>
        <v>11586.119999999999</v>
      </c>
      <c r="P26" s="1" t="s">
        <v>113</v>
      </c>
    </row>
    <row r="27" spans="2:20" x14ac:dyDescent="0.25">
      <c r="B27" s="5"/>
      <c r="C27" s="8" t="s">
        <v>17</v>
      </c>
      <c r="D27" s="8" t="s">
        <v>18</v>
      </c>
      <c r="E27" s="8" t="s">
        <v>19</v>
      </c>
      <c r="F27" s="8" t="s">
        <v>20</v>
      </c>
      <c r="G27" s="8" t="s">
        <v>21</v>
      </c>
      <c r="H27" s="6"/>
      <c r="I27" s="5"/>
      <c r="J27" s="5"/>
      <c r="K27" s="6"/>
      <c r="L27" s="142" t="s">
        <v>102</v>
      </c>
      <c r="M27" s="142"/>
      <c r="N27" s="108">
        <f>C16*(C7+D7+E7)</f>
        <v>22725.75</v>
      </c>
    </row>
    <row r="28" spans="2:20" x14ac:dyDescent="0.25">
      <c r="B28" s="4" t="s">
        <v>92</v>
      </c>
      <c r="C28" s="61">
        <f>E26*J26</f>
        <v>3750</v>
      </c>
      <c r="D28" s="61">
        <f>(E26-C29)*J26</f>
        <v>2766.3934426229507</v>
      </c>
      <c r="E28" s="61">
        <f>(E26-C29-D29)*J26</f>
        <v>1536.8852459016391</v>
      </c>
      <c r="F28" s="21"/>
      <c r="G28" s="21"/>
      <c r="H28" s="6"/>
      <c r="I28" s="5"/>
      <c r="J28" s="5"/>
      <c r="K28" s="6"/>
      <c r="L28" s="6"/>
      <c r="M28" s="6" t="s">
        <v>103</v>
      </c>
      <c r="N28" s="58">
        <f>SUM(N20:N27)</f>
        <v>45311.869999999995</v>
      </c>
      <c r="R28" s="1" t="s">
        <v>144</v>
      </c>
      <c r="S28" s="1" t="s">
        <v>145</v>
      </c>
      <c r="T28" s="1" t="s">
        <v>146</v>
      </c>
    </row>
    <row r="29" spans="2:20" x14ac:dyDescent="0.25">
      <c r="B29" s="4" t="s">
        <v>54</v>
      </c>
      <c r="C29" s="61">
        <f>C30-C28</f>
        <v>3934.4262295081971</v>
      </c>
      <c r="D29" s="61">
        <f>D30-D28</f>
        <v>4918.0327868852464</v>
      </c>
      <c r="E29" s="61">
        <f>E30-E28</f>
        <v>6147.5409836065583</v>
      </c>
      <c r="F29" s="21"/>
      <c r="G29" s="21"/>
      <c r="H29" s="6"/>
      <c r="I29" s="5"/>
      <c r="J29" s="5"/>
      <c r="K29" s="6"/>
      <c r="L29" s="6"/>
      <c r="M29" s="6"/>
      <c r="N29" s="6"/>
      <c r="P29" s="62">
        <f>N27</f>
        <v>22725.75</v>
      </c>
      <c r="Q29" s="1" t="s">
        <v>142</v>
      </c>
      <c r="R29" s="53">
        <f>-C7</f>
        <v>-1500</v>
      </c>
      <c r="S29" s="53">
        <f>-D7</f>
        <v>-1515</v>
      </c>
    </row>
    <row r="30" spans="2:20" x14ac:dyDescent="0.25">
      <c r="B30" s="4" t="s">
        <v>83</v>
      </c>
      <c r="C30" s="61">
        <f>PMT(J26,G26,-E26)</f>
        <v>7684.4262295081971</v>
      </c>
      <c r="D30" s="61">
        <f>C30</f>
        <v>7684.4262295081971</v>
      </c>
      <c r="E30" s="61">
        <f>D30</f>
        <v>7684.4262295081971</v>
      </c>
      <c r="F30" s="21"/>
      <c r="G30" s="21"/>
      <c r="H30" s="6"/>
      <c r="I30" s="5"/>
      <c r="J30" s="5"/>
      <c r="K30" s="6"/>
      <c r="L30" s="6"/>
      <c r="M30" s="6"/>
      <c r="N30" s="6"/>
      <c r="Q30" s="1" t="s">
        <v>143</v>
      </c>
      <c r="R30" s="1">
        <v>1500</v>
      </c>
      <c r="S30" s="1">
        <v>1515</v>
      </c>
    </row>
    <row r="31" spans="2:20" s="16" customFormat="1" ht="15.75" thickBot="1" x14ac:dyDescent="0.3"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spans="2:20" x14ac:dyDescent="0.25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2:14" x14ac:dyDescent="0.25">
      <c r="B33" s="145" t="s">
        <v>31</v>
      </c>
      <c r="C33" s="145"/>
      <c r="D33" s="145"/>
      <c r="E33" s="145"/>
      <c r="F33" s="145"/>
      <c r="G33" s="145"/>
      <c r="H33" s="6"/>
      <c r="I33" s="145" t="s">
        <v>32</v>
      </c>
      <c r="J33" s="145"/>
      <c r="K33" s="145"/>
      <c r="L33" s="145"/>
      <c r="M33" s="145"/>
      <c r="N33" s="145"/>
    </row>
    <row r="34" spans="2:14" ht="8.25" customHeight="1" x14ac:dyDescent="0.25"/>
    <row r="35" spans="2:14" s="3" customFormat="1" x14ac:dyDescent="0.25">
      <c r="B35" s="3" t="s">
        <v>1</v>
      </c>
      <c r="C35" s="3" t="s">
        <v>122</v>
      </c>
      <c r="E35" s="3" t="s">
        <v>123</v>
      </c>
      <c r="I35" s="3" t="s">
        <v>2</v>
      </c>
      <c r="K35" s="3" t="s">
        <v>124</v>
      </c>
      <c r="L35" s="3" t="s">
        <v>125</v>
      </c>
    </row>
    <row r="36" spans="2:14" x14ac:dyDescent="0.25">
      <c r="C36" s="26" t="s">
        <v>17</v>
      </c>
      <c r="D36" s="26" t="s">
        <v>18</v>
      </c>
      <c r="E36" s="26" t="s">
        <v>19</v>
      </c>
      <c r="F36" s="26" t="s">
        <v>20</v>
      </c>
      <c r="G36" s="26" t="s">
        <v>21</v>
      </c>
      <c r="J36" s="28" t="s">
        <v>17</v>
      </c>
      <c r="K36" s="28" t="s">
        <v>18</v>
      </c>
      <c r="L36" s="28" t="s">
        <v>19</v>
      </c>
      <c r="M36" s="28" t="s">
        <v>20</v>
      </c>
      <c r="N36" s="28" t="s">
        <v>22</v>
      </c>
    </row>
    <row r="37" spans="2:14" x14ac:dyDescent="0.25">
      <c r="B37" s="27" t="s">
        <v>25</v>
      </c>
      <c r="C37" s="65">
        <f>SUM(C7:N7)</f>
        <v>19023.754519795457</v>
      </c>
      <c r="D37" s="65">
        <f>SUM(C8:N8)</f>
        <v>21436.442759991718</v>
      </c>
      <c r="E37" s="65">
        <f>SUM(C9:N9)</f>
        <v>24155.120258949912</v>
      </c>
      <c r="F37" s="65">
        <f>SUM(C10:N10)</f>
        <v>27218.594113632575</v>
      </c>
      <c r="G37" s="65">
        <f>SUM(C11:N11)</f>
        <v>30670.593132243885</v>
      </c>
      <c r="I37" s="27" t="s">
        <v>25</v>
      </c>
      <c r="J37" s="65">
        <f>SUM(C7:M7)</f>
        <v>17350.251999797481</v>
      </c>
      <c r="K37" s="65">
        <f>N7+SUM(C8:M8)</f>
        <v>21224.200752467048</v>
      </c>
      <c r="L37" s="65">
        <f>N8+SUM(C9:M9)</f>
        <v>23915.960652425656</v>
      </c>
      <c r="M37" s="65">
        <f>N9+SUM(C10:M10)</f>
        <v>26949.10308280453</v>
      </c>
      <c r="N37" s="65">
        <f>N10+SUM(C11:M11)</f>
        <v>30366.923893310777</v>
      </c>
    </row>
    <row r="38" spans="2:14" x14ac:dyDescent="0.25">
      <c r="B38" s="27" t="s">
        <v>26</v>
      </c>
      <c r="C38" s="65">
        <f>$C$12</f>
        <v>10</v>
      </c>
      <c r="D38" s="65">
        <f t="shared" ref="D38:G38" si="5">$C$12</f>
        <v>10</v>
      </c>
      <c r="E38" s="65">
        <f t="shared" si="5"/>
        <v>10</v>
      </c>
      <c r="F38" s="65">
        <f t="shared" si="5"/>
        <v>10</v>
      </c>
      <c r="G38" s="65">
        <f t="shared" si="5"/>
        <v>10</v>
      </c>
      <c r="I38" s="27" t="s">
        <v>26</v>
      </c>
      <c r="J38" s="65">
        <f>$C$12*1.18</f>
        <v>11.799999999999999</v>
      </c>
      <c r="K38" s="65">
        <f t="shared" ref="K38:N38" si="6">$C$12*1.18</f>
        <v>11.799999999999999</v>
      </c>
      <c r="L38" s="65">
        <f t="shared" si="6"/>
        <v>11.799999999999999</v>
      </c>
      <c r="M38" s="65">
        <f t="shared" si="6"/>
        <v>11.799999999999999</v>
      </c>
      <c r="N38" s="65">
        <f t="shared" si="6"/>
        <v>11.799999999999999</v>
      </c>
    </row>
    <row r="39" spans="2:14" x14ac:dyDescent="0.25">
      <c r="B39" s="27" t="s">
        <v>27</v>
      </c>
      <c r="C39" s="90">
        <f>C37*C38</f>
        <v>190237.54519795458</v>
      </c>
      <c r="D39" s="90">
        <f t="shared" ref="D39:G39" si="7">D37*D38</f>
        <v>214364.42759991717</v>
      </c>
      <c r="E39" s="90">
        <f t="shared" si="7"/>
        <v>241551.20258949912</v>
      </c>
      <c r="F39" s="90">
        <f t="shared" si="7"/>
        <v>272185.94113632577</v>
      </c>
      <c r="G39" s="90">
        <f t="shared" si="7"/>
        <v>306705.93132243888</v>
      </c>
      <c r="I39" s="100" t="s">
        <v>27</v>
      </c>
      <c r="J39" s="101">
        <f>J37*J38</f>
        <v>204732.97359761025</v>
      </c>
      <c r="K39" s="101">
        <f t="shared" ref="K39" si="8">K37*K38</f>
        <v>250445.56887911115</v>
      </c>
      <c r="L39" s="101">
        <f t="shared" ref="L39" si="9">L37*L38</f>
        <v>282208.33569862269</v>
      </c>
      <c r="M39" s="101">
        <f t="shared" ref="M39" si="10">M37*M38</f>
        <v>317999.41637709341</v>
      </c>
      <c r="N39" s="101">
        <f t="shared" ref="N39" si="11">N37*N38</f>
        <v>358329.70194106712</v>
      </c>
    </row>
    <row r="41" spans="2:14" x14ac:dyDescent="0.25">
      <c r="B41" s="3" t="s">
        <v>29</v>
      </c>
      <c r="D41" s="3"/>
      <c r="E41" s="3" t="s">
        <v>127</v>
      </c>
      <c r="F41" s="3"/>
      <c r="G41" s="3"/>
      <c r="H41" s="1" t="s">
        <v>129</v>
      </c>
      <c r="I41" s="3" t="s">
        <v>30</v>
      </c>
      <c r="K41" s="3"/>
      <c r="L41" s="3" t="s">
        <v>125</v>
      </c>
      <c r="M41" s="3"/>
      <c r="N41" s="3"/>
    </row>
    <row r="42" spans="2:14" x14ac:dyDescent="0.25">
      <c r="C42" s="24" t="s">
        <v>17</v>
      </c>
      <c r="D42" s="24" t="s">
        <v>18</v>
      </c>
      <c r="E42" s="24" t="s">
        <v>19</v>
      </c>
      <c r="F42" s="24" t="s">
        <v>20</v>
      </c>
      <c r="G42" s="24" t="s">
        <v>21</v>
      </c>
      <c r="J42" s="24" t="s">
        <v>17</v>
      </c>
      <c r="K42" s="24" t="s">
        <v>18</v>
      </c>
      <c r="L42" s="24" t="s">
        <v>19</v>
      </c>
      <c r="M42" s="24" t="s">
        <v>20</v>
      </c>
      <c r="N42" s="24" t="s">
        <v>21</v>
      </c>
    </row>
    <row r="43" spans="2:14" x14ac:dyDescent="0.25">
      <c r="B43" s="25" t="s">
        <v>25</v>
      </c>
      <c r="C43" s="63">
        <f>C37</f>
        <v>19023.754519795457</v>
      </c>
      <c r="D43" s="63">
        <f t="shared" ref="D43:G43" si="12">D37</f>
        <v>21436.442759991718</v>
      </c>
      <c r="E43" s="63">
        <f t="shared" si="12"/>
        <v>24155.120258949912</v>
      </c>
      <c r="F43" s="63">
        <f t="shared" si="12"/>
        <v>27218.594113632575</v>
      </c>
      <c r="G43" s="63">
        <f t="shared" si="12"/>
        <v>30670.593132243885</v>
      </c>
      <c r="I43" s="25" t="s">
        <v>25</v>
      </c>
      <c r="J43" s="63">
        <f>C43</f>
        <v>19023.754519795457</v>
      </c>
      <c r="K43" s="63">
        <f t="shared" ref="K43:N43" si="13">D43</f>
        <v>21436.442759991718</v>
      </c>
      <c r="L43" s="63">
        <f t="shared" si="13"/>
        <v>24155.120258949912</v>
      </c>
      <c r="M43" s="63">
        <f t="shared" si="13"/>
        <v>27218.594113632575</v>
      </c>
      <c r="N43" s="63">
        <f t="shared" si="13"/>
        <v>30670.593132243885</v>
      </c>
    </row>
    <row r="44" spans="2:14" x14ac:dyDescent="0.25">
      <c r="B44" s="25" t="s">
        <v>33</v>
      </c>
      <c r="C44" s="64">
        <f>$C$16</f>
        <v>5</v>
      </c>
      <c r="D44" s="64">
        <f t="shared" ref="D44:G44" si="14">$C$16</f>
        <v>5</v>
      </c>
      <c r="E44" s="64">
        <f t="shared" si="14"/>
        <v>5</v>
      </c>
      <c r="F44" s="64">
        <f t="shared" si="14"/>
        <v>5</v>
      </c>
      <c r="G44" s="64">
        <f t="shared" si="14"/>
        <v>5</v>
      </c>
      <c r="I44" s="25" t="s">
        <v>33</v>
      </c>
      <c r="J44" s="64">
        <f>$C$16*1.18</f>
        <v>5.8999999999999995</v>
      </c>
      <c r="K44" s="64">
        <f t="shared" ref="K44:N44" si="15">$C$16*1.18</f>
        <v>5.8999999999999995</v>
      </c>
      <c r="L44" s="64">
        <f t="shared" si="15"/>
        <v>5.8999999999999995</v>
      </c>
      <c r="M44" s="64">
        <f t="shared" si="15"/>
        <v>5.8999999999999995</v>
      </c>
      <c r="N44" s="64">
        <f t="shared" si="15"/>
        <v>5.8999999999999995</v>
      </c>
    </row>
    <row r="45" spans="2:14" s="2" customFormat="1" x14ac:dyDescent="0.25">
      <c r="B45" s="102" t="s">
        <v>27</v>
      </c>
      <c r="C45" s="103">
        <f t="shared" ref="C45:G45" si="16">C43*C44</f>
        <v>95118.772598977288</v>
      </c>
      <c r="D45" s="103">
        <f t="shared" si="16"/>
        <v>107182.21379995858</v>
      </c>
      <c r="E45" s="103">
        <f t="shared" si="16"/>
        <v>120775.60129474956</v>
      </c>
      <c r="F45" s="103">
        <f t="shared" si="16"/>
        <v>136092.97056816288</v>
      </c>
      <c r="G45" s="103">
        <f t="shared" si="16"/>
        <v>153352.96566121944</v>
      </c>
      <c r="I45" s="102" t="s">
        <v>27</v>
      </c>
      <c r="J45" s="103">
        <f t="shared" ref="J45:K45" si="17">J43*J44</f>
        <v>112240.15166679319</v>
      </c>
      <c r="K45" s="103">
        <f t="shared" si="17"/>
        <v>126475.01228395113</v>
      </c>
      <c r="L45" s="103">
        <f t="shared" ref="L45" si="18">L43*L44</f>
        <v>142515.20952780446</v>
      </c>
      <c r="M45" s="103">
        <f t="shared" ref="M45" si="19">M43*M44</f>
        <v>160589.70527043217</v>
      </c>
      <c r="N45" s="103">
        <f t="shared" ref="N45" si="20">N43*N44</f>
        <v>180956.49948023891</v>
      </c>
    </row>
    <row r="46" spans="2:14" x14ac:dyDescent="0.25">
      <c r="C46" s="53"/>
      <c r="J46" s="53">
        <f>+C45*1.18</f>
        <v>112240.1516667932</v>
      </c>
    </row>
    <row r="47" spans="2:14" x14ac:dyDescent="0.25">
      <c r="B47" s="3" t="s">
        <v>37</v>
      </c>
      <c r="D47" s="1" t="s">
        <v>130</v>
      </c>
      <c r="E47" s="1" t="str">
        <f>E41</f>
        <v>NO IGV</v>
      </c>
      <c r="I47" s="3" t="s">
        <v>38</v>
      </c>
      <c r="L47" s="1" t="s">
        <v>131</v>
      </c>
      <c r="M47" s="1" t="str">
        <f>L41</f>
        <v>SI IGV</v>
      </c>
    </row>
    <row r="48" spans="2:14" x14ac:dyDescent="0.25">
      <c r="C48" s="29" t="s">
        <v>17</v>
      </c>
      <c r="D48" s="29" t="s">
        <v>18</v>
      </c>
      <c r="E48" s="29" t="s">
        <v>19</v>
      </c>
      <c r="F48" s="29" t="s">
        <v>20</v>
      </c>
      <c r="G48" s="29" t="s">
        <v>21</v>
      </c>
      <c r="J48" s="32" t="s">
        <v>17</v>
      </c>
      <c r="K48" s="32" t="s">
        <v>18</v>
      </c>
      <c r="L48" s="32" t="s">
        <v>19</v>
      </c>
      <c r="M48" s="32" t="s">
        <v>20</v>
      </c>
      <c r="N48" s="32" t="s">
        <v>21</v>
      </c>
    </row>
    <row r="49" spans="2:14" x14ac:dyDescent="0.25">
      <c r="B49" s="30" t="s">
        <v>40</v>
      </c>
      <c r="C49" s="64">
        <f>$C$20</f>
        <v>2500</v>
      </c>
      <c r="D49" s="64">
        <f t="shared" ref="D49:G49" si="21">$C$20</f>
        <v>2500</v>
      </c>
      <c r="E49" s="64">
        <f t="shared" si="21"/>
        <v>2500</v>
      </c>
      <c r="F49" s="64">
        <f t="shared" si="21"/>
        <v>2500</v>
      </c>
      <c r="G49" s="64">
        <f t="shared" si="21"/>
        <v>2500</v>
      </c>
      <c r="I49" s="30" t="s">
        <v>40</v>
      </c>
      <c r="J49" s="64">
        <f>C49</f>
        <v>2500</v>
      </c>
      <c r="K49" s="64">
        <f t="shared" ref="K49:N49" si="22">D49</f>
        <v>2500</v>
      </c>
      <c r="L49" s="64">
        <f t="shared" si="22"/>
        <v>2500</v>
      </c>
      <c r="M49" s="64">
        <f t="shared" si="22"/>
        <v>2500</v>
      </c>
      <c r="N49" s="64">
        <f t="shared" si="22"/>
        <v>2500</v>
      </c>
    </row>
    <row r="50" spans="2:14" x14ac:dyDescent="0.25">
      <c r="B50" s="30" t="s">
        <v>41</v>
      </c>
      <c r="C50" s="64">
        <f>C74+C75</f>
        <v>1500</v>
      </c>
      <c r="D50" s="64">
        <f t="shared" ref="D50:G50" si="23">D74+D75</f>
        <v>1500</v>
      </c>
      <c r="E50" s="64">
        <f t="shared" si="23"/>
        <v>1500</v>
      </c>
      <c r="F50" s="64">
        <f t="shared" si="23"/>
        <v>1500</v>
      </c>
      <c r="G50" s="64">
        <f t="shared" si="23"/>
        <v>500</v>
      </c>
      <c r="I50" s="30" t="s">
        <v>41</v>
      </c>
      <c r="J50" s="64">
        <v>0</v>
      </c>
      <c r="K50" s="64">
        <v>0</v>
      </c>
      <c r="L50" s="64">
        <v>0</v>
      </c>
      <c r="M50" s="64">
        <v>0</v>
      </c>
      <c r="N50" s="64">
        <v>0</v>
      </c>
    </row>
    <row r="51" spans="2:14" x14ac:dyDescent="0.25">
      <c r="B51" s="30" t="s">
        <v>42</v>
      </c>
      <c r="C51" s="64">
        <f>$C$21</f>
        <v>2400</v>
      </c>
      <c r="D51" s="64">
        <f t="shared" ref="D51:G51" si="24">$C$21</f>
        <v>2400</v>
      </c>
      <c r="E51" s="64">
        <f t="shared" si="24"/>
        <v>2400</v>
      </c>
      <c r="F51" s="64">
        <f t="shared" si="24"/>
        <v>2400</v>
      </c>
      <c r="G51" s="64">
        <f t="shared" si="24"/>
        <v>2400</v>
      </c>
      <c r="I51" s="30" t="s">
        <v>42</v>
      </c>
      <c r="J51" s="64">
        <f>C51*1.18</f>
        <v>2832</v>
      </c>
      <c r="K51" s="64">
        <f t="shared" ref="K51:K52" si="25">D51*1.18</f>
        <v>2832</v>
      </c>
      <c r="L51" s="64">
        <f t="shared" ref="L51:L53" si="26">E51*1.18</f>
        <v>2832</v>
      </c>
      <c r="M51" s="64">
        <f t="shared" ref="M51:M53" si="27">F51*1.18</f>
        <v>2832</v>
      </c>
      <c r="N51" s="64">
        <f t="shared" ref="N51:N53" si="28">G51*1.18</f>
        <v>2832</v>
      </c>
    </row>
    <row r="52" spans="2:14" x14ac:dyDescent="0.25">
      <c r="B52" s="30" t="s">
        <v>43</v>
      </c>
      <c r="C52" s="64">
        <f>$C$22</f>
        <v>3600</v>
      </c>
      <c r="D52" s="64">
        <f t="shared" ref="D52:G52" si="29">$C$22</f>
        <v>3600</v>
      </c>
      <c r="E52" s="64">
        <f t="shared" si="29"/>
        <v>3600</v>
      </c>
      <c r="F52" s="64">
        <f t="shared" si="29"/>
        <v>3600</v>
      </c>
      <c r="G52" s="64">
        <f t="shared" si="29"/>
        <v>3600</v>
      </c>
      <c r="I52" s="30" t="s">
        <v>43</v>
      </c>
      <c r="J52" s="64">
        <f t="shared" ref="J52:J53" si="30">C52*1.18</f>
        <v>4248</v>
      </c>
      <c r="K52" s="64">
        <f t="shared" si="25"/>
        <v>4248</v>
      </c>
      <c r="L52" s="64">
        <f>E52*1.18</f>
        <v>4248</v>
      </c>
      <c r="M52" s="64">
        <f t="shared" si="27"/>
        <v>4248</v>
      </c>
      <c r="N52" s="64">
        <f t="shared" si="28"/>
        <v>4248</v>
      </c>
    </row>
    <row r="53" spans="2:14" x14ac:dyDescent="0.25">
      <c r="B53" s="30" t="s">
        <v>44</v>
      </c>
      <c r="C53" s="64">
        <f>$C$23</f>
        <v>3000</v>
      </c>
      <c r="D53" s="64">
        <f t="shared" ref="D53:G53" si="31">$C$23</f>
        <v>3000</v>
      </c>
      <c r="E53" s="64">
        <f t="shared" si="31"/>
        <v>3000</v>
      </c>
      <c r="F53" s="64">
        <f t="shared" si="31"/>
        <v>3000</v>
      </c>
      <c r="G53" s="64">
        <f t="shared" si="31"/>
        <v>3000</v>
      </c>
      <c r="I53" s="30" t="s">
        <v>44</v>
      </c>
      <c r="J53" s="64">
        <f t="shared" si="30"/>
        <v>3540</v>
      </c>
      <c r="K53" s="64">
        <f>D53*1.18</f>
        <v>3540</v>
      </c>
      <c r="L53" s="64">
        <f t="shared" si="26"/>
        <v>3540</v>
      </c>
      <c r="M53" s="64">
        <f t="shared" si="27"/>
        <v>3540</v>
      </c>
      <c r="N53" s="64">
        <f t="shared" si="28"/>
        <v>3540</v>
      </c>
    </row>
    <row r="54" spans="2:14" x14ac:dyDescent="0.25">
      <c r="B54" s="30" t="s">
        <v>119</v>
      </c>
      <c r="C54" s="64">
        <f>P24</f>
        <v>2000</v>
      </c>
      <c r="D54" s="64">
        <v>0</v>
      </c>
      <c r="E54" s="64">
        <v>0</v>
      </c>
      <c r="F54" s="64">
        <v>0</v>
      </c>
      <c r="G54" s="64">
        <v>0</v>
      </c>
      <c r="I54" s="30" t="s">
        <v>120</v>
      </c>
      <c r="J54" s="64">
        <v>0</v>
      </c>
      <c r="K54" s="64">
        <v>0</v>
      </c>
      <c r="L54" s="64">
        <v>0</v>
      </c>
      <c r="M54" s="64">
        <v>0</v>
      </c>
      <c r="N54" s="64">
        <v>0</v>
      </c>
    </row>
    <row r="55" spans="2:14" s="2" customFormat="1" x14ac:dyDescent="0.25">
      <c r="B55" s="31" t="s">
        <v>27</v>
      </c>
      <c r="C55" s="66">
        <f>SUM(C49:C54)</f>
        <v>15000</v>
      </c>
      <c r="D55" s="66">
        <f t="shared" ref="D55:G55" si="32">SUM(D49:D54)</f>
        <v>13000</v>
      </c>
      <c r="E55" s="66">
        <f t="shared" si="32"/>
        <v>13000</v>
      </c>
      <c r="F55" s="66">
        <f t="shared" si="32"/>
        <v>13000</v>
      </c>
      <c r="G55" s="66">
        <f t="shared" si="32"/>
        <v>12000</v>
      </c>
      <c r="I55" s="31" t="s">
        <v>27</v>
      </c>
      <c r="J55" s="66">
        <f>SUM(J49:J54)</f>
        <v>13120</v>
      </c>
      <c r="K55" s="66">
        <f t="shared" ref="K55:N55" si="33">SUM(K49:K54)</f>
        <v>13120</v>
      </c>
      <c r="L55" s="66">
        <f t="shared" si="33"/>
        <v>13120</v>
      </c>
      <c r="M55" s="66">
        <f t="shared" si="33"/>
        <v>13120</v>
      </c>
      <c r="N55" s="66">
        <f t="shared" si="33"/>
        <v>13120</v>
      </c>
    </row>
    <row r="57" spans="2:14" x14ac:dyDescent="0.25">
      <c r="B57" s="3" t="s">
        <v>45</v>
      </c>
      <c r="E57" s="1" t="s">
        <v>127</v>
      </c>
      <c r="I57" s="3" t="s">
        <v>46</v>
      </c>
      <c r="L57" s="1" t="s">
        <v>125</v>
      </c>
    </row>
    <row r="58" spans="2:14" x14ac:dyDescent="0.25">
      <c r="C58" s="33" t="s">
        <v>17</v>
      </c>
      <c r="D58" s="33" t="s">
        <v>18</v>
      </c>
      <c r="E58" s="33" t="s">
        <v>19</v>
      </c>
      <c r="F58" s="33" t="s">
        <v>20</v>
      </c>
      <c r="G58" s="33" t="s">
        <v>21</v>
      </c>
      <c r="J58" s="36" t="s">
        <v>17</v>
      </c>
      <c r="K58" s="36" t="s">
        <v>18</v>
      </c>
      <c r="L58" s="36" t="s">
        <v>19</v>
      </c>
      <c r="M58" s="36" t="s">
        <v>20</v>
      </c>
      <c r="N58" s="36" t="s">
        <v>21</v>
      </c>
    </row>
    <row r="59" spans="2:14" x14ac:dyDescent="0.25">
      <c r="B59" s="34" t="s">
        <v>47</v>
      </c>
      <c r="C59" s="64">
        <f>$I20</f>
        <v>350</v>
      </c>
      <c r="D59" s="64">
        <f t="shared" ref="D59:G59" si="34">$I20</f>
        <v>350</v>
      </c>
      <c r="E59" s="64">
        <f t="shared" si="34"/>
        <v>350</v>
      </c>
      <c r="F59" s="64">
        <f t="shared" si="34"/>
        <v>350</v>
      </c>
      <c r="G59" s="64">
        <f t="shared" si="34"/>
        <v>350</v>
      </c>
      <c r="I59" s="34" t="s">
        <v>47</v>
      </c>
      <c r="J59" s="64">
        <f>C59*1.18</f>
        <v>413</v>
      </c>
      <c r="K59" s="64">
        <f t="shared" ref="K59:K63" si="35">D59*1.18</f>
        <v>413</v>
      </c>
      <c r="L59" s="64">
        <f t="shared" ref="L59:L63" si="36">E59*1.18</f>
        <v>413</v>
      </c>
      <c r="M59" s="64">
        <f t="shared" ref="M59:M63" si="37">F59*1.18</f>
        <v>413</v>
      </c>
      <c r="N59" s="64">
        <f t="shared" ref="N59:N63" si="38">G59*1.18</f>
        <v>413</v>
      </c>
    </row>
    <row r="60" spans="2:14" x14ac:dyDescent="0.25">
      <c r="B60" s="34" t="s">
        <v>48</v>
      </c>
      <c r="C60" s="64">
        <f t="shared" ref="C60:G60" si="39">$I21</f>
        <v>4800</v>
      </c>
      <c r="D60" s="64">
        <f t="shared" si="39"/>
        <v>4800</v>
      </c>
      <c r="E60" s="64">
        <f t="shared" si="39"/>
        <v>4800</v>
      </c>
      <c r="F60" s="64">
        <f t="shared" si="39"/>
        <v>4800</v>
      </c>
      <c r="G60" s="64">
        <f t="shared" si="39"/>
        <v>4800</v>
      </c>
      <c r="I60" s="34" t="s">
        <v>48</v>
      </c>
      <c r="J60" s="64">
        <f t="shared" ref="J60:J63" si="40">C60*1.18</f>
        <v>5664</v>
      </c>
      <c r="K60" s="64">
        <f>D60*1.18</f>
        <v>5664</v>
      </c>
      <c r="L60" s="64">
        <f t="shared" si="36"/>
        <v>5664</v>
      </c>
      <c r="M60" s="64">
        <f t="shared" si="37"/>
        <v>5664</v>
      </c>
      <c r="N60" s="64">
        <f t="shared" si="38"/>
        <v>5664</v>
      </c>
    </row>
    <row r="61" spans="2:14" x14ac:dyDescent="0.25">
      <c r="B61" s="34" t="s">
        <v>49</v>
      </c>
      <c r="C61" s="64">
        <f t="shared" ref="C61:G61" si="41">$I22</f>
        <v>6000</v>
      </c>
      <c r="D61" s="64">
        <f t="shared" si="41"/>
        <v>6000</v>
      </c>
      <c r="E61" s="64">
        <f t="shared" si="41"/>
        <v>6000</v>
      </c>
      <c r="F61" s="64">
        <f t="shared" si="41"/>
        <v>6000</v>
      </c>
      <c r="G61" s="64">
        <f t="shared" si="41"/>
        <v>6000</v>
      </c>
      <c r="I61" s="34" t="s">
        <v>49</v>
      </c>
      <c r="J61" s="64">
        <f t="shared" si="40"/>
        <v>7080</v>
      </c>
      <c r="K61" s="64">
        <f t="shared" si="35"/>
        <v>7080</v>
      </c>
      <c r="L61" s="64">
        <f t="shared" si="36"/>
        <v>7080</v>
      </c>
      <c r="M61" s="64">
        <f t="shared" si="37"/>
        <v>7080</v>
      </c>
      <c r="N61" s="64">
        <f t="shared" si="38"/>
        <v>7080</v>
      </c>
    </row>
    <row r="62" spans="2:14" x14ac:dyDescent="0.25">
      <c r="B62" s="34" t="s">
        <v>50</v>
      </c>
      <c r="C62" s="64">
        <f t="shared" ref="C62:G62" si="42">$I23</f>
        <v>1200</v>
      </c>
      <c r="D62" s="64">
        <f t="shared" si="42"/>
        <v>1200</v>
      </c>
      <c r="E62" s="64">
        <f t="shared" si="42"/>
        <v>1200</v>
      </c>
      <c r="F62" s="64">
        <f t="shared" si="42"/>
        <v>1200</v>
      </c>
      <c r="G62" s="64">
        <f t="shared" si="42"/>
        <v>1200</v>
      </c>
      <c r="I62" s="34" t="s">
        <v>50</v>
      </c>
      <c r="J62" s="64">
        <f t="shared" si="40"/>
        <v>1416</v>
      </c>
      <c r="K62" s="64">
        <f t="shared" si="35"/>
        <v>1416</v>
      </c>
      <c r="L62" s="64">
        <f t="shared" si="36"/>
        <v>1416</v>
      </c>
      <c r="M62" s="64">
        <f t="shared" si="37"/>
        <v>1416</v>
      </c>
      <c r="N62" s="64">
        <f t="shared" si="38"/>
        <v>1416</v>
      </c>
    </row>
    <row r="63" spans="2:14" x14ac:dyDescent="0.25">
      <c r="B63" s="34" t="s">
        <v>118</v>
      </c>
      <c r="C63" s="64">
        <f>$I$24*C37</f>
        <v>15219.003615836365</v>
      </c>
      <c r="D63" s="64">
        <f t="shared" ref="D63:G63" si="43">$I$24*D37</f>
        <v>17149.154207993375</v>
      </c>
      <c r="E63" s="64">
        <f t="shared" si="43"/>
        <v>19324.096207159932</v>
      </c>
      <c r="F63" s="64">
        <f t="shared" si="43"/>
        <v>21774.87529090606</v>
      </c>
      <c r="G63" s="64">
        <f t="shared" si="43"/>
        <v>24536.474505795108</v>
      </c>
      <c r="I63" s="34" t="s">
        <v>118</v>
      </c>
      <c r="J63" s="64">
        <f t="shared" si="40"/>
        <v>17958.42426668691</v>
      </c>
      <c r="K63" s="64">
        <f t="shared" si="35"/>
        <v>20236.00196543218</v>
      </c>
      <c r="L63" s="64">
        <f t="shared" si="36"/>
        <v>22802.433524448719</v>
      </c>
      <c r="M63" s="64">
        <f t="shared" si="37"/>
        <v>25694.352843269149</v>
      </c>
      <c r="N63" s="64">
        <f t="shared" si="38"/>
        <v>28953.039916838225</v>
      </c>
    </row>
    <row r="64" spans="2:14" x14ac:dyDescent="0.25">
      <c r="B64" s="35" t="s">
        <v>27</v>
      </c>
      <c r="C64" s="67">
        <f>SUM(C59:C63)</f>
        <v>27569.003615836365</v>
      </c>
      <c r="D64" s="67">
        <f>SUM(D59:D63)</f>
        <v>29499.154207993375</v>
      </c>
      <c r="E64" s="67">
        <f>SUM(E59:E63)</f>
        <v>31674.096207159932</v>
      </c>
      <c r="F64" s="67">
        <f>SUM(F59:F63)</f>
        <v>34124.875290906057</v>
      </c>
      <c r="G64" s="67">
        <f>SUM(G59:G63)</f>
        <v>36886.474505795108</v>
      </c>
      <c r="H64" s="2"/>
      <c r="I64" s="35" t="s">
        <v>27</v>
      </c>
      <c r="J64" s="67">
        <f>SUM(J59:J63)</f>
        <v>32531.42426668691</v>
      </c>
      <c r="K64" s="67">
        <f>SUM(K59:K63)</f>
        <v>34809.00196543218</v>
      </c>
      <c r="L64" s="67">
        <f>SUM(L59:L63)</f>
        <v>37375.433524448716</v>
      </c>
      <c r="M64" s="67">
        <f>SUM(M59:M63)</f>
        <v>40267.352843269153</v>
      </c>
      <c r="N64" s="67">
        <f>SUM(N59:N63)</f>
        <v>43526.039916838228</v>
      </c>
    </row>
    <row r="66" spans="2:14" s="3" customFormat="1" x14ac:dyDescent="0.25">
      <c r="B66" s="3" t="s">
        <v>51</v>
      </c>
      <c r="D66" s="3" t="s">
        <v>133</v>
      </c>
      <c r="I66" s="3" t="s">
        <v>52</v>
      </c>
    </row>
    <row r="67" spans="2:14" x14ac:dyDescent="0.25">
      <c r="C67" s="37" t="s">
        <v>17</v>
      </c>
      <c r="D67" s="37" t="s">
        <v>18</v>
      </c>
      <c r="E67" s="37" t="s">
        <v>19</v>
      </c>
      <c r="F67" s="37" t="s">
        <v>20</v>
      </c>
      <c r="G67" s="37" t="s">
        <v>21</v>
      </c>
      <c r="J67" s="40" t="s">
        <v>17</v>
      </c>
      <c r="K67" s="40" t="s">
        <v>18</v>
      </c>
      <c r="L67" s="40" t="s">
        <v>19</v>
      </c>
      <c r="M67" s="40" t="s">
        <v>20</v>
      </c>
      <c r="N67" s="40" t="s">
        <v>21</v>
      </c>
    </row>
    <row r="68" spans="2:14" x14ac:dyDescent="0.25">
      <c r="B68" s="38" t="s">
        <v>53</v>
      </c>
      <c r="C68" s="64">
        <f>C28</f>
        <v>3750</v>
      </c>
      <c r="D68" s="64">
        <f t="shared" ref="D68:G68" si="44">D28</f>
        <v>2766.3934426229507</v>
      </c>
      <c r="E68" s="64">
        <f t="shared" si="44"/>
        <v>1536.8852459016391</v>
      </c>
      <c r="F68" s="64">
        <f t="shared" si="44"/>
        <v>0</v>
      </c>
      <c r="G68" s="64">
        <f t="shared" si="44"/>
        <v>0</v>
      </c>
      <c r="I68" s="38" t="str">
        <f>B68</f>
        <v>Intereses</v>
      </c>
      <c r="J68" s="64">
        <f>C28</f>
        <v>3750</v>
      </c>
      <c r="K68" s="64">
        <f t="shared" ref="K68:N68" si="45">D28</f>
        <v>2766.3934426229507</v>
      </c>
      <c r="L68" s="64">
        <f t="shared" si="45"/>
        <v>1536.8852459016391</v>
      </c>
      <c r="M68" s="64">
        <f t="shared" si="45"/>
        <v>0</v>
      </c>
      <c r="N68" s="64">
        <f t="shared" si="45"/>
        <v>0</v>
      </c>
    </row>
    <row r="69" spans="2:14" x14ac:dyDescent="0.25">
      <c r="B69" s="39" t="s">
        <v>27</v>
      </c>
      <c r="C69" s="68">
        <f>SUM(C68)</f>
        <v>3750</v>
      </c>
      <c r="D69" s="68">
        <f t="shared" ref="D69:G69" si="46">SUM(D68)</f>
        <v>2766.3934426229507</v>
      </c>
      <c r="E69" s="68">
        <f t="shared" si="46"/>
        <v>1536.8852459016391</v>
      </c>
      <c r="F69" s="68">
        <f t="shared" si="46"/>
        <v>0</v>
      </c>
      <c r="G69" s="68">
        <f t="shared" si="46"/>
        <v>0</v>
      </c>
      <c r="I69" s="38" t="s">
        <v>54</v>
      </c>
      <c r="J69" s="64">
        <f>C29</f>
        <v>3934.4262295081971</v>
      </c>
      <c r="K69" s="64">
        <f t="shared" ref="K69:N69" si="47">D29</f>
        <v>4918.0327868852464</v>
      </c>
      <c r="L69" s="64">
        <f t="shared" si="47"/>
        <v>6147.5409836065583</v>
      </c>
      <c r="M69" s="64">
        <f t="shared" si="47"/>
        <v>0</v>
      </c>
      <c r="N69" s="64">
        <f t="shared" si="47"/>
        <v>0</v>
      </c>
    </row>
    <row r="70" spans="2:14" x14ac:dyDescent="0.25">
      <c r="I70" s="39" t="s">
        <v>27</v>
      </c>
      <c r="J70" s="68">
        <f>SUM(J68:J69)</f>
        <v>7684.4262295081971</v>
      </c>
      <c r="K70" s="68">
        <f t="shared" ref="K70:N70" si="48">SUM(K68:K69)</f>
        <v>7684.4262295081971</v>
      </c>
      <c r="L70" s="68">
        <f t="shared" si="48"/>
        <v>7684.4262295081971</v>
      </c>
      <c r="M70" s="68">
        <f t="shared" si="48"/>
        <v>0</v>
      </c>
      <c r="N70" s="68">
        <f t="shared" si="48"/>
        <v>0</v>
      </c>
    </row>
    <row r="71" spans="2:14" x14ac:dyDescent="0.25">
      <c r="I71" s="9"/>
      <c r="J71" s="9"/>
      <c r="K71" s="9"/>
      <c r="L71" s="9"/>
      <c r="M71" s="9"/>
      <c r="N71" s="9"/>
    </row>
    <row r="72" spans="2:14" x14ac:dyDescent="0.25">
      <c r="I72" s="9" t="s">
        <v>66</v>
      </c>
      <c r="J72" s="41" t="s">
        <v>17</v>
      </c>
      <c r="K72" s="41" t="s">
        <v>18</v>
      </c>
      <c r="L72" s="41" t="s">
        <v>19</v>
      </c>
      <c r="M72" s="41" t="s">
        <v>20</v>
      </c>
      <c r="N72" s="41" t="s">
        <v>21</v>
      </c>
    </row>
    <row r="73" spans="2:14" x14ac:dyDescent="0.25">
      <c r="B73" s="1" t="s">
        <v>41</v>
      </c>
      <c r="C73" s="41" t="s">
        <v>17</v>
      </c>
      <c r="D73" s="41" t="s">
        <v>18</v>
      </c>
      <c r="E73" s="41" t="s">
        <v>19</v>
      </c>
      <c r="F73" s="41" t="s">
        <v>20</v>
      </c>
      <c r="G73" s="41" t="s">
        <v>21</v>
      </c>
      <c r="I73" s="42" t="s">
        <v>114</v>
      </c>
      <c r="J73" s="69">
        <f>C39*0.18</f>
        <v>34242.758135631826</v>
      </c>
      <c r="K73" s="69">
        <f t="shared" ref="K73:N73" si="49">D39*0.18</f>
        <v>38585.59696798509</v>
      </c>
      <c r="L73" s="69">
        <f t="shared" si="49"/>
        <v>43479.216466109843</v>
      </c>
      <c r="M73" s="69">
        <f t="shared" si="49"/>
        <v>48993.469404538635</v>
      </c>
      <c r="N73" s="69">
        <f t="shared" si="49"/>
        <v>55207.067638038992</v>
      </c>
    </row>
    <row r="74" spans="2:14" x14ac:dyDescent="0.25">
      <c r="B74" s="22" t="str">
        <f>L20</f>
        <v xml:space="preserve">Muebles </v>
      </c>
      <c r="C74" s="64">
        <f>$N$20/$H$74</f>
        <v>500</v>
      </c>
      <c r="D74" s="64">
        <f t="shared" ref="D74:G74" si="50">$N$20/$H$74</f>
        <v>500</v>
      </c>
      <c r="E74" s="64">
        <f t="shared" si="50"/>
        <v>500</v>
      </c>
      <c r="F74" s="64">
        <f t="shared" si="50"/>
        <v>500</v>
      </c>
      <c r="G74" s="64">
        <f t="shared" si="50"/>
        <v>500</v>
      </c>
      <c r="H74" s="52">
        <v>10</v>
      </c>
      <c r="I74" s="42" t="s">
        <v>67</v>
      </c>
      <c r="J74" s="64">
        <f>C45*0.18</f>
        <v>17121.379067815913</v>
      </c>
      <c r="K74" s="64">
        <f t="shared" ref="K74:N74" si="51">D45*0.18</f>
        <v>19292.798483992545</v>
      </c>
      <c r="L74" s="64">
        <f t="shared" si="51"/>
        <v>21739.608233054922</v>
      </c>
      <c r="M74" s="64">
        <f t="shared" si="51"/>
        <v>24496.734702269317</v>
      </c>
      <c r="N74" s="64">
        <f t="shared" si="51"/>
        <v>27603.533819019496</v>
      </c>
    </row>
    <row r="75" spans="2:14" x14ac:dyDescent="0.25">
      <c r="B75" s="22" t="str">
        <f>L21</f>
        <v>Computadoras</v>
      </c>
      <c r="C75" s="64">
        <f>$N$21/$H$75</f>
        <v>1000</v>
      </c>
      <c r="D75" s="64">
        <f t="shared" ref="D75:F75" si="52">$N$21/$H$75</f>
        <v>1000</v>
      </c>
      <c r="E75" s="64">
        <f t="shared" si="52"/>
        <v>1000</v>
      </c>
      <c r="F75" s="64">
        <f t="shared" si="52"/>
        <v>1000</v>
      </c>
      <c r="G75" s="104"/>
      <c r="H75" s="52">
        <v>4</v>
      </c>
      <c r="I75" s="42" t="s">
        <v>68</v>
      </c>
      <c r="J75" s="64">
        <f>(C51+C52+C53)*0.18</f>
        <v>1620</v>
      </c>
      <c r="K75" s="64">
        <f t="shared" ref="K75:N75" si="53">(D51+D52+D53)*0.18</f>
        <v>1620</v>
      </c>
      <c r="L75" s="64">
        <f t="shared" si="53"/>
        <v>1620</v>
      </c>
      <c r="M75" s="64">
        <f t="shared" si="53"/>
        <v>1620</v>
      </c>
      <c r="N75" s="64">
        <f t="shared" si="53"/>
        <v>1620</v>
      </c>
    </row>
    <row r="76" spans="2:14" x14ac:dyDescent="0.25">
      <c r="I76" s="42" t="s">
        <v>69</v>
      </c>
      <c r="J76" s="64">
        <f>C64*0.18</f>
        <v>4962.4206508505458</v>
      </c>
      <c r="K76" s="64">
        <f t="shared" ref="K76:N76" si="54">D64*0.18</f>
        <v>5309.8477574388071</v>
      </c>
      <c r="L76" s="64">
        <f t="shared" si="54"/>
        <v>5701.3373172887877</v>
      </c>
      <c r="M76" s="64">
        <f t="shared" si="54"/>
        <v>6142.4775523630897</v>
      </c>
      <c r="N76" s="64">
        <f t="shared" si="54"/>
        <v>6639.5654110431187</v>
      </c>
    </row>
    <row r="77" spans="2:14" ht="27" customHeight="1" x14ac:dyDescent="0.25">
      <c r="I77" s="43" t="s">
        <v>115</v>
      </c>
      <c r="J77" s="70">
        <f>J73-SUM(J74:J76)</f>
        <v>10538.958416965368</v>
      </c>
      <c r="K77" s="70">
        <f t="shared" ref="K77:N77" si="55">K73-SUM(K74:K76)</f>
        <v>12362.95072655374</v>
      </c>
      <c r="L77" s="70">
        <f t="shared" si="55"/>
        <v>14418.270915766134</v>
      </c>
      <c r="M77" s="70">
        <f t="shared" si="55"/>
        <v>16734.257149906229</v>
      </c>
      <c r="N77" s="70">
        <f t="shared" si="55"/>
        <v>19343.968407976376</v>
      </c>
    </row>
    <row r="78" spans="2:14" x14ac:dyDescent="0.25">
      <c r="E78" s="139" t="s">
        <v>95</v>
      </c>
      <c r="F78" s="139"/>
      <c r="G78" s="64">
        <f>N20-SUM(C74:G74)</f>
        <v>2500</v>
      </c>
    </row>
    <row r="79" spans="2:14" x14ac:dyDescent="0.25">
      <c r="J79" s="41" t="s">
        <v>17</v>
      </c>
      <c r="K79" s="41" t="s">
        <v>18</v>
      </c>
      <c r="L79" s="41" t="s">
        <v>19</v>
      </c>
      <c r="M79" s="41" t="s">
        <v>20</v>
      </c>
      <c r="N79" s="41" t="s">
        <v>21</v>
      </c>
    </row>
    <row r="80" spans="2:14" x14ac:dyDescent="0.25">
      <c r="I80" s="44" t="s">
        <v>107</v>
      </c>
      <c r="J80" s="64">
        <f>C94*C103</f>
        <v>15502.181850026571</v>
      </c>
      <c r="K80" s="64">
        <f t="shared" ref="K80:N80" si="56">D94*D103</f>
        <v>19081.502579629738</v>
      </c>
      <c r="L80" s="64">
        <f t="shared" si="56"/>
        <v>22449.944000838939</v>
      </c>
      <c r="M80" s="64">
        <f t="shared" si="56"/>
        <v>26245.588106790761</v>
      </c>
      <c r="N80" s="64">
        <f t="shared" si="56"/>
        <v>30817.614890850175</v>
      </c>
    </row>
    <row r="81" spans="2:17" x14ac:dyDescent="0.25">
      <c r="I81" s="44" t="s">
        <v>108</v>
      </c>
      <c r="J81" s="64">
        <f>C100</f>
        <v>14395.931850026571</v>
      </c>
      <c r="K81" s="64">
        <f t="shared" ref="K81:N81" si="57">D100</f>
        <v>18265.416514055963</v>
      </c>
      <c r="L81" s="64">
        <f t="shared" si="57"/>
        <v>21996.562853297957</v>
      </c>
      <c r="M81" s="64">
        <f t="shared" si="57"/>
        <v>26245.588106790761</v>
      </c>
      <c r="N81" s="64">
        <f t="shared" si="57"/>
        <v>30817.614890850175</v>
      </c>
    </row>
    <row r="82" spans="2:17" x14ac:dyDescent="0.25">
      <c r="H82" s="1" t="s">
        <v>134</v>
      </c>
      <c r="I82" s="107" t="s">
        <v>81</v>
      </c>
      <c r="J82" s="70">
        <f>J80-J81</f>
        <v>1106.25</v>
      </c>
      <c r="K82" s="70">
        <f t="shared" ref="K82:N82" si="58">K80-K81</f>
        <v>816.08606557377425</v>
      </c>
      <c r="L82" s="70">
        <f t="shared" si="58"/>
        <v>453.38114754098206</v>
      </c>
      <c r="M82" s="71">
        <f t="shared" si="58"/>
        <v>0</v>
      </c>
      <c r="N82" s="71">
        <f t="shared" si="58"/>
        <v>0</v>
      </c>
    </row>
    <row r="83" spans="2:17" ht="15.75" thickBot="1" x14ac:dyDescent="0.3">
      <c r="H83" s="1" t="s">
        <v>135</v>
      </c>
    </row>
    <row r="84" spans="2:17" ht="6" customHeight="1" x14ac:dyDescent="0.25">
      <c r="B84" s="10"/>
      <c r="C84" s="11"/>
      <c r="D84" s="11"/>
      <c r="E84" s="11"/>
      <c r="F84" s="11"/>
      <c r="G84" s="12"/>
      <c r="I84" s="10"/>
      <c r="J84" s="11"/>
      <c r="K84" s="11"/>
      <c r="L84" s="11"/>
      <c r="M84" s="11"/>
      <c r="N84" s="11"/>
      <c r="O84" s="12"/>
    </row>
    <row r="85" spans="2:17" x14ac:dyDescent="0.25">
      <c r="B85" s="13"/>
      <c r="C85" s="146" t="s">
        <v>65</v>
      </c>
      <c r="D85" s="146"/>
      <c r="E85" s="146"/>
      <c r="F85" s="146"/>
      <c r="G85" s="14"/>
      <c r="I85" s="13"/>
      <c r="J85" s="146" t="s">
        <v>84</v>
      </c>
      <c r="K85" s="146"/>
      <c r="L85" s="146"/>
      <c r="M85" s="146"/>
      <c r="N85" s="146"/>
      <c r="O85" s="14"/>
    </row>
    <row r="86" spans="2:17" x14ac:dyDescent="0.25">
      <c r="B86" s="13"/>
      <c r="C86" s="5"/>
      <c r="D86" s="5"/>
      <c r="E86" s="5"/>
      <c r="F86" s="5"/>
      <c r="G86" s="14"/>
      <c r="I86" s="13"/>
      <c r="J86" s="5"/>
      <c r="K86" s="5"/>
      <c r="L86" s="5"/>
      <c r="M86" s="5"/>
      <c r="N86" s="5"/>
      <c r="O86" s="14"/>
    </row>
    <row r="87" spans="2:17" x14ac:dyDescent="0.25">
      <c r="B87" s="13"/>
      <c r="C87" s="45" t="s">
        <v>17</v>
      </c>
      <c r="D87" s="45" t="s">
        <v>18</v>
      </c>
      <c r="E87" s="45" t="s">
        <v>19</v>
      </c>
      <c r="F87" s="45" t="s">
        <v>20</v>
      </c>
      <c r="G87" s="46" t="s">
        <v>21</v>
      </c>
      <c r="I87" s="13"/>
      <c r="J87" s="45" t="s">
        <v>70</v>
      </c>
      <c r="K87" s="45" t="s">
        <v>17</v>
      </c>
      <c r="L87" s="45" t="s">
        <v>18</v>
      </c>
      <c r="M87" s="45" t="s">
        <v>19</v>
      </c>
      <c r="N87" s="45" t="s">
        <v>20</v>
      </c>
      <c r="O87" s="46" t="s">
        <v>21</v>
      </c>
    </row>
    <row r="88" spans="2:17" x14ac:dyDescent="0.25">
      <c r="B88" s="47" t="s">
        <v>55</v>
      </c>
      <c r="C88" s="72">
        <f>C39</f>
        <v>190237.54519795458</v>
      </c>
      <c r="D88" s="72">
        <f t="shared" ref="D88:G88" si="59">D39</f>
        <v>214364.42759991717</v>
      </c>
      <c r="E88" s="72">
        <f t="shared" si="59"/>
        <v>241551.20258949912</v>
      </c>
      <c r="F88" s="72">
        <f t="shared" si="59"/>
        <v>272185.94113632577</v>
      </c>
      <c r="G88" s="72">
        <f t="shared" si="59"/>
        <v>306705.93132243888</v>
      </c>
      <c r="I88" s="47" t="s">
        <v>71</v>
      </c>
      <c r="J88" s="72"/>
      <c r="K88" s="72">
        <f>J39</f>
        <v>204732.97359761025</v>
      </c>
      <c r="L88" s="72">
        <f t="shared" ref="L88:O88" si="60">K39</f>
        <v>250445.56887911115</v>
      </c>
      <c r="M88" s="72">
        <f t="shared" si="60"/>
        <v>282208.33569862269</v>
      </c>
      <c r="N88" s="72">
        <f t="shared" si="60"/>
        <v>317999.41637709341</v>
      </c>
      <c r="O88" s="72">
        <f t="shared" si="60"/>
        <v>358329.70194106712</v>
      </c>
    </row>
    <row r="89" spans="2:17" x14ac:dyDescent="0.25">
      <c r="B89" s="47" t="s">
        <v>56</v>
      </c>
      <c r="C89" s="72">
        <f>C45</f>
        <v>95118.772598977288</v>
      </c>
      <c r="D89" s="72">
        <f t="shared" ref="D89:G89" si="61">D45</f>
        <v>107182.21379995858</v>
      </c>
      <c r="E89" s="72">
        <f t="shared" si="61"/>
        <v>120775.60129474956</v>
      </c>
      <c r="F89" s="72">
        <f t="shared" si="61"/>
        <v>136092.97056816288</v>
      </c>
      <c r="G89" s="72">
        <f t="shared" si="61"/>
        <v>153352.96566121944</v>
      </c>
      <c r="I89" s="47" t="s">
        <v>72</v>
      </c>
      <c r="J89" s="72"/>
      <c r="K89" s="72">
        <v>0</v>
      </c>
      <c r="L89" s="72">
        <v>0</v>
      </c>
      <c r="M89" s="72">
        <v>0</v>
      </c>
      <c r="N89" s="72">
        <v>0</v>
      </c>
      <c r="O89" s="81">
        <v>0</v>
      </c>
    </row>
    <row r="90" spans="2:17" x14ac:dyDescent="0.25">
      <c r="B90" s="48" t="s">
        <v>57</v>
      </c>
      <c r="C90" s="73">
        <f>C88-C89</f>
        <v>95118.772598977288</v>
      </c>
      <c r="D90" s="73">
        <f t="shared" ref="D90:G90" si="62">D88-D89</f>
        <v>107182.21379995858</v>
      </c>
      <c r="E90" s="73">
        <f t="shared" si="62"/>
        <v>120775.60129474956</v>
      </c>
      <c r="F90" s="73">
        <f t="shared" si="62"/>
        <v>136092.97056816288</v>
      </c>
      <c r="G90" s="74">
        <f t="shared" si="62"/>
        <v>153352.96566121944</v>
      </c>
      <c r="I90" s="47" t="s">
        <v>95</v>
      </c>
      <c r="J90" s="72"/>
      <c r="K90" s="72"/>
      <c r="L90" s="72"/>
      <c r="M90" s="72"/>
      <c r="N90" s="72"/>
      <c r="O90" s="81">
        <f>G78+N11*C12*1.18+N26+N27</f>
        <v>68649.029964935049</v>
      </c>
      <c r="Q90" s="1" t="s">
        <v>138</v>
      </c>
    </row>
    <row r="91" spans="2:17" x14ac:dyDescent="0.25">
      <c r="B91" s="13"/>
      <c r="C91" s="75"/>
      <c r="D91" s="75"/>
      <c r="E91" s="75"/>
      <c r="F91" s="75"/>
      <c r="G91" s="76"/>
      <c r="I91" s="48" t="s">
        <v>73</v>
      </c>
      <c r="J91" s="73">
        <f>SUM(J88:J90)</f>
        <v>0</v>
      </c>
      <c r="K91" s="73">
        <f>SUM(K88:K90)</f>
        <v>204732.97359761025</v>
      </c>
      <c r="L91" s="73">
        <f t="shared" ref="L91:O91" si="63">SUM(L88:L90)</f>
        <v>250445.56887911115</v>
      </c>
      <c r="M91" s="73">
        <f t="shared" si="63"/>
        <v>282208.33569862269</v>
      </c>
      <c r="N91" s="73">
        <f t="shared" si="63"/>
        <v>317999.41637709341</v>
      </c>
      <c r="O91" s="74">
        <f t="shared" si="63"/>
        <v>426978.73190600215</v>
      </c>
      <c r="Q91" s="1" t="s">
        <v>139</v>
      </c>
    </row>
    <row r="92" spans="2:17" x14ac:dyDescent="0.25">
      <c r="B92" s="47" t="s">
        <v>58</v>
      </c>
      <c r="C92" s="72">
        <f>C55</f>
        <v>15000</v>
      </c>
      <c r="D92" s="72">
        <f t="shared" ref="D92:G92" si="64">D55</f>
        <v>13000</v>
      </c>
      <c r="E92" s="72">
        <f t="shared" si="64"/>
        <v>13000</v>
      </c>
      <c r="F92" s="72">
        <f t="shared" si="64"/>
        <v>13000</v>
      </c>
      <c r="G92" s="72">
        <f t="shared" si="64"/>
        <v>12000</v>
      </c>
      <c r="I92" s="13"/>
      <c r="J92" s="75"/>
      <c r="K92" s="75"/>
      <c r="L92" s="75"/>
      <c r="M92" s="75"/>
      <c r="N92" s="75"/>
      <c r="O92" s="76"/>
      <c r="Q92" s="1" t="s">
        <v>140</v>
      </c>
    </row>
    <row r="93" spans="2:17" x14ac:dyDescent="0.25">
      <c r="B93" s="47" t="s">
        <v>59</v>
      </c>
      <c r="C93" s="72">
        <f>C64</f>
        <v>27569.003615836365</v>
      </c>
      <c r="D93" s="72">
        <f t="shared" ref="D93:G93" si="65">D64</f>
        <v>29499.154207993375</v>
      </c>
      <c r="E93" s="72">
        <f t="shared" si="65"/>
        <v>31674.096207159932</v>
      </c>
      <c r="F93" s="72">
        <f t="shared" si="65"/>
        <v>34124.875290906057</v>
      </c>
      <c r="G93" s="72">
        <f t="shared" si="65"/>
        <v>36886.474505795108</v>
      </c>
      <c r="I93" s="47" t="s">
        <v>75</v>
      </c>
      <c r="J93" s="72">
        <f>N28</f>
        <v>45311.869999999995</v>
      </c>
      <c r="K93" s="72"/>
      <c r="L93" s="72"/>
      <c r="M93" s="72"/>
      <c r="N93" s="72"/>
      <c r="O93" s="81"/>
    </row>
    <row r="94" spans="2:17" x14ac:dyDescent="0.25">
      <c r="B94" s="48" t="s">
        <v>60</v>
      </c>
      <c r="C94" s="73">
        <f>C90-C92-C93</f>
        <v>52549.768983140923</v>
      </c>
      <c r="D94" s="73">
        <f t="shared" ref="D94:G94" si="66">D90-D92-D93</f>
        <v>64683.059591965211</v>
      </c>
      <c r="E94" s="73">
        <f t="shared" si="66"/>
        <v>76101.505087589627</v>
      </c>
      <c r="F94" s="73">
        <f t="shared" si="66"/>
        <v>88968.095277256827</v>
      </c>
      <c r="G94" s="74">
        <f t="shared" si="66"/>
        <v>104466.49115542433</v>
      </c>
      <c r="I94" s="47" t="s">
        <v>74</v>
      </c>
      <c r="J94" s="72"/>
      <c r="K94" s="72">
        <f>J45</f>
        <v>112240.15166679319</v>
      </c>
      <c r="L94" s="72">
        <f t="shared" ref="L94:O94" si="67">K45</f>
        <v>126475.01228395113</v>
      </c>
      <c r="M94" s="72">
        <f t="shared" si="67"/>
        <v>142515.20952780446</v>
      </c>
      <c r="N94" s="72">
        <f t="shared" si="67"/>
        <v>160589.70527043217</v>
      </c>
      <c r="O94" s="72">
        <f t="shared" si="67"/>
        <v>180956.49948023891</v>
      </c>
    </row>
    <row r="95" spans="2:17" x14ac:dyDescent="0.25">
      <c r="B95" s="13"/>
      <c r="C95" s="75"/>
      <c r="D95" s="75"/>
      <c r="E95" s="75"/>
      <c r="F95" s="75"/>
      <c r="G95" s="76"/>
      <c r="I95" s="47" t="s">
        <v>76</v>
      </c>
      <c r="J95" s="72"/>
      <c r="K95" s="72">
        <f>J55</f>
        <v>13120</v>
      </c>
      <c r="L95" s="72">
        <f t="shared" ref="L95:O95" si="68">K55</f>
        <v>13120</v>
      </c>
      <c r="M95" s="72">
        <f t="shared" si="68"/>
        <v>13120</v>
      </c>
      <c r="N95" s="72">
        <f t="shared" si="68"/>
        <v>13120</v>
      </c>
      <c r="O95" s="72">
        <f t="shared" si="68"/>
        <v>13120</v>
      </c>
    </row>
    <row r="96" spans="2:17" x14ac:dyDescent="0.25">
      <c r="B96" s="13"/>
      <c r="C96" s="75"/>
      <c r="D96" s="75"/>
      <c r="E96" s="75"/>
      <c r="F96" s="75"/>
      <c r="G96" s="76"/>
      <c r="I96" s="47" t="s">
        <v>116</v>
      </c>
      <c r="J96" s="72"/>
      <c r="K96" s="72">
        <f>J77</f>
        <v>10538.958416965368</v>
      </c>
      <c r="L96" s="72">
        <f t="shared" ref="L96:O96" si="69">K77</f>
        <v>12362.95072655374</v>
      </c>
      <c r="M96" s="72">
        <f t="shared" si="69"/>
        <v>14418.270915766134</v>
      </c>
      <c r="N96" s="72">
        <f t="shared" si="69"/>
        <v>16734.257149906229</v>
      </c>
      <c r="O96" s="72">
        <f t="shared" si="69"/>
        <v>19343.968407976376</v>
      </c>
    </row>
    <row r="97" spans="2:16" x14ac:dyDescent="0.25">
      <c r="B97" s="47" t="s">
        <v>61</v>
      </c>
      <c r="C97" s="72">
        <f>C69</f>
        <v>3750</v>
      </c>
      <c r="D97" s="72">
        <f t="shared" ref="D97:G97" si="70">D69</f>
        <v>2766.3934426229507</v>
      </c>
      <c r="E97" s="72">
        <f t="shared" si="70"/>
        <v>1536.8852459016391</v>
      </c>
      <c r="F97" s="72">
        <f t="shared" si="70"/>
        <v>0</v>
      </c>
      <c r="G97" s="72">
        <f t="shared" si="70"/>
        <v>0</v>
      </c>
      <c r="I97" s="47" t="s">
        <v>77</v>
      </c>
      <c r="J97" s="72"/>
      <c r="K97" s="72">
        <f>J64</f>
        <v>32531.42426668691</v>
      </c>
      <c r="L97" s="72">
        <f t="shared" ref="L97:O97" si="71">K64</f>
        <v>34809.00196543218</v>
      </c>
      <c r="M97" s="72">
        <f t="shared" si="71"/>
        <v>37375.433524448716</v>
      </c>
      <c r="N97" s="72">
        <f t="shared" si="71"/>
        <v>40267.352843269153</v>
      </c>
      <c r="O97" s="72">
        <f t="shared" si="71"/>
        <v>43526.039916838228</v>
      </c>
    </row>
    <row r="98" spans="2:16" x14ac:dyDescent="0.25">
      <c r="B98" s="47" t="s">
        <v>62</v>
      </c>
      <c r="C98" s="77">
        <f>C94-C97</f>
        <v>48799.768983140923</v>
      </c>
      <c r="D98" s="77">
        <f t="shared" ref="D98:G98" si="72">D94-D97</f>
        <v>61916.666149342258</v>
      </c>
      <c r="E98" s="77">
        <f t="shared" si="72"/>
        <v>74564.619841687992</v>
      </c>
      <c r="F98" s="77">
        <f t="shared" si="72"/>
        <v>88968.095277256827</v>
      </c>
      <c r="G98" s="78">
        <f t="shared" si="72"/>
        <v>104466.49115542433</v>
      </c>
      <c r="I98" s="47" t="s">
        <v>109</v>
      </c>
      <c r="J98" s="72"/>
      <c r="K98" s="72">
        <f>J80</f>
        <v>15502.181850026571</v>
      </c>
      <c r="L98" s="72">
        <f t="shared" ref="L98:O98" si="73">K80</f>
        <v>19081.502579629738</v>
      </c>
      <c r="M98" s="72">
        <f t="shared" si="73"/>
        <v>22449.944000838939</v>
      </c>
      <c r="N98" s="72">
        <f t="shared" si="73"/>
        <v>26245.588106790761</v>
      </c>
      <c r="O98" s="72">
        <f t="shared" si="73"/>
        <v>30817.614890850175</v>
      </c>
    </row>
    <row r="99" spans="2:16" ht="15.75" thickBot="1" x14ac:dyDescent="0.3">
      <c r="B99" s="13"/>
      <c r="C99" s="75"/>
      <c r="D99" s="75"/>
      <c r="E99" s="75"/>
      <c r="F99" s="75"/>
      <c r="G99" s="76"/>
      <c r="I99" s="49" t="s">
        <v>78</v>
      </c>
      <c r="J99" s="82">
        <f t="shared" ref="J99:O99" si="74">SUM(J93:J98)</f>
        <v>45311.869999999995</v>
      </c>
      <c r="K99" s="82">
        <f t="shared" si="74"/>
        <v>183932.716200472</v>
      </c>
      <c r="L99" s="82">
        <f t="shared" si="74"/>
        <v>205848.46755556678</v>
      </c>
      <c r="M99" s="82">
        <f t="shared" si="74"/>
        <v>229878.85796885824</v>
      </c>
      <c r="N99" s="82">
        <f t="shared" si="74"/>
        <v>256956.9033703983</v>
      </c>
      <c r="O99" s="83">
        <f t="shared" si="74"/>
        <v>287764.1226959037</v>
      </c>
    </row>
    <row r="100" spans="2:16" ht="15.75" thickBot="1" x14ac:dyDescent="0.3">
      <c r="B100" s="47" t="s">
        <v>63</v>
      </c>
      <c r="C100" s="72">
        <f>IF(C98&gt;0,C98*C103,0)</f>
        <v>14395.931850026571</v>
      </c>
      <c r="D100" s="72">
        <f t="shared" ref="D100:G100" si="75">IF(D98&gt;0,D98*D103,0)</f>
        <v>18265.416514055963</v>
      </c>
      <c r="E100" s="72">
        <f t="shared" si="75"/>
        <v>21996.562853297957</v>
      </c>
      <c r="F100" s="72">
        <f t="shared" si="75"/>
        <v>26245.588106790761</v>
      </c>
      <c r="G100" s="72">
        <f t="shared" si="75"/>
        <v>30817.614890850175</v>
      </c>
      <c r="H100" s="1" t="s">
        <v>136</v>
      </c>
      <c r="I100" s="50" t="s">
        <v>79</v>
      </c>
      <c r="J100" s="85">
        <f t="shared" ref="J100:O100" si="76">J91-J99</f>
        <v>-45311.869999999995</v>
      </c>
      <c r="K100" s="85">
        <f t="shared" si="76"/>
        <v>20800.257397138252</v>
      </c>
      <c r="L100" s="85">
        <f t="shared" si="76"/>
        <v>44597.101323544368</v>
      </c>
      <c r="M100" s="85">
        <f t="shared" si="76"/>
        <v>52329.477729764447</v>
      </c>
      <c r="N100" s="85">
        <f t="shared" si="76"/>
        <v>61042.51300669511</v>
      </c>
      <c r="O100" s="86">
        <f t="shared" si="76"/>
        <v>139214.60921009845</v>
      </c>
      <c r="P100" s="20"/>
    </row>
    <row r="101" spans="2:16" x14ac:dyDescent="0.25">
      <c r="B101" s="48" t="s">
        <v>64</v>
      </c>
      <c r="C101" s="73">
        <f>C98-C100</f>
        <v>34403.83713311435</v>
      </c>
      <c r="D101" s="73">
        <f t="shared" ref="D101:G101" si="77">D98-D100</f>
        <v>43651.249635286295</v>
      </c>
      <c r="E101" s="73">
        <f t="shared" si="77"/>
        <v>52568.056988390032</v>
      </c>
      <c r="F101" s="73">
        <f t="shared" si="77"/>
        <v>62722.507170466066</v>
      </c>
      <c r="G101" s="74">
        <f t="shared" si="77"/>
        <v>73648.876264574152</v>
      </c>
      <c r="I101" s="13"/>
      <c r="J101" s="75"/>
      <c r="K101" s="75"/>
      <c r="L101" s="75"/>
      <c r="M101" s="75"/>
      <c r="N101" s="75"/>
      <c r="O101" s="76"/>
    </row>
    <row r="102" spans="2:16" ht="15.75" customHeight="1" thickBot="1" x14ac:dyDescent="0.3">
      <c r="B102" s="15"/>
      <c r="C102" s="79"/>
      <c r="D102" s="79"/>
      <c r="E102" s="79"/>
      <c r="F102" s="79"/>
      <c r="G102" s="80"/>
      <c r="I102" s="47" t="s">
        <v>80</v>
      </c>
      <c r="J102" s="72">
        <f>E26</f>
        <v>15000</v>
      </c>
      <c r="K102" s="72"/>
      <c r="L102" s="72"/>
      <c r="M102" s="72"/>
      <c r="N102" s="72"/>
      <c r="O102" s="81"/>
    </row>
    <row r="103" spans="2:16" x14ac:dyDescent="0.25">
      <c r="C103" s="87">
        <v>0.29499999999999998</v>
      </c>
      <c r="D103" s="87">
        <v>0.29499999999999998</v>
      </c>
      <c r="E103" s="87">
        <v>0.29499999999999998</v>
      </c>
      <c r="F103" s="87">
        <v>0.29499999999999998</v>
      </c>
      <c r="G103" s="87">
        <v>0.29499999999999998</v>
      </c>
      <c r="I103" s="47" t="s">
        <v>83</v>
      </c>
      <c r="J103" s="72"/>
      <c r="K103" s="72">
        <f>J70</f>
        <v>7684.4262295081971</v>
      </c>
      <c r="L103" s="72">
        <f t="shared" ref="L103:O103" si="78">K70</f>
        <v>7684.4262295081971</v>
      </c>
      <c r="M103" s="72">
        <f t="shared" si="78"/>
        <v>7684.4262295081971</v>
      </c>
      <c r="N103" s="72">
        <f t="shared" si="78"/>
        <v>0</v>
      </c>
      <c r="O103" s="72">
        <f t="shared" si="78"/>
        <v>0</v>
      </c>
    </row>
    <row r="104" spans="2:16" ht="15.75" thickBot="1" x14ac:dyDescent="0.3">
      <c r="I104" s="51" t="s">
        <v>81</v>
      </c>
      <c r="J104" s="84"/>
      <c r="K104" s="84">
        <f>J82</f>
        <v>1106.25</v>
      </c>
      <c r="L104" s="84">
        <f t="shared" ref="L104:O104" si="79">K82</f>
        <v>816.08606557377425</v>
      </c>
      <c r="M104" s="84">
        <f t="shared" si="79"/>
        <v>453.38114754098206</v>
      </c>
      <c r="N104" s="84">
        <f t="shared" si="79"/>
        <v>0</v>
      </c>
      <c r="O104" s="84">
        <f t="shared" si="79"/>
        <v>0</v>
      </c>
    </row>
    <row r="105" spans="2:16" ht="15.75" thickBot="1" x14ac:dyDescent="0.3">
      <c r="H105" s="1" t="s">
        <v>137</v>
      </c>
      <c r="I105" s="50" t="s">
        <v>82</v>
      </c>
      <c r="J105" s="85">
        <f>J100+J102-J103+J104</f>
        <v>-30311.869999999995</v>
      </c>
      <c r="K105" s="85">
        <f t="shared" ref="K105:O105" si="80">K100+K102-K103+K104</f>
        <v>14222.081167630055</v>
      </c>
      <c r="L105" s="85">
        <f t="shared" si="80"/>
        <v>37728.761159609945</v>
      </c>
      <c r="M105" s="85">
        <f t="shared" si="80"/>
        <v>45098.432647797228</v>
      </c>
      <c r="N105" s="85">
        <f t="shared" si="80"/>
        <v>61042.51300669511</v>
      </c>
      <c r="O105" s="86">
        <f t="shared" si="80"/>
        <v>139214.60921009845</v>
      </c>
    </row>
    <row r="106" spans="2:16" ht="15.75" thickBot="1" x14ac:dyDescent="0.3">
      <c r="I106" s="15"/>
      <c r="J106" s="79"/>
      <c r="K106" s="79"/>
      <c r="L106" s="79"/>
      <c r="M106" s="79"/>
      <c r="N106" s="79"/>
      <c r="O106" s="80"/>
    </row>
    <row r="109" spans="2:16" x14ac:dyDescent="0.25">
      <c r="J109" s="20"/>
    </row>
  </sheetData>
  <mergeCells count="19">
    <mergeCell ref="C85:F85"/>
    <mergeCell ref="J85:N85"/>
    <mergeCell ref="L19:O19"/>
    <mergeCell ref="G20:H20"/>
    <mergeCell ref="G21:H21"/>
    <mergeCell ref="G22:H22"/>
    <mergeCell ref="G23:H23"/>
    <mergeCell ref="L25:M25"/>
    <mergeCell ref="E78:F78"/>
    <mergeCell ref="G24:H24"/>
    <mergeCell ref="L20:M20"/>
    <mergeCell ref="L21:M21"/>
    <mergeCell ref="L22:M22"/>
    <mergeCell ref="L23:M23"/>
    <mergeCell ref="L24:M24"/>
    <mergeCell ref="L26:M26"/>
    <mergeCell ref="L27:M27"/>
    <mergeCell ref="B33:G33"/>
    <mergeCell ref="I33:N3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89DB-1186-4EEF-9C61-DF46C36C6049}">
  <dimension ref="B1:T112"/>
  <sheetViews>
    <sheetView tabSelected="1" topLeftCell="A55" zoomScale="80" zoomScaleNormal="80" workbookViewId="0">
      <selection activeCell="I88" sqref="I88"/>
    </sheetView>
  </sheetViews>
  <sheetFormatPr baseColWidth="10" defaultColWidth="11.42578125" defaultRowHeight="15" outlineLevelRow="1" x14ac:dyDescent="0.25"/>
  <cols>
    <col min="1" max="1" width="1.28515625" style="1" customWidth="1"/>
    <col min="2" max="2" width="19.7109375" style="1" customWidth="1"/>
    <col min="3" max="3" width="14.5703125" style="1" customWidth="1"/>
    <col min="4" max="4" width="16.85546875" style="1" customWidth="1"/>
    <col min="5" max="7" width="14.5703125" style="1" customWidth="1"/>
    <col min="8" max="8" width="11.42578125" style="1" customWidth="1"/>
    <col min="9" max="9" width="20.85546875" style="1" customWidth="1"/>
    <col min="10" max="14" width="15.5703125" style="1" customWidth="1"/>
    <col min="15" max="15" width="14.28515625" style="1" customWidth="1"/>
    <col min="16" max="16" width="19.7109375" style="1" bestFit="1" customWidth="1"/>
    <col min="17" max="16384" width="11.42578125" style="1"/>
  </cols>
  <sheetData>
    <row r="1" spans="2:15" ht="30" x14ac:dyDescent="0.25">
      <c r="G1" s="4"/>
      <c r="H1" s="111" t="s">
        <v>147</v>
      </c>
      <c r="I1" s="112" t="s">
        <v>26</v>
      </c>
      <c r="J1" s="112" t="s">
        <v>149</v>
      </c>
    </row>
    <row r="2" spans="2:15" ht="30" x14ac:dyDescent="0.25">
      <c r="B2" s="3" t="s">
        <v>164</v>
      </c>
      <c r="G2" s="111" t="s">
        <v>148</v>
      </c>
      <c r="H2" s="8">
        <v>10</v>
      </c>
      <c r="I2" s="110">
        <v>1000</v>
      </c>
      <c r="J2" s="110">
        <f>+H2*I2</f>
        <v>10000</v>
      </c>
    </row>
    <row r="4" spans="2:15" x14ac:dyDescent="0.25">
      <c r="B4" s="1" t="s">
        <v>3</v>
      </c>
      <c r="I4" s="1">
        <f>+C7*O7</f>
        <v>0.44999999999999996</v>
      </c>
    </row>
    <row r="5" spans="2:15" x14ac:dyDescent="0.25">
      <c r="B5" s="1" t="s">
        <v>28</v>
      </c>
    </row>
    <row r="6" spans="2:15" x14ac:dyDescent="0.25">
      <c r="B6" s="1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  <c r="J6" s="8" t="s">
        <v>12</v>
      </c>
      <c r="K6" s="8" t="s">
        <v>13</v>
      </c>
      <c r="L6" s="8" t="s">
        <v>14</v>
      </c>
      <c r="M6" s="8" t="s">
        <v>15</v>
      </c>
      <c r="N6" s="8" t="s">
        <v>16</v>
      </c>
    </row>
    <row r="7" spans="2:15" x14ac:dyDescent="0.25">
      <c r="B7" s="7" t="s">
        <v>17</v>
      </c>
      <c r="C7" s="93">
        <v>15</v>
      </c>
      <c r="D7" s="93">
        <f>C7*(1+$O$7)</f>
        <v>15.450000000000001</v>
      </c>
      <c r="E7" s="93">
        <f t="shared" ref="E7:N7" si="0">D7*(1+$O$7)</f>
        <v>15.913500000000001</v>
      </c>
      <c r="F7" s="93">
        <f t="shared" si="0"/>
        <v>16.390905</v>
      </c>
      <c r="G7" s="93">
        <f t="shared" si="0"/>
        <v>16.882632149999999</v>
      </c>
      <c r="H7" s="93">
        <f t="shared" si="0"/>
        <v>17.3891111145</v>
      </c>
      <c r="I7" s="93">
        <f t="shared" si="0"/>
        <v>17.910784447935001</v>
      </c>
      <c r="J7" s="93">
        <f t="shared" si="0"/>
        <v>18.448107981373052</v>
      </c>
      <c r="K7" s="93">
        <f t="shared" si="0"/>
        <v>19.001551220814246</v>
      </c>
      <c r="L7" s="93">
        <f t="shared" si="0"/>
        <v>19.571597757438674</v>
      </c>
      <c r="M7" s="93">
        <f t="shared" si="0"/>
        <v>20.158745690161833</v>
      </c>
      <c r="N7" s="94">
        <f t="shared" si="0"/>
        <v>20.763508060866688</v>
      </c>
      <c r="O7" s="20">
        <v>0.03</v>
      </c>
    </row>
    <row r="8" spans="2:15" x14ac:dyDescent="0.25">
      <c r="B8" s="7" t="s">
        <v>18</v>
      </c>
      <c r="C8" s="94">
        <f>N7*(1+O8)</f>
        <v>21.386413302692688</v>
      </c>
      <c r="D8" s="94">
        <f>C8*(1+$O$8)</f>
        <v>22.02800570177347</v>
      </c>
      <c r="E8" s="94">
        <f t="shared" ref="E8:N8" si="1">D8*(1+$O$8)</f>
        <v>22.688845872826676</v>
      </c>
      <c r="F8" s="94">
        <f t="shared" si="1"/>
        <v>23.369511249011477</v>
      </c>
      <c r="G8" s="94">
        <f t="shared" si="1"/>
        <v>24.070596586481823</v>
      </c>
      <c r="H8" s="94">
        <f t="shared" si="1"/>
        <v>24.792714484076278</v>
      </c>
      <c r="I8" s="94">
        <f t="shared" si="1"/>
        <v>25.536495918598568</v>
      </c>
      <c r="J8" s="94">
        <f t="shared" si="1"/>
        <v>26.302590796156526</v>
      </c>
      <c r="K8" s="94">
        <f t="shared" si="1"/>
        <v>27.091668520041221</v>
      </c>
      <c r="L8" s="94">
        <f t="shared" si="1"/>
        <v>27.90441857564246</v>
      </c>
      <c r="M8" s="94">
        <f t="shared" si="1"/>
        <v>28.741551132911734</v>
      </c>
      <c r="N8" s="95">
        <f t="shared" si="1"/>
        <v>29.603797666899087</v>
      </c>
      <c r="O8" s="20">
        <v>0.03</v>
      </c>
    </row>
    <row r="9" spans="2:15" x14ac:dyDescent="0.25">
      <c r="B9" s="7" t="s">
        <v>19</v>
      </c>
      <c r="C9" s="95">
        <f>N8*(1+O9)</f>
        <v>30.491911596906061</v>
      </c>
      <c r="D9" s="95">
        <f>C9*(1+$O$9)</f>
        <v>31.406668944813244</v>
      </c>
      <c r="E9" s="95">
        <f t="shared" ref="E9:N9" si="2">D9*(1+$O$9)</f>
        <v>32.348869013157639</v>
      </c>
      <c r="F9" s="95">
        <f t="shared" si="2"/>
        <v>33.319335083552367</v>
      </c>
      <c r="G9" s="95">
        <f t="shared" si="2"/>
        <v>34.318915136058941</v>
      </c>
      <c r="H9" s="95">
        <f t="shared" si="2"/>
        <v>35.348482590140712</v>
      </c>
      <c r="I9" s="95">
        <f t="shared" si="2"/>
        <v>36.408937067844931</v>
      </c>
      <c r="J9" s="95">
        <f t="shared" si="2"/>
        <v>37.50120517988028</v>
      </c>
      <c r="K9" s="95">
        <f t="shared" si="2"/>
        <v>38.626241335276688</v>
      </c>
      <c r="L9" s="95">
        <f t="shared" si="2"/>
        <v>39.785028575334991</v>
      </c>
      <c r="M9" s="95">
        <f t="shared" si="2"/>
        <v>40.978579432595041</v>
      </c>
      <c r="N9" s="96">
        <f t="shared" si="2"/>
        <v>42.207936815572893</v>
      </c>
      <c r="O9" s="20">
        <v>0.03</v>
      </c>
    </row>
    <row r="10" spans="2:15" x14ac:dyDescent="0.25">
      <c r="B10" s="5" t="s">
        <v>24</v>
      </c>
      <c r="C10" s="58">
        <v>847.46</v>
      </c>
      <c r="D10" s="6" t="s">
        <v>159</v>
      </c>
      <c r="F10" s="6"/>
      <c r="G10" s="6"/>
      <c r="H10" s="6"/>
      <c r="I10" s="6"/>
      <c r="J10" s="6"/>
      <c r="K10" s="6"/>
      <c r="L10" s="6"/>
      <c r="M10" s="6"/>
      <c r="N10" s="99" t="s">
        <v>126</v>
      </c>
    </row>
    <row r="11" spans="2:15" x14ac:dyDescent="0.25">
      <c r="B11" s="91" t="s">
        <v>163</v>
      </c>
      <c r="C11" s="92"/>
      <c r="D11" s="92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2:15" x14ac:dyDescent="0.25">
      <c r="B12" s="5"/>
      <c r="C12" s="109"/>
      <c r="D12" s="6"/>
      <c r="E12" s="6"/>
      <c r="F12" s="6"/>
      <c r="G12" s="6"/>
      <c r="H12" s="54"/>
      <c r="I12" s="6"/>
      <c r="J12" s="6"/>
      <c r="K12" s="6"/>
      <c r="L12" s="6"/>
      <c r="M12" s="6"/>
      <c r="N12" s="6"/>
    </row>
    <row r="13" spans="2:15" x14ac:dyDescent="0.25">
      <c r="B13" s="5"/>
      <c r="C13" s="6"/>
      <c r="D13" s="6"/>
      <c r="E13" s="6"/>
      <c r="F13" s="6"/>
      <c r="G13" s="6"/>
      <c r="H13" s="54"/>
      <c r="I13" s="6"/>
      <c r="J13" s="6"/>
      <c r="K13" s="6"/>
      <c r="L13" s="6"/>
      <c r="M13" s="6"/>
      <c r="N13" s="6"/>
    </row>
    <row r="14" spans="2:15" x14ac:dyDescent="0.25">
      <c r="B14" s="5"/>
      <c r="C14" s="58"/>
      <c r="D14" s="19"/>
      <c r="F14" s="19"/>
      <c r="G14" s="19"/>
      <c r="H14" s="55"/>
      <c r="I14" s="6"/>
      <c r="J14" s="6"/>
      <c r="K14" s="6"/>
      <c r="L14" s="6"/>
      <c r="M14" s="6"/>
      <c r="N14" s="6"/>
    </row>
    <row r="15" spans="2:15" x14ac:dyDescent="0.25">
      <c r="B15" s="5" t="s">
        <v>36</v>
      </c>
      <c r="C15" s="6"/>
      <c r="D15" s="6"/>
      <c r="E15" s="6"/>
      <c r="F15" s="6"/>
      <c r="G15" s="6"/>
      <c r="H15" s="56"/>
      <c r="I15" s="6"/>
      <c r="J15" s="6"/>
      <c r="K15" s="6"/>
      <c r="L15" s="6"/>
      <c r="M15" s="6"/>
      <c r="N15" s="6"/>
    </row>
    <row r="16" spans="2:15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14" t="s">
        <v>141</v>
      </c>
    </row>
    <row r="17" spans="2:20" x14ac:dyDescent="0.25">
      <c r="B17" s="5" t="s">
        <v>150</v>
      </c>
      <c r="C17" s="6"/>
      <c r="D17" s="6"/>
      <c r="E17" s="6"/>
      <c r="F17" s="6"/>
      <c r="G17" s="6" t="s">
        <v>88</v>
      </c>
      <c r="H17" s="6"/>
      <c r="I17" s="6" t="s">
        <v>132</v>
      </c>
      <c r="J17" s="6"/>
      <c r="L17" s="143" t="s">
        <v>96</v>
      </c>
      <c r="M17" s="143"/>
      <c r="N17" s="143"/>
      <c r="O17" s="143"/>
    </row>
    <row r="18" spans="2:20" x14ac:dyDescent="0.25">
      <c r="B18" s="117" t="s">
        <v>40</v>
      </c>
      <c r="C18" s="113">
        <f>((2*1800)+(2*1800)+(1*2000))*12</f>
        <v>110400</v>
      </c>
      <c r="D18" s="6" t="s">
        <v>86</v>
      </c>
      <c r="E18" s="6"/>
      <c r="F18" s="6"/>
      <c r="G18" s="155" t="s">
        <v>47</v>
      </c>
      <c r="H18" s="155"/>
      <c r="I18" s="115">
        <f>350/1.18</f>
        <v>296.61016949152543</v>
      </c>
      <c r="J18" s="6" t="s">
        <v>87</v>
      </c>
      <c r="L18" s="141" t="s">
        <v>151</v>
      </c>
      <c r="M18" s="141"/>
      <c r="N18" s="105">
        <f>(6*500)+(6*200)</f>
        <v>4200</v>
      </c>
      <c r="P18" s="1" t="s">
        <v>112</v>
      </c>
    </row>
    <row r="19" spans="2:20" x14ac:dyDescent="0.25">
      <c r="B19" s="119" t="s">
        <v>157</v>
      </c>
      <c r="C19" s="120">
        <f>((200+50+400)/1.18)*12</f>
        <v>6610.1694915254247</v>
      </c>
      <c r="D19" s="6" t="s">
        <v>87</v>
      </c>
      <c r="E19" s="6" t="s">
        <v>86</v>
      </c>
      <c r="F19" s="6"/>
      <c r="G19" s="144"/>
      <c r="H19" s="144"/>
      <c r="I19" s="60"/>
      <c r="J19" s="6"/>
      <c r="L19" s="141" t="s">
        <v>98</v>
      </c>
      <c r="M19" s="141"/>
      <c r="N19" s="105">
        <f>6*4000</f>
        <v>24000</v>
      </c>
    </row>
    <row r="20" spans="2:20" x14ac:dyDescent="0.25">
      <c r="B20" s="30" t="s">
        <v>43</v>
      </c>
      <c r="C20" s="118">
        <f>(2000/1.18)*12</f>
        <v>20338.983050847459</v>
      </c>
      <c r="D20" s="6" t="s">
        <v>87</v>
      </c>
      <c r="E20" s="6" t="s">
        <v>86</v>
      </c>
      <c r="F20" s="6"/>
      <c r="G20" s="144"/>
      <c r="H20" s="144"/>
      <c r="I20" s="60"/>
      <c r="J20" s="6"/>
      <c r="L20" s="152" t="s">
        <v>152</v>
      </c>
      <c r="M20" s="152"/>
      <c r="N20" s="113">
        <f>274/1.18</f>
        <v>232.20338983050848</v>
      </c>
      <c r="O20" s="6" t="s">
        <v>87</v>
      </c>
    </row>
    <row r="21" spans="2:20" x14ac:dyDescent="0.25">
      <c r="B21" s="4"/>
      <c r="C21" s="59"/>
      <c r="D21" s="6"/>
      <c r="E21" s="6"/>
      <c r="F21" s="6"/>
      <c r="G21" s="147"/>
      <c r="H21" s="148"/>
      <c r="I21" s="60"/>
      <c r="J21" s="6"/>
      <c r="L21" s="152" t="s">
        <v>160</v>
      </c>
      <c r="M21" s="152"/>
      <c r="N21" s="113">
        <f>400/1.18</f>
        <v>338.98305084745766</v>
      </c>
      <c r="O21" s="6" t="s">
        <v>87</v>
      </c>
    </row>
    <row r="22" spans="2:20" x14ac:dyDescent="0.25">
      <c r="B22" s="4"/>
      <c r="C22" s="59"/>
      <c r="D22" s="6"/>
      <c r="E22" s="116"/>
      <c r="F22" s="6"/>
      <c r="G22" s="147"/>
      <c r="H22" s="148"/>
      <c r="I22" s="60"/>
      <c r="J22" s="6"/>
      <c r="L22" s="152" t="s">
        <v>153</v>
      </c>
      <c r="M22" s="152"/>
      <c r="N22" s="113">
        <f>68/1.18</f>
        <v>57.627118644067799</v>
      </c>
      <c r="O22" s="6" t="s">
        <v>87</v>
      </c>
    </row>
    <row r="23" spans="2:20" x14ac:dyDescent="0.25">
      <c r="B23" s="4"/>
      <c r="C23" s="59"/>
      <c r="D23" s="6"/>
      <c r="E23" s="6"/>
      <c r="F23" s="6"/>
      <c r="G23" s="147"/>
      <c r="H23" s="148"/>
      <c r="I23" s="60"/>
      <c r="J23" s="6"/>
      <c r="L23" s="152" t="s">
        <v>154</v>
      </c>
      <c r="M23" s="152"/>
      <c r="N23" s="113">
        <f>15/1.18</f>
        <v>12.711864406779661</v>
      </c>
      <c r="O23" s="6" t="s">
        <v>87</v>
      </c>
    </row>
    <row r="24" spans="2:20" x14ac:dyDescent="0.25">
      <c r="B24" s="4"/>
      <c r="C24" s="59"/>
      <c r="D24" s="6"/>
      <c r="E24" s="6"/>
      <c r="F24" s="6"/>
      <c r="G24" s="147"/>
      <c r="H24" s="148"/>
      <c r="I24" s="60"/>
      <c r="J24" s="6"/>
      <c r="L24" s="152" t="s">
        <v>155</v>
      </c>
      <c r="M24" s="152"/>
      <c r="N24" s="113">
        <f>114/1.18</f>
        <v>96.610169491525426</v>
      </c>
      <c r="O24" s="6" t="s">
        <v>87</v>
      </c>
    </row>
    <row r="25" spans="2:20" x14ac:dyDescent="0.25">
      <c r="B25" s="4"/>
      <c r="C25" s="59"/>
      <c r="D25" s="6"/>
      <c r="E25" s="6"/>
      <c r="F25" s="6"/>
      <c r="G25" s="147"/>
      <c r="H25" s="148"/>
      <c r="I25" s="60"/>
      <c r="J25" s="6"/>
      <c r="L25" s="152"/>
      <c r="M25" s="152"/>
      <c r="N25" s="113"/>
    </row>
    <row r="26" spans="2:20" x14ac:dyDescent="0.25">
      <c r="B26" s="4"/>
      <c r="C26" s="59"/>
      <c r="D26" s="6"/>
      <c r="E26" s="6"/>
      <c r="F26" s="6"/>
      <c r="G26" s="144"/>
      <c r="H26" s="144"/>
      <c r="I26" s="60"/>
      <c r="J26" s="6"/>
      <c r="L26" s="138" t="s">
        <v>156</v>
      </c>
      <c r="M26" s="138"/>
      <c r="N26" s="106">
        <v>300</v>
      </c>
      <c r="P26" s="1" t="s">
        <v>110</v>
      </c>
      <c r="Q26" s="1" t="s">
        <v>111</v>
      </c>
    </row>
    <row r="27" spans="2:20" x14ac:dyDescent="0.25">
      <c r="B27" s="5"/>
      <c r="C27" s="6"/>
      <c r="D27" s="6"/>
      <c r="E27" s="6"/>
      <c r="F27" s="6"/>
      <c r="G27" s="140"/>
      <c r="H27" s="140"/>
      <c r="I27" s="60"/>
      <c r="J27" s="6"/>
      <c r="L27" s="122"/>
      <c r="M27" s="122"/>
      <c r="N27" s="106"/>
      <c r="P27" s="62">
        <f>SUM(N20:N26)</f>
        <v>1038.1355932203392</v>
      </c>
    </row>
    <row r="28" spans="2:20" x14ac:dyDescent="0.25">
      <c r="B28" s="5"/>
      <c r="C28" s="6"/>
      <c r="D28" s="6"/>
      <c r="E28" s="6"/>
      <c r="F28" s="6"/>
      <c r="G28" s="6"/>
      <c r="H28" s="6"/>
      <c r="I28" s="5"/>
      <c r="J28" s="5"/>
      <c r="K28" s="6"/>
      <c r="L28" s="153"/>
      <c r="M28" s="154"/>
      <c r="N28" s="108"/>
    </row>
    <row r="29" spans="2:20" x14ac:dyDescent="0.25">
      <c r="B29" s="5" t="s">
        <v>89</v>
      </c>
      <c r="C29" s="6"/>
      <c r="D29" s="6"/>
      <c r="E29" s="58">
        <v>30000</v>
      </c>
      <c r="F29" s="6" t="s">
        <v>90</v>
      </c>
      <c r="G29" s="57">
        <v>3</v>
      </c>
      <c r="H29" s="6" t="s">
        <v>91</v>
      </c>
      <c r="I29" s="5" t="s">
        <v>93</v>
      </c>
      <c r="J29" s="23">
        <v>6.9900000000000004E-2</v>
      </c>
      <c r="K29" s="89" t="s">
        <v>94</v>
      </c>
      <c r="M29" s="6" t="s">
        <v>103</v>
      </c>
      <c r="N29" s="58">
        <f>SUM(N18:N26)</f>
        <v>29238.135593220344</v>
      </c>
      <c r="P29" s="1" t="s">
        <v>113</v>
      </c>
    </row>
    <row r="30" spans="2:20" x14ac:dyDescent="0.25">
      <c r="B30" s="5"/>
      <c r="C30" s="8" t="s">
        <v>17</v>
      </c>
      <c r="D30" s="8" t="s">
        <v>18</v>
      </c>
      <c r="E30" s="8" t="s">
        <v>19</v>
      </c>
      <c r="F30" s="8" t="s">
        <v>20</v>
      </c>
      <c r="G30" s="8" t="s">
        <v>21</v>
      </c>
      <c r="H30" s="6"/>
      <c r="I30" s="5"/>
      <c r="J30" s="5"/>
      <c r="K30" s="6"/>
    </row>
    <row r="31" spans="2:20" x14ac:dyDescent="0.25">
      <c r="B31" s="4" t="s">
        <v>92</v>
      </c>
      <c r="C31" s="61">
        <f>E29*J29</f>
        <v>2097</v>
      </c>
      <c r="D31" s="61">
        <f>(E29-C32)*J29</f>
        <v>1444.6609449936607</v>
      </c>
      <c r="E31" s="61">
        <f>(E29-C32-D32)*J29</f>
        <v>746.7233900423779</v>
      </c>
      <c r="F31" s="21"/>
      <c r="G31" s="21"/>
      <c r="H31" s="6"/>
      <c r="I31" s="5"/>
      <c r="J31" s="5"/>
      <c r="K31" s="6"/>
      <c r="L31" s="6"/>
      <c r="R31" s="1" t="s">
        <v>144</v>
      </c>
      <c r="S31" s="1" t="s">
        <v>145</v>
      </c>
      <c r="T31" s="1" t="s">
        <v>146</v>
      </c>
    </row>
    <row r="32" spans="2:20" x14ac:dyDescent="0.25">
      <c r="B32" s="4" t="s">
        <v>54</v>
      </c>
      <c r="C32" s="61">
        <f>C33-C31</f>
        <v>9332.4614450120098</v>
      </c>
      <c r="D32" s="61">
        <f>D33-D31</f>
        <v>9984.8005000183493</v>
      </c>
      <c r="E32" s="61">
        <f>E33-E31</f>
        <v>10682.738054969632</v>
      </c>
      <c r="F32" s="21"/>
      <c r="G32" s="21"/>
      <c r="H32" s="6"/>
      <c r="I32" s="5"/>
      <c r="J32" s="5"/>
      <c r="K32" s="6"/>
      <c r="L32" s="6"/>
      <c r="M32" s="6"/>
      <c r="N32" s="6"/>
      <c r="P32" s="62" t="e">
        <f>#REF!</f>
        <v>#REF!</v>
      </c>
      <c r="Q32" s="1" t="s">
        <v>142</v>
      </c>
      <c r="R32" s="53">
        <f>-C7</f>
        <v>-15</v>
      </c>
      <c r="S32" s="53">
        <f>-D7</f>
        <v>-15.450000000000001</v>
      </c>
    </row>
    <row r="33" spans="2:19" x14ac:dyDescent="0.25">
      <c r="B33" s="4" t="s">
        <v>83</v>
      </c>
      <c r="C33" s="61">
        <f>PMT(J29,G29,-E29)</f>
        <v>11429.46144501201</v>
      </c>
      <c r="D33" s="61">
        <f>C33</f>
        <v>11429.46144501201</v>
      </c>
      <c r="E33" s="61">
        <f>D33</f>
        <v>11429.46144501201</v>
      </c>
      <c r="F33" s="21"/>
      <c r="G33" s="21"/>
      <c r="H33" s="6"/>
      <c r="I33" s="5"/>
      <c r="J33" s="5"/>
      <c r="K33" s="6"/>
      <c r="L33" s="6"/>
      <c r="M33" s="6"/>
      <c r="N33" s="6"/>
      <c r="Q33" s="1" t="s">
        <v>143</v>
      </c>
      <c r="R33" s="1">
        <v>1500</v>
      </c>
      <c r="S33" s="1">
        <v>1515</v>
      </c>
    </row>
    <row r="34" spans="2:19" s="16" customFormat="1" ht="15.75" thickBot="1" x14ac:dyDescent="0.3"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2:19" outlineLevel="1" x14ac:dyDescent="0.25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2:19" outlineLevel="1" x14ac:dyDescent="0.25">
      <c r="B36" s="150" t="s">
        <v>31</v>
      </c>
      <c r="C36" s="151"/>
      <c r="D36" s="151"/>
      <c r="E36" s="151"/>
      <c r="F36" s="123"/>
      <c r="G36" s="123"/>
      <c r="H36" s="6"/>
      <c r="I36" s="150" t="s">
        <v>32</v>
      </c>
      <c r="J36" s="151"/>
      <c r="K36" s="151"/>
      <c r="L36" s="151"/>
      <c r="M36" s="123"/>
      <c r="N36" s="123"/>
    </row>
    <row r="37" spans="2:19" ht="8.25" customHeight="1" outlineLevel="1" x14ac:dyDescent="0.25"/>
    <row r="38" spans="2:19" s="3" customFormat="1" outlineLevel="1" x14ac:dyDescent="0.25">
      <c r="B38" s="3" t="s">
        <v>1</v>
      </c>
      <c r="C38" s="3" t="s">
        <v>122</v>
      </c>
      <c r="E38" s="3" t="s">
        <v>123</v>
      </c>
      <c r="F38" s="125"/>
      <c r="G38" s="125"/>
      <c r="I38" s="3" t="s">
        <v>2</v>
      </c>
      <c r="K38" s="3" t="s">
        <v>124</v>
      </c>
      <c r="L38" s="3" t="s">
        <v>125</v>
      </c>
    </row>
    <row r="39" spans="2:19" outlineLevel="1" x14ac:dyDescent="0.25">
      <c r="C39" s="26" t="s">
        <v>17</v>
      </c>
      <c r="D39" s="26" t="s">
        <v>18</v>
      </c>
      <c r="E39" s="28" t="s">
        <v>19</v>
      </c>
      <c r="F39" s="57"/>
      <c r="G39" s="57"/>
      <c r="J39" s="28" t="s">
        <v>17</v>
      </c>
      <c r="K39" s="28" t="s">
        <v>18</v>
      </c>
      <c r="L39" s="28" t="s">
        <v>19</v>
      </c>
      <c r="M39" s="3"/>
      <c r="N39" s="3"/>
    </row>
    <row r="40" spans="2:19" outlineLevel="1" x14ac:dyDescent="0.25">
      <c r="B40" s="27" t="s">
        <v>25</v>
      </c>
      <c r="C40" s="65">
        <f>SUM(C7:N7)</f>
        <v>212.88044342308945</v>
      </c>
      <c r="D40" s="65">
        <f>SUM(C8:N8)</f>
        <v>303.51660980711205</v>
      </c>
      <c r="E40" s="65">
        <f>SUM(C9:N9)</f>
        <v>432.74211077113381</v>
      </c>
      <c r="F40" s="126"/>
      <c r="G40" s="126"/>
      <c r="I40" s="27" t="s">
        <v>25</v>
      </c>
      <c r="J40" s="65">
        <f>SUM(C7:N7)</f>
        <v>212.88044342308945</v>
      </c>
      <c r="K40" s="65">
        <f>SUM(C8:N8)</f>
        <v>303.51660980711205</v>
      </c>
      <c r="L40" s="65">
        <f>SUM(C9:N9)</f>
        <v>432.74211077113381</v>
      </c>
      <c r="M40" s="3"/>
      <c r="N40" s="3"/>
    </row>
    <row r="41" spans="2:19" outlineLevel="1" x14ac:dyDescent="0.25">
      <c r="B41" s="27" t="s">
        <v>26</v>
      </c>
      <c r="C41" s="65">
        <f>$C$10</f>
        <v>847.46</v>
      </c>
      <c r="D41" s="65">
        <f t="shared" ref="D41:E41" si="3">$C$10</f>
        <v>847.46</v>
      </c>
      <c r="E41" s="65">
        <f t="shared" si="3"/>
        <v>847.46</v>
      </c>
      <c r="F41" s="126"/>
      <c r="G41" s="126"/>
      <c r="I41" s="27" t="s">
        <v>26</v>
      </c>
      <c r="J41" s="65">
        <f>$C$10*1.18</f>
        <v>1000.0028</v>
      </c>
      <c r="K41" s="65">
        <f t="shared" ref="K41:L41" si="4">$C$10*1.18</f>
        <v>1000.0028</v>
      </c>
      <c r="L41" s="65">
        <f t="shared" si="4"/>
        <v>1000.0028</v>
      </c>
      <c r="M41" s="3"/>
      <c r="N41" s="3"/>
    </row>
    <row r="42" spans="2:19" outlineLevel="1" x14ac:dyDescent="0.25">
      <c r="B42" s="27" t="s">
        <v>27</v>
      </c>
      <c r="C42" s="90">
        <f>C40*C41</f>
        <v>180407.6605833314</v>
      </c>
      <c r="D42" s="90">
        <f t="shared" ref="D42:E42" si="5">D40*D41</f>
        <v>257218.18614713519</v>
      </c>
      <c r="E42" s="90">
        <f t="shared" si="5"/>
        <v>366731.6291941051</v>
      </c>
      <c r="F42" s="127"/>
      <c r="G42" s="127"/>
      <c r="I42" s="100" t="s">
        <v>27</v>
      </c>
      <c r="J42" s="101">
        <f>J40*J41</f>
        <v>212881.03948833104</v>
      </c>
      <c r="K42" s="101">
        <f t="shared" ref="K42:L42" si="6">K40*K41</f>
        <v>303517.4596536195</v>
      </c>
      <c r="L42" s="101">
        <f t="shared" si="6"/>
        <v>432743.32244904398</v>
      </c>
      <c r="M42" s="3"/>
      <c r="N42" s="3"/>
    </row>
    <row r="43" spans="2:19" outlineLevel="1" x14ac:dyDescent="0.25">
      <c r="F43" s="5"/>
      <c r="G43" s="5"/>
      <c r="M43" s="3"/>
      <c r="N43" s="3"/>
    </row>
    <row r="44" spans="2:19" outlineLevel="1" x14ac:dyDescent="0.25">
      <c r="B44" s="3"/>
      <c r="D44" s="3"/>
      <c r="E44" s="3" t="s">
        <v>127</v>
      </c>
      <c r="F44" s="125"/>
      <c r="G44" s="125"/>
      <c r="I44" s="3" t="s">
        <v>30</v>
      </c>
      <c r="K44" s="3"/>
      <c r="L44" s="3" t="s">
        <v>125</v>
      </c>
      <c r="M44" s="3"/>
      <c r="N44" s="3"/>
    </row>
    <row r="45" spans="2:19" outlineLevel="1" x14ac:dyDescent="0.25">
      <c r="C45" s="130" t="s">
        <v>17</v>
      </c>
      <c r="D45" s="130" t="s">
        <v>18</v>
      </c>
      <c r="E45" s="130" t="s">
        <v>19</v>
      </c>
      <c r="F45" s="57"/>
      <c r="G45" s="57"/>
      <c r="J45" s="24" t="s">
        <v>17</v>
      </c>
      <c r="K45" s="24" t="s">
        <v>18</v>
      </c>
      <c r="L45" s="24" t="s">
        <v>19</v>
      </c>
      <c r="M45" s="3"/>
      <c r="N45" s="3"/>
    </row>
    <row r="46" spans="2:19" outlineLevel="1" x14ac:dyDescent="0.25">
      <c r="B46" s="25" t="s">
        <v>99</v>
      </c>
      <c r="C46" s="63">
        <f>((N20+N22+N23+N24)*12)+N21</f>
        <v>5128.813559322035</v>
      </c>
      <c r="D46" s="63">
        <f>((N20+N22+N23+N24)*12)+N21</f>
        <v>5128.813559322035</v>
      </c>
      <c r="E46" s="63">
        <f>((N20+N22+N23+N24)*12)+N21</f>
        <v>5128.813559322035</v>
      </c>
      <c r="F46" s="54"/>
      <c r="G46" s="54"/>
      <c r="I46" s="25" t="s">
        <v>161</v>
      </c>
      <c r="J46" s="63">
        <f>+C46*1.18</f>
        <v>6052.0000000000009</v>
      </c>
      <c r="K46" s="63">
        <f>+D46*1.18</f>
        <v>6052.0000000000009</v>
      </c>
      <c r="L46" s="63">
        <f>+E46*1.18</f>
        <v>6052.0000000000009</v>
      </c>
      <c r="M46" s="3"/>
      <c r="N46" s="3"/>
    </row>
    <row r="47" spans="2:19" outlineLevel="1" x14ac:dyDescent="0.25">
      <c r="B47" s="25"/>
      <c r="C47" s="64"/>
      <c r="D47" s="64"/>
      <c r="E47" s="64"/>
      <c r="F47" s="128"/>
      <c r="G47" s="128"/>
      <c r="I47" s="25"/>
      <c r="J47" s="64"/>
      <c r="K47" s="64"/>
      <c r="L47" s="64"/>
      <c r="M47" s="3"/>
      <c r="N47" s="3"/>
    </row>
    <row r="48" spans="2:19" s="2" customFormat="1" outlineLevel="1" x14ac:dyDescent="0.25">
      <c r="B48" s="102" t="s">
        <v>27</v>
      </c>
      <c r="C48" s="103">
        <f>SUM(C46:C47)</f>
        <v>5128.813559322035</v>
      </c>
      <c r="D48" s="103">
        <f t="shared" ref="D48:E48" si="7">SUM(D46:D47)</f>
        <v>5128.813559322035</v>
      </c>
      <c r="E48" s="103">
        <f t="shared" si="7"/>
        <v>5128.813559322035</v>
      </c>
      <c r="F48" s="129"/>
      <c r="G48" s="129"/>
      <c r="I48" s="102" t="s">
        <v>27</v>
      </c>
      <c r="J48" s="103">
        <f>SUM(J46:J47)</f>
        <v>6052.0000000000009</v>
      </c>
      <c r="K48" s="103">
        <f t="shared" ref="K48:L48" si="8">SUM(K46:K47)</f>
        <v>6052.0000000000009</v>
      </c>
      <c r="L48" s="103">
        <f t="shared" si="8"/>
        <v>6052.0000000000009</v>
      </c>
      <c r="M48" s="3"/>
      <c r="N48" s="3"/>
    </row>
    <row r="49" spans="2:14" outlineLevel="1" x14ac:dyDescent="0.25">
      <c r="C49" s="53"/>
      <c r="F49" s="129"/>
      <c r="G49" s="129"/>
      <c r="J49" s="53"/>
    </row>
    <row r="50" spans="2:14" outlineLevel="1" x14ac:dyDescent="0.25">
      <c r="B50" s="3" t="s">
        <v>37</v>
      </c>
      <c r="D50" s="1" t="s">
        <v>130</v>
      </c>
      <c r="E50" s="1" t="str">
        <f>+'EJERCICIO 1 - laboratorio'!E47</f>
        <v>NO IGV</v>
      </c>
      <c r="F50" s="129"/>
      <c r="G50" s="129"/>
      <c r="I50" s="3" t="s">
        <v>38</v>
      </c>
      <c r="L50" s="1" t="s">
        <v>131</v>
      </c>
      <c r="M50" s="1" t="str">
        <f>L44</f>
        <v>SI IGV</v>
      </c>
    </row>
    <row r="51" spans="2:14" outlineLevel="1" x14ac:dyDescent="0.25">
      <c r="C51" s="29" t="s">
        <v>17</v>
      </c>
      <c r="D51" s="29" t="s">
        <v>18</v>
      </c>
      <c r="E51" s="29" t="s">
        <v>19</v>
      </c>
      <c r="F51" s="129"/>
      <c r="G51" s="129"/>
      <c r="J51" s="32" t="s">
        <v>17</v>
      </c>
      <c r="K51" s="32" t="s">
        <v>18</v>
      </c>
      <c r="L51" s="124" t="s">
        <v>19</v>
      </c>
      <c r="M51" s="57"/>
      <c r="N51" s="57"/>
    </row>
    <row r="52" spans="2:14" outlineLevel="1" x14ac:dyDescent="0.25">
      <c r="B52" s="30" t="s">
        <v>40</v>
      </c>
      <c r="C52" s="64">
        <f>$C$18</f>
        <v>110400</v>
      </c>
      <c r="D52" s="64">
        <f t="shared" ref="D52:E52" si="9">$C$18</f>
        <v>110400</v>
      </c>
      <c r="E52" s="64">
        <f t="shared" si="9"/>
        <v>110400</v>
      </c>
      <c r="F52" s="129"/>
      <c r="G52" s="129"/>
      <c r="I52" s="30" t="s">
        <v>40</v>
      </c>
      <c r="J52" s="64">
        <f>C52</f>
        <v>110400</v>
      </c>
      <c r="K52" s="64">
        <f t="shared" ref="K52:L52" si="10">D52</f>
        <v>110400</v>
      </c>
      <c r="L52" s="64">
        <f t="shared" si="10"/>
        <v>110400</v>
      </c>
      <c r="M52" s="57"/>
      <c r="N52" s="57"/>
    </row>
    <row r="53" spans="2:14" outlineLevel="1" x14ac:dyDescent="0.25">
      <c r="B53" s="30" t="s">
        <v>41</v>
      </c>
      <c r="C53" s="64">
        <f>C77+C78</f>
        <v>6420</v>
      </c>
      <c r="D53" s="64">
        <f t="shared" ref="D53:E53" si="11">D77+D78</f>
        <v>6420</v>
      </c>
      <c r="E53" s="64">
        <f t="shared" si="11"/>
        <v>6420</v>
      </c>
      <c r="F53" s="129"/>
      <c r="G53" s="129"/>
      <c r="I53" s="30" t="s">
        <v>41</v>
      </c>
      <c r="J53" s="64">
        <v>0</v>
      </c>
      <c r="K53" s="64">
        <v>0</v>
      </c>
      <c r="L53" s="64">
        <v>0</v>
      </c>
      <c r="M53" s="57"/>
      <c r="N53" s="57"/>
    </row>
    <row r="54" spans="2:14" outlineLevel="1" x14ac:dyDescent="0.25">
      <c r="B54" s="30" t="s">
        <v>42</v>
      </c>
      <c r="C54" s="64">
        <f>$C$19</f>
        <v>6610.1694915254247</v>
      </c>
      <c r="D54" s="64">
        <f t="shared" ref="D54:E54" si="12">$C$19</f>
        <v>6610.1694915254247</v>
      </c>
      <c r="E54" s="64">
        <f t="shared" si="12"/>
        <v>6610.1694915254247</v>
      </c>
      <c r="F54" s="129"/>
      <c r="G54" s="129"/>
      <c r="I54" s="30" t="s">
        <v>42</v>
      </c>
      <c r="J54" s="64">
        <f>C54*1.18</f>
        <v>7800.0000000000009</v>
      </c>
      <c r="K54" s="64">
        <f t="shared" ref="K54:L56" si="13">D54*1.18</f>
        <v>7800.0000000000009</v>
      </c>
      <c r="L54" s="64">
        <f t="shared" si="13"/>
        <v>7800.0000000000009</v>
      </c>
      <c r="M54" s="57"/>
      <c r="N54" s="57"/>
    </row>
    <row r="55" spans="2:14" outlineLevel="1" x14ac:dyDescent="0.25">
      <c r="B55" s="30" t="s">
        <v>43</v>
      </c>
      <c r="C55" s="64">
        <f>$C$20</f>
        <v>20338.983050847459</v>
      </c>
      <c r="D55" s="64">
        <f t="shared" ref="D55:E55" si="14">$C$20</f>
        <v>20338.983050847459</v>
      </c>
      <c r="E55" s="64">
        <f t="shared" si="14"/>
        <v>20338.983050847459</v>
      </c>
      <c r="F55" s="129"/>
      <c r="G55" s="129"/>
      <c r="I55" s="30" t="s">
        <v>43</v>
      </c>
      <c r="J55" s="64">
        <f t="shared" ref="J55:J56" si="15">C55*1.18</f>
        <v>24000</v>
      </c>
      <c r="K55" s="64">
        <f t="shared" si="13"/>
        <v>24000</v>
      </c>
      <c r="L55" s="64">
        <f>E55*1.18</f>
        <v>24000</v>
      </c>
      <c r="M55" s="57"/>
      <c r="N55" s="57"/>
    </row>
    <row r="56" spans="2:14" outlineLevel="1" x14ac:dyDescent="0.25">
      <c r="B56" s="30" t="s">
        <v>44</v>
      </c>
      <c r="C56" s="64">
        <f>$C$26</f>
        <v>0</v>
      </c>
      <c r="D56" s="64">
        <f t="shared" ref="D56:E56" si="16">$C$26</f>
        <v>0</v>
      </c>
      <c r="E56" s="64">
        <f t="shared" si="16"/>
        <v>0</v>
      </c>
      <c r="F56" s="129"/>
      <c r="G56" s="129"/>
      <c r="I56" s="30" t="s">
        <v>44</v>
      </c>
      <c r="J56" s="64">
        <f t="shared" si="15"/>
        <v>0</v>
      </c>
      <c r="K56" s="64">
        <f>D56*1.18</f>
        <v>0</v>
      </c>
      <c r="L56" s="64">
        <f t="shared" si="13"/>
        <v>0</v>
      </c>
      <c r="M56" s="57"/>
      <c r="N56" s="57"/>
    </row>
    <row r="57" spans="2:14" outlineLevel="1" x14ac:dyDescent="0.25">
      <c r="B57" s="30" t="s">
        <v>119</v>
      </c>
      <c r="C57" s="64">
        <f>P27</f>
        <v>1038.1355932203392</v>
      </c>
      <c r="D57" s="64">
        <v>0</v>
      </c>
      <c r="E57" s="64">
        <v>0</v>
      </c>
      <c r="F57" s="129"/>
      <c r="G57" s="129"/>
      <c r="I57" s="30" t="s">
        <v>120</v>
      </c>
      <c r="J57" s="64">
        <v>0</v>
      </c>
      <c r="K57" s="64">
        <v>0</v>
      </c>
      <c r="L57" s="64">
        <v>0</v>
      </c>
      <c r="M57" s="57"/>
      <c r="N57" s="57"/>
    </row>
    <row r="58" spans="2:14" s="2" customFormat="1" outlineLevel="1" x14ac:dyDescent="0.25">
      <c r="B58" s="31" t="s">
        <v>27</v>
      </c>
      <c r="C58" s="66">
        <f>SUM(C52:C57)</f>
        <v>144807.2881355932</v>
      </c>
      <c r="D58" s="66">
        <f>SUM(D52:D57)</f>
        <v>143769.15254237287</v>
      </c>
      <c r="E58" s="66">
        <f>SUM(E52:E57)</f>
        <v>143769.15254237287</v>
      </c>
      <c r="F58" s="129"/>
      <c r="G58" s="129"/>
      <c r="I58" s="31" t="s">
        <v>27</v>
      </c>
      <c r="J58" s="66">
        <f>SUM(J52:J57)</f>
        <v>142200</v>
      </c>
      <c r="K58" s="66">
        <f>SUM(K52:K57)</f>
        <v>142200</v>
      </c>
      <c r="L58" s="66">
        <f>SUM(L52:L57)</f>
        <v>142200</v>
      </c>
      <c r="M58" s="57"/>
      <c r="N58" s="57"/>
    </row>
    <row r="59" spans="2:14" outlineLevel="1" x14ac:dyDescent="0.25"/>
    <row r="60" spans="2:14" outlineLevel="1" x14ac:dyDescent="0.25">
      <c r="B60" s="3" t="s">
        <v>45</v>
      </c>
      <c r="E60" s="1" t="s">
        <v>127</v>
      </c>
      <c r="I60" s="3" t="s">
        <v>46</v>
      </c>
      <c r="L60" s="1" t="s">
        <v>125</v>
      </c>
    </row>
    <row r="61" spans="2:14" outlineLevel="1" x14ac:dyDescent="0.25">
      <c r="C61" s="33" t="s">
        <v>17</v>
      </c>
      <c r="D61" s="33" t="s">
        <v>18</v>
      </c>
      <c r="E61" s="33" t="s">
        <v>19</v>
      </c>
      <c r="J61" s="36" t="s">
        <v>17</v>
      </c>
      <c r="K61" s="36" t="s">
        <v>18</v>
      </c>
      <c r="L61" s="36" t="s">
        <v>19</v>
      </c>
    </row>
    <row r="62" spans="2:14" outlineLevel="1" x14ac:dyDescent="0.25">
      <c r="B62" s="34" t="s">
        <v>47</v>
      </c>
      <c r="C62" s="64">
        <f t="shared" ref="C62:E64" si="17">$I18</f>
        <v>296.61016949152543</v>
      </c>
      <c r="D62" s="64">
        <f t="shared" si="17"/>
        <v>296.61016949152543</v>
      </c>
      <c r="E62" s="64">
        <f t="shared" si="17"/>
        <v>296.61016949152543</v>
      </c>
      <c r="I62" s="34" t="s">
        <v>47</v>
      </c>
      <c r="J62" s="64">
        <f>C62*1.18</f>
        <v>350</v>
      </c>
      <c r="K62" s="64">
        <f t="shared" ref="K62:L66" si="18">D62*1.18</f>
        <v>350</v>
      </c>
      <c r="L62" s="64">
        <f t="shared" si="18"/>
        <v>350</v>
      </c>
    </row>
    <row r="63" spans="2:14" outlineLevel="1" x14ac:dyDescent="0.25">
      <c r="B63" s="34" t="s">
        <v>48</v>
      </c>
      <c r="C63" s="64">
        <f t="shared" si="17"/>
        <v>0</v>
      </c>
      <c r="D63" s="64">
        <f t="shared" si="17"/>
        <v>0</v>
      </c>
      <c r="E63" s="64">
        <f t="shared" si="17"/>
        <v>0</v>
      </c>
      <c r="I63" s="34" t="s">
        <v>48</v>
      </c>
      <c r="J63" s="64">
        <f t="shared" ref="J63:J66" si="19">C63*1.18</f>
        <v>0</v>
      </c>
      <c r="K63" s="64">
        <f>D63*1.18</f>
        <v>0</v>
      </c>
      <c r="L63" s="64">
        <f t="shared" si="18"/>
        <v>0</v>
      </c>
    </row>
    <row r="64" spans="2:14" outlineLevel="1" x14ac:dyDescent="0.25">
      <c r="B64" s="34" t="s">
        <v>49</v>
      </c>
      <c r="C64" s="64">
        <f t="shared" si="17"/>
        <v>0</v>
      </c>
      <c r="D64" s="64">
        <f t="shared" si="17"/>
        <v>0</v>
      </c>
      <c r="E64" s="64">
        <f t="shared" si="17"/>
        <v>0</v>
      </c>
      <c r="I64" s="34" t="s">
        <v>49</v>
      </c>
      <c r="J64" s="64">
        <f t="shared" si="19"/>
        <v>0</v>
      </c>
      <c r="K64" s="64">
        <f t="shared" si="18"/>
        <v>0</v>
      </c>
      <c r="L64" s="64">
        <f t="shared" si="18"/>
        <v>0</v>
      </c>
    </row>
    <row r="65" spans="2:14" outlineLevel="1" x14ac:dyDescent="0.25">
      <c r="B65" s="34" t="s">
        <v>50</v>
      </c>
      <c r="C65" s="64">
        <f>$I26</f>
        <v>0</v>
      </c>
      <c r="D65" s="64">
        <f>$I26</f>
        <v>0</v>
      </c>
      <c r="E65" s="64">
        <f>$I26</f>
        <v>0</v>
      </c>
      <c r="I65" s="34" t="s">
        <v>50</v>
      </c>
      <c r="J65" s="64">
        <f t="shared" si="19"/>
        <v>0</v>
      </c>
      <c r="K65" s="64">
        <f t="shared" si="18"/>
        <v>0</v>
      </c>
      <c r="L65" s="64">
        <f t="shared" si="18"/>
        <v>0</v>
      </c>
    </row>
    <row r="66" spans="2:14" outlineLevel="1" x14ac:dyDescent="0.25">
      <c r="B66" s="34" t="s">
        <v>118</v>
      </c>
      <c r="C66" s="64">
        <f>$I$27*C40</f>
        <v>0</v>
      </c>
      <c r="D66" s="64">
        <f>$I$27*D40</f>
        <v>0</v>
      </c>
      <c r="E66" s="64">
        <f>$I$27*E40</f>
        <v>0</v>
      </c>
      <c r="I66" s="34" t="s">
        <v>118</v>
      </c>
      <c r="J66" s="64">
        <f t="shared" si="19"/>
        <v>0</v>
      </c>
      <c r="K66" s="64">
        <f t="shared" si="18"/>
        <v>0</v>
      </c>
      <c r="L66" s="64">
        <f t="shared" si="18"/>
        <v>0</v>
      </c>
    </row>
    <row r="67" spans="2:14" outlineLevel="1" x14ac:dyDescent="0.25">
      <c r="B67" s="35" t="s">
        <v>27</v>
      </c>
      <c r="C67" s="67">
        <f>SUM(C62:C66)</f>
        <v>296.61016949152543</v>
      </c>
      <c r="D67" s="67">
        <f>SUM(D62:D66)</f>
        <v>296.61016949152543</v>
      </c>
      <c r="E67" s="67">
        <f>SUM(E62:E66)</f>
        <v>296.61016949152543</v>
      </c>
      <c r="H67" s="2"/>
      <c r="I67" s="35" t="s">
        <v>27</v>
      </c>
      <c r="J67" s="67">
        <f>SUM(J62:J66)</f>
        <v>350</v>
      </c>
      <c r="K67" s="67">
        <f>SUM(K62:K66)</f>
        <v>350</v>
      </c>
      <c r="L67" s="67">
        <f>SUM(L62:L66)</f>
        <v>350</v>
      </c>
    </row>
    <row r="68" spans="2:14" outlineLevel="1" x14ac:dyDescent="0.25"/>
    <row r="69" spans="2:14" s="3" customFormat="1" outlineLevel="1" x14ac:dyDescent="0.25">
      <c r="B69" s="3" t="s">
        <v>51</v>
      </c>
      <c r="D69" s="3" t="s">
        <v>133</v>
      </c>
      <c r="F69" s="1"/>
      <c r="G69" s="1"/>
      <c r="I69" s="3" t="s">
        <v>52</v>
      </c>
      <c r="M69" s="1"/>
      <c r="N69" s="1"/>
    </row>
    <row r="70" spans="2:14" outlineLevel="1" x14ac:dyDescent="0.25">
      <c r="C70" s="37" t="s">
        <v>17</v>
      </c>
      <c r="D70" s="37" t="s">
        <v>18</v>
      </c>
      <c r="E70" s="37" t="s">
        <v>19</v>
      </c>
      <c r="J70" s="40" t="s">
        <v>17</v>
      </c>
      <c r="K70" s="40" t="s">
        <v>18</v>
      </c>
      <c r="L70" s="40" t="s">
        <v>19</v>
      </c>
    </row>
    <row r="71" spans="2:14" outlineLevel="1" x14ac:dyDescent="0.25">
      <c r="B71" s="38" t="s">
        <v>53</v>
      </c>
      <c r="C71" s="64">
        <f>C31</f>
        <v>2097</v>
      </c>
      <c r="D71" s="64">
        <f>D31</f>
        <v>1444.6609449936607</v>
      </c>
      <c r="E71" s="64">
        <f>E31</f>
        <v>746.7233900423779</v>
      </c>
      <c r="I71" s="38" t="str">
        <f>B71</f>
        <v>Intereses</v>
      </c>
      <c r="J71" s="64">
        <f t="shared" ref="J71:L72" si="20">C31</f>
        <v>2097</v>
      </c>
      <c r="K71" s="64">
        <f t="shared" si="20"/>
        <v>1444.6609449936607</v>
      </c>
      <c r="L71" s="64">
        <f t="shared" si="20"/>
        <v>746.7233900423779</v>
      </c>
    </row>
    <row r="72" spans="2:14" outlineLevel="1" x14ac:dyDescent="0.25">
      <c r="B72" s="39" t="s">
        <v>27</v>
      </c>
      <c r="C72" s="68">
        <f>SUM(C71)</f>
        <v>2097</v>
      </c>
      <c r="D72" s="68">
        <f t="shared" ref="D72:E72" si="21">SUM(D71)</f>
        <v>1444.6609449936607</v>
      </c>
      <c r="E72" s="68">
        <f t="shared" si="21"/>
        <v>746.7233900423779</v>
      </c>
      <c r="I72" s="38" t="s">
        <v>54</v>
      </c>
      <c r="J72" s="64">
        <f t="shared" si="20"/>
        <v>9332.4614450120098</v>
      </c>
      <c r="K72" s="64">
        <f t="shared" si="20"/>
        <v>9984.8005000183493</v>
      </c>
      <c r="L72" s="64">
        <f t="shared" si="20"/>
        <v>10682.738054969632</v>
      </c>
    </row>
    <row r="73" spans="2:14" outlineLevel="1" x14ac:dyDescent="0.25">
      <c r="I73" s="39" t="s">
        <v>27</v>
      </c>
      <c r="J73" s="68">
        <f>SUM(J71:J72)</f>
        <v>11429.46144501201</v>
      </c>
      <c r="K73" s="68">
        <f t="shared" ref="K73:L73" si="22">SUM(K71:K72)</f>
        <v>11429.46144501201</v>
      </c>
      <c r="L73" s="68">
        <f t="shared" si="22"/>
        <v>11429.46144501201</v>
      </c>
    </row>
    <row r="74" spans="2:14" outlineLevel="1" x14ac:dyDescent="0.25">
      <c r="I74" s="9"/>
      <c r="J74" s="9"/>
      <c r="K74" s="9"/>
      <c r="L74" s="9"/>
    </row>
    <row r="75" spans="2:14" outlineLevel="1" x14ac:dyDescent="0.25">
      <c r="I75" s="9" t="s">
        <v>66</v>
      </c>
      <c r="J75" s="41" t="s">
        <v>17</v>
      </c>
      <c r="K75" s="41" t="s">
        <v>18</v>
      </c>
      <c r="L75" s="41" t="s">
        <v>19</v>
      </c>
    </row>
    <row r="76" spans="2:14" outlineLevel="1" x14ac:dyDescent="0.25">
      <c r="B76" s="1" t="s">
        <v>41</v>
      </c>
      <c r="C76" s="41" t="s">
        <v>17</v>
      </c>
      <c r="D76" s="41" t="s">
        <v>18</v>
      </c>
      <c r="E76" s="41" t="s">
        <v>19</v>
      </c>
      <c r="I76" s="42" t="s">
        <v>114</v>
      </c>
      <c r="J76" s="69">
        <f>C42*0.18</f>
        <v>32473.378904999649</v>
      </c>
      <c r="K76" s="69">
        <f>D42*0.18</f>
        <v>46299.273506484329</v>
      </c>
      <c r="L76" s="69">
        <f>E42*0.18</f>
        <v>66011.693254938917</v>
      </c>
    </row>
    <row r="77" spans="2:14" outlineLevel="1" x14ac:dyDescent="0.25">
      <c r="B77" s="22" t="str">
        <f>L18</f>
        <v>Muebles ( Escritorios y Sillas)</v>
      </c>
      <c r="C77" s="64">
        <f>$N$18/$F$77</f>
        <v>420</v>
      </c>
      <c r="D77" s="64">
        <f>$N$18/$F$77</f>
        <v>420</v>
      </c>
      <c r="E77" s="64">
        <f>$N$18/$F$77</f>
        <v>420</v>
      </c>
      <c r="F77" s="52">
        <v>10</v>
      </c>
      <c r="I77" s="42" t="s">
        <v>67</v>
      </c>
      <c r="J77" s="64">
        <f>C48*0.18</f>
        <v>923.18644067796629</v>
      </c>
      <c r="K77" s="64">
        <f>D48*0.18</f>
        <v>923.18644067796629</v>
      </c>
      <c r="L77" s="64">
        <f>E48*0.18</f>
        <v>923.18644067796629</v>
      </c>
    </row>
    <row r="78" spans="2:14" outlineLevel="1" x14ac:dyDescent="0.25">
      <c r="B78" s="22" t="str">
        <f>L19</f>
        <v>Computadoras</v>
      </c>
      <c r="C78" s="64">
        <f>$N$19/$F$78</f>
        <v>6000</v>
      </c>
      <c r="D78" s="64">
        <f>$N$19/$F$78</f>
        <v>6000</v>
      </c>
      <c r="E78" s="64">
        <f>$N$19/$F$78</f>
        <v>6000</v>
      </c>
      <c r="F78" s="52">
        <v>4</v>
      </c>
      <c r="I78" s="42" t="s">
        <v>68</v>
      </c>
      <c r="J78" s="64">
        <f>(C54+C55+C56)*0.18</f>
        <v>4850.8474576271183</v>
      </c>
      <c r="K78" s="64">
        <f>(D54+D55+D56)*0.18</f>
        <v>4850.8474576271183</v>
      </c>
      <c r="L78" s="64">
        <f>(E54+E55+E56)*0.18</f>
        <v>4850.8474576271183</v>
      </c>
    </row>
    <row r="79" spans="2:14" outlineLevel="1" x14ac:dyDescent="0.25">
      <c r="I79" s="42" t="s">
        <v>69</v>
      </c>
      <c r="J79" s="64">
        <f>C67*0.18</f>
        <v>53.389830508474574</v>
      </c>
      <c r="K79" s="64">
        <f t="shared" ref="K79:L79" si="23">D67*0.18</f>
        <v>53.389830508474574</v>
      </c>
      <c r="L79" s="64">
        <f t="shared" si="23"/>
        <v>53.389830508474574</v>
      </c>
    </row>
    <row r="80" spans="2:14" ht="27" customHeight="1" outlineLevel="1" x14ac:dyDescent="0.25">
      <c r="I80" s="43" t="s">
        <v>115</v>
      </c>
      <c r="J80" s="70">
        <f>J76-SUM(J77:J79)</f>
        <v>26645.955176186089</v>
      </c>
      <c r="K80" s="70">
        <f t="shared" ref="K80:L80" si="24">K76-SUM(K77:K79)</f>
        <v>40471.849777670766</v>
      </c>
      <c r="L80" s="70">
        <f t="shared" si="24"/>
        <v>60184.269526125354</v>
      </c>
    </row>
    <row r="81" spans="2:17" outlineLevel="1" x14ac:dyDescent="0.25">
      <c r="E81" s="139" t="s">
        <v>95</v>
      </c>
      <c r="F81" s="139"/>
      <c r="G81" s="64">
        <f>N18-SUM(C77:G77)</f>
        <v>2930</v>
      </c>
    </row>
    <row r="82" spans="2:17" outlineLevel="1" x14ac:dyDescent="0.25">
      <c r="J82" s="41" t="s">
        <v>17</v>
      </c>
      <c r="K82" s="41" t="s">
        <v>18</v>
      </c>
      <c r="L82" s="41" t="s">
        <v>19</v>
      </c>
    </row>
    <row r="83" spans="2:17" outlineLevel="1" x14ac:dyDescent="0.25">
      <c r="I83" s="44" t="s">
        <v>107</v>
      </c>
      <c r="J83" s="64">
        <f>C97*C106</f>
        <v>8901.6098720827649</v>
      </c>
      <c r="K83" s="64">
        <f t="shared" ref="K83:L83" si="25">D97*D106</f>
        <v>31866.964913404881</v>
      </c>
      <c r="L83" s="64">
        <f t="shared" si="25"/>
        <v>64173.430612261</v>
      </c>
    </row>
    <row r="84" spans="2:17" outlineLevel="1" x14ac:dyDescent="0.25">
      <c r="I84" s="44" t="s">
        <v>108</v>
      </c>
      <c r="J84" s="64">
        <f>C103</f>
        <v>8282.9948720827651</v>
      </c>
      <c r="K84" s="64">
        <f t="shared" ref="K84:L84" si="26">D103</f>
        <v>31440.78993463175</v>
      </c>
      <c r="L84" s="64">
        <f t="shared" si="26"/>
        <v>63953.147212198499</v>
      </c>
    </row>
    <row r="85" spans="2:17" outlineLevel="1" x14ac:dyDescent="0.25">
      <c r="H85" s="1" t="s">
        <v>134</v>
      </c>
      <c r="I85" s="107" t="s">
        <v>81</v>
      </c>
      <c r="J85" s="70">
        <f>J83-J84</f>
        <v>618.61499999999978</v>
      </c>
      <c r="K85" s="70">
        <f t="shared" ref="K85:L85" si="27">K83-K84</f>
        <v>426.17497877313144</v>
      </c>
      <c r="L85" s="70">
        <f t="shared" si="27"/>
        <v>220.28340006250073</v>
      </c>
    </row>
    <row r="86" spans="2:17" ht="15.75" outlineLevel="1" thickBot="1" x14ac:dyDescent="0.3">
      <c r="F86" s="123"/>
      <c r="G86" s="5"/>
      <c r="H86" s="1" t="s">
        <v>135</v>
      </c>
    </row>
    <row r="87" spans="2:17" ht="6" customHeight="1" x14ac:dyDescent="0.25">
      <c r="B87" s="10"/>
      <c r="C87" s="11"/>
      <c r="D87" s="11"/>
      <c r="E87" s="12"/>
      <c r="F87" s="123"/>
      <c r="G87" s="5"/>
      <c r="I87" s="10"/>
      <c r="J87" s="11"/>
      <c r="K87" s="11"/>
      <c r="L87" s="11"/>
      <c r="M87" s="12"/>
    </row>
    <row r="88" spans="2:17" x14ac:dyDescent="0.25">
      <c r="B88" s="13"/>
      <c r="C88" s="146" t="s">
        <v>162</v>
      </c>
      <c r="D88" s="146"/>
      <c r="E88" s="149"/>
      <c r="F88" s="123"/>
      <c r="G88" s="5"/>
      <c r="I88" s="13"/>
      <c r="J88" s="146" t="s">
        <v>158</v>
      </c>
      <c r="K88" s="146"/>
      <c r="L88" s="146"/>
      <c r="M88" s="149"/>
    </row>
    <row r="89" spans="2:17" x14ac:dyDescent="0.25">
      <c r="B89" s="13"/>
      <c r="C89" s="5"/>
      <c r="D89" s="5"/>
      <c r="E89" s="14"/>
      <c r="F89" s="5"/>
      <c r="G89" s="5"/>
      <c r="I89" s="13"/>
      <c r="J89" s="5"/>
      <c r="K89" s="5"/>
      <c r="L89" s="5"/>
      <c r="M89" s="14"/>
    </row>
    <row r="90" spans="2:17" x14ac:dyDescent="0.25">
      <c r="B90" s="13"/>
      <c r="C90" s="88" t="s">
        <v>17</v>
      </c>
      <c r="D90" s="88" t="s">
        <v>18</v>
      </c>
      <c r="E90" s="133" t="s">
        <v>19</v>
      </c>
      <c r="F90" s="5"/>
      <c r="G90" s="5"/>
      <c r="I90" s="13"/>
      <c r="J90" s="45" t="s">
        <v>70</v>
      </c>
      <c r="K90" s="45" t="s">
        <v>17</v>
      </c>
      <c r="L90" s="45" t="s">
        <v>18</v>
      </c>
      <c r="M90" s="46" t="s">
        <v>19</v>
      </c>
    </row>
    <row r="91" spans="2:17" x14ac:dyDescent="0.25">
      <c r="B91" s="134" t="s">
        <v>55</v>
      </c>
      <c r="C91" s="75">
        <f>C42</f>
        <v>180407.6605833314</v>
      </c>
      <c r="D91" s="75">
        <f>D42</f>
        <v>257218.18614713519</v>
      </c>
      <c r="E91" s="76">
        <f>E42</f>
        <v>366731.6291941051</v>
      </c>
      <c r="F91" s="5"/>
      <c r="G91" s="5"/>
      <c r="I91" s="47" t="s">
        <v>71</v>
      </c>
      <c r="J91" s="72"/>
      <c r="K91" s="72">
        <f>+J42</f>
        <v>212881.03948833104</v>
      </c>
      <c r="L91" s="72">
        <f>+K42</f>
        <v>303517.4596536195</v>
      </c>
      <c r="M91" s="81">
        <f>+L42</f>
        <v>432743.32244904398</v>
      </c>
    </row>
    <row r="92" spans="2:17" x14ac:dyDescent="0.25">
      <c r="B92" s="134" t="s">
        <v>56</v>
      </c>
      <c r="C92" s="75">
        <f>C48</f>
        <v>5128.813559322035</v>
      </c>
      <c r="D92" s="75">
        <f>D48</f>
        <v>5128.813559322035</v>
      </c>
      <c r="E92" s="76">
        <f>E48</f>
        <v>5128.813559322035</v>
      </c>
      <c r="F92" s="5"/>
      <c r="G92" s="5"/>
      <c r="I92" s="47" t="s">
        <v>72</v>
      </c>
      <c r="J92" s="72"/>
      <c r="K92" s="72">
        <v>0</v>
      </c>
      <c r="L92" s="72">
        <v>0</v>
      </c>
      <c r="M92" s="81">
        <v>0</v>
      </c>
    </row>
    <row r="93" spans="2:17" x14ac:dyDescent="0.25">
      <c r="B93" s="135" t="s">
        <v>57</v>
      </c>
      <c r="C93" s="131">
        <f>C91-C92</f>
        <v>175278.84702400936</v>
      </c>
      <c r="D93" s="131">
        <f t="shared" ref="D93:E93" si="28">D91-D92</f>
        <v>252089.37258781315</v>
      </c>
      <c r="E93" s="136">
        <f t="shared" si="28"/>
        <v>361602.81563478307</v>
      </c>
      <c r="F93" s="5"/>
      <c r="G93" s="5"/>
      <c r="I93" s="47" t="s">
        <v>95</v>
      </c>
      <c r="J93" s="72"/>
      <c r="K93" s="72"/>
      <c r="L93" s="72"/>
      <c r="M93" s="81"/>
      <c r="Q93" s="1" t="s">
        <v>138</v>
      </c>
    </row>
    <row r="94" spans="2:17" x14ac:dyDescent="0.25">
      <c r="B94" s="13"/>
      <c r="C94" s="75"/>
      <c r="D94" s="75"/>
      <c r="E94" s="76"/>
      <c r="F94" s="5"/>
      <c r="G94" s="5"/>
      <c r="I94" s="48" t="s">
        <v>73</v>
      </c>
      <c r="J94" s="73">
        <f>SUM(J91:J93)</f>
        <v>0</v>
      </c>
      <c r="K94" s="73">
        <f>SUM(K91:K93)</f>
        <v>212881.03948833104</v>
      </c>
      <c r="L94" s="73">
        <f t="shared" ref="L94:M94" si="29">SUM(L91:L93)</f>
        <v>303517.4596536195</v>
      </c>
      <c r="M94" s="74">
        <f t="shared" si="29"/>
        <v>432743.32244904398</v>
      </c>
      <c r="Q94" s="1" t="s">
        <v>139</v>
      </c>
    </row>
    <row r="95" spans="2:17" x14ac:dyDescent="0.25">
      <c r="B95" s="134" t="s">
        <v>58</v>
      </c>
      <c r="C95" s="75">
        <f>C58</f>
        <v>144807.2881355932</v>
      </c>
      <c r="D95" s="75">
        <f t="shared" ref="D95:E95" si="30">D58</f>
        <v>143769.15254237287</v>
      </c>
      <c r="E95" s="76">
        <f t="shared" si="30"/>
        <v>143769.15254237287</v>
      </c>
      <c r="F95" s="5"/>
      <c r="G95" s="5"/>
      <c r="I95" s="13"/>
      <c r="J95" s="75"/>
      <c r="K95" s="75"/>
      <c r="L95" s="75"/>
      <c r="M95" s="76"/>
      <c r="Q95" s="1" t="s">
        <v>140</v>
      </c>
    </row>
    <row r="96" spans="2:17" x14ac:dyDescent="0.25">
      <c r="B96" s="134" t="s">
        <v>59</v>
      </c>
      <c r="C96" s="75">
        <f>C67</f>
        <v>296.61016949152543</v>
      </c>
      <c r="D96" s="75">
        <f t="shared" ref="D96:E96" si="31">D67</f>
        <v>296.61016949152543</v>
      </c>
      <c r="E96" s="76">
        <f t="shared" si="31"/>
        <v>296.61016949152543</v>
      </c>
      <c r="F96" s="5"/>
      <c r="G96" s="5"/>
      <c r="I96" s="47" t="s">
        <v>75</v>
      </c>
      <c r="J96" s="72">
        <f>N29</f>
        <v>29238.135593220344</v>
      </c>
      <c r="K96" s="72"/>
      <c r="L96" s="72"/>
      <c r="M96" s="81"/>
    </row>
    <row r="97" spans="2:16" x14ac:dyDescent="0.25">
      <c r="B97" s="135" t="s">
        <v>60</v>
      </c>
      <c r="C97" s="131">
        <f>C93-C95-C96</f>
        <v>30174.948718924628</v>
      </c>
      <c r="D97" s="131">
        <f t="shared" ref="D97:E97" si="32">D93-D95-D96</f>
        <v>108023.60987594875</v>
      </c>
      <c r="E97" s="136">
        <f t="shared" si="32"/>
        <v>217537.05292291866</v>
      </c>
      <c r="F97" s="5"/>
      <c r="G97" s="5"/>
      <c r="I97" s="47" t="s">
        <v>99</v>
      </c>
      <c r="J97" s="72"/>
      <c r="K97" s="72">
        <f>(N20+N22+N23+N24)*12</f>
        <v>4789.8305084745771</v>
      </c>
      <c r="L97" s="72">
        <f>(N20+N22+N23+N24+N25)*12</f>
        <v>4789.8305084745771</v>
      </c>
      <c r="M97" s="81">
        <f>(N20+N22+N23+N24+N25)*12</f>
        <v>4789.8305084745771</v>
      </c>
    </row>
    <row r="98" spans="2:16" x14ac:dyDescent="0.25">
      <c r="B98" s="13"/>
      <c r="C98" s="75"/>
      <c r="D98" s="75"/>
      <c r="E98" s="76"/>
      <c r="F98" s="5"/>
      <c r="G98" s="5"/>
      <c r="I98" s="47" t="s">
        <v>76</v>
      </c>
      <c r="J98" s="72"/>
      <c r="K98" s="72">
        <f>J58</f>
        <v>142200</v>
      </c>
      <c r="L98" s="72">
        <f>K58</f>
        <v>142200</v>
      </c>
      <c r="M98" s="81">
        <f>L58</f>
        <v>142200</v>
      </c>
    </row>
    <row r="99" spans="2:16" x14ac:dyDescent="0.25">
      <c r="B99" s="13"/>
      <c r="C99" s="75"/>
      <c r="D99" s="75"/>
      <c r="E99" s="76"/>
      <c r="F99" s="5"/>
      <c r="G99" s="5"/>
      <c r="I99" s="47" t="s">
        <v>116</v>
      </c>
      <c r="J99" s="72"/>
      <c r="K99" s="72">
        <f>J80</f>
        <v>26645.955176186089</v>
      </c>
      <c r="L99" s="72">
        <f>K80</f>
        <v>40471.849777670766</v>
      </c>
      <c r="M99" s="81">
        <f>L80</f>
        <v>60184.269526125354</v>
      </c>
    </row>
    <row r="100" spans="2:16" x14ac:dyDescent="0.25">
      <c r="B100" s="134" t="s">
        <v>61</v>
      </c>
      <c r="C100" s="75">
        <f>C72</f>
        <v>2097</v>
      </c>
      <c r="D100" s="75">
        <f t="shared" ref="D100:E100" si="33">D72</f>
        <v>1444.6609449936607</v>
      </c>
      <c r="E100" s="76">
        <f t="shared" si="33"/>
        <v>746.7233900423779</v>
      </c>
      <c r="F100" s="5"/>
      <c r="G100" s="5"/>
      <c r="I100" s="47" t="s">
        <v>77</v>
      </c>
      <c r="J100" s="72"/>
      <c r="K100" s="72">
        <f>J67</f>
        <v>350</v>
      </c>
      <c r="L100" s="72">
        <f>K67</f>
        <v>350</v>
      </c>
      <c r="M100" s="81">
        <f>L67</f>
        <v>350</v>
      </c>
    </row>
    <row r="101" spans="2:16" x14ac:dyDescent="0.25">
      <c r="B101" s="134" t="s">
        <v>62</v>
      </c>
      <c r="C101" s="132">
        <f>C97-C100</f>
        <v>28077.948718924628</v>
      </c>
      <c r="D101" s="132">
        <f t="shared" ref="D101:E101" si="34">D97-D100</f>
        <v>106578.94893095508</v>
      </c>
      <c r="E101" s="137">
        <f t="shared" si="34"/>
        <v>216790.32953287629</v>
      </c>
      <c r="F101" s="5"/>
      <c r="G101" s="5"/>
      <c r="I101" s="47" t="s">
        <v>135</v>
      </c>
      <c r="J101" s="72"/>
      <c r="K101" s="72">
        <f>+J84</f>
        <v>8282.9948720827651</v>
      </c>
      <c r="L101" s="72">
        <f>+K84</f>
        <v>31440.78993463175</v>
      </c>
      <c r="M101" s="72">
        <f>+L84</f>
        <v>63953.147212198499</v>
      </c>
    </row>
    <row r="102" spans="2:16" ht="15.75" thickBot="1" x14ac:dyDescent="0.3">
      <c r="B102" s="13"/>
      <c r="C102" s="75"/>
      <c r="D102" s="75"/>
      <c r="E102" s="76"/>
      <c r="F102" s="5"/>
      <c r="G102" s="5"/>
      <c r="I102" s="49" t="s">
        <v>78</v>
      </c>
      <c r="J102" s="82">
        <f>SUM(J96:J101)</f>
        <v>29238.135593220344</v>
      </c>
      <c r="K102" s="82">
        <f>SUM(K96:K101)</f>
        <v>182268.78055674341</v>
      </c>
      <c r="L102" s="82">
        <f>SUM(L96:L101)</f>
        <v>219252.47022077712</v>
      </c>
      <c r="M102" s="83">
        <f>SUM(M96:M101)</f>
        <v>271477.24724679848</v>
      </c>
    </row>
    <row r="103" spans="2:16" ht="15.75" thickBot="1" x14ac:dyDescent="0.3">
      <c r="B103" s="134" t="s">
        <v>63</v>
      </c>
      <c r="C103" s="75">
        <f>IF(C101&gt;0,C101*C106,0)</f>
        <v>8282.9948720827651</v>
      </c>
      <c r="D103" s="75">
        <f t="shared" ref="D103:E103" si="35">IF(D101&gt;0,D101*D106,0)</f>
        <v>31440.78993463175</v>
      </c>
      <c r="E103" s="76">
        <f t="shared" si="35"/>
        <v>63953.147212198499</v>
      </c>
      <c r="F103" s="5"/>
      <c r="G103" s="5"/>
      <c r="H103" s="1" t="s">
        <v>136</v>
      </c>
      <c r="I103" s="50" t="s">
        <v>79</v>
      </c>
      <c r="J103" s="85">
        <f>J94-J102</f>
        <v>-29238.135593220344</v>
      </c>
      <c r="K103" s="85">
        <f>K94-K102</f>
        <v>30612.258931587625</v>
      </c>
      <c r="L103" s="85">
        <f>L94-L102</f>
        <v>84264.989432842383</v>
      </c>
      <c r="M103" s="86">
        <f>M94-M102</f>
        <v>161266.0752022455</v>
      </c>
      <c r="P103" s="20"/>
    </row>
    <row r="104" spans="2:16" x14ac:dyDescent="0.25">
      <c r="B104" s="135" t="s">
        <v>64</v>
      </c>
      <c r="C104" s="131">
        <f>C101-C103</f>
        <v>19794.953846841861</v>
      </c>
      <c r="D104" s="131">
        <f t="shared" ref="D104:E104" si="36">D101-D103</f>
        <v>75138.158996323327</v>
      </c>
      <c r="E104" s="136">
        <f t="shared" si="36"/>
        <v>152837.18232067779</v>
      </c>
      <c r="F104" s="5"/>
      <c r="G104" s="5"/>
      <c r="I104" s="13"/>
      <c r="J104" s="75"/>
      <c r="K104" s="75"/>
      <c r="L104" s="75"/>
      <c r="M104" s="76"/>
    </row>
    <row r="105" spans="2:16" ht="15.75" customHeight="1" thickBot="1" x14ac:dyDescent="0.3">
      <c r="B105" s="15"/>
      <c r="C105" s="79"/>
      <c r="D105" s="79"/>
      <c r="E105" s="80"/>
      <c r="F105" s="128"/>
      <c r="G105" s="128"/>
      <c r="I105" s="47" t="s">
        <v>80</v>
      </c>
      <c r="J105" s="72">
        <v>30000</v>
      </c>
      <c r="K105" s="72"/>
      <c r="L105" s="72"/>
      <c r="M105" s="81"/>
    </row>
    <row r="106" spans="2:16" x14ac:dyDescent="0.25">
      <c r="C106" s="87">
        <v>0.29499999999999998</v>
      </c>
      <c r="D106" s="87">
        <v>0.29499999999999998</v>
      </c>
      <c r="E106" s="87">
        <v>0.29499999999999998</v>
      </c>
      <c r="F106" s="87">
        <v>0.29499999999999998</v>
      </c>
      <c r="G106" s="87">
        <v>0.29499999999999998</v>
      </c>
      <c r="I106" s="47" t="s">
        <v>83</v>
      </c>
      <c r="J106" s="72"/>
      <c r="K106" s="72">
        <f>J73</f>
        <v>11429.46144501201</v>
      </c>
      <c r="L106" s="72">
        <f>K73</f>
        <v>11429.46144501201</v>
      </c>
      <c r="M106" s="81">
        <f>L73</f>
        <v>11429.46144501201</v>
      </c>
    </row>
    <row r="107" spans="2:16" ht="15.75" thickBot="1" x14ac:dyDescent="0.3">
      <c r="I107" s="51" t="s">
        <v>81</v>
      </c>
      <c r="J107" s="84"/>
      <c r="K107" s="84">
        <f>J85</f>
        <v>618.61499999999978</v>
      </c>
      <c r="L107" s="84">
        <f>K85</f>
        <v>426.17497877313144</v>
      </c>
      <c r="M107" s="121">
        <f>L85</f>
        <v>220.28340006250073</v>
      </c>
    </row>
    <row r="108" spans="2:16" ht="15.75" thickBot="1" x14ac:dyDescent="0.3">
      <c r="H108" s="1" t="s">
        <v>137</v>
      </c>
      <c r="I108" s="50" t="s">
        <v>82</v>
      </c>
      <c r="J108" s="85">
        <f>J103+J105-J106+J107</f>
        <v>761.86440677965584</v>
      </c>
      <c r="K108" s="85">
        <f>K103+K105-K106+K107</f>
        <v>19801.412486575617</v>
      </c>
      <c r="L108" s="85">
        <f>L103+L105-L106+L107</f>
        <v>73261.702966603509</v>
      </c>
      <c r="M108" s="86">
        <f>M103+M105-M106+M107</f>
        <v>150056.89715729599</v>
      </c>
    </row>
    <row r="109" spans="2:16" ht="15.75" thickBot="1" x14ac:dyDescent="0.3">
      <c r="I109" s="15"/>
      <c r="J109" s="79"/>
      <c r="K109" s="79"/>
      <c r="L109" s="79"/>
      <c r="M109" s="80"/>
    </row>
    <row r="112" spans="2:16" x14ac:dyDescent="0.25">
      <c r="J112" s="20"/>
    </row>
  </sheetData>
  <mergeCells count="26">
    <mergeCell ref="G20:H20"/>
    <mergeCell ref="L20:M20"/>
    <mergeCell ref="L17:O17"/>
    <mergeCell ref="G18:H18"/>
    <mergeCell ref="L18:M18"/>
    <mergeCell ref="G19:H19"/>
    <mergeCell ref="L19:M19"/>
    <mergeCell ref="E81:F81"/>
    <mergeCell ref="B36:E36"/>
    <mergeCell ref="C88:E88"/>
    <mergeCell ref="G26:H26"/>
    <mergeCell ref="L26:M26"/>
    <mergeCell ref="G27:H27"/>
    <mergeCell ref="J88:M88"/>
    <mergeCell ref="I36:L36"/>
    <mergeCell ref="L21:M21"/>
    <mergeCell ref="L22:M22"/>
    <mergeCell ref="L23:M23"/>
    <mergeCell ref="L24:M24"/>
    <mergeCell ref="L25:M25"/>
    <mergeCell ref="L28:M28"/>
    <mergeCell ref="G21:H21"/>
    <mergeCell ref="G22:H22"/>
    <mergeCell ref="G23:H23"/>
    <mergeCell ref="G24:H24"/>
    <mergeCell ref="G25:H2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1 - laboratorio</vt:lpstr>
      <vt:lpstr>CREATORS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User</cp:lastModifiedBy>
  <dcterms:created xsi:type="dcterms:W3CDTF">2014-03-24T07:34:10Z</dcterms:created>
  <dcterms:modified xsi:type="dcterms:W3CDTF">2022-06-27T00:13:52Z</dcterms:modified>
</cp:coreProperties>
</file>