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cecursos\Documents\"/>
    </mc:Choice>
  </mc:AlternateContent>
  <bookViews>
    <workbookView xWindow="0" yWindow="0" windowWidth="20490" windowHeight="7665"/>
  </bookViews>
  <sheets>
    <sheet name="Teoria" sheetId="1" r:id="rId1"/>
    <sheet name="Anualidades" sheetId="2" r:id="rId2"/>
    <sheet name="Amortizacion" sheetId="3" r:id="rId3"/>
    <sheet name="Evaluacion" sheetId="4" r:id="rId4"/>
    <sheet name="Bono" sheetId="5" r:id="rId5"/>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3" l="1"/>
  <c r="I48" i="2"/>
  <c r="H46" i="2"/>
  <c r="H45" i="2"/>
  <c r="H44" i="2"/>
  <c r="H43" i="2"/>
  <c r="G24" i="2"/>
  <c r="G22" i="2"/>
  <c r="G39" i="2"/>
  <c r="G38" i="2"/>
  <c r="G37" i="2"/>
  <c r="G36" i="2"/>
  <c r="G35" i="2"/>
  <c r="G34" i="2"/>
  <c r="G33" i="2"/>
  <c r="G32" i="2"/>
  <c r="G31" i="2"/>
  <c r="G30" i="2"/>
  <c r="G29" i="2"/>
  <c r="G28" i="2"/>
  <c r="G27" i="2"/>
  <c r="G26" i="2"/>
  <c r="G25" i="2"/>
  <c r="G23" i="2"/>
  <c r="G40" i="2"/>
  <c r="D15" i="2"/>
  <c r="D14" i="2"/>
  <c r="D28" i="5"/>
  <c r="D27" i="5"/>
  <c r="D26" i="5"/>
  <c r="D25" i="5"/>
  <c r="J22" i="5"/>
  <c r="J21" i="5"/>
  <c r="J20" i="5"/>
  <c r="J19" i="5"/>
  <c r="D22" i="5"/>
  <c r="D21" i="5"/>
  <c r="D20" i="5"/>
  <c r="D19" i="5"/>
  <c r="J15" i="5"/>
  <c r="J14" i="5"/>
  <c r="J12" i="5"/>
  <c r="J13" i="5"/>
  <c r="D15" i="5"/>
  <c r="D14" i="5"/>
  <c r="D13" i="5"/>
  <c r="D12" i="5"/>
  <c r="K33" i="4"/>
  <c r="K32" i="4"/>
  <c r="F25" i="4"/>
  <c r="F26" i="4"/>
  <c r="F33" i="4"/>
  <c r="F32" i="4"/>
  <c r="K25" i="4"/>
  <c r="K26" i="4"/>
  <c r="K27" i="4"/>
  <c r="K28" i="4"/>
  <c r="K29" i="4"/>
  <c r="K30" i="4"/>
  <c r="K24" i="4"/>
  <c r="F27" i="4"/>
  <c r="F28" i="4"/>
  <c r="F29" i="4"/>
  <c r="F24" i="4"/>
  <c r="J27" i="4"/>
  <c r="J28" i="4"/>
  <c r="J29" i="4"/>
  <c r="J30" i="4"/>
  <c r="J26" i="4"/>
  <c r="D24" i="4"/>
  <c r="E29" i="4"/>
  <c r="E28" i="4"/>
  <c r="D25" i="4"/>
  <c r="C21" i="4"/>
  <c r="G18" i="3"/>
  <c r="C19" i="3"/>
  <c r="G19" i="3"/>
  <c r="C20" i="3"/>
  <c r="G20" i="3"/>
  <c r="C21" i="3"/>
  <c r="G21" i="3"/>
  <c r="C22" i="3"/>
  <c r="G22" i="3"/>
  <c r="C23" i="3"/>
  <c r="G23" i="3"/>
  <c r="C24" i="3"/>
  <c r="G24" i="3"/>
  <c r="C25" i="3"/>
  <c r="G25" i="3"/>
  <c r="C26" i="3"/>
  <c r="G26" i="3"/>
  <c r="C27" i="3"/>
  <c r="G27" i="3"/>
  <c r="C28" i="3"/>
  <c r="G28" i="3"/>
  <c r="C29" i="3"/>
  <c r="G29" i="3"/>
  <c r="C30" i="3"/>
  <c r="G30" i="3"/>
  <c r="C31" i="3"/>
  <c r="G31" i="3"/>
  <c r="C32" i="3"/>
  <c r="G32" i="3"/>
  <c r="C33" i="3"/>
  <c r="G33" i="3"/>
  <c r="C34" i="3"/>
  <c r="G34" i="3"/>
  <c r="C35" i="3"/>
  <c r="G35" i="3"/>
  <c r="C36" i="3"/>
  <c r="G36" i="3"/>
  <c r="C37" i="3"/>
  <c r="G37" i="3"/>
  <c r="C38" i="3"/>
  <c r="G38" i="3"/>
  <c r="C39" i="3"/>
  <c r="G39" i="3"/>
  <c r="C40" i="3"/>
  <c r="G40" i="3"/>
  <c r="C41" i="3"/>
  <c r="G41" i="3"/>
  <c r="C42" i="3"/>
  <c r="G42" i="3"/>
  <c r="C43" i="3"/>
  <c r="G43" i="3"/>
  <c r="C44" i="3"/>
  <c r="G44" i="3"/>
  <c r="C45" i="3"/>
  <c r="G45" i="3"/>
  <c r="C46" i="3"/>
  <c r="G46" i="3"/>
  <c r="C47" i="3"/>
  <c r="G47" i="3"/>
  <c r="C48" i="3"/>
  <c r="G48" i="3"/>
  <c r="C49" i="3"/>
  <c r="G49" i="3"/>
  <c r="C50" i="3"/>
  <c r="G50" i="3"/>
  <c r="C51" i="3"/>
  <c r="G51" i="3"/>
  <c r="C52" i="3"/>
  <c r="G52" i="3"/>
  <c r="C53" i="3"/>
  <c r="G53" i="3"/>
  <c r="C54" i="3"/>
  <c r="G54" i="3"/>
  <c r="C55" i="3"/>
  <c r="G55" i="3"/>
  <c r="C56" i="3"/>
  <c r="G56" i="3"/>
  <c r="C57" i="3"/>
  <c r="G57" i="3"/>
  <c r="C58" i="3"/>
  <c r="G58" i="3"/>
  <c r="C59" i="3"/>
  <c r="G59" i="3"/>
  <c r="C60" i="3"/>
  <c r="G60" i="3"/>
  <c r="C61" i="3"/>
  <c r="G61" i="3"/>
  <c r="C62" i="3"/>
  <c r="G62" i="3"/>
  <c r="C63" i="3"/>
  <c r="G63" i="3"/>
  <c r="C64" i="3"/>
  <c r="G64" i="3"/>
  <c r="C65" i="3"/>
  <c r="G65" i="3"/>
  <c r="C66" i="3"/>
  <c r="G66" i="3"/>
  <c r="C67" i="3"/>
  <c r="G67" i="3"/>
  <c r="C68" i="3"/>
  <c r="G68" i="3"/>
  <c r="C69" i="3"/>
  <c r="G69" i="3"/>
  <c r="C70" i="3"/>
  <c r="G70" i="3"/>
  <c r="C71" i="3"/>
  <c r="G71" i="3"/>
  <c r="C72" i="3"/>
  <c r="G72" i="3"/>
  <c r="C73" i="3"/>
  <c r="G73" i="3"/>
  <c r="C74" i="3"/>
  <c r="G74" i="3"/>
  <c r="C75" i="3"/>
  <c r="G75" i="3"/>
  <c r="C76" i="3"/>
  <c r="G76" i="3"/>
  <c r="C77" i="3"/>
  <c r="G77" i="3"/>
  <c r="C78" i="3"/>
  <c r="G78" i="3"/>
  <c r="C79" i="3"/>
  <c r="G79" i="3"/>
  <c r="C80" i="3"/>
  <c r="G80" i="3"/>
  <c r="C81" i="3"/>
  <c r="G81" i="3"/>
  <c r="C82" i="3"/>
  <c r="G82" i="3"/>
  <c r="C83" i="3"/>
  <c r="G83" i="3"/>
  <c r="C84" i="3"/>
  <c r="G84" i="3"/>
  <c r="C85" i="3"/>
  <c r="G85" i="3"/>
  <c r="C86" i="3"/>
  <c r="G86" i="3"/>
  <c r="C87" i="3"/>
  <c r="G87" i="3"/>
  <c r="C88" i="3"/>
  <c r="G88" i="3"/>
  <c r="C89" i="3"/>
  <c r="G89" i="3"/>
  <c r="C90" i="3"/>
  <c r="G90" i="3"/>
  <c r="C91" i="3"/>
  <c r="G91" i="3"/>
  <c r="C92" i="3"/>
  <c r="G92" i="3"/>
  <c r="C93" i="3"/>
  <c r="G93" i="3"/>
  <c r="C94" i="3"/>
  <c r="G94" i="3"/>
  <c r="C95" i="3"/>
  <c r="G95" i="3"/>
  <c r="C96" i="3"/>
  <c r="G96"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17"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18" i="3"/>
  <c r="D19" i="3"/>
  <c r="D20" i="3"/>
  <c r="D17" i="3"/>
  <c r="C18" i="3"/>
  <c r="G17" i="3"/>
  <c r="C10" i="3"/>
  <c r="E11" i="3"/>
  <c r="G10" i="3"/>
  <c r="E10" i="3"/>
</calcChain>
</file>

<file path=xl/sharedStrings.xml><?xml version="1.0" encoding="utf-8"?>
<sst xmlns="http://schemas.openxmlformats.org/spreadsheetml/2006/main" count="149" uniqueCount="103">
  <si>
    <t>Unidad de Análisis del Mercado Financiero</t>
  </si>
  <si>
    <t>Matemáticas Financieras</t>
  </si>
  <si>
    <t xml:space="preserve">Examen Final Curso Intersemestral </t>
  </si>
  <si>
    <t>1.    Las relaciones de equivalencia de sumas de dinero en el tiempo suponen:</t>
  </si>
  <si>
    <t>a.    La reinversión de los intereses y en ese sentido se estarían pagando intereses sobre intereses</t>
  </si>
  <si>
    <t>b.    La tasa de interés se liquida por período anticipado.</t>
  </si>
  <si>
    <t>c.    Que la tasa de interés permanece constante durante todo el tiempo del flujo de dinero que se está analizando.</t>
  </si>
  <si>
    <t>d.    Cuando los pagos se realizan en forma anticipada hay que hacer ajustes al cálculo directo.</t>
  </si>
  <si>
    <t>e.    Una de las anteriores afirmaciones es falsa.</t>
  </si>
  <si>
    <t>2.    Es posible que a menor tasa de inflación, mayor tasa real.</t>
  </si>
  <si>
    <t>a.    Verdadero</t>
  </si>
  <si>
    <t>b.    Falso</t>
  </si>
  <si>
    <t>3.    La tasa de interés efectiva es equivalente a la tasa nominal anual vencida.</t>
  </si>
  <si>
    <t>b.    Falso.</t>
  </si>
  <si>
    <t>4.    En General, con un préstamo amortizado en pagos periódicos uniformes, el importe del pago se mantiene constante durante la ida del préstamo, la amortización a capital disminuye durante la vida del préstamo, y la parte de intereses de cada pago crece durante la vida del préstamo</t>
  </si>
  <si>
    <t>a.    Verdadero.</t>
  </si>
  <si>
    <t>5.       El equivalente presente de una suma futura:</t>
  </si>
  <si>
    <t>a.       Aumenta cuando se incrementa la tasa de interés.</t>
  </si>
  <si>
    <t>b.      Disminuye cuando disminuye la tasa de interés</t>
  </si>
  <si>
    <t>c.       Aumenta cuando disminuye la tasa de interés.</t>
  </si>
  <si>
    <t>d.      Una de las anteriores afirmaciones es falsa.</t>
  </si>
  <si>
    <t>6.       La anualidad vencida se puede definir como:</t>
  </si>
  <si>
    <t>a.       Una serie uniforme de pagos, durante varios periodos de tiempo iguales, al final de cada periodo.</t>
  </si>
  <si>
    <t>b.      Una serie uniforme de pagos, durante varios periodos de tiempo, tanto al final como al comienzo de cada periodo.</t>
  </si>
  <si>
    <t>c.       Una serie uniforme de pagos, durante varios periodos de tiempo desiguales, al comienzo de cada periodo.</t>
  </si>
  <si>
    <t>d.      Una serie de pagos, durante varios periodos de tiempo, al final de cada periodo, liquidando un interés periódico anticipado.</t>
  </si>
  <si>
    <t>e.      Una de las anteriores afirmaciones es falsa.</t>
  </si>
  <si>
    <t>a.       La técnica que mide el remanente en pesos de hoy, después de descontar la inversión y el interés, calculado a la tasa de descuento, que debe devolver el proyecto al inversionista.</t>
  </si>
  <si>
    <t>b.      Es el monto por el cual aumenta el valor de la firma después de haber llevado a cabo la alternativa que se estudia.</t>
  </si>
  <si>
    <t>c.       Indica el valor resultante de la diferencia entre la suma que ya recibía el inversionista por su capital y descontar la inversión.</t>
  </si>
  <si>
    <t>d.      Es el remanente neto que obtiene el inversionista, en pesos de hoy, después de descontar los flujos de caja  a valor presente con la tasa de descuento y restarle, la inversión inicial.</t>
  </si>
  <si>
    <t>8.       Para un proyecto de inversión privada la tasa interna de retorno y la tasa de descuento representan el costo de oportunidad del inversionista; este criterio es válido cuando:</t>
  </si>
  <si>
    <t>a.       EL valor anual o presente neto es igual a cero y determina la tasa que le permite al flujo de fondos ser igual a cero.</t>
  </si>
  <si>
    <t>b.      La TIR es la única tasa con la cual la totalidad de los beneficios actualizados es menor a 0.</t>
  </si>
  <si>
    <t>c.       La tasa de interés más baja a la cual un inversionista podría pagar sin perder dinero es la TIR.</t>
  </si>
  <si>
    <t>d.      La TIR comparada con la tasa de descuento de la empresa es menor que cero.</t>
  </si>
  <si>
    <t>Respuesta 1:</t>
  </si>
  <si>
    <t>Respuesta 2:</t>
  </si>
  <si>
    <t>Respuesta 3:</t>
  </si>
  <si>
    <t>Respuesta 4:</t>
  </si>
  <si>
    <t>Respuesta 5:</t>
  </si>
  <si>
    <t>Respuesta 6:</t>
  </si>
  <si>
    <t>Respuesta 7:</t>
  </si>
  <si>
    <t>Respuesta 8:</t>
  </si>
  <si>
    <t>datos</t>
  </si>
  <si>
    <t>valor de la deuda</t>
  </si>
  <si>
    <t>tasa</t>
  </si>
  <si>
    <t>Períodos</t>
  </si>
  <si>
    <t>Cuota</t>
  </si>
  <si>
    <t>períodos n</t>
  </si>
  <si>
    <t>Saldo Inicial</t>
  </si>
  <si>
    <t xml:space="preserve">Intereses        </t>
  </si>
  <si>
    <t xml:space="preserve">Abono al Capital </t>
  </si>
  <si>
    <t xml:space="preserve">Saldo Final </t>
  </si>
  <si>
    <r>
      <t xml:space="preserve">7.       Para el valor presente neto </t>
    </r>
    <r>
      <rPr>
        <b/>
        <sz val="14"/>
        <color theme="1" tint="0.249977111117893"/>
        <rFont val="Calibri"/>
        <family val="2"/>
        <scheme val="minor"/>
      </rPr>
      <t>no es</t>
    </r>
    <r>
      <rPr>
        <sz val="12"/>
        <color theme="1" tint="0.249977111117893"/>
        <rFont val="Calibri"/>
        <family val="2"/>
        <scheme val="minor"/>
      </rPr>
      <t xml:space="preserve"> válido definirlo como:</t>
    </r>
  </si>
  <si>
    <t>Adix Moreno Moreno  1020800432</t>
  </si>
  <si>
    <t>a</t>
  </si>
  <si>
    <t>c</t>
  </si>
  <si>
    <t>b</t>
  </si>
  <si>
    <t>ea</t>
  </si>
  <si>
    <t>opcion 1</t>
  </si>
  <si>
    <t>INVERSIÓN</t>
  </si>
  <si>
    <t>son prestamo</t>
  </si>
  <si>
    <t>Tiempo</t>
  </si>
  <si>
    <t>años</t>
  </si>
  <si>
    <t>otros gastos</t>
  </si>
  <si>
    <t>ingresos anuales</t>
  </si>
  <si>
    <t>tasa de interes</t>
  </si>
  <si>
    <t>cuota del prestamo</t>
  </si>
  <si>
    <t>EGRESOS</t>
  </si>
  <si>
    <t>INGRESOS</t>
  </si>
  <si>
    <t>opción 2</t>
  </si>
  <si>
    <t>Gastos</t>
  </si>
  <si>
    <t>tiempo</t>
  </si>
  <si>
    <t>FLUJO NETO</t>
  </si>
  <si>
    <t>vpn:</t>
  </si>
  <si>
    <t>tir:</t>
  </si>
  <si>
    <t>na AV</t>
  </si>
  <si>
    <t>a)</t>
  </si>
  <si>
    <t>naTV</t>
  </si>
  <si>
    <t>naSA</t>
  </si>
  <si>
    <t>periodica vencida</t>
  </si>
  <si>
    <t>efectiva</t>
  </si>
  <si>
    <t>periodica anticipada</t>
  </si>
  <si>
    <t>nasa</t>
  </si>
  <si>
    <t>b)</t>
  </si>
  <si>
    <t>naTA</t>
  </si>
  <si>
    <t>naMV</t>
  </si>
  <si>
    <t>c)</t>
  </si>
  <si>
    <t>naSmV</t>
  </si>
  <si>
    <t>d)</t>
  </si>
  <si>
    <t>e)</t>
  </si>
  <si>
    <t>naDA</t>
  </si>
  <si>
    <t>naBV</t>
  </si>
  <si>
    <t>convierto la tasa a efectiva anual</t>
  </si>
  <si>
    <t>sumo todo en el periodo 23</t>
  </si>
  <si>
    <t>llevo todo a periodo 23</t>
  </si>
  <si>
    <t>suma</t>
  </si>
  <si>
    <t>SALDO</t>
  </si>
  <si>
    <t>llevo a valor futuro los 2000000 de cada año</t>
  </si>
  <si>
    <t>ya al estar todo en el periodo 23 resto las entradas menos las salidas</t>
  </si>
  <si>
    <t>Invertiria en el segundo proyecto ya que el valor presente neto es positivo y la tir es bastante elevada en comparación con la tasa de descuento, esta tasa tir me indica la tasa interna de retorno que me brinda la inversión, por lo tanto entre más alta sea mejor</t>
  </si>
  <si>
    <t>convierto la tasa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</si>
</sst>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8" formatCode="&quot;$&quot;\ #,##0.00_);[Red]\(&quot;$&quot;\ #,##0.00\)"/>
    <numFmt numFmtId="164" formatCode="&quot;$&quot;#,##0.00;[Red]\-&quot;$&quot;#,##0.00"/>
    <numFmt numFmtId="165" formatCode="_-&quot;$&quot;* #,##0.00_-;\-&quot;$&quot;* #,##0.00_-;_-&quot;$&quot;* &quot;-&quot;??_-;_-@_-"/>
    <numFmt numFmtId="167" formatCode="&quot;$&quot;\ #,##0"/>
    <numFmt numFmtId="168" formatCode="[$$-240A]\ #,##0.00"/>
    <numFmt numFmtId="175" formatCode="0.000%"/>
    <numFmt numFmtId="177" formatCode="0.00000%"/>
  </numFmts>
  <fonts count="9" x14ac:knownFonts="1">
    <font>
      <sz val="11"/>
      <color theme="1"/>
      <name val="Calibri"/>
      <family val="2"/>
      <scheme val="minor"/>
    </font>
    <font>
      <sz val="11"/>
      <color theme="1"/>
      <name val="Calibri"/>
      <family val="2"/>
      <scheme val="minor"/>
    </font>
    <font>
      <sz val="11"/>
      <color theme="0"/>
      <name val="Calibri"/>
      <family val="2"/>
      <scheme val="minor"/>
    </font>
    <font>
      <b/>
      <sz val="13"/>
      <color rgb="FF073763"/>
      <name val="Arial"/>
      <family val="2"/>
    </font>
    <font>
      <sz val="9"/>
      <color rgb="FF000000"/>
      <name val="Arial"/>
      <family val="2"/>
    </font>
    <font>
      <sz val="12"/>
      <color theme="1"/>
      <name val="Calibri"/>
      <family val="2"/>
      <scheme val="minor"/>
    </font>
    <font>
      <sz val="12"/>
      <color theme="1" tint="0.249977111117893"/>
      <name val="Calibri"/>
      <family val="2"/>
      <scheme val="minor"/>
    </font>
    <font>
      <b/>
      <sz val="12"/>
      <color theme="0"/>
      <name val="Calibri"/>
      <family val="2"/>
      <scheme val="minor"/>
    </font>
    <font>
      <b/>
      <sz val="14"/>
      <color theme="1" tint="0.249977111117893"/>
      <name val="Calibri"/>
      <family val="2"/>
      <scheme val="minor"/>
    </font>
  </fonts>
  <fills count="7">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rgb="FF92D05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165" fontId="1" fillId="0" borderId="0" applyFont="0" applyFill="0" applyBorder="0" applyAlignment="0" applyProtection="0"/>
    <xf numFmtId="9" fontId="1" fillId="0" borderId="0" applyFont="0" applyFill="0" applyBorder="0" applyAlignment="0" applyProtection="0"/>
  </cellStyleXfs>
  <cellXfs count="48">
    <xf numFmtId="0" fontId="0" fillId="0" borderId="0" xfId="0"/>
    <xf numFmtId="0" fontId="0" fillId="2" borderId="0" xfId="0" applyFill="1"/>
    <xf numFmtId="0" fontId="0" fillId="2" borderId="0" xfId="0" applyFill="1" applyBorder="1"/>
    <xf numFmtId="0" fontId="3" fillId="2" borderId="0" xfId="0" applyFont="1" applyFill="1" applyBorder="1" applyAlignment="1">
      <alignment horizontal="center" vertical="center"/>
    </xf>
    <xf numFmtId="0" fontId="4" fillId="2" borderId="0" xfId="0" applyFont="1" applyFill="1" applyBorder="1"/>
    <xf numFmtId="0" fontId="4" fillId="2" borderId="0" xfId="0" applyFont="1" applyFill="1" applyBorder="1" applyAlignment="1">
      <alignment horizontal="justify" vertical="center"/>
    </xf>
    <xf numFmtId="0" fontId="6" fillId="2" borderId="0" xfId="0" applyFont="1" applyFill="1" applyAlignment="1">
      <alignment horizontal="left" vertical="top" wrapText="1" indent="5"/>
    </xf>
    <xf numFmtId="0" fontId="6" fillId="2" borderId="0" xfId="0" applyFont="1" applyFill="1" applyAlignment="1">
      <alignment horizontal="left" vertical="center" indent="8"/>
    </xf>
    <xf numFmtId="0" fontId="6" fillId="2" borderId="0" xfId="0" applyFont="1" applyFill="1" applyAlignment="1">
      <alignment horizontal="left" vertical="center" indent="5"/>
    </xf>
    <xf numFmtId="0" fontId="6" fillId="2" borderId="0" xfId="0" applyFont="1" applyFill="1" applyAlignment="1">
      <alignment horizontal="left" vertical="center" indent="13"/>
    </xf>
    <xf numFmtId="0" fontId="6" fillId="2" borderId="0" xfId="0" applyFont="1" applyFill="1" applyAlignment="1">
      <alignment horizontal="left" vertical="center" indent="7"/>
    </xf>
    <xf numFmtId="0" fontId="6" fillId="2" borderId="0" xfId="0" applyFont="1" applyFill="1" applyAlignment="1">
      <alignment horizontal="left" vertical="center" indent="10"/>
    </xf>
    <xf numFmtId="0" fontId="6" fillId="2" borderId="0" xfId="0" applyFont="1" applyFill="1" applyAlignment="1">
      <alignment horizontal="left" vertical="top" wrapText="1" indent="10"/>
    </xf>
    <xf numFmtId="0" fontId="0" fillId="2" borderId="0" xfId="0" applyFill="1" applyBorder="1" applyAlignment="1">
      <alignment vertical="center"/>
    </xf>
    <xf numFmtId="0" fontId="0" fillId="2" borderId="0" xfId="0" applyFill="1" applyAlignment="1">
      <alignment vertical="center"/>
    </xf>
    <xf numFmtId="0" fontId="0" fillId="2" borderId="1" xfId="0" applyFill="1" applyBorder="1"/>
    <xf numFmtId="0" fontId="0" fillId="2" borderId="2" xfId="0" applyFill="1" applyBorder="1"/>
    <xf numFmtId="0" fontId="0" fillId="0" borderId="0" xfId="0" applyFill="1"/>
    <xf numFmtId="164" fontId="0" fillId="0" borderId="0" xfId="0" applyNumberFormat="1"/>
    <xf numFmtId="0" fontId="2" fillId="3" borderId="3" xfId="0" applyFont="1" applyFill="1" applyBorder="1" applyAlignment="1">
      <alignment wrapText="1"/>
    </xf>
    <xf numFmtId="167" fontId="0" fillId="2" borderId="3" xfId="2" applyNumberFormat="1" applyFont="1" applyFill="1" applyBorder="1" applyAlignment="1">
      <alignment wrapText="1"/>
    </xf>
    <xf numFmtId="10" fontId="0" fillId="2" borderId="3" xfId="0" applyNumberFormat="1" applyFill="1" applyBorder="1" applyAlignment="1">
      <alignment wrapText="1"/>
    </xf>
    <xf numFmtId="0" fontId="0" fillId="0" borderId="3" xfId="0" applyBorder="1"/>
    <xf numFmtId="0" fontId="0" fillId="4" borderId="3" xfId="0" applyFont="1" applyFill="1" applyBorder="1" applyAlignment="1">
      <alignment wrapText="1"/>
    </xf>
    <xf numFmtId="0" fontId="2" fillId="2" borderId="0" xfId="0" applyFont="1" applyFill="1" applyBorder="1" applyAlignment="1">
      <alignment wrapText="1"/>
    </xf>
    <xf numFmtId="8" fontId="0" fillId="2" borderId="0" xfId="0" applyNumberFormat="1" applyFill="1" applyBorder="1"/>
    <xf numFmtId="0" fontId="0" fillId="2" borderId="0" xfId="0" applyFill="1" applyAlignment="1">
      <alignment horizontal="center" wrapText="1"/>
    </xf>
    <xf numFmtId="0" fontId="7" fillId="3" borderId="3" xfId="0" applyFont="1" applyFill="1" applyBorder="1" applyAlignment="1">
      <alignment horizontal="center" vertical="center" wrapText="1"/>
    </xf>
    <xf numFmtId="0" fontId="7" fillId="3" borderId="3" xfId="0" applyFont="1" applyFill="1" applyBorder="1" applyAlignment="1">
      <alignment vertical="center"/>
    </xf>
    <xf numFmtId="0" fontId="5" fillId="0" borderId="3" xfId="0" applyFont="1" applyFill="1" applyBorder="1"/>
    <xf numFmtId="167" fontId="0" fillId="0" borderId="3" xfId="0" applyNumberFormat="1" applyBorder="1"/>
    <xf numFmtId="8" fontId="5" fillId="0" borderId="3" xfId="0" applyNumberFormat="1" applyFont="1" applyFill="1" applyBorder="1"/>
    <xf numFmtId="0" fontId="5" fillId="2" borderId="0" xfId="0" applyFont="1" applyFill="1" applyBorder="1"/>
    <xf numFmtId="168" fontId="5" fillId="2" borderId="0" xfId="0" applyNumberFormat="1" applyFont="1" applyFill="1" applyBorder="1"/>
    <xf numFmtId="165" fontId="0" fillId="0" borderId="0" xfId="1" applyFont="1"/>
    <xf numFmtId="9" fontId="0" fillId="0" borderId="0" xfId="0" applyNumberFormat="1"/>
    <xf numFmtId="10" fontId="0" fillId="2" borderId="0" xfId="2" applyNumberFormat="1" applyFont="1" applyFill="1"/>
    <xf numFmtId="8" fontId="0" fillId="0" borderId="0" xfId="0" applyNumberFormat="1"/>
    <xf numFmtId="2" fontId="0" fillId="0" borderId="0" xfId="0" applyNumberFormat="1"/>
    <xf numFmtId="10" fontId="0" fillId="0" borderId="0" xfId="0" applyNumberFormat="1"/>
    <xf numFmtId="10" fontId="0" fillId="0" borderId="0" xfId="2" applyNumberFormat="1" applyFont="1"/>
    <xf numFmtId="175" fontId="0" fillId="0" borderId="0" xfId="2" applyNumberFormat="1" applyFont="1"/>
    <xf numFmtId="177" fontId="0" fillId="0" borderId="0" xfId="2" applyNumberFormat="1" applyFont="1"/>
    <xf numFmtId="8" fontId="0" fillId="5" borderId="0" xfId="0" applyNumberFormat="1" applyFill="1"/>
    <xf numFmtId="0" fontId="0" fillId="5" borderId="0" xfId="0" applyFill="1"/>
    <xf numFmtId="8" fontId="0" fillId="6" borderId="0" xfId="0" applyNumberFormat="1" applyFill="1"/>
    <xf numFmtId="164" fontId="0" fillId="6" borderId="0" xfId="0" applyNumberFormat="1" applyFill="1"/>
    <xf numFmtId="0" fontId="0" fillId="6" borderId="0" xfId="0" applyFill="1"/>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476250</xdr:colOff>
      <xdr:row>0</xdr:row>
      <xdr:rowOff>152400</xdr:rowOff>
    </xdr:from>
    <xdr:to>
      <xdr:col>9</xdr:col>
      <xdr:colOff>314325</xdr:colOff>
      <xdr:row>11</xdr:row>
      <xdr:rowOff>9525</xdr:rowOff>
    </xdr:to>
    <xdr:sp macro="" textlink="">
      <xdr:nvSpPr>
        <xdr:cNvPr id="2" name="CuadroTexto 1"/>
        <xdr:cNvSpPr txBox="1"/>
      </xdr:nvSpPr>
      <xdr:spPr>
        <a:xfrm>
          <a:off x="476250" y="152400"/>
          <a:ext cx="6696075" cy="1952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solidFill>
                <a:schemeClr val="dk1"/>
              </a:solidFill>
              <a:effectLst/>
              <a:latin typeface="+mn-lt"/>
              <a:ea typeface="+mn-ea"/>
              <a:cs typeface="+mn-cs"/>
            </a:rPr>
            <a:t>Al cumplir 1 año de nacida los abuelos de Daniela le regalan $ 300.000 depositados en una cuenta bancaria que liquida intereses al 15%na AV. Además le continúan depositando en cada cumpleaños $ 200.000 hasta cuando cumple 18 inclusive. Daniela planea retirar anualmente $2.000.000 en sus cumpleaños 20, 21 y 22 y a los 23 espera retirar el saldo.</a:t>
          </a:r>
        </a:p>
        <a:p>
          <a:endParaRPr lang="es-CO" sz="1100">
            <a:solidFill>
              <a:schemeClr val="dk1"/>
            </a:solidFill>
            <a:effectLst/>
            <a:latin typeface="+mn-lt"/>
            <a:ea typeface="+mn-ea"/>
            <a:cs typeface="+mn-cs"/>
          </a:endParaRPr>
        </a:p>
        <a:p>
          <a:pPr lvl="1"/>
          <a:r>
            <a:rPr lang="es-CO" sz="1100">
              <a:solidFill>
                <a:schemeClr val="dk1"/>
              </a:solidFill>
              <a:effectLst/>
              <a:latin typeface="+mn-lt"/>
              <a:ea typeface="+mn-ea"/>
              <a:cs typeface="+mn-cs"/>
            </a:rPr>
            <a:t>a.  Calcule dicho saldo.</a:t>
          </a:r>
          <a:r>
            <a:rPr lang="es-CO" sz="1100" baseline="0">
              <a:solidFill>
                <a:schemeClr val="dk1"/>
              </a:solidFill>
              <a:effectLst/>
              <a:latin typeface="+mn-lt"/>
              <a:ea typeface="+mn-ea"/>
              <a:cs typeface="+mn-cs"/>
            </a:rPr>
            <a:t> </a:t>
          </a:r>
          <a:r>
            <a:rPr lang="es-CO" sz="1100" b="1" baseline="0">
              <a:solidFill>
                <a:schemeClr val="dk1"/>
              </a:solidFill>
              <a:effectLst/>
              <a:latin typeface="+mn-lt"/>
              <a:ea typeface="+mn-ea"/>
              <a:cs typeface="+mn-cs"/>
            </a:rPr>
            <a:t>R: $ 24'684.525,06</a:t>
          </a:r>
          <a:endParaRPr lang="es-CO"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752475</xdr:colOff>
      <xdr:row>2</xdr:row>
      <xdr:rowOff>0</xdr:rowOff>
    </xdr:from>
    <xdr:to>
      <xdr:col>7</xdr:col>
      <xdr:colOff>685800</xdr:colOff>
      <xdr:row>6</xdr:row>
      <xdr:rowOff>19050</xdr:rowOff>
    </xdr:to>
    <xdr:sp macro="" textlink="">
      <xdr:nvSpPr>
        <xdr:cNvPr id="3" name="1 CuadroTexto"/>
        <xdr:cNvSpPr txBox="1"/>
      </xdr:nvSpPr>
      <xdr:spPr>
        <a:xfrm>
          <a:off x="752475" y="381000"/>
          <a:ext cx="5267325"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aseline="0"/>
            <a:t>Andres adquirio un apartamento cuyo valor esta detereminado por $130.000.000, para adquirirlo tomo un prestamo a un interés del 15% EA el cual debe terminar de pagarse trimestralmente en 20 años. Construya la tabla de amortización de este préstamo, por el metodo que desee. </a:t>
          </a:r>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457200</xdr:colOff>
      <xdr:row>0</xdr:row>
      <xdr:rowOff>95250</xdr:rowOff>
    </xdr:from>
    <xdr:to>
      <xdr:col>13</xdr:col>
      <xdr:colOff>285750</xdr:colOff>
      <xdr:row>11</xdr:row>
      <xdr:rowOff>0</xdr:rowOff>
    </xdr:to>
    <xdr:sp macro="" textlink="">
      <xdr:nvSpPr>
        <xdr:cNvPr id="2" name="CuadroTexto 1"/>
        <xdr:cNvSpPr txBox="1"/>
      </xdr:nvSpPr>
      <xdr:spPr>
        <a:xfrm>
          <a:off x="457200" y="95250"/>
          <a:ext cx="9734550"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s-CO" sz="1100" b="0" i="0" u="none" strike="noStrike">
              <a:solidFill>
                <a:schemeClr val="dk1"/>
              </a:solidFill>
              <a:effectLst/>
              <a:latin typeface="+mn-lt"/>
              <a:ea typeface="+mn-ea"/>
              <a:cs typeface="+mn-cs"/>
            </a:rPr>
            <a:t>Diego tiene un excedente de capital y desea invertir le ofrecen las siguientes alternativas:</a:t>
          </a:r>
        </a:p>
        <a:p>
          <a:pPr rtl="0" fontAlgn="base"/>
          <a:r>
            <a:rPr lang="es-CO" sz="1100" b="0" i="0" u="none" strike="noStrike">
              <a:solidFill>
                <a:schemeClr val="dk1"/>
              </a:solidFill>
              <a:effectLst/>
              <a:latin typeface="+mn-lt"/>
              <a:ea typeface="+mn-ea"/>
              <a:cs typeface="+mn-cs"/>
            </a:rPr>
            <a:t/>
          </a:r>
          <a:br>
            <a:rPr lang="es-CO" sz="1100" b="0" i="0" u="none" strike="noStrike">
              <a:solidFill>
                <a:schemeClr val="dk1"/>
              </a:solidFill>
              <a:effectLst/>
              <a:latin typeface="+mn-lt"/>
              <a:ea typeface="+mn-ea"/>
              <a:cs typeface="+mn-cs"/>
            </a:rPr>
          </a:br>
          <a:r>
            <a:rPr lang="es-CO" sz="1100" b="0" i="0" u="none" strike="noStrike">
              <a:solidFill>
                <a:schemeClr val="dk1"/>
              </a:solidFill>
              <a:effectLst/>
              <a:latin typeface="+mn-lt"/>
              <a:ea typeface="+mn-ea"/>
              <a:cs typeface="+mn-cs"/>
            </a:rPr>
            <a:t>Alternativa 1:  Invertir 30 millones de pesos, los cuales 15 millones son recursos de Diego y 15 millones los ha pedido en préstamo a un banco, el cual pagará a lo largo de 5  años. Aparte de la cuota que debe pagar anualmente por el préstamo, el proyecto requiere otros gastos que ascienden a 1 millones de pesos anuales. Los ingresos anuales de la compañía ascienden a 10 millones de pesos a partir del tercer año y van aumentando cada año en 20% hasta el 5 año. La tasa de interés con la cual le prestaron el dinero a Diego es del 9% efectivo anual, y el proyecto dura 5 años.</a:t>
          </a:r>
        </a:p>
        <a:p>
          <a:pPr rtl="0" fontAlgn="base"/>
          <a:r>
            <a:rPr lang="es-CO" sz="1100" b="0" i="0" u="none" strike="noStrike">
              <a:solidFill>
                <a:schemeClr val="dk1"/>
              </a:solidFill>
              <a:effectLst/>
              <a:latin typeface="+mn-lt"/>
              <a:ea typeface="+mn-ea"/>
              <a:cs typeface="+mn-cs"/>
            </a:rPr>
            <a:t/>
          </a:r>
          <a:br>
            <a:rPr lang="es-CO" sz="1100" b="0" i="0" u="none" strike="noStrike">
              <a:solidFill>
                <a:schemeClr val="dk1"/>
              </a:solidFill>
              <a:effectLst/>
              <a:latin typeface="+mn-lt"/>
              <a:ea typeface="+mn-ea"/>
              <a:cs typeface="+mn-cs"/>
            </a:rPr>
          </a:br>
          <a:r>
            <a:rPr lang="es-CO" sz="1100" b="0" i="0" u="none" strike="noStrike">
              <a:solidFill>
                <a:schemeClr val="dk1"/>
              </a:solidFill>
              <a:effectLst/>
              <a:latin typeface="+mn-lt"/>
              <a:ea typeface="+mn-ea"/>
              <a:cs typeface="+mn-cs"/>
            </a:rPr>
            <a:t>Alternativa 2: Una inversión de $ 15 millones. Este proyecto gastos de 1 millón de pesos anuales. Los ingresos anuales de la compañía ascienden a 8 millones de pesos aumentando cada año en 18% hasta el final del proyecto. Si el costo de oportunidad de este proyecto es del 7% efectivo anual, y el proyecto dura 6 años.</a:t>
          </a:r>
        </a:p>
        <a:p>
          <a:pPr rtl="0" fontAlgn="base"/>
          <a:r>
            <a:rPr lang="es-CO" sz="1100" b="0" i="0" u="none" strike="noStrike">
              <a:solidFill>
                <a:schemeClr val="dk1"/>
              </a:solidFill>
              <a:effectLst/>
              <a:latin typeface="+mn-lt"/>
              <a:ea typeface="+mn-ea"/>
              <a:cs typeface="+mn-cs"/>
            </a:rPr>
            <a:t/>
          </a:r>
          <a:br>
            <a:rPr lang="es-CO" sz="1100" b="0" i="0" u="none" strike="noStrike">
              <a:solidFill>
                <a:schemeClr val="dk1"/>
              </a:solidFill>
              <a:effectLst/>
              <a:latin typeface="+mn-lt"/>
              <a:ea typeface="+mn-ea"/>
              <a:cs typeface="+mn-cs"/>
            </a:rPr>
          </a:br>
          <a:r>
            <a:rPr lang="es-CO" sz="1100" b="0" i="0" u="none" strike="noStrike">
              <a:solidFill>
                <a:schemeClr val="dk1"/>
              </a:solidFill>
              <a:effectLst/>
              <a:latin typeface="+mn-lt"/>
              <a:ea typeface="+mn-ea"/>
              <a:cs typeface="+mn-cs"/>
            </a:rPr>
            <a:t>¿Cuál es el Valor Presente Neto de las dos opciones y en qué opción invertiría y por qué? ¿Cual es la TIR para cada proyecto y que nos dice esta tasa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133350</xdr:colOff>
      <xdr:row>1</xdr:row>
      <xdr:rowOff>0</xdr:rowOff>
    </xdr:from>
    <xdr:to>
      <xdr:col>9</xdr:col>
      <xdr:colOff>19050</xdr:colOff>
      <xdr:row>8</xdr:row>
      <xdr:rowOff>28575</xdr:rowOff>
    </xdr:to>
    <xdr:sp macro="" textlink="">
      <xdr:nvSpPr>
        <xdr:cNvPr id="2" name="CuadroTexto 1"/>
        <xdr:cNvSpPr txBox="1"/>
      </xdr:nvSpPr>
      <xdr:spPr>
        <a:xfrm>
          <a:off x="895350" y="190500"/>
          <a:ext cx="5981700"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s-CO" sz="1100" b="0" i="0" u="none" strike="noStrike">
              <a:solidFill>
                <a:schemeClr val="dk1"/>
              </a:solidFill>
              <a:effectLst/>
              <a:latin typeface="+mn-lt"/>
              <a:ea typeface="+mn-ea"/>
              <a:cs typeface="+mn-cs"/>
            </a:rPr>
            <a:t>Convierta las siguientes tasas según corresponda.</a:t>
          </a:r>
        </a:p>
        <a:p>
          <a:pPr rtl="0" fontAlgn="base"/>
          <a:endParaRPr lang="es-CO" sz="1100" b="0" i="0" u="none" strike="noStrike">
            <a:solidFill>
              <a:schemeClr val="dk1"/>
            </a:solidFill>
            <a:effectLst/>
            <a:latin typeface="+mn-lt"/>
            <a:ea typeface="+mn-ea"/>
            <a:cs typeface="+mn-cs"/>
          </a:endParaRPr>
        </a:p>
        <a:p>
          <a:pPr rtl="0" fontAlgn="base"/>
          <a:r>
            <a:rPr lang="es-CO" sz="1100" b="0" i="0" u="none" strike="noStrike">
              <a:solidFill>
                <a:schemeClr val="dk1"/>
              </a:solidFill>
              <a:effectLst/>
              <a:latin typeface="+mn-lt"/>
              <a:ea typeface="+mn-ea"/>
              <a:cs typeface="+mn-cs"/>
            </a:rPr>
            <a:t>	a.</a:t>
          </a:r>
          <a:r>
            <a:rPr lang="es-CO" sz="1100" b="0" i="0" u="none" strike="noStrike" baseline="0">
              <a:solidFill>
                <a:schemeClr val="dk1"/>
              </a:solidFill>
              <a:effectLst/>
              <a:latin typeface="+mn-lt"/>
              <a:ea typeface="+mn-ea"/>
              <a:cs typeface="+mn-cs"/>
            </a:rPr>
            <a:t> 8</a:t>
          </a:r>
          <a:r>
            <a:rPr lang="es-CO" sz="1100" b="0" i="0" u="none" strike="noStrike">
              <a:solidFill>
                <a:schemeClr val="dk1"/>
              </a:solidFill>
              <a:effectLst/>
              <a:latin typeface="+mn-lt"/>
              <a:ea typeface="+mn-ea"/>
              <a:cs typeface="+mn-cs"/>
            </a:rPr>
            <a:t>.7%na TV a na SA</a:t>
          </a:r>
        </a:p>
        <a:p>
          <a:pPr rtl="0" fontAlgn="base"/>
          <a:r>
            <a:rPr lang="es-CO" sz="1100" b="0" i="0" u="none" strike="noStrike">
              <a:solidFill>
                <a:schemeClr val="dk1"/>
              </a:solidFill>
              <a:effectLst/>
              <a:latin typeface="+mn-lt"/>
              <a:ea typeface="+mn-ea"/>
              <a:cs typeface="+mn-cs"/>
            </a:rPr>
            <a:t>	b. 2.9%na MV a na TA</a:t>
          </a:r>
        </a:p>
        <a:p>
          <a:pPr rtl="0" fontAlgn="base"/>
          <a:r>
            <a:rPr lang="es-CO" sz="1100" b="0" i="0" u="none" strike="noStrike">
              <a:solidFill>
                <a:schemeClr val="dk1"/>
              </a:solidFill>
              <a:effectLst/>
              <a:latin typeface="+mn-lt"/>
              <a:ea typeface="+mn-ea"/>
              <a:cs typeface="+mn-cs"/>
            </a:rPr>
            <a:t>	c. 15.4%na SA a na SmV</a:t>
          </a:r>
        </a:p>
        <a:p>
          <a:pPr rtl="0" fontAlgn="base"/>
          <a:r>
            <a:rPr lang="es-CO" sz="1100" b="0" i="0" u="none" strike="noStrike">
              <a:solidFill>
                <a:schemeClr val="dk1"/>
              </a:solidFill>
              <a:effectLst/>
              <a:latin typeface="+mn-lt"/>
              <a:ea typeface="+mn-ea"/>
              <a:cs typeface="+mn-cs"/>
            </a:rPr>
            <a:t>	d. 11.3%na TA a na MV</a:t>
          </a:r>
        </a:p>
        <a:p>
          <a:pPr rtl="0" fontAlgn="base"/>
          <a:r>
            <a:rPr lang="es-CO" sz="1100" b="0" i="0" u="none" strike="noStrike">
              <a:solidFill>
                <a:schemeClr val="dk1"/>
              </a:solidFill>
              <a:effectLst/>
              <a:latin typeface="+mn-lt"/>
              <a:ea typeface="+mn-ea"/>
              <a:cs typeface="+mn-cs"/>
            </a:rPr>
            <a:t>	e. 45% na DA</a:t>
          </a:r>
          <a:r>
            <a:rPr lang="es-CO" sz="1100" b="0" i="0" u="none" strike="noStrike" baseline="0">
              <a:solidFill>
                <a:schemeClr val="dk1"/>
              </a:solidFill>
              <a:effectLst/>
              <a:latin typeface="+mn-lt"/>
              <a:ea typeface="+mn-ea"/>
              <a:cs typeface="+mn-cs"/>
            </a:rPr>
            <a:t> a na BV</a:t>
          </a:r>
          <a:endParaRPr lang="es-CO" sz="1100" b="0" i="0" u="none" strike="noStrike">
            <a:solidFill>
              <a:schemeClr val="dk1"/>
            </a:solidFill>
            <a:effectLst/>
            <a:latin typeface="+mn-lt"/>
            <a:ea typeface="+mn-ea"/>
            <a:cs typeface="+mn-cs"/>
          </a:endParaRPr>
        </a:p>
        <a:p>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tabSelected="1" topLeftCell="A10" workbookViewId="0">
      <selection activeCell="C73" sqref="C73"/>
    </sheetView>
  </sheetViews>
  <sheetFormatPr baseColWidth="10" defaultRowHeight="15" x14ac:dyDescent="0.25"/>
  <cols>
    <col min="1" max="1" width="13.85546875" customWidth="1"/>
    <col min="3" max="3" width="98.140625" customWidth="1"/>
    <col min="6" max="6" width="15" customWidth="1"/>
  </cols>
  <sheetData>
    <row r="1" spans="1:13" ht="16.5" x14ac:dyDescent="0.25">
      <c r="A1" s="1"/>
      <c r="B1" s="1"/>
      <c r="C1" s="3" t="s">
        <v>0</v>
      </c>
      <c r="D1" s="13"/>
      <c r="E1" s="1"/>
      <c r="F1" s="13"/>
      <c r="G1" s="14"/>
      <c r="H1" s="1"/>
      <c r="I1" s="1"/>
      <c r="J1" s="17"/>
      <c r="K1" s="17"/>
      <c r="L1" s="17"/>
      <c r="M1" s="17"/>
    </row>
    <row r="2" spans="1:13" ht="16.5" x14ac:dyDescent="0.25">
      <c r="A2" s="1"/>
      <c r="B2" s="1"/>
      <c r="C2" s="3" t="s">
        <v>1</v>
      </c>
      <c r="D2" s="13"/>
      <c r="E2" s="1"/>
      <c r="F2" s="13"/>
      <c r="G2" s="14"/>
      <c r="H2" s="1"/>
      <c r="I2" s="1"/>
      <c r="J2" s="17"/>
      <c r="K2" s="17"/>
      <c r="L2" s="17"/>
      <c r="M2" s="17"/>
    </row>
    <row r="3" spans="1:13" ht="16.5" x14ac:dyDescent="0.25">
      <c r="A3" s="1"/>
      <c r="B3" s="1"/>
      <c r="C3" s="3" t="s">
        <v>2</v>
      </c>
      <c r="D3" s="13"/>
      <c r="E3" s="1"/>
      <c r="F3" s="13"/>
      <c r="G3" s="14"/>
      <c r="H3" s="1"/>
      <c r="I3" s="1"/>
      <c r="J3" s="17"/>
      <c r="K3" s="17"/>
      <c r="L3" s="17"/>
      <c r="M3" s="17"/>
    </row>
    <row r="4" spans="1:13" x14ac:dyDescent="0.25">
      <c r="A4" s="1"/>
      <c r="B4" s="1"/>
      <c r="C4" s="1"/>
      <c r="D4" s="2"/>
      <c r="E4" s="2"/>
      <c r="F4" s="2"/>
      <c r="G4" s="2"/>
      <c r="H4" s="1"/>
      <c r="I4" s="1"/>
      <c r="J4" s="17"/>
      <c r="K4" s="17"/>
      <c r="L4" s="17"/>
      <c r="M4" s="17"/>
    </row>
    <row r="5" spans="1:13" x14ac:dyDescent="0.25">
      <c r="A5" s="1"/>
      <c r="B5" s="1"/>
      <c r="C5" s="1" t="s">
        <v>55</v>
      </c>
      <c r="D5" s="2"/>
      <c r="E5" s="2"/>
      <c r="F5" s="4"/>
      <c r="G5" s="2"/>
      <c r="H5" s="1"/>
      <c r="I5" s="1"/>
      <c r="J5" s="17"/>
      <c r="K5" s="17"/>
      <c r="L5" s="17"/>
      <c r="M5" s="17"/>
    </row>
    <row r="6" spans="1:13" x14ac:dyDescent="0.25">
      <c r="A6" s="1"/>
      <c r="B6" s="1"/>
      <c r="C6" s="1"/>
      <c r="D6" s="2"/>
      <c r="E6" s="2"/>
      <c r="F6" s="5"/>
      <c r="G6" s="2"/>
      <c r="H6" s="1"/>
      <c r="I6" s="1"/>
      <c r="J6" s="17"/>
      <c r="K6" s="17"/>
      <c r="L6" s="17"/>
      <c r="M6" s="17"/>
    </row>
    <row r="7" spans="1:13" x14ac:dyDescent="0.25">
      <c r="A7" s="1"/>
      <c r="B7" s="1"/>
      <c r="C7" s="1"/>
      <c r="D7" s="2"/>
      <c r="E7" s="2"/>
      <c r="F7" s="4"/>
      <c r="G7" s="2"/>
      <c r="H7" s="1"/>
      <c r="I7" s="1"/>
      <c r="J7" s="17"/>
      <c r="K7" s="17"/>
      <c r="L7" s="17"/>
      <c r="M7" s="17"/>
    </row>
    <row r="8" spans="1:13" x14ac:dyDescent="0.25">
      <c r="A8" s="1"/>
      <c r="B8" s="1"/>
      <c r="C8" s="1"/>
      <c r="D8" s="2"/>
      <c r="E8" s="2"/>
      <c r="F8" s="2"/>
      <c r="G8" s="2"/>
      <c r="H8" s="1"/>
      <c r="I8" s="1"/>
      <c r="J8" s="17"/>
      <c r="K8" s="17"/>
      <c r="L8" s="17"/>
      <c r="M8" s="17"/>
    </row>
    <row r="9" spans="1:13" ht="15.75" x14ac:dyDescent="0.25">
      <c r="A9" s="1"/>
      <c r="B9" s="1"/>
      <c r="C9" s="6" t="s">
        <v>3</v>
      </c>
      <c r="D9" s="2"/>
      <c r="E9" s="2"/>
      <c r="F9" s="2"/>
      <c r="G9" s="2"/>
      <c r="H9" s="1"/>
      <c r="I9" s="1"/>
      <c r="J9" s="17"/>
      <c r="K9" s="17"/>
      <c r="L9" s="17"/>
      <c r="M9" s="17"/>
    </row>
    <row r="10" spans="1:13" ht="15.75" x14ac:dyDescent="0.25">
      <c r="A10" s="1"/>
      <c r="B10" s="1"/>
      <c r="C10" s="7" t="s">
        <v>4</v>
      </c>
      <c r="D10" s="1"/>
      <c r="E10" s="1"/>
      <c r="F10" s="1"/>
      <c r="G10" s="1"/>
      <c r="H10" s="1"/>
      <c r="I10" s="1"/>
      <c r="J10" s="17"/>
      <c r="K10" s="17"/>
      <c r="L10" s="17"/>
      <c r="M10" s="17"/>
    </row>
    <row r="11" spans="1:13" ht="15.75" x14ac:dyDescent="0.25">
      <c r="A11" s="1"/>
      <c r="B11" s="1"/>
      <c r="C11" s="7" t="s">
        <v>5</v>
      </c>
      <c r="D11" s="1"/>
      <c r="E11" s="1"/>
      <c r="F11" s="1"/>
      <c r="G11" s="1"/>
      <c r="H11" s="1"/>
      <c r="I11" s="1"/>
      <c r="J11" s="17"/>
      <c r="K11" s="17"/>
      <c r="L11" s="17"/>
      <c r="M11" s="17"/>
    </row>
    <row r="12" spans="1:13" ht="15.75" x14ac:dyDescent="0.25">
      <c r="A12" s="1"/>
      <c r="B12" s="1"/>
      <c r="C12" s="7" t="s">
        <v>6</v>
      </c>
      <c r="D12" s="1"/>
      <c r="E12" s="1"/>
      <c r="F12" s="1"/>
      <c r="G12" s="1"/>
      <c r="H12" s="1"/>
      <c r="I12" s="1"/>
    </row>
    <row r="13" spans="1:13" ht="15.75" x14ac:dyDescent="0.25">
      <c r="A13" s="1"/>
      <c r="B13" s="1"/>
      <c r="C13" s="7" t="s">
        <v>7</v>
      </c>
      <c r="D13" s="1"/>
      <c r="E13" s="1"/>
      <c r="F13" s="1"/>
      <c r="G13" s="1"/>
      <c r="H13" s="1"/>
      <c r="I13" s="1"/>
    </row>
    <row r="14" spans="1:13" ht="15.75" x14ac:dyDescent="0.25">
      <c r="A14" s="1"/>
      <c r="B14" s="1"/>
      <c r="C14" s="7" t="s">
        <v>8</v>
      </c>
      <c r="D14" s="1"/>
      <c r="E14" s="1"/>
      <c r="F14" s="1"/>
      <c r="G14" s="1"/>
      <c r="H14" s="1"/>
      <c r="I14" s="1"/>
    </row>
    <row r="15" spans="1:13" ht="16.5" thickBot="1" x14ac:dyDescent="0.3">
      <c r="A15" s="1"/>
      <c r="B15" s="1"/>
      <c r="C15" s="7"/>
      <c r="D15" s="1"/>
      <c r="E15" s="1"/>
      <c r="F15" s="1"/>
      <c r="G15" s="1"/>
      <c r="H15" s="1"/>
      <c r="I15" s="1"/>
    </row>
    <row r="16" spans="1:13" ht="15.75" thickBot="1" x14ac:dyDescent="0.3">
      <c r="A16" s="1"/>
      <c r="B16" s="16" t="s">
        <v>36</v>
      </c>
      <c r="C16" s="15" t="s">
        <v>57</v>
      </c>
      <c r="D16" s="1"/>
      <c r="E16" s="1"/>
      <c r="F16" s="1"/>
      <c r="G16" s="1"/>
      <c r="H16" s="1"/>
      <c r="I16" s="1"/>
    </row>
    <row r="17" spans="1:9" ht="15.75" x14ac:dyDescent="0.25">
      <c r="A17" s="1"/>
      <c r="B17" s="1"/>
      <c r="C17" s="7"/>
      <c r="D17" s="1"/>
      <c r="E17" s="1"/>
      <c r="F17" s="1"/>
      <c r="G17" s="1"/>
      <c r="H17" s="1"/>
      <c r="I17" s="1"/>
    </row>
    <row r="18" spans="1:9" ht="15.75" x14ac:dyDescent="0.25">
      <c r="A18" s="1"/>
      <c r="B18" s="1"/>
      <c r="C18" s="8" t="s">
        <v>9</v>
      </c>
      <c r="D18" s="1"/>
      <c r="E18" s="1"/>
      <c r="F18" s="1"/>
      <c r="G18" s="1"/>
      <c r="H18" s="1"/>
      <c r="I18" s="1"/>
    </row>
    <row r="19" spans="1:9" ht="15.75" x14ac:dyDescent="0.25">
      <c r="A19" s="1"/>
      <c r="B19" s="1"/>
      <c r="C19" s="9" t="s">
        <v>10</v>
      </c>
      <c r="D19" s="1"/>
      <c r="E19" s="1"/>
      <c r="F19" s="1"/>
      <c r="G19" s="1"/>
      <c r="H19" s="1"/>
      <c r="I19" s="1"/>
    </row>
    <row r="20" spans="1:9" ht="15.75" x14ac:dyDescent="0.25">
      <c r="A20" s="1"/>
      <c r="B20" s="1"/>
      <c r="C20" s="9" t="s">
        <v>11</v>
      </c>
      <c r="D20" s="1"/>
      <c r="E20" s="1"/>
      <c r="F20" s="1"/>
      <c r="G20" s="1"/>
      <c r="H20" s="1"/>
      <c r="I20" s="1"/>
    </row>
    <row r="21" spans="1:9" ht="16.5" thickBot="1" x14ac:dyDescent="0.3">
      <c r="A21" s="1"/>
      <c r="B21" s="1"/>
      <c r="C21" s="9"/>
      <c r="D21" s="1"/>
      <c r="E21" s="1"/>
      <c r="F21" s="1"/>
      <c r="G21" s="1"/>
      <c r="H21" s="1"/>
      <c r="I21" s="1"/>
    </row>
    <row r="22" spans="1:9" ht="15.75" thickBot="1" x14ac:dyDescent="0.3">
      <c r="A22" s="1"/>
      <c r="B22" s="16" t="s">
        <v>37</v>
      </c>
      <c r="C22" s="15" t="b">
        <v>1</v>
      </c>
      <c r="D22" s="1"/>
      <c r="E22" s="1"/>
      <c r="F22" s="1"/>
      <c r="G22" s="1"/>
      <c r="H22" s="1"/>
      <c r="I22" s="1"/>
    </row>
    <row r="23" spans="1:9" ht="15.75" x14ac:dyDescent="0.25">
      <c r="A23" s="1"/>
      <c r="B23" s="1"/>
      <c r="C23" s="9"/>
      <c r="D23" s="1"/>
      <c r="E23" s="1"/>
      <c r="F23" s="1"/>
      <c r="G23" s="1"/>
      <c r="H23" s="1"/>
      <c r="I23" s="1"/>
    </row>
    <row r="24" spans="1:9" ht="15.75" x14ac:dyDescent="0.25">
      <c r="A24" s="1"/>
      <c r="B24" s="1"/>
      <c r="C24" s="8" t="s">
        <v>12</v>
      </c>
      <c r="D24" s="1"/>
      <c r="E24" s="1"/>
      <c r="F24" s="1"/>
      <c r="G24" s="1"/>
      <c r="H24" s="1"/>
      <c r="I24" s="1"/>
    </row>
    <row r="25" spans="1:9" ht="15.75" x14ac:dyDescent="0.25">
      <c r="A25" s="1"/>
      <c r="B25" s="1"/>
      <c r="C25" s="10" t="s">
        <v>10</v>
      </c>
      <c r="D25" s="1"/>
      <c r="E25" s="1"/>
      <c r="F25" s="1"/>
      <c r="G25" s="1"/>
      <c r="H25" s="1"/>
      <c r="I25" s="1"/>
    </row>
    <row r="26" spans="1:9" ht="15.75" x14ac:dyDescent="0.25">
      <c r="A26" s="1"/>
      <c r="B26" s="1"/>
      <c r="C26" s="10" t="s">
        <v>13</v>
      </c>
      <c r="D26" s="1"/>
      <c r="E26" s="1"/>
      <c r="F26" s="1"/>
      <c r="G26" s="1"/>
      <c r="H26" s="1"/>
      <c r="I26" s="1"/>
    </row>
    <row r="27" spans="1:9" ht="16.5" thickBot="1" x14ac:dyDescent="0.3">
      <c r="A27" s="1"/>
      <c r="B27" s="1"/>
      <c r="C27" s="10"/>
      <c r="D27" s="1"/>
      <c r="E27" s="1"/>
      <c r="F27" s="1"/>
      <c r="G27" s="1"/>
      <c r="H27" s="1"/>
      <c r="I27" s="1"/>
    </row>
    <row r="28" spans="1:9" ht="15.75" thickBot="1" x14ac:dyDescent="0.3">
      <c r="A28" s="1"/>
      <c r="B28" s="16" t="s">
        <v>38</v>
      </c>
      <c r="C28" s="15" t="b">
        <v>1</v>
      </c>
      <c r="D28" s="1"/>
      <c r="E28" s="1"/>
      <c r="F28" s="1"/>
      <c r="G28" s="1"/>
      <c r="H28" s="1"/>
      <c r="I28" s="1"/>
    </row>
    <row r="29" spans="1:9" ht="15.75" x14ac:dyDescent="0.25">
      <c r="A29" s="1"/>
      <c r="B29" s="1"/>
      <c r="C29" s="10"/>
      <c r="D29" s="1"/>
      <c r="E29" s="1"/>
      <c r="F29" s="1"/>
      <c r="G29" s="1"/>
      <c r="H29" s="1"/>
      <c r="I29" s="1"/>
    </row>
    <row r="30" spans="1:9" ht="48" customHeight="1" x14ac:dyDescent="0.25">
      <c r="A30" s="1"/>
      <c r="B30" s="1"/>
      <c r="C30" s="6" t="s">
        <v>14</v>
      </c>
      <c r="D30" s="1"/>
      <c r="E30" s="1"/>
      <c r="F30" s="1"/>
      <c r="G30" s="1"/>
      <c r="H30" s="1"/>
      <c r="I30" s="1"/>
    </row>
    <row r="31" spans="1:9" ht="15.75" x14ac:dyDescent="0.25">
      <c r="A31" s="1"/>
      <c r="B31" s="1"/>
      <c r="C31" s="9" t="s">
        <v>15</v>
      </c>
      <c r="D31" s="1"/>
      <c r="E31" s="1"/>
      <c r="F31" s="1"/>
      <c r="G31" s="1"/>
      <c r="H31" s="1"/>
      <c r="I31" s="1"/>
    </row>
    <row r="32" spans="1:9" ht="15.75" x14ac:dyDescent="0.25">
      <c r="A32" s="1"/>
      <c r="B32" s="1"/>
      <c r="C32" s="9" t="s">
        <v>13</v>
      </c>
      <c r="D32" s="1"/>
      <c r="E32" s="1"/>
      <c r="F32" s="1"/>
      <c r="G32" s="1"/>
      <c r="H32" s="1"/>
      <c r="I32" s="1"/>
    </row>
    <row r="33" spans="1:9" ht="16.5" thickBot="1" x14ac:dyDescent="0.3">
      <c r="A33" s="1"/>
      <c r="B33" s="1"/>
      <c r="C33" s="9"/>
      <c r="D33" s="1"/>
      <c r="E33" s="1"/>
      <c r="F33" s="1"/>
      <c r="G33" s="1"/>
      <c r="H33" s="1"/>
      <c r="I33" s="1"/>
    </row>
    <row r="34" spans="1:9" ht="15.75" thickBot="1" x14ac:dyDescent="0.3">
      <c r="A34" s="1"/>
      <c r="B34" s="16" t="s">
        <v>39</v>
      </c>
      <c r="C34" s="15" t="s">
        <v>58</v>
      </c>
      <c r="D34" s="1"/>
      <c r="E34" s="1"/>
      <c r="F34" s="1"/>
      <c r="G34" s="1"/>
      <c r="H34" s="1"/>
      <c r="I34" s="1"/>
    </row>
    <row r="35" spans="1:9" ht="15.75" x14ac:dyDescent="0.25">
      <c r="A35" s="1"/>
      <c r="B35" s="1"/>
      <c r="C35" s="9"/>
      <c r="D35" s="1"/>
      <c r="E35" s="1"/>
      <c r="F35" s="1"/>
      <c r="G35" s="1"/>
      <c r="H35" s="1"/>
      <c r="I35" s="1"/>
    </row>
    <row r="36" spans="1:9" ht="15.75" x14ac:dyDescent="0.25">
      <c r="A36" s="1"/>
      <c r="B36" s="1"/>
      <c r="C36" s="8" t="s">
        <v>16</v>
      </c>
      <c r="D36" s="1"/>
      <c r="E36" s="1"/>
      <c r="F36" s="1"/>
      <c r="G36" s="1"/>
      <c r="H36" s="1"/>
      <c r="I36" s="1"/>
    </row>
    <row r="37" spans="1:9" ht="15.75" x14ac:dyDescent="0.25">
      <c r="A37" s="1"/>
      <c r="B37" s="1"/>
      <c r="C37" s="11" t="s">
        <v>17</v>
      </c>
      <c r="D37" s="1"/>
      <c r="E37" s="1"/>
      <c r="F37" s="1"/>
      <c r="G37" s="1"/>
      <c r="H37" s="1"/>
      <c r="I37" s="1"/>
    </row>
    <row r="38" spans="1:9" ht="15.75" x14ac:dyDescent="0.25">
      <c r="A38" s="1"/>
      <c r="B38" s="1"/>
      <c r="C38" s="11" t="s">
        <v>18</v>
      </c>
      <c r="D38" s="1"/>
      <c r="E38" s="1"/>
      <c r="F38" s="1"/>
      <c r="G38" s="1"/>
      <c r="H38" s="1"/>
      <c r="I38" s="1"/>
    </row>
    <row r="39" spans="1:9" ht="15.75" x14ac:dyDescent="0.25">
      <c r="A39" s="1"/>
      <c r="B39" s="1"/>
      <c r="C39" s="11" t="s">
        <v>19</v>
      </c>
      <c r="D39" s="1"/>
      <c r="E39" s="1"/>
      <c r="F39" s="1"/>
      <c r="G39" s="1"/>
      <c r="H39" s="1"/>
      <c r="I39" s="1"/>
    </row>
    <row r="40" spans="1:9" ht="15.75" x14ac:dyDescent="0.25">
      <c r="A40" s="1"/>
      <c r="B40" s="1"/>
      <c r="C40" s="11" t="s">
        <v>20</v>
      </c>
      <c r="D40" s="1"/>
      <c r="E40" s="1"/>
      <c r="F40" s="1"/>
      <c r="G40" s="1"/>
      <c r="H40" s="1"/>
      <c r="I40" s="1"/>
    </row>
    <row r="41" spans="1:9" ht="16.5" thickBot="1" x14ac:dyDescent="0.3">
      <c r="A41" s="1"/>
      <c r="B41" s="1"/>
      <c r="C41" s="9"/>
      <c r="D41" s="1"/>
      <c r="E41" s="1"/>
      <c r="F41" s="1"/>
      <c r="G41" s="1"/>
      <c r="H41" s="1"/>
      <c r="I41" s="1"/>
    </row>
    <row r="42" spans="1:9" ht="15.75" thickBot="1" x14ac:dyDescent="0.3">
      <c r="A42" s="1"/>
      <c r="B42" s="16" t="s">
        <v>40</v>
      </c>
      <c r="C42" s="15" t="s">
        <v>57</v>
      </c>
      <c r="D42" s="1"/>
      <c r="E42" s="1"/>
      <c r="F42" s="1"/>
      <c r="G42" s="1"/>
      <c r="H42" s="1"/>
      <c r="I42" s="1"/>
    </row>
    <row r="43" spans="1:9" ht="15.75" x14ac:dyDescent="0.25">
      <c r="A43" s="1"/>
      <c r="B43" s="1"/>
      <c r="C43" s="9"/>
      <c r="D43" s="1"/>
      <c r="E43" s="1"/>
      <c r="F43" s="1"/>
      <c r="G43" s="1"/>
      <c r="H43" s="1"/>
      <c r="I43" s="1"/>
    </row>
    <row r="44" spans="1:9" ht="15.75" x14ac:dyDescent="0.25">
      <c r="A44" s="1"/>
      <c r="B44" s="1"/>
      <c r="C44" s="8" t="s">
        <v>21</v>
      </c>
      <c r="D44" s="1"/>
      <c r="E44" s="1"/>
      <c r="F44" s="1"/>
      <c r="G44" s="1"/>
      <c r="H44" s="1"/>
      <c r="I44" s="1"/>
    </row>
    <row r="45" spans="1:9" ht="15.75" x14ac:dyDescent="0.25">
      <c r="A45" s="1"/>
      <c r="B45" s="1"/>
      <c r="C45" s="11" t="s">
        <v>22</v>
      </c>
      <c r="D45" s="1"/>
      <c r="E45" s="1"/>
      <c r="F45" s="1"/>
      <c r="G45" s="1"/>
      <c r="H45" s="1"/>
      <c r="I45" s="1"/>
    </row>
    <row r="46" spans="1:9" ht="15.75" x14ac:dyDescent="0.25">
      <c r="A46" s="1"/>
      <c r="B46" s="1"/>
      <c r="C46" s="11" t="s">
        <v>23</v>
      </c>
      <c r="D46" s="1"/>
      <c r="E46" s="1"/>
      <c r="F46" s="1"/>
      <c r="G46" s="1"/>
      <c r="H46" s="1"/>
      <c r="I46" s="1"/>
    </row>
    <row r="47" spans="1:9" ht="15.75" x14ac:dyDescent="0.25">
      <c r="A47" s="1"/>
      <c r="B47" s="1"/>
      <c r="C47" s="11" t="s">
        <v>24</v>
      </c>
      <c r="D47" s="1"/>
      <c r="E47" s="1"/>
      <c r="F47" s="1"/>
      <c r="G47" s="1"/>
      <c r="H47" s="1"/>
      <c r="I47" s="1"/>
    </row>
    <row r="48" spans="1:9" ht="15.75" x14ac:dyDescent="0.25">
      <c r="A48" s="1"/>
      <c r="B48" s="1"/>
      <c r="C48" s="11" t="s">
        <v>25</v>
      </c>
      <c r="D48" s="1"/>
      <c r="E48" s="1"/>
      <c r="F48" s="1"/>
      <c r="G48" s="1"/>
      <c r="H48" s="1"/>
      <c r="I48" s="1"/>
    </row>
    <row r="49" spans="1:9" ht="15.75" x14ac:dyDescent="0.25">
      <c r="A49" s="1"/>
      <c r="B49" s="1"/>
      <c r="C49" s="11" t="s">
        <v>26</v>
      </c>
      <c r="D49" s="1"/>
      <c r="E49" s="1"/>
      <c r="F49" s="1"/>
      <c r="G49" s="1"/>
      <c r="H49" s="1"/>
      <c r="I49" s="1"/>
    </row>
    <row r="50" spans="1:9" ht="16.5" thickBot="1" x14ac:dyDescent="0.3">
      <c r="A50" s="1"/>
      <c r="B50" s="1"/>
      <c r="C50" s="9"/>
      <c r="D50" s="1"/>
      <c r="E50" s="1"/>
      <c r="F50" s="1"/>
      <c r="G50" s="1"/>
      <c r="H50" s="1"/>
      <c r="I50" s="1"/>
    </row>
    <row r="51" spans="1:9" ht="15.75" thickBot="1" x14ac:dyDescent="0.3">
      <c r="A51" s="1"/>
      <c r="B51" s="16" t="s">
        <v>41</v>
      </c>
      <c r="C51" s="15" t="s">
        <v>56</v>
      </c>
      <c r="D51" s="1"/>
      <c r="E51" s="1"/>
      <c r="F51" s="1"/>
      <c r="G51" s="1"/>
      <c r="H51" s="1"/>
      <c r="I51" s="1"/>
    </row>
    <row r="52" spans="1:9" ht="15.75" x14ac:dyDescent="0.25">
      <c r="A52" s="1"/>
      <c r="B52" s="1"/>
      <c r="C52" s="9"/>
      <c r="D52" s="1"/>
      <c r="E52" s="1"/>
      <c r="F52" s="1"/>
      <c r="G52" s="1"/>
      <c r="H52" s="1"/>
      <c r="I52" s="1"/>
    </row>
    <row r="53" spans="1:9" ht="18.75" x14ac:dyDescent="0.25">
      <c r="A53" s="1"/>
      <c r="B53" s="1"/>
      <c r="C53" s="6" t="s">
        <v>54</v>
      </c>
      <c r="D53" s="1"/>
      <c r="E53" s="1"/>
      <c r="F53" s="1"/>
      <c r="G53" s="1"/>
      <c r="H53" s="1"/>
      <c r="I53" s="1"/>
    </row>
    <row r="54" spans="1:9" ht="48" customHeight="1" x14ac:dyDescent="0.25">
      <c r="A54" s="1"/>
      <c r="B54" s="1"/>
      <c r="C54" s="12" t="s">
        <v>27</v>
      </c>
      <c r="D54" s="1"/>
      <c r="E54" s="1"/>
      <c r="F54" s="1"/>
      <c r="G54" s="1"/>
      <c r="H54" s="1"/>
      <c r="I54" s="1"/>
    </row>
    <row r="55" spans="1:9" ht="15.75" x14ac:dyDescent="0.25">
      <c r="A55" s="1"/>
      <c r="B55" s="1"/>
      <c r="C55" s="11" t="s">
        <v>28</v>
      </c>
      <c r="D55" s="1"/>
      <c r="E55" s="1"/>
      <c r="F55" s="1"/>
      <c r="G55" s="1"/>
      <c r="H55" s="1"/>
      <c r="I55" s="1"/>
    </row>
    <row r="56" spans="1:9" ht="15.75" x14ac:dyDescent="0.25">
      <c r="A56" s="1"/>
      <c r="B56" s="1"/>
      <c r="C56" s="11" t="s">
        <v>29</v>
      </c>
      <c r="D56" s="1"/>
      <c r="E56" s="1"/>
      <c r="F56" s="1"/>
      <c r="G56" s="1"/>
      <c r="H56" s="1"/>
      <c r="I56" s="1"/>
    </row>
    <row r="57" spans="1:9" ht="47.25" x14ac:dyDescent="0.25">
      <c r="A57" s="1"/>
      <c r="B57" s="1"/>
      <c r="C57" s="12" t="s">
        <v>30</v>
      </c>
      <c r="D57" s="1"/>
      <c r="E57" s="1"/>
      <c r="F57" s="1"/>
      <c r="G57" s="1"/>
      <c r="H57" s="1"/>
      <c r="I57" s="1"/>
    </row>
    <row r="58" spans="1:9" ht="16.5" thickBot="1" x14ac:dyDescent="0.3">
      <c r="A58" s="1"/>
      <c r="B58" s="1"/>
      <c r="C58" s="9"/>
      <c r="D58" s="1"/>
      <c r="E58" s="1"/>
      <c r="F58" s="1"/>
      <c r="G58" s="1"/>
      <c r="H58" s="1"/>
      <c r="I58" s="1"/>
    </row>
    <row r="59" spans="1:9" ht="15.75" thickBot="1" x14ac:dyDescent="0.3">
      <c r="A59" s="1"/>
      <c r="B59" s="16" t="s">
        <v>42</v>
      </c>
      <c r="C59" s="15" t="s">
        <v>58</v>
      </c>
      <c r="D59" s="1"/>
      <c r="E59" s="1"/>
      <c r="F59" s="1"/>
      <c r="G59" s="1"/>
      <c r="H59" s="1"/>
      <c r="I59" s="1"/>
    </row>
    <row r="60" spans="1:9" ht="15.75" x14ac:dyDescent="0.25">
      <c r="A60" s="1"/>
      <c r="B60" s="1"/>
      <c r="C60" s="9"/>
      <c r="D60" s="1"/>
      <c r="E60" s="1"/>
      <c r="F60" s="1"/>
      <c r="G60" s="1"/>
      <c r="H60" s="1"/>
      <c r="I60" s="1"/>
    </row>
    <row r="61" spans="1:9" ht="31.5" x14ac:dyDescent="0.25">
      <c r="A61" s="1"/>
      <c r="B61" s="1"/>
      <c r="C61" s="6" t="s">
        <v>31</v>
      </c>
      <c r="D61" s="1"/>
      <c r="E61" s="1"/>
      <c r="F61" s="1"/>
      <c r="G61" s="1"/>
      <c r="H61" s="1"/>
      <c r="I61" s="1"/>
    </row>
    <row r="62" spans="1:9" ht="15.75" x14ac:dyDescent="0.25">
      <c r="A62" s="1"/>
      <c r="B62" s="1"/>
      <c r="C62" s="11" t="s">
        <v>32</v>
      </c>
      <c r="D62" s="1"/>
      <c r="E62" s="1"/>
      <c r="F62" s="1"/>
      <c r="G62" s="1"/>
      <c r="H62" s="1"/>
      <c r="I62" s="1"/>
    </row>
    <row r="63" spans="1:9" ht="15.75" x14ac:dyDescent="0.25">
      <c r="A63" s="1"/>
      <c r="B63" s="1"/>
      <c r="C63" s="11" t="s">
        <v>33</v>
      </c>
      <c r="D63" s="1"/>
      <c r="E63" s="1"/>
      <c r="F63" s="1"/>
      <c r="G63" s="1"/>
      <c r="H63" s="1"/>
      <c r="I63" s="1"/>
    </row>
    <row r="64" spans="1:9" ht="15.75" x14ac:dyDescent="0.25">
      <c r="A64" s="1"/>
      <c r="B64" s="1"/>
      <c r="C64" s="11" t="s">
        <v>34</v>
      </c>
      <c r="D64" s="1"/>
      <c r="E64" s="1"/>
      <c r="F64" s="1"/>
      <c r="G64" s="1"/>
      <c r="H64" s="1"/>
      <c r="I64" s="1"/>
    </row>
    <row r="65" spans="1:9" ht="15.75" x14ac:dyDescent="0.25">
      <c r="A65" s="1"/>
      <c r="B65" s="1"/>
      <c r="C65" s="11" t="s">
        <v>35</v>
      </c>
      <c r="D65" s="1"/>
      <c r="E65" s="1"/>
      <c r="F65" s="1"/>
      <c r="G65" s="1"/>
      <c r="H65" s="1"/>
      <c r="I65" s="1"/>
    </row>
    <row r="66" spans="1:9" ht="16.5" thickBot="1" x14ac:dyDescent="0.3">
      <c r="A66" s="1"/>
      <c r="B66" s="1"/>
      <c r="C66" s="9"/>
      <c r="D66" s="1"/>
      <c r="E66" s="1"/>
      <c r="F66" s="1"/>
      <c r="G66" s="1"/>
      <c r="H66" s="1"/>
      <c r="I66" s="1"/>
    </row>
    <row r="67" spans="1:9" ht="15.75" thickBot="1" x14ac:dyDescent="0.3">
      <c r="A67" s="1"/>
      <c r="B67" s="16" t="s">
        <v>43</v>
      </c>
      <c r="C67" s="15" t="s">
        <v>56</v>
      </c>
      <c r="D67" s="1"/>
      <c r="E67" s="1"/>
      <c r="F67" s="1"/>
      <c r="G67" s="1"/>
      <c r="H67" s="1"/>
      <c r="I67" s="1"/>
    </row>
    <row r="68" spans="1:9" ht="15.75" x14ac:dyDescent="0.25">
      <c r="A68" s="1"/>
      <c r="B68" s="1"/>
      <c r="C68" s="9"/>
      <c r="D68" s="1"/>
      <c r="E68" s="1"/>
      <c r="F68" s="1"/>
      <c r="G68" s="1"/>
      <c r="H68" s="1"/>
      <c r="I68" s="1"/>
    </row>
    <row r="69" spans="1:9" x14ac:dyDescent="0.25">
      <c r="A69" s="1"/>
      <c r="B69" s="1"/>
      <c r="C69" s="1"/>
      <c r="D69" s="1"/>
      <c r="E69" s="1"/>
      <c r="F69" s="1"/>
      <c r="G69" s="1"/>
      <c r="H69" s="1"/>
      <c r="I69" s="1"/>
    </row>
    <row r="70" spans="1:9" x14ac:dyDescent="0.25">
      <c r="A70" s="1"/>
      <c r="B70" s="1"/>
      <c r="C70" s="1"/>
      <c r="D70" s="1"/>
      <c r="E70" s="1"/>
      <c r="F70" s="1"/>
      <c r="G70" s="1"/>
      <c r="H70" s="1"/>
      <c r="I70" s="1"/>
    </row>
    <row r="71" spans="1:9" x14ac:dyDescent="0.25">
      <c r="A71" s="1"/>
      <c r="B71" s="1"/>
      <c r="C71" s="1"/>
      <c r="D71" s="1"/>
      <c r="E71" s="1"/>
      <c r="F71" s="1"/>
      <c r="G71" s="1"/>
      <c r="H71" s="1"/>
      <c r="I71" s="1"/>
    </row>
    <row r="72" spans="1:9" x14ac:dyDescent="0.25">
      <c r="A72" s="1"/>
      <c r="B72" s="1"/>
      <c r="C72" s="1"/>
      <c r="D72" s="1"/>
      <c r="E72" s="1"/>
      <c r="F72" s="1"/>
      <c r="G72" s="1"/>
      <c r="H72" s="1"/>
      <c r="I72" s="1"/>
    </row>
    <row r="73" spans="1:9" x14ac:dyDescent="0.25">
      <c r="A73" s="1"/>
      <c r="B73" s="1"/>
      <c r="C73" s="1"/>
      <c r="D73" s="1"/>
      <c r="E73" s="1"/>
      <c r="F73" s="1"/>
      <c r="G73" s="1"/>
      <c r="H73" s="1"/>
      <c r="I73" s="1"/>
    </row>
    <row r="74" spans="1:9" x14ac:dyDescent="0.25">
      <c r="A74" s="1"/>
      <c r="B74" s="1"/>
      <c r="C74" s="1"/>
      <c r="D74" s="1"/>
      <c r="E74" s="1"/>
      <c r="F74" s="1"/>
      <c r="G74" s="1"/>
      <c r="H74" s="1"/>
      <c r="I74" s="1"/>
    </row>
    <row r="75" spans="1:9" x14ac:dyDescent="0.25">
      <c r="A75" s="1"/>
      <c r="B75" s="1"/>
      <c r="C75" s="1"/>
      <c r="D75" s="1"/>
      <c r="E75" s="1"/>
      <c r="F75" s="1"/>
      <c r="G75" s="1"/>
      <c r="H75" s="1"/>
      <c r="I75" s="1"/>
    </row>
    <row r="76" spans="1:9" x14ac:dyDescent="0.25">
      <c r="A76" s="1"/>
      <c r="B76" s="1"/>
      <c r="C76" s="1"/>
      <c r="D76" s="1"/>
      <c r="E76" s="1"/>
      <c r="F76" s="1"/>
      <c r="G76" s="1"/>
      <c r="H76" s="1"/>
      <c r="I76" s="1"/>
    </row>
    <row r="77" spans="1:9" x14ac:dyDescent="0.25">
      <c r="A77" s="1"/>
      <c r="B77" s="1"/>
      <c r="C77" s="1"/>
      <c r="D77" s="1"/>
      <c r="E77" s="1"/>
      <c r="F77" s="1"/>
      <c r="G77" s="1"/>
      <c r="H77" s="1"/>
      <c r="I77" s="1"/>
    </row>
    <row r="78" spans="1:9" x14ac:dyDescent="0.25">
      <c r="A78" s="1"/>
      <c r="B78" s="1"/>
      <c r="C78" s="1"/>
      <c r="D78" s="1"/>
      <c r="E78" s="1"/>
      <c r="F78" s="1"/>
      <c r="G78" s="1"/>
      <c r="H78" s="1"/>
      <c r="I78" s="1"/>
    </row>
    <row r="79" spans="1:9" x14ac:dyDescent="0.25">
      <c r="A79" s="1"/>
      <c r="B79" s="1"/>
      <c r="C79" s="1"/>
      <c r="D79" s="1"/>
      <c r="E79" s="1"/>
      <c r="F79" s="1"/>
      <c r="G79" s="1"/>
      <c r="H79" s="1"/>
      <c r="I79" s="1"/>
    </row>
    <row r="80" spans="1:9" x14ac:dyDescent="0.25">
      <c r="A80" s="1"/>
      <c r="B80" s="1"/>
      <c r="C80" s="1"/>
      <c r="D80" s="1"/>
      <c r="E80" s="1"/>
      <c r="F80" s="1"/>
      <c r="G80" s="1"/>
      <c r="H80" s="1"/>
      <c r="I80" s="1"/>
    </row>
    <row r="81" spans="1:9" x14ac:dyDescent="0.25">
      <c r="A81" s="1"/>
      <c r="B81" s="1"/>
      <c r="C81" s="1"/>
      <c r="D81" s="1"/>
      <c r="E81" s="1"/>
      <c r="F81" s="1"/>
      <c r="G81" s="1"/>
      <c r="H81" s="1"/>
      <c r="I81" s="1"/>
    </row>
    <row r="82" spans="1:9" x14ac:dyDescent="0.25">
      <c r="A82" s="1"/>
      <c r="B82" s="1"/>
      <c r="C82" s="1"/>
      <c r="D82" s="1"/>
      <c r="E82" s="1"/>
      <c r="F82" s="1"/>
      <c r="G82" s="1"/>
      <c r="H82" s="1"/>
      <c r="I82" s="1"/>
    </row>
    <row r="83" spans="1:9" x14ac:dyDescent="0.25">
      <c r="A83" s="1"/>
      <c r="B83" s="1"/>
      <c r="C83" s="1"/>
      <c r="D83" s="1"/>
      <c r="E83" s="1"/>
      <c r="F83" s="1"/>
      <c r="G83" s="1"/>
      <c r="H83" s="1"/>
      <c r="I83" s="1"/>
    </row>
    <row r="84" spans="1:9" x14ac:dyDescent="0.25">
      <c r="A84" s="1"/>
      <c r="B84" s="1"/>
      <c r="C84" s="1"/>
      <c r="D84" s="1"/>
      <c r="E84" s="1"/>
      <c r="F84" s="1"/>
      <c r="G84" s="1"/>
      <c r="H84" s="1"/>
      <c r="I84" s="1"/>
    </row>
    <row r="85" spans="1:9" x14ac:dyDescent="0.25">
      <c r="A85" s="1"/>
      <c r="B85" s="1"/>
      <c r="C85" s="1"/>
      <c r="D85" s="1"/>
      <c r="E85" s="1"/>
      <c r="F85" s="1"/>
      <c r="G85" s="1"/>
      <c r="H85" s="1"/>
      <c r="I85" s="1"/>
    </row>
    <row r="86" spans="1:9" x14ac:dyDescent="0.25">
      <c r="A86" s="1"/>
      <c r="B86" s="1"/>
      <c r="C86" s="1"/>
      <c r="D86" s="1"/>
      <c r="E86" s="1"/>
      <c r="F86" s="1"/>
      <c r="G86" s="1"/>
      <c r="H86" s="1"/>
      <c r="I86" s="1"/>
    </row>
    <row r="87" spans="1:9" x14ac:dyDescent="0.25">
      <c r="A87" s="1"/>
      <c r="B87" s="1"/>
      <c r="C87" s="1"/>
      <c r="D87" s="1"/>
      <c r="E87" s="1"/>
      <c r="F87" s="1"/>
      <c r="G87" s="1"/>
      <c r="H87" s="1"/>
      <c r="I87" s="1"/>
    </row>
    <row r="88" spans="1:9" x14ac:dyDescent="0.25">
      <c r="A88" s="1"/>
      <c r="B88" s="1"/>
      <c r="C88" s="1"/>
      <c r="D88" s="1"/>
      <c r="E88" s="1"/>
      <c r="F88" s="1"/>
      <c r="G88" s="1"/>
      <c r="H88" s="1"/>
      <c r="I88" s="1"/>
    </row>
    <row r="89" spans="1:9" x14ac:dyDescent="0.25">
      <c r="A89" s="1"/>
      <c r="B89" s="1"/>
      <c r="C89" s="1"/>
      <c r="D89" s="1"/>
      <c r="E89" s="1"/>
      <c r="F89" s="1"/>
      <c r="G89" s="1"/>
      <c r="H89" s="1"/>
      <c r="I89" s="1"/>
    </row>
    <row r="90" spans="1:9" x14ac:dyDescent="0.25">
      <c r="A90" s="1"/>
      <c r="B90" s="1"/>
      <c r="C90" s="1"/>
      <c r="D90" s="1"/>
      <c r="E90" s="1"/>
      <c r="F90" s="1"/>
      <c r="G90" s="1"/>
      <c r="H90" s="1"/>
      <c r="I90" s="1"/>
    </row>
    <row r="91" spans="1:9" x14ac:dyDescent="0.25">
      <c r="A91" s="1"/>
      <c r="B91" s="1"/>
      <c r="C91" s="1"/>
      <c r="D91" s="1"/>
      <c r="E91" s="1"/>
      <c r="F91" s="1"/>
      <c r="G91" s="1"/>
      <c r="H91" s="1"/>
      <c r="I91" s="1"/>
    </row>
    <row r="92" spans="1:9" x14ac:dyDescent="0.25">
      <c r="A92" s="1"/>
      <c r="B92" s="1"/>
      <c r="C92" s="1"/>
      <c r="D92" s="1"/>
      <c r="E92" s="1"/>
      <c r="F92" s="1"/>
      <c r="G92" s="1"/>
      <c r="H92" s="1"/>
      <c r="I92" s="1"/>
    </row>
    <row r="93" spans="1:9" x14ac:dyDescent="0.25">
      <c r="A93" s="1"/>
      <c r="B93" s="1"/>
      <c r="C93" s="1"/>
      <c r="D93" s="1"/>
      <c r="E93" s="1"/>
      <c r="F93" s="1"/>
      <c r="G93" s="1"/>
      <c r="H93" s="1"/>
      <c r="I93" s="1"/>
    </row>
    <row r="94" spans="1:9" x14ac:dyDescent="0.25">
      <c r="A94" s="1"/>
      <c r="B94" s="1"/>
      <c r="C94" s="1"/>
      <c r="D94" s="1"/>
      <c r="E94" s="1"/>
      <c r="F94" s="1"/>
      <c r="G94" s="1"/>
      <c r="H94" s="1"/>
      <c r="I94" s="1"/>
    </row>
    <row r="95" spans="1:9" x14ac:dyDescent="0.25">
      <c r="A95" s="1"/>
      <c r="B95" s="1"/>
      <c r="C95" s="1"/>
      <c r="D95" s="1"/>
      <c r="E95" s="1"/>
      <c r="F95" s="1"/>
      <c r="G95" s="1"/>
      <c r="H95" s="1"/>
      <c r="I95" s="1"/>
    </row>
    <row r="96" spans="1:9" x14ac:dyDescent="0.25">
      <c r="A96" s="1"/>
      <c r="B96" s="1"/>
      <c r="C96" s="1"/>
      <c r="D96" s="1"/>
      <c r="E96" s="1"/>
      <c r="F96" s="1"/>
      <c r="G96" s="1"/>
      <c r="H96" s="1"/>
      <c r="I96" s="1"/>
    </row>
    <row r="97" spans="1:9" x14ac:dyDescent="0.25">
      <c r="A97" s="1"/>
      <c r="B97" s="1"/>
      <c r="C97" s="1"/>
      <c r="D97" s="1"/>
      <c r="E97" s="1"/>
      <c r="F97" s="1"/>
      <c r="G97" s="1"/>
      <c r="H97" s="1"/>
      <c r="I97" s="1"/>
    </row>
    <row r="98" spans="1:9" x14ac:dyDescent="0.25">
      <c r="A98" s="1"/>
      <c r="B98" s="1"/>
      <c r="C98" s="1"/>
      <c r="D98" s="1"/>
      <c r="E98" s="1"/>
      <c r="F98" s="1"/>
      <c r="G98" s="1"/>
      <c r="H98" s="1"/>
      <c r="I98"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3:K53"/>
  <sheetViews>
    <sheetView workbookViewId="0">
      <selection activeCell="H50" sqref="H50"/>
    </sheetView>
  </sheetViews>
  <sheetFormatPr baseColWidth="10" defaultRowHeight="15" x14ac:dyDescent="0.25"/>
  <cols>
    <col min="4" max="4" width="15.7109375" customWidth="1"/>
    <col min="5" max="5" width="13.7109375" bestFit="1" customWidth="1"/>
    <col min="6" max="6" width="15.140625" bestFit="1" customWidth="1"/>
    <col min="7" max="7" width="34.28515625" bestFit="1" customWidth="1"/>
    <col min="8" max="8" width="14.85546875" customWidth="1"/>
    <col min="9" max="9" width="14.85546875" bestFit="1" customWidth="1"/>
    <col min="10" max="10" width="13.7109375" bestFit="1" customWidth="1"/>
    <col min="11" max="11" width="14.42578125" bestFit="1" customWidth="1"/>
  </cols>
  <sheetData>
    <row r="13" spans="3:6" x14ac:dyDescent="0.25">
      <c r="C13">
        <v>300000</v>
      </c>
      <c r="D13" s="35">
        <v>0.15</v>
      </c>
      <c r="E13" t="s">
        <v>77</v>
      </c>
      <c r="F13" t="s">
        <v>94</v>
      </c>
    </row>
    <row r="14" spans="3:6" x14ac:dyDescent="0.25">
      <c r="D14" s="35">
        <f>D13/1</f>
        <v>0.15</v>
      </c>
      <c r="E14" t="s">
        <v>81</v>
      </c>
    </row>
    <row r="15" spans="3:6" x14ac:dyDescent="0.25">
      <c r="D15" s="35">
        <f>EFFECT(D14,1)</f>
        <v>0.14999999999999991</v>
      </c>
      <c r="E15" t="s">
        <v>82</v>
      </c>
    </row>
    <row r="16" spans="3:6" x14ac:dyDescent="0.25">
      <c r="D16" s="35"/>
    </row>
    <row r="17" spans="4:7" x14ac:dyDescent="0.25">
      <c r="D17" s="35"/>
    </row>
    <row r="18" spans="4:7" x14ac:dyDescent="0.25">
      <c r="D18" s="35"/>
    </row>
    <row r="20" spans="4:7" x14ac:dyDescent="0.25">
      <c r="D20" t="s">
        <v>64</v>
      </c>
    </row>
    <row r="21" spans="4:7" x14ac:dyDescent="0.25">
      <c r="D21">
        <v>0</v>
      </c>
      <c r="G21" t="s">
        <v>96</v>
      </c>
    </row>
    <row r="22" spans="4:7" x14ac:dyDescent="0.25">
      <c r="D22">
        <v>1</v>
      </c>
      <c r="E22" s="34">
        <v>300000</v>
      </c>
      <c r="G22" s="37">
        <f>FV($D$15,22,,-E22)</f>
        <v>6493423.7106513577</v>
      </c>
    </row>
    <row r="23" spans="4:7" x14ac:dyDescent="0.25">
      <c r="D23">
        <v>2</v>
      </c>
      <c r="E23" s="34">
        <v>200000</v>
      </c>
      <c r="G23" s="37">
        <f>FV($D$15,21,,-E23)</f>
        <v>3764303.6003775988</v>
      </c>
    </row>
    <row r="24" spans="4:7" x14ac:dyDescent="0.25">
      <c r="D24">
        <v>3</v>
      </c>
      <c r="E24" s="34">
        <v>200000</v>
      </c>
      <c r="G24" s="37">
        <f>FV($D$15,20,,-E24)</f>
        <v>3273307.4785892162</v>
      </c>
    </row>
    <row r="25" spans="4:7" x14ac:dyDescent="0.25">
      <c r="D25">
        <v>4</v>
      </c>
      <c r="E25" s="34">
        <v>200000</v>
      </c>
      <c r="G25" s="37">
        <f>FV($D$15,19,,-E25)</f>
        <v>2846354.3292080145</v>
      </c>
    </row>
    <row r="26" spans="4:7" x14ac:dyDescent="0.25">
      <c r="D26">
        <v>5</v>
      </c>
      <c r="E26" s="34">
        <v>200000</v>
      </c>
      <c r="G26" s="37">
        <f>FV($D$15,18,,-E26)</f>
        <v>2475090.7210504478</v>
      </c>
    </row>
    <row r="27" spans="4:7" x14ac:dyDescent="0.25">
      <c r="D27">
        <v>6</v>
      </c>
      <c r="E27" s="34">
        <v>200000</v>
      </c>
      <c r="G27" s="37">
        <f>FV($D$15,17,,-E27)</f>
        <v>2152252.8009134331</v>
      </c>
    </row>
    <row r="28" spans="4:7" x14ac:dyDescent="0.25">
      <c r="D28">
        <v>7</v>
      </c>
      <c r="E28" s="34">
        <v>200000</v>
      </c>
      <c r="G28" s="37">
        <f>FV($D$15,16,,-E28)</f>
        <v>1871524.1747073331</v>
      </c>
    </row>
    <row r="29" spans="4:7" x14ac:dyDescent="0.25">
      <c r="D29">
        <v>8</v>
      </c>
      <c r="E29" s="34">
        <v>200000</v>
      </c>
      <c r="G29" s="37">
        <f>FV($D$15,15,,-E29)</f>
        <v>1627412.325832464</v>
      </c>
    </row>
    <row r="30" spans="4:7" x14ac:dyDescent="0.25">
      <c r="D30">
        <v>9</v>
      </c>
      <c r="E30" s="34">
        <v>200000</v>
      </c>
      <c r="G30" s="37">
        <f>FV($D$15,14,,-E30)</f>
        <v>1415141.152897795</v>
      </c>
    </row>
    <row r="31" spans="4:7" x14ac:dyDescent="0.25">
      <c r="D31">
        <v>10</v>
      </c>
      <c r="E31" s="34">
        <v>200000</v>
      </c>
      <c r="G31" s="37">
        <f>FV($D$15,13,,-E31)</f>
        <v>1230557.5242589524</v>
      </c>
    </row>
    <row r="32" spans="4:7" x14ac:dyDescent="0.25">
      <c r="D32">
        <v>11</v>
      </c>
      <c r="E32" s="34">
        <v>200000</v>
      </c>
      <c r="G32" s="37">
        <f>FV($D$15,12,,-E32)</f>
        <v>1070050.0210947411</v>
      </c>
    </row>
    <row r="33" spans="4:11" x14ac:dyDescent="0.25">
      <c r="D33">
        <v>12</v>
      </c>
      <c r="E33" s="34">
        <v>200000</v>
      </c>
      <c r="G33" s="37">
        <f>FV($D$15,11,,-E33)</f>
        <v>930478.27921281848</v>
      </c>
    </row>
    <row r="34" spans="4:11" x14ac:dyDescent="0.25">
      <c r="D34">
        <v>13</v>
      </c>
      <c r="E34" s="34">
        <v>200000</v>
      </c>
      <c r="G34" s="37">
        <f>FV($D$15,10,,-E34)</f>
        <v>809111.54714158131</v>
      </c>
    </row>
    <row r="35" spans="4:11" x14ac:dyDescent="0.25">
      <c r="D35">
        <v>14</v>
      </c>
      <c r="E35" s="34">
        <v>200000</v>
      </c>
      <c r="G35" s="37">
        <f>FV($D$15,9,,-E35)</f>
        <v>703575.25838398386</v>
      </c>
    </row>
    <row r="36" spans="4:11" x14ac:dyDescent="0.25">
      <c r="D36">
        <v>15</v>
      </c>
      <c r="E36" s="34">
        <v>200000</v>
      </c>
      <c r="G36" s="37">
        <f>FV($D$15,8,,-E36)</f>
        <v>611804.57250781206</v>
      </c>
    </row>
    <row r="37" spans="4:11" x14ac:dyDescent="0.25">
      <c r="D37">
        <v>16</v>
      </c>
      <c r="E37" s="34">
        <v>200000</v>
      </c>
      <c r="F37" s="18"/>
      <c r="G37" s="37">
        <f>FV($D$15,7,,-E37)</f>
        <v>532003.97609374963</v>
      </c>
    </row>
    <row r="38" spans="4:11" x14ac:dyDescent="0.25">
      <c r="D38">
        <v>17</v>
      </c>
      <c r="E38" s="34">
        <v>200000</v>
      </c>
      <c r="G38" s="37">
        <f>FV($D$15,6,,-E38)</f>
        <v>462612.15312499984</v>
      </c>
    </row>
    <row r="39" spans="4:11" x14ac:dyDescent="0.25">
      <c r="D39">
        <v>18</v>
      </c>
      <c r="E39" s="34">
        <v>200000</v>
      </c>
      <c r="G39" s="37">
        <f>FV($D$15,5,,-E39)</f>
        <v>402271.43749999988</v>
      </c>
    </row>
    <row r="40" spans="4:11" x14ac:dyDescent="0.25">
      <c r="D40">
        <v>19</v>
      </c>
      <c r="G40" s="45">
        <f>SUM(G22:G39)</f>
        <v>32671275.063546304</v>
      </c>
      <c r="H40" t="s">
        <v>95</v>
      </c>
      <c r="J40" s="37"/>
    </row>
    <row r="41" spans="4:11" x14ac:dyDescent="0.25">
      <c r="D41">
        <v>20</v>
      </c>
      <c r="F41" s="34">
        <v>2000000</v>
      </c>
      <c r="G41" s="18"/>
      <c r="J41" s="18"/>
      <c r="K41" s="18"/>
    </row>
    <row r="42" spans="4:11" x14ac:dyDescent="0.25">
      <c r="D42">
        <v>21</v>
      </c>
      <c r="E42" s="18"/>
      <c r="F42" s="34">
        <v>2000000</v>
      </c>
      <c r="H42" s="18" t="s">
        <v>99</v>
      </c>
      <c r="K42" s="18"/>
    </row>
    <row r="43" spans="4:11" x14ac:dyDescent="0.25">
      <c r="D43">
        <v>22</v>
      </c>
      <c r="F43" s="34">
        <v>2000000</v>
      </c>
      <c r="H43" s="37">
        <f>FV($D$15,3,,-F41)</f>
        <v>3041749.9999999991</v>
      </c>
    </row>
    <row r="44" spans="4:11" x14ac:dyDescent="0.25">
      <c r="D44">
        <v>23</v>
      </c>
      <c r="F44" s="34">
        <v>24684525.059999999</v>
      </c>
      <c r="H44" s="18">
        <f>FV($D$15,2,,-F42)</f>
        <v>2644999.9999999995</v>
      </c>
    </row>
    <row r="45" spans="4:11" x14ac:dyDescent="0.25">
      <c r="D45" s="18"/>
      <c r="E45" s="18"/>
      <c r="F45" s="18"/>
      <c r="H45" s="18">
        <f>FV($D$15,1,,-F43)</f>
        <v>2300000</v>
      </c>
    </row>
    <row r="46" spans="4:11" x14ac:dyDescent="0.25">
      <c r="H46" s="46">
        <f>SUM(H43:H45)</f>
        <v>7986749.9999999981</v>
      </c>
      <c r="I46" t="s">
        <v>97</v>
      </c>
    </row>
    <row r="47" spans="4:11" x14ac:dyDescent="0.25">
      <c r="I47" t="s">
        <v>100</v>
      </c>
    </row>
    <row r="48" spans="4:11" x14ac:dyDescent="0.25">
      <c r="D48" s="18"/>
      <c r="E48" s="18"/>
      <c r="H48" s="18"/>
      <c r="I48" s="43">
        <f>G40-H46</f>
        <v>24684525.063546307</v>
      </c>
      <c r="J48" s="44" t="s">
        <v>98</v>
      </c>
    </row>
    <row r="49" spans="4:8" x14ac:dyDescent="0.25">
      <c r="H49" s="18"/>
    </row>
    <row r="50" spans="4:8" x14ac:dyDescent="0.25">
      <c r="D50" s="18"/>
    </row>
    <row r="51" spans="4:8" x14ac:dyDescent="0.25">
      <c r="H51" s="18"/>
    </row>
    <row r="52" spans="4:8" x14ac:dyDescent="0.25">
      <c r="H52" s="18"/>
    </row>
    <row r="53" spans="4:8" x14ac:dyDescent="0.25">
      <c r="H53" s="1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workbookViewId="0">
      <selection activeCell="F13" sqref="F13"/>
    </sheetView>
  </sheetViews>
  <sheetFormatPr baseColWidth="10" defaultRowHeight="15" x14ac:dyDescent="0.25"/>
  <cols>
    <col min="3" max="3" width="17.140625" bestFit="1" customWidth="1"/>
    <col min="4" max="4" width="18.5703125" bestFit="1" customWidth="1"/>
    <col min="5" max="5" width="12.28515625" bestFit="1" customWidth="1"/>
    <col min="6" max="6" width="16.7109375" bestFit="1" customWidth="1"/>
    <col min="7" max="7" width="17.85546875" bestFit="1" customWidth="1"/>
  </cols>
  <sheetData>
    <row r="1" spans="1:14" x14ac:dyDescent="0.25">
      <c r="A1" s="1"/>
      <c r="B1" s="1"/>
      <c r="C1" s="1"/>
      <c r="D1" s="1"/>
      <c r="E1" s="1"/>
      <c r="F1" s="1"/>
      <c r="G1" s="1"/>
      <c r="H1" s="1"/>
      <c r="I1" s="1"/>
    </row>
    <row r="2" spans="1:14" x14ac:dyDescent="0.25">
      <c r="A2" s="1"/>
      <c r="B2" s="1"/>
      <c r="C2" s="1"/>
      <c r="D2" s="1"/>
      <c r="E2" s="1"/>
      <c r="F2" s="1"/>
      <c r="G2" s="1"/>
      <c r="H2" s="1"/>
      <c r="I2" s="1"/>
    </row>
    <row r="3" spans="1:14" x14ac:dyDescent="0.25">
      <c r="A3" s="1"/>
      <c r="B3" s="1"/>
      <c r="C3" s="1"/>
      <c r="D3" s="1"/>
      <c r="E3" s="1"/>
      <c r="F3" s="1"/>
      <c r="G3" s="1"/>
      <c r="H3" s="1"/>
      <c r="I3" s="1"/>
    </row>
    <row r="4" spans="1:14" x14ac:dyDescent="0.25">
      <c r="A4" s="1"/>
      <c r="B4" s="1"/>
      <c r="C4" s="1"/>
      <c r="D4" s="1"/>
      <c r="E4" s="1"/>
      <c r="F4" s="1"/>
      <c r="G4" s="1"/>
      <c r="H4" s="1"/>
      <c r="I4" s="1"/>
    </row>
    <row r="5" spans="1:14" x14ac:dyDescent="0.25">
      <c r="A5" s="1"/>
      <c r="B5" s="1"/>
      <c r="C5" s="1"/>
      <c r="D5" s="1"/>
      <c r="E5" s="1"/>
      <c r="F5" s="1"/>
      <c r="G5" s="1"/>
      <c r="H5" s="1"/>
      <c r="I5" s="1"/>
      <c r="K5" s="17"/>
      <c r="L5" s="17"/>
      <c r="M5" s="17"/>
      <c r="N5" s="17"/>
    </row>
    <row r="6" spans="1:14" x14ac:dyDescent="0.25">
      <c r="A6" s="1"/>
      <c r="B6" s="1"/>
      <c r="C6" s="1"/>
      <c r="D6" s="1"/>
      <c r="E6" s="1"/>
      <c r="F6" s="1"/>
      <c r="G6" s="1"/>
      <c r="H6" s="1"/>
      <c r="I6" s="1"/>
      <c r="K6" s="17"/>
      <c r="L6" s="17"/>
      <c r="M6" s="17"/>
      <c r="N6" s="17"/>
    </row>
    <row r="7" spans="1:14" x14ac:dyDescent="0.25">
      <c r="A7" s="1"/>
      <c r="B7" s="1"/>
      <c r="C7" s="1"/>
      <c r="D7" s="1"/>
      <c r="E7" s="1"/>
      <c r="F7" s="1"/>
      <c r="G7" s="1"/>
      <c r="H7" s="1"/>
      <c r="I7" s="1"/>
      <c r="K7" s="17"/>
      <c r="L7" s="17"/>
      <c r="M7" s="17"/>
      <c r="N7" s="17"/>
    </row>
    <row r="8" spans="1:14" x14ac:dyDescent="0.25">
      <c r="A8" s="1"/>
      <c r="B8" s="19" t="s">
        <v>44</v>
      </c>
      <c r="C8" s="19"/>
      <c r="D8" s="1"/>
      <c r="E8" s="1"/>
      <c r="F8" s="1"/>
      <c r="G8" s="1"/>
      <c r="H8" s="1"/>
      <c r="I8" s="1"/>
      <c r="K8" s="17"/>
      <c r="L8" s="17"/>
      <c r="M8" s="17"/>
      <c r="N8" s="17"/>
    </row>
    <row r="9" spans="1:14" ht="30" x14ac:dyDescent="0.25">
      <c r="A9" s="1"/>
      <c r="B9" s="19" t="s">
        <v>45</v>
      </c>
      <c r="C9" s="20">
        <v>130000000</v>
      </c>
      <c r="D9" s="1"/>
      <c r="E9" s="1" t="s">
        <v>102</v>
      </c>
      <c r="F9" s="1"/>
      <c r="G9" s="1"/>
      <c r="H9" s="1"/>
      <c r="I9" s="1"/>
      <c r="K9" s="17"/>
      <c r="L9" s="17"/>
      <c r="M9" s="17"/>
      <c r="N9" s="17"/>
    </row>
    <row r="10" spans="1:14" x14ac:dyDescent="0.25">
      <c r="A10" s="1"/>
      <c r="B10" s="19" t="s">
        <v>46</v>
      </c>
      <c r="C10" s="21">
        <f>E11</f>
        <v>0.1398840972539972</v>
      </c>
      <c r="D10" s="1"/>
      <c r="E10" s="1">
        <f>15%</f>
        <v>0.15</v>
      </c>
      <c r="F10" s="1" t="s">
        <v>59</v>
      </c>
      <c r="G10" s="1">
        <f>4*20</f>
        <v>80</v>
      </c>
      <c r="H10" s="1"/>
      <c r="I10" s="1"/>
      <c r="K10" s="17"/>
      <c r="L10" s="17"/>
      <c r="M10" s="17"/>
      <c r="N10" s="17"/>
    </row>
    <row r="11" spans="1:14" x14ac:dyDescent="0.25">
      <c r="A11" s="1"/>
      <c r="B11" s="19" t="s">
        <v>47</v>
      </c>
      <c r="C11" s="22">
        <v>80</v>
      </c>
      <c r="D11" s="1"/>
      <c r="E11" s="36">
        <f>NOMINAL(E10,G10)</f>
        <v>0.1398840972539972</v>
      </c>
      <c r="F11" s="1"/>
      <c r="G11" s="1"/>
      <c r="H11" s="1"/>
      <c r="I11" s="1"/>
      <c r="K11" s="17"/>
      <c r="L11" s="17"/>
      <c r="M11" s="17"/>
      <c r="N11" s="17"/>
    </row>
    <row r="12" spans="1:14" ht="15.75" x14ac:dyDescent="0.25">
      <c r="A12" s="1"/>
      <c r="B12" s="23" t="s">
        <v>48</v>
      </c>
      <c r="C12" s="31">
        <f t="shared" ref="C12" si="0">PMT($C$10,$C$11,-$C$9)</f>
        <v>18185446.530914359</v>
      </c>
      <c r="D12" s="1"/>
      <c r="E12" s="1"/>
      <c r="F12" s="1"/>
      <c r="G12" s="1"/>
      <c r="H12" s="1"/>
      <c r="I12" s="1"/>
    </row>
    <row r="13" spans="1:14" x14ac:dyDescent="0.25">
      <c r="A13" s="1"/>
      <c r="B13" s="24"/>
      <c r="C13" s="25"/>
      <c r="D13" s="1"/>
      <c r="E13" s="1"/>
      <c r="F13" s="1"/>
      <c r="G13" s="1"/>
      <c r="H13" s="1"/>
      <c r="I13" s="1"/>
    </row>
    <row r="14" spans="1:14" x14ac:dyDescent="0.25">
      <c r="A14" s="1"/>
      <c r="B14" s="24"/>
      <c r="C14" s="25"/>
      <c r="D14" s="1"/>
      <c r="E14" s="1"/>
      <c r="F14" s="1"/>
      <c r="G14" s="1"/>
      <c r="H14" s="1"/>
      <c r="I14" s="1"/>
    </row>
    <row r="15" spans="1:14" x14ac:dyDescent="0.25">
      <c r="A15" s="1"/>
      <c r="B15" s="1"/>
      <c r="C15" s="1"/>
      <c r="D15" s="1"/>
      <c r="E15" s="26"/>
      <c r="F15" s="1"/>
      <c r="G15" s="1"/>
      <c r="H15" s="1"/>
      <c r="I15" s="1"/>
    </row>
    <row r="16" spans="1:14" ht="31.5" x14ac:dyDescent="0.25">
      <c r="A16" s="1"/>
      <c r="B16" s="27" t="s">
        <v>49</v>
      </c>
      <c r="C16" s="28" t="s">
        <v>50</v>
      </c>
      <c r="D16" s="28" t="s">
        <v>48</v>
      </c>
      <c r="E16" s="27" t="s">
        <v>51</v>
      </c>
      <c r="F16" s="27" t="s">
        <v>52</v>
      </c>
      <c r="G16" s="27" t="s">
        <v>53</v>
      </c>
      <c r="H16" s="1"/>
      <c r="I16" s="1"/>
    </row>
    <row r="17" spans="1:9" ht="15.75" x14ac:dyDescent="0.25">
      <c r="A17" s="1"/>
      <c r="B17" s="29">
        <v>1</v>
      </c>
      <c r="C17" s="30">
        <v>130000000</v>
      </c>
      <c r="D17" s="31">
        <f>PMT($C$10,$C$11,-$C$9)</f>
        <v>18185446.530914359</v>
      </c>
      <c r="E17" s="30">
        <f>IPMT($C$10,B17,$C$11,-$C$9)</f>
        <v>18184932.643019635</v>
      </c>
      <c r="F17" s="31">
        <f>PPMT($C$10,B17,$C$11,-$C$9)</f>
        <v>513.88789472536735</v>
      </c>
      <c r="G17" s="31">
        <f>C17-F17</f>
        <v>129999486.11210528</v>
      </c>
      <c r="H17" s="1"/>
      <c r="I17" s="1"/>
    </row>
    <row r="18" spans="1:9" ht="15.75" x14ac:dyDescent="0.25">
      <c r="A18" s="1"/>
      <c r="B18" s="32">
        <v>2</v>
      </c>
      <c r="C18" s="33">
        <f>G17</f>
        <v>129999486.11210528</v>
      </c>
      <c r="D18" s="31">
        <f t="shared" ref="D18:D81" si="1">PMT($C$10,$C$11,-$C$9)</f>
        <v>18185446.530914359</v>
      </c>
      <c r="E18" s="30">
        <f t="shared" ref="E18:E81" si="2">IPMT($C$10,B18,$C$11,-$C$9)</f>
        <v>18184860.75827539</v>
      </c>
      <c r="F18" s="31">
        <f t="shared" ref="F18:F81" si="3">PPMT($C$10,B18,$C$11,-$C$9)</f>
        <v>585.77263896878253</v>
      </c>
      <c r="G18" s="31">
        <f t="shared" ref="G18:G81" si="4">C18-F18</f>
        <v>129998900.33946632</v>
      </c>
      <c r="H18" s="1"/>
      <c r="I18" s="1"/>
    </row>
    <row r="19" spans="1:9" ht="15.75" x14ac:dyDescent="0.25">
      <c r="A19" s="1"/>
      <c r="B19" s="29">
        <v>3</v>
      </c>
      <c r="C19" s="33">
        <f t="shared" ref="C19:C82" si="5">G18</f>
        <v>129998900.33946632</v>
      </c>
      <c r="D19" s="31">
        <f t="shared" si="1"/>
        <v>18185446.530914359</v>
      </c>
      <c r="E19" s="30">
        <f t="shared" si="2"/>
        <v>18184778.817998592</v>
      </c>
      <c r="F19" s="31">
        <f t="shared" si="3"/>
        <v>667.7129157670222</v>
      </c>
      <c r="G19" s="31">
        <f t="shared" si="4"/>
        <v>129998232.62655056</v>
      </c>
      <c r="H19" s="1"/>
      <c r="I19" s="1"/>
    </row>
    <row r="20" spans="1:9" ht="15.75" x14ac:dyDescent="0.25">
      <c r="A20" s="1"/>
      <c r="B20" s="32">
        <v>4</v>
      </c>
      <c r="C20" s="33">
        <f t="shared" si="5"/>
        <v>129998232.62655056</v>
      </c>
      <c r="D20" s="31">
        <f t="shared" si="1"/>
        <v>18185446.530914359</v>
      </c>
      <c r="E20" s="30">
        <f t="shared" si="2"/>
        <v>18184685.415580146</v>
      </c>
      <c r="F20" s="31">
        <f t="shared" si="3"/>
        <v>761.11533421392653</v>
      </c>
      <c r="G20" s="31">
        <f t="shared" si="4"/>
        <v>129997471.51121634</v>
      </c>
      <c r="H20" s="1"/>
      <c r="I20" s="1"/>
    </row>
    <row r="21" spans="1:9" ht="15.75" x14ac:dyDescent="0.25">
      <c r="A21" s="1"/>
      <c r="B21" s="29">
        <v>5</v>
      </c>
      <c r="C21" s="33">
        <f t="shared" si="5"/>
        <v>129997471.51121634</v>
      </c>
      <c r="D21" s="31">
        <f t="shared" si="1"/>
        <v>18185446.530914359</v>
      </c>
      <c r="E21" s="30">
        <f t="shared" si="2"/>
        <v>18184578.947648715</v>
      </c>
      <c r="F21" s="31">
        <f t="shared" si="3"/>
        <v>867.58326564661593</v>
      </c>
      <c r="G21" s="31">
        <f t="shared" si="4"/>
        <v>129996603.9279507</v>
      </c>
      <c r="H21" s="1"/>
      <c r="I21" s="1"/>
    </row>
    <row r="22" spans="1:9" ht="15.75" x14ac:dyDescent="0.25">
      <c r="A22" s="1"/>
      <c r="B22" s="32">
        <v>6</v>
      </c>
      <c r="C22" s="33">
        <f t="shared" si="5"/>
        <v>129996603.9279507</v>
      </c>
      <c r="D22" s="31">
        <f t="shared" si="1"/>
        <v>18185446.530914359</v>
      </c>
      <c r="E22" s="30">
        <f t="shared" si="2"/>
        <v>18184457.586546805</v>
      </c>
      <c r="F22" s="31">
        <f t="shared" si="3"/>
        <v>988.94436755426773</v>
      </c>
      <c r="G22" s="31">
        <f t="shared" si="4"/>
        <v>129995614.98358314</v>
      </c>
      <c r="H22" s="1"/>
      <c r="I22" s="1"/>
    </row>
    <row r="23" spans="1:9" ht="15.75" x14ac:dyDescent="0.25">
      <c r="A23" s="1"/>
      <c r="B23" s="29">
        <v>7</v>
      </c>
      <c r="C23" s="33">
        <f t="shared" si="5"/>
        <v>129995614.98358314</v>
      </c>
      <c r="D23" s="31">
        <f t="shared" si="1"/>
        <v>18185446.530914359</v>
      </c>
      <c r="E23" s="30">
        <f t="shared" si="2"/>
        <v>18184319.248956714</v>
      </c>
      <c r="F23" s="31">
        <f t="shared" si="3"/>
        <v>1127.2819576440218</v>
      </c>
      <c r="G23" s="31">
        <f t="shared" si="4"/>
        <v>129994487.7016255</v>
      </c>
      <c r="H23" s="1"/>
      <c r="I23" s="1"/>
    </row>
    <row r="24" spans="1:9" ht="15.75" x14ac:dyDescent="0.25">
      <c r="A24" s="1"/>
      <c r="B24" s="32">
        <v>8</v>
      </c>
      <c r="C24" s="33">
        <f t="shared" si="5"/>
        <v>129994487.7016255</v>
      </c>
      <c r="D24" s="31">
        <f t="shared" si="1"/>
        <v>18185446.530914359</v>
      </c>
      <c r="E24" s="30">
        <f t="shared" si="2"/>
        <v>18184161.560137723</v>
      </c>
      <c r="F24" s="31">
        <f t="shared" si="3"/>
        <v>1284.9707766397744</v>
      </c>
      <c r="G24" s="31">
        <f t="shared" si="4"/>
        <v>129993202.73084886</v>
      </c>
      <c r="H24" s="1"/>
      <c r="I24" s="1"/>
    </row>
    <row r="25" spans="1:9" ht="15.75" x14ac:dyDescent="0.25">
      <c r="B25" s="29">
        <v>9</v>
      </c>
      <c r="C25" s="33">
        <f t="shared" si="5"/>
        <v>129993202.73084886</v>
      </c>
      <c r="D25" s="31">
        <f t="shared" si="1"/>
        <v>18185446.530914359</v>
      </c>
      <c r="E25" s="30">
        <f t="shared" si="2"/>
        <v>18183981.813160632</v>
      </c>
      <c r="F25" s="31">
        <f t="shared" si="3"/>
        <v>1464.7177537277971</v>
      </c>
      <c r="G25" s="31">
        <f t="shared" si="4"/>
        <v>129991738.01309514</v>
      </c>
    </row>
    <row r="26" spans="1:9" ht="15.75" x14ac:dyDescent="0.25">
      <c r="B26" s="32">
        <v>10</v>
      </c>
      <c r="C26" s="33">
        <f t="shared" si="5"/>
        <v>129991738.01309514</v>
      </c>
      <c r="D26" s="31">
        <f t="shared" si="1"/>
        <v>18185446.530914359</v>
      </c>
      <c r="E26" s="30">
        <f t="shared" si="2"/>
        <v>18183776.922439922</v>
      </c>
      <c r="F26" s="31">
        <f t="shared" si="3"/>
        <v>1669.6084744399125</v>
      </c>
      <c r="G26" s="31">
        <f t="shared" si="4"/>
        <v>129990068.40462071</v>
      </c>
    </row>
    <row r="27" spans="1:9" ht="15.75" x14ac:dyDescent="0.25">
      <c r="B27" s="29">
        <v>11</v>
      </c>
      <c r="C27" s="33">
        <f t="shared" si="5"/>
        <v>129990068.40462071</v>
      </c>
      <c r="D27" s="31">
        <f t="shared" si="1"/>
        <v>18185446.530914359</v>
      </c>
      <c r="E27" s="30">
        <f t="shared" si="2"/>
        <v>18183543.370765708</v>
      </c>
      <c r="F27" s="31">
        <f t="shared" si="3"/>
        <v>1903.160148654563</v>
      </c>
      <c r="G27" s="31">
        <f t="shared" si="4"/>
        <v>129988165.24447206</v>
      </c>
    </row>
    <row r="28" spans="1:9" ht="15.75" x14ac:dyDescent="0.25">
      <c r="B28" s="32">
        <v>12</v>
      </c>
      <c r="C28" s="33">
        <f t="shared" si="5"/>
        <v>129988165.24447206</v>
      </c>
      <c r="D28" s="31">
        <f t="shared" si="1"/>
        <v>18185446.530914359</v>
      </c>
      <c r="E28" s="30">
        <f t="shared" si="2"/>
        <v>18183277.148926385</v>
      </c>
      <c r="F28" s="31">
        <f t="shared" si="3"/>
        <v>2169.3819879788898</v>
      </c>
      <c r="G28" s="31">
        <f t="shared" si="4"/>
        <v>129985995.86248408</v>
      </c>
    </row>
    <row r="29" spans="1:9" ht="15.75" x14ac:dyDescent="0.25">
      <c r="B29" s="29">
        <v>13</v>
      </c>
      <c r="C29" s="33">
        <f t="shared" si="5"/>
        <v>129985995.86248408</v>
      </c>
      <c r="D29" s="31">
        <f t="shared" si="1"/>
        <v>18185446.530914359</v>
      </c>
      <c r="E29" s="30">
        <f t="shared" si="2"/>
        <v>18182973.686885394</v>
      </c>
      <c r="F29" s="31">
        <f t="shared" si="3"/>
        <v>2472.8440289663986</v>
      </c>
      <c r="G29" s="31">
        <f t="shared" si="4"/>
        <v>129983523.01845512</v>
      </c>
    </row>
    <row r="30" spans="1:9" ht="15.75" x14ac:dyDescent="0.25">
      <c r="B30" s="32">
        <v>14</v>
      </c>
      <c r="C30" s="33">
        <f t="shared" si="5"/>
        <v>129983523.01845512</v>
      </c>
      <c r="D30" s="31">
        <f t="shared" si="1"/>
        <v>18185446.530914359</v>
      </c>
      <c r="E30" s="30">
        <f t="shared" si="2"/>
        <v>18182627.775330752</v>
      </c>
      <c r="F30" s="31">
        <f t="shared" si="3"/>
        <v>2818.7555836083006</v>
      </c>
      <c r="G30" s="31">
        <f t="shared" si="4"/>
        <v>129980704.2628715</v>
      </c>
    </row>
    <row r="31" spans="1:9" ht="15.75" x14ac:dyDescent="0.25">
      <c r="B31" s="29">
        <v>15</v>
      </c>
      <c r="C31" s="33">
        <f t="shared" si="5"/>
        <v>129980704.2628715</v>
      </c>
      <c r="D31" s="31">
        <f t="shared" si="1"/>
        <v>18185446.530914359</v>
      </c>
      <c r="E31" s="30">
        <f t="shared" si="2"/>
        <v>18182233.476250559</v>
      </c>
      <c r="F31" s="31">
        <f t="shared" si="3"/>
        <v>3213.0546638010123</v>
      </c>
      <c r="G31" s="31">
        <f t="shared" si="4"/>
        <v>129977491.2082077</v>
      </c>
    </row>
    <row r="32" spans="1:9" ht="15.75" x14ac:dyDescent="0.25">
      <c r="B32" s="32">
        <v>16</v>
      </c>
      <c r="C32" s="33">
        <f t="shared" si="5"/>
        <v>129977491.2082077</v>
      </c>
      <c r="D32" s="31">
        <f t="shared" si="1"/>
        <v>18185446.530914359</v>
      </c>
      <c r="E32" s="30">
        <f t="shared" si="2"/>
        <v>18181784.020999484</v>
      </c>
      <c r="F32" s="31">
        <f t="shared" si="3"/>
        <v>3662.5099148745621</v>
      </c>
      <c r="G32" s="31">
        <f t="shared" si="4"/>
        <v>129973828.69829282</v>
      </c>
    </row>
    <row r="33" spans="2:7" ht="15.75" x14ac:dyDescent="0.25">
      <c r="B33" s="29">
        <v>17</v>
      </c>
      <c r="C33" s="33">
        <f t="shared" si="5"/>
        <v>129973828.69829282</v>
      </c>
      <c r="D33" s="31">
        <f t="shared" si="1"/>
        <v>18185446.530914359</v>
      </c>
      <c r="E33" s="30">
        <f t="shared" si="2"/>
        <v>18181271.694106359</v>
      </c>
      <c r="F33" s="31">
        <f t="shared" si="3"/>
        <v>4174.8368080006048</v>
      </c>
      <c r="G33" s="31">
        <f t="shared" si="4"/>
        <v>129969653.86148483</v>
      </c>
    </row>
    <row r="34" spans="2:7" ht="15.75" x14ac:dyDescent="0.25">
      <c r="B34" s="32">
        <v>18</v>
      </c>
      <c r="C34" s="33">
        <f t="shared" si="5"/>
        <v>129969653.86148483</v>
      </c>
      <c r="D34" s="31">
        <f t="shared" si="1"/>
        <v>18185446.530914359</v>
      </c>
      <c r="E34" s="30">
        <f t="shared" si="2"/>
        <v>18180687.700828288</v>
      </c>
      <c r="F34" s="31">
        <f t="shared" si="3"/>
        <v>4758.8300860705285</v>
      </c>
      <c r="G34" s="31">
        <f t="shared" si="4"/>
        <v>129964895.03139876</v>
      </c>
    </row>
    <row r="35" spans="2:7" ht="15.75" x14ac:dyDescent="0.25">
      <c r="B35" s="29">
        <v>19</v>
      </c>
      <c r="C35" s="33">
        <f t="shared" si="5"/>
        <v>129964895.03139876</v>
      </c>
      <c r="D35" s="31">
        <f t="shared" si="1"/>
        <v>18185446.530914359</v>
      </c>
      <c r="E35" s="30">
        <f t="shared" si="2"/>
        <v>18180022.016177714</v>
      </c>
      <c r="F35" s="31">
        <f t="shared" si="3"/>
        <v>5424.5147366456667</v>
      </c>
      <c r="G35" s="31">
        <f t="shared" si="4"/>
        <v>129959470.51666211</v>
      </c>
    </row>
    <row r="36" spans="2:7" ht="15.75" x14ac:dyDescent="0.25">
      <c r="B36" s="32">
        <v>20</v>
      </c>
      <c r="C36" s="33">
        <f t="shared" si="5"/>
        <v>129959470.51666211</v>
      </c>
      <c r="D36" s="31">
        <f t="shared" si="1"/>
        <v>18185446.530914359</v>
      </c>
      <c r="E36" s="30">
        <f t="shared" si="2"/>
        <v>18179263.212830737</v>
      </c>
      <c r="F36" s="31">
        <f t="shared" si="3"/>
        <v>6183.3180836223501</v>
      </c>
      <c r="G36" s="31">
        <f t="shared" si="4"/>
        <v>129953287.19857848</v>
      </c>
    </row>
    <row r="37" spans="2:7" ht="15.75" x14ac:dyDescent="0.25">
      <c r="B37" s="29">
        <v>21</v>
      </c>
      <c r="C37" s="33">
        <f t="shared" si="5"/>
        <v>129953287.19857848</v>
      </c>
      <c r="D37" s="31">
        <f t="shared" si="1"/>
        <v>18185446.530914359</v>
      </c>
      <c r="E37" s="30">
        <f t="shared" si="2"/>
        <v>18178398.264962576</v>
      </c>
      <c r="F37" s="31">
        <f t="shared" si="3"/>
        <v>7048.2659517841794</v>
      </c>
      <c r="G37" s="31">
        <f t="shared" si="4"/>
        <v>129946238.93262669</v>
      </c>
    </row>
    <row r="38" spans="2:7" ht="15.75" x14ac:dyDescent="0.25">
      <c r="B38" s="32">
        <v>22</v>
      </c>
      <c r="C38" s="33">
        <f t="shared" si="5"/>
        <v>129946238.93262669</v>
      </c>
      <c r="D38" s="31">
        <f t="shared" si="1"/>
        <v>18185446.530914359</v>
      </c>
      <c r="E38" s="30">
        <f t="shared" si="2"/>
        <v>18177412.324642703</v>
      </c>
      <c r="F38" s="31">
        <f t="shared" si="3"/>
        <v>8034.2062716555947</v>
      </c>
      <c r="G38" s="31">
        <f t="shared" si="4"/>
        <v>129938204.72635505</v>
      </c>
    </row>
    <row r="39" spans="2:7" ht="15.75" x14ac:dyDescent="0.25">
      <c r="B39" s="29">
        <v>23</v>
      </c>
      <c r="C39" s="33">
        <f t="shared" si="5"/>
        <v>129938204.72635505</v>
      </c>
      <c r="D39" s="31">
        <f t="shared" si="1"/>
        <v>18185446.530914359</v>
      </c>
      <c r="E39" s="30">
        <f t="shared" si="2"/>
        <v>18176288.46695124</v>
      </c>
      <c r="F39" s="31">
        <f t="shared" si="3"/>
        <v>9158.0639631185386</v>
      </c>
      <c r="G39" s="31">
        <f t="shared" si="4"/>
        <v>129929046.66239193</v>
      </c>
    </row>
    <row r="40" spans="2:7" ht="15.75" x14ac:dyDescent="0.25">
      <c r="B40" s="32">
        <v>24</v>
      </c>
      <c r="C40" s="33">
        <f t="shared" si="5"/>
        <v>129929046.66239193</v>
      </c>
      <c r="D40" s="31">
        <f t="shared" si="1"/>
        <v>18185446.530914359</v>
      </c>
      <c r="E40" s="30">
        <f t="shared" si="2"/>
        <v>18175007.399441168</v>
      </c>
      <c r="F40" s="31">
        <f t="shared" si="3"/>
        <v>10439.131473193742</v>
      </c>
      <c r="G40" s="31">
        <f t="shared" si="4"/>
        <v>129918607.53091873</v>
      </c>
    </row>
    <row r="41" spans="2:7" ht="15.75" x14ac:dyDescent="0.25">
      <c r="B41" s="29">
        <v>25</v>
      </c>
      <c r="C41" s="33">
        <f t="shared" si="5"/>
        <v>129918607.53091873</v>
      </c>
      <c r="D41" s="31">
        <f t="shared" si="1"/>
        <v>18185446.530914359</v>
      </c>
      <c r="E41" s="30">
        <f t="shared" si="2"/>
        <v>18173547.130958922</v>
      </c>
      <c r="F41" s="31">
        <f t="shared" si="3"/>
        <v>11899.399955437237</v>
      </c>
      <c r="G41" s="31">
        <f t="shared" si="4"/>
        <v>129906708.1309633</v>
      </c>
    </row>
    <row r="42" spans="2:7" ht="15.75" x14ac:dyDescent="0.25">
      <c r="B42" s="32">
        <v>26</v>
      </c>
      <c r="C42" s="33">
        <f t="shared" si="5"/>
        <v>129906708.1309633</v>
      </c>
      <c r="D42" s="31">
        <f t="shared" si="1"/>
        <v>18185446.530914359</v>
      </c>
      <c r="E42" s="30">
        <f t="shared" si="2"/>
        <v>18171882.594138291</v>
      </c>
      <c r="F42" s="31">
        <f t="shared" si="3"/>
        <v>13563.936776067831</v>
      </c>
      <c r="G42" s="31">
        <f t="shared" si="4"/>
        <v>129893144.19418722</v>
      </c>
    </row>
    <row r="43" spans="2:7" ht="15.75" x14ac:dyDescent="0.25">
      <c r="B43" s="29">
        <v>27</v>
      </c>
      <c r="C43" s="33">
        <f t="shared" si="5"/>
        <v>129893144.19418722</v>
      </c>
      <c r="D43" s="31">
        <f t="shared" si="1"/>
        <v>18185446.530914359</v>
      </c>
      <c r="E43" s="30">
        <f t="shared" si="2"/>
        <v>18169985.215087164</v>
      </c>
      <c r="F43" s="31">
        <f t="shared" si="3"/>
        <v>15461.315827198372</v>
      </c>
      <c r="G43" s="31">
        <f t="shared" si="4"/>
        <v>129877682.87836002</v>
      </c>
    </row>
    <row r="44" spans="2:7" ht="15.75" x14ac:dyDescent="0.25">
      <c r="B44" s="32">
        <v>28</v>
      </c>
      <c r="C44" s="33">
        <f t="shared" si="5"/>
        <v>129877682.87836002</v>
      </c>
      <c r="D44" s="31">
        <f t="shared" si="1"/>
        <v>18185446.530914359</v>
      </c>
      <c r="E44" s="30">
        <f t="shared" si="2"/>
        <v>18167822.422880314</v>
      </c>
      <c r="F44" s="31">
        <f t="shared" si="3"/>
        <v>17624.108034044955</v>
      </c>
      <c r="G44" s="31">
        <f t="shared" si="4"/>
        <v>129860058.77032597</v>
      </c>
    </row>
    <row r="45" spans="2:7" ht="15.75" x14ac:dyDescent="0.25">
      <c r="B45" s="29">
        <v>29</v>
      </c>
      <c r="C45" s="33">
        <f t="shared" si="5"/>
        <v>129860058.77032597</v>
      </c>
      <c r="D45" s="31">
        <f t="shared" si="1"/>
        <v>18185446.530914359</v>
      </c>
      <c r="E45" s="30">
        <f t="shared" si="2"/>
        <v>18165357.090438064</v>
      </c>
      <c r="F45" s="31">
        <f t="shared" si="3"/>
        <v>20089.440476294258</v>
      </c>
      <c r="G45" s="31">
        <f t="shared" si="4"/>
        <v>129839969.32984968</v>
      </c>
    </row>
    <row r="46" spans="2:7" ht="15.75" x14ac:dyDescent="0.25">
      <c r="B46" s="32">
        <v>30</v>
      </c>
      <c r="C46" s="33">
        <f t="shared" si="5"/>
        <v>129839969.32984968</v>
      </c>
      <c r="D46" s="31">
        <f t="shared" si="1"/>
        <v>18185446.530914359</v>
      </c>
      <c r="E46" s="30">
        <f t="shared" si="2"/>
        <v>18162546.897192702</v>
      </c>
      <c r="F46" s="31">
        <f t="shared" si="3"/>
        <v>22899.633721658585</v>
      </c>
      <c r="G46" s="31">
        <f t="shared" si="4"/>
        <v>129817069.69612801</v>
      </c>
    </row>
    <row r="47" spans="2:7" ht="15.75" x14ac:dyDescent="0.25">
      <c r="B47" s="29">
        <v>31</v>
      </c>
      <c r="C47" s="33">
        <f t="shared" si="5"/>
        <v>129817069.69612801</v>
      </c>
      <c r="D47" s="31">
        <f t="shared" si="1"/>
        <v>18185446.530914359</v>
      </c>
      <c r="E47" s="30">
        <f t="shared" si="2"/>
        <v>18159343.602602102</v>
      </c>
      <c r="F47" s="31">
        <f t="shared" si="3"/>
        <v>26102.928312259992</v>
      </c>
      <c r="G47" s="31">
        <f t="shared" si="4"/>
        <v>129790966.76781575</v>
      </c>
    </row>
    <row r="48" spans="2:7" ht="15.75" x14ac:dyDescent="0.25">
      <c r="B48" s="32">
        <v>32</v>
      </c>
      <c r="C48" s="33">
        <f t="shared" si="5"/>
        <v>129790966.76781575</v>
      </c>
      <c r="D48" s="31">
        <f t="shared" si="1"/>
        <v>18185446.530914359</v>
      </c>
      <c r="E48" s="30">
        <f t="shared" si="2"/>
        <v>18155692.218039457</v>
      </c>
      <c r="F48" s="31">
        <f t="shared" si="3"/>
        <v>29754.312874906285</v>
      </c>
      <c r="G48" s="31">
        <f t="shared" si="4"/>
        <v>129761212.45494084</v>
      </c>
    </row>
    <row r="49" spans="2:7" ht="15.75" x14ac:dyDescent="0.25">
      <c r="B49" s="29">
        <v>33</v>
      </c>
      <c r="C49" s="33">
        <f t="shared" si="5"/>
        <v>129761212.45494084</v>
      </c>
      <c r="D49" s="31">
        <f t="shared" si="1"/>
        <v>18185446.530914359</v>
      </c>
      <c r="E49" s="30">
        <f t="shared" si="2"/>
        <v>18151530.062843535</v>
      </c>
      <c r="F49" s="31">
        <f t="shared" si="3"/>
        <v>33916.46807082554</v>
      </c>
      <c r="G49" s="31">
        <f t="shared" si="4"/>
        <v>129727295.98687002</v>
      </c>
    </row>
    <row r="50" spans="2:7" ht="15.75" x14ac:dyDescent="0.25">
      <c r="B50" s="32">
        <v>34</v>
      </c>
      <c r="C50" s="33">
        <f t="shared" si="5"/>
        <v>129727295.98687002</v>
      </c>
      <c r="D50" s="31">
        <f t="shared" si="1"/>
        <v>18185446.530914359</v>
      </c>
      <c r="E50" s="30">
        <f t="shared" si="2"/>
        <v>18146785.688325405</v>
      </c>
      <c r="F50" s="31">
        <f t="shared" si="3"/>
        <v>38660.842588956963</v>
      </c>
      <c r="G50" s="31">
        <f t="shared" si="4"/>
        <v>129688635.14428106</v>
      </c>
    </row>
    <row r="51" spans="2:7" ht="15.75" x14ac:dyDescent="0.25">
      <c r="B51" s="29">
        <v>35</v>
      </c>
      <c r="C51" s="33">
        <f t="shared" si="5"/>
        <v>129688635.14428106</v>
      </c>
      <c r="D51" s="31">
        <f t="shared" si="1"/>
        <v>18185446.530914359</v>
      </c>
      <c r="E51" s="30">
        <f t="shared" si="2"/>
        <v>18141377.651260767</v>
      </c>
      <c r="F51" s="31">
        <f t="shared" si="3"/>
        <v>44068.879653592085</v>
      </c>
      <c r="G51" s="31">
        <f t="shared" si="4"/>
        <v>129644566.26462747</v>
      </c>
    </row>
    <row r="52" spans="2:7" ht="15.75" x14ac:dyDescent="0.25">
      <c r="B52" s="32">
        <v>36</v>
      </c>
      <c r="C52" s="33">
        <f t="shared" si="5"/>
        <v>129644566.26462747</v>
      </c>
      <c r="D52" s="31">
        <f t="shared" si="1"/>
        <v>18185446.530914359</v>
      </c>
      <c r="E52" s="30">
        <f t="shared" si="2"/>
        <v>18135213.11581343</v>
      </c>
      <c r="F52" s="31">
        <f t="shared" si="3"/>
        <v>50233.415100929866</v>
      </c>
      <c r="G52" s="31">
        <f t="shared" si="4"/>
        <v>129594332.84952654</v>
      </c>
    </row>
    <row r="53" spans="2:7" ht="15.75" x14ac:dyDescent="0.25">
      <c r="B53" s="29">
        <v>37</v>
      </c>
      <c r="C53" s="33">
        <f t="shared" si="5"/>
        <v>129594332.84952654</v>
      </c>
      <c r="D53" s="31">
        <f t="shared" si="1"/>
        <v>18185446.530914359</v>
      </c>
      <c r="E53" s="30">
        <f t="shared" si="2"/>
        <v>18128186.25989005</v>
      </c>
      <c r="F53" s="31">
        <f t="shared" si="3"/>
        <v>57260.271024308749</v>
      </c>
      <c r="G53" s="31">
        <f t="shared" si="4"/>
        <v>129537072.57850224</v>
      </c>
    </row>
    <row r="54" spans="2:7" ht="15.75" x14ac:dyDescent="0.25">
      <c r="B54" s="32">
        <v>38</v>
      </c>
      <c r="C54" s="33">
        <f t="shared" si="5"/>
        <v>129537072.57850224</v>
      </c>
      <c r="D54" s="31">
        <f t="shared" si="1"/>
        <v>18185446.530914359</v>
      </c>
      <c r="E54" s="30">
        <f t="shared" si="2"/>
        <v>18120176.458569296</v>
      </c>
      <c r="F54" s="31">
        <f t="shared" si="3"/>
        <v>65270.072345063396</v>
      </c>
      <c r="G54" s="31">
        <f t="shared" si="4"/>
        <v>129471802.50615717</v>
      </c>
    </row>
    <row r="55" spans="2:7" ht="15.75" x14ac:dyDescent="0.25">
      <c r="B55" s="29">
        <v>39</v>
      </c>
      <c r="C55" s="33">
        <f t="shared" si="5"/>
        <v>129471802.50615717</v>
      </c>
      <c r="D55" s="31">
        <f t="shared" si="1"/>
        <v>18185446.530914359</v>
      </c>
      <c r="E55" s="30">
        <f t="shared" si="2"/>
        <v>18111046.213421606</v>
      </c>
      <c r="F55" s="31">
        <f t="shared" si="3"/>
        <v>74400.317492755668</v>
      </c>
      <c r="G55" s="31">
        <f t="shared" si="4"/>
        <v>129397402.18866442</v>
      </c>
    </row>
    <row r="56" spans="2:7" ht="15.75" x14ac:dyDescent="0.25">
      <c r="B56" s="32">
        <v>40</v>
      </c>
      <c r="C56" s="33">
        <f t="shared" si="5"/>
        <v>129397402.18866442</v>
      </c>
      <c r="D56" s="31">
        <f t="shared" si="1"/>
        <v>18185446.530914359</v>
      </c>
      <c r="E56" s="30">
        <f t="shared" si="2"/>
        <v>18100638.792173721</v>
      </c>
      <c r="F56" s="31">
        <f t="shared" si="3"/>
        <v>84807.738740640576</v>
      </c>
      <c r="G56" s="31">
        <f t="shared" si="4"/>
        <v>129312594.44992378</v>
      </c>
    </row>
    <row r="57" spans="2:7" ht="15.75" x14ac:dyDescent="0.25">
      <c r="B57" s="29">
        <v>41</v>
      </c>
      <c r="C57" s="33">
        <f t="shared" si="5"/>
        <v>129312594.44992378</v>
      </c>
      <c r="D57" s="31">
        <f t="shared" si="1"/>
        <v>18185446.530914359</v>
      </c>
      <c r="E57" s="30">
        <f t="shared" si="2"/>
        <v>18088775.538199831</v>
      </c>
      <c r="F57" s="31">
        <f t="shared" si="3"/>
        <v>96670.992714527951</v>
      </c>
      <c r="G57" s="31">
        <f t="shared" si="4"/>
        <v>129215923.45720926</v>
      </c>
    </row>
    <row r="58" spans="2:7" ht="15.75" x14ac:dyDescent="0.25">
      <c r="B58" s="32">
        <v>42</v>
      </c>
      <c r="C58" s="33">
        <f t="shared" si="5"/>
        <v>129215923.45720926</v>
      </c>
      <c r="D58" s="31">
        <f t="shared" si="1"/>
        <v>18185446.530914359</v>
      </c>
      <c r="E58" s="30">
        <f t="shared" si="2"/>
        <v>18075252.803653315</v>
      </c>
      <c r="F58" s="31">
        <f t="shared" si="3"/>
        <v>110193.72726104743</v>
      </c>
      <c r="G58" s="31">
        <f t="shared" si="4"/>
        <v>129105729.72994821</v>
      </c>
    </row>
    <row r="59" spans="2:7" ht="15.75" x14ac:dyDescent="0.25">
      <c r="B59" s="29">
        <v>43</v>
      </c>
      <c r="C59" s="33">
        <f t="shared" si="5"/>
        <v>129105729.72994821</v>
      </c>
      <c r="D59" s="31">
        <f t="shared" si="1"/>
        <v>18185446.530914359</v>
      </c>
      <c r="E59" s="30">
        <f t="shared" si="2"/>
        <v>18059838.453592349</v>
      </c>
      <c r="F59" s="31">
        <f t="shared" si="3"/>
        <v>125608.07732201225</v>
      </c>
      <c r="G59" s="31">
        <f t="shared" si="4"/>
        <v>128980121.6526262</v>
      </c>
    </row>
    <row r="60" spans="2:7" ht="15.75" x14ac:dyDescent="0.25">
      <c r="B60" s="32">
        <v>44</v>
      </c>
      <c r="C60" s="33">
        <f t="shared" si="5"/>
        <v>128980121.6526262</v>
      </c>
      <c r="D60" s="31">
        <f t="shared" si="1"/>
        <v>18185446.530914359</v>
      </c>
      <c r="E60" s="30">
        <f t="shared" si="2"/>
        <v>18042267.88108835</v>
      </c>
      <c r="F60" s="31">
        <f t="shared" si="3"/>
        <v>143178.6498260122</v>
      </c>
      <c r="G60" s="31">
        <f t="shared" si="4"/>
        <v>128836943.0028002</v>
      </c>
    </row>
    <row r="61" spans="2:7" ht="15.75" x14ac:dyDescent="0.25">
      <c r="B61" s="29">
        <v>45</v>
      </c>
      <c r="C61" s="33">
        <f t="shared" si="5"/>
        <v>128836943.0028002</v>
      </c>
      <c r="D61" s="31">
        <f t="shared" si="1"/>
        <v>18185446.530914359</v>
      </c>
      <c r="E61" s="30">
        <f t="shared" si="2"/>
        <v>18022239.46491139</v>
      </c>
      <c r="F61" s="31">
        <f t="shared" si="3"/>
        <v>163207.0660029701</v>
      </c>
      <c r="G61" s="31">
        <f t="shared" si="4"/>
        <v>128673735.93679723</v>
      </c>
    </row>
    <row r="62" spans="2:7" ht="15.75" x14ac:dyDescent="0.25">
      <c r="B62" s="32">
        <v>46</v>
      </c>
      <c r="C62" s="33">
        <f t="shared" si="5"/>
        <v>128673735.93679723</v>
      </c>
      <c r="D62" s="31">
        <f t="shared" si="1"/>
        <v>18185446.530914359</v>
      </c>
      <c r="E62" s="30">
        <f t="shared" si="2"/>
        <v>17999409.391818091</v>
      </c>
      <c r="F62" s="31">
        <f t="shared" si="3"/>
        <v>186037.13909626912</v>
      </c>
      <c r="G62" s="31">
        <f t="shared" si="4"/>
        <v>128487698.79770096</v>
      </c>
    </row>
    <row r="63" spans="2:7" ht="15.75" x14ac:dyDescent="0.25">
      <c r="B63" s="29">
        <v>47</v>
      </c>
      <c r="C63" s="33">
        <f t="shared" si="5"/>
        <v>128487698.79770096</v>
      </c>
      <c r="D63" s="31">
        <f t="shared" si="1"/>
        <v>18185446.530914359</v>
      </c>
      <c r="E63" s="30">
        <f t="shared" si="2"/>
        <v>17973385.754559893</v>
      </c>
      <c r="F63" s="31">
        <f t="shared" si="3"/>
        <v>212060.77635446703</v>
      </c>
      <c r="G63" s="31">
        <f t="shared" si="4"/>
        <v>128275638.02134649</v>
      </c>
    </row>
    <row r="64" spans="2:7" ht="15.75" x14ac:dyDescent="0.25">
      <c r="B64" s="32">
        <v>48</v>
      </c>
      <c r="C64" s="33">
        <f t="shared" si="5"/>
        <v>128275638.02134649</v>
      </c>
      <c r="D64" s="31">
        <f t="shared" si="1"/>
        <v>18185446.530914359</v>
      </c>
      <c r="E64" s="30">
        <f t="shared" si="2"/>
        <v>17943721.824296568</v>
      </c>
      <c r="F64" s="31">
        <f t="shared" si="3"/>
        <v>241724.70661779345</v>
      </c>
      <c r="G64" s="31">
        <f t="shared" si="4"/>
        <v>128033913.31472871</v>
      </c>
    </row>
    <row r="65" spans="2:7" ht="15.75" x14ac:dyDescent="0.25">
      <c r="B65" s="29">
        <v>49</v>
      </c>
      <c r="C65" s="33">
        <f t="shared" si="5"/>
        <v>128033913.31472871</v>
      </c>
      <c r="D65" s="31">
        <f t="shared" si="1"/>
        <v>18185446.530914359</v>
      </c>
      <c r="E65" s="30">
        <f t="shared" si="2"/>
        <v>17909908.381927352</v>
      </c>
      <c r="F65" s="31">
        <f t="shared" si="3"/>
        <v>275538.14898701082</v>
      </c>
      <c r="G65" s="31">
        <f t="shared" si="4"/>
        <v>127758375.1657417</v>
      </c>
    </row>
    <row r="66" spans="2:7" ht="15.75" x14ac:dyDescent="0.25">
      <c r="B66" s="32">
        <v>50</v>
      </c>
      <c r="C66" s="33">
        <f t="shared" si="5"/>
        <v>127758375.1657417</v>
      </c>
      <c r="D66" s="31">
        <f t="shared" si="1"/>
        <v>18185446.530914359</v>
      </c>
      <c r="E66" s="30">
        <f t="shared" si="2"/>
        <v>17871364.976697262</v>
      </c>
      <c r="F66" s="31">
        <f t="shared" si="3"/>
        <v>314081.5542170963</v>
      </c>
      <c r="G66" s="31">
        <f t="shared" si="4"/>
        <v>127444293.6115246</v>
      </c>
    </row>
    <row r="67" spans="2:7" ht="15.75" x14ac:dyDescent="0.25">
      <c r="B67" s="29">
        <v>51</v>
      </c>
      <c r="C67" s="33">
        <f t="shared" si="5"/>
        <v>127444293.6115246</v>
      </c>
      <c r="D67" s="31">
        <f t="shared" si="1"/>
        <v>18185446.530914359</v>
      </c>
      <c r="E67" s="30">
        <f t="shared" si="2"/>
        <v>17827429.962021474</v>
      </c>
      <c r="F67" s="31">
        <f t="shared" si="3"/>
        <v>358016.56889288709</v>
      </c>
      <c r="G67" s="31">
        <f t="shared" si="4"/>
        <v>127086277.04263172</v>
      </c>
    </row>
    <row r="68" spans="2:7" ht="15.75" x14ac:dyDescent="0.25">
      <c r="B68" s="32">
        <v>52</v>
      </c>
      <c r="C68" s="33">
        <f t="shared" si="5"/>
        <v>127086277.04263172</v>
      </c>
      <c r="D68" s="31">
        <f t="shared" si="1"/>
        <v>18185446.530914359</v>
      </c>
      <c r="E68" s="30">
        <f t="shared" si="2"/>
        <v>17777349.137479916</v>
      </c>
      <c r="F68" s="31">
        <f t="shared" si="3"/>
        <v>408097.39343444217</v>
      </c>
      <c r="G68" s="31">
        <f t="shared" si="4"/>
        <v>126678179.64919728</v>
      </c>
    </row>
    <row r="69" spans="2:7" ht="15.75" x14ac:dyDescent="0.25">
      <c r="B69" s="29">
        <v>53</v>
      </c>
      <c r="C69" s="33">
        <f t="shared" si="5"/>
        <v>126678179.64919728</v>
      </c>
      <c r="D69" s="31">
        <f t="shared" si="1"/>
        <v>18185446.530914359</v>
      </c>
      <c r="E69" s="30">
        <f t="shared" si="2"/>
        <v>17720262.802007634</v>
      </c>
      <c r="F69" s="31">
        <f t="shared" si="3"/>
        <v>465183.72890672844</v>
      </c>
      <c r="G69" s="31">
        <f t="shared" si="4"/>
        <v>126212995.92029054</v>
      </c>
    </row>
    <row r="70" spans="2:7" ht="15.75" x14ac:dyDescent="0.25">
      <c r="B70" s="32">
        <v>54</v>
      </c>
      <c r="C70" s="33">
        <f t="shared" si="5"/>
        <v>126212995.92029054</v>
      </c>
      <c r="D70" s="31">
        <f t="shared" si="1"/>
        <v>18185446.530914359</v>
      </c>
      <c r="E70" s="30">
        <f t="shared" si="2"/>
        <v>17655190.996032264</v>
      </c>
      <c r="F70" s="31">
        <f t="shared" si="3"/>
        <v>530255.53488209425</v>
      </c>
      <c r="G70" s="31">
        <f t="shared" si="4"/>
        <v>125682740.38540845</v>
      </c>
    </row>
    <row r="71" spans="2:7" ht="15.75" x14ac:dyDescent="0.25">
      <c r="B71" s="29">
        <v>55</v>
      </c>
      <c r="C71" s="33">
        <f t="shared" si="5"/>
        <v>125682740.38540845</v>
      </c>
      <c r="D71" s="31">
        <f t="shared" si="1"/>
        <v>18185446.530914359</v>
      </c>
      <c r="E71" s="30">
        <f t="shared" si="2"/>
        <v>17581016.679221347</v>
      </c>
      <c r="F71" s="31">
        <f t="shared" si="3"/>
        <v>604429.85169301147</v>
      </c>
      <c r="G71" s="31">
        <f t="shared" si="4"/>
        <v>125078310.53371544</v>
      </c>
    </row>
    <row r="72" spans="2:7" ht="15.75" x14ac:dyDescent="0.25">
      <c r="B72" s="32">
        <v>56</v>
      </c>
      <c r="C72" s="33">
        <f t="shared" si="5"/>
        <v>125078310.53371544</v>
      </c>
      <c r="D72" s="31">
        <f t="shared" si="1"/>
        <v>18185446.530914359</v>
      </c>
      <c r="E72" s="30">
        <f t="shared" si="2"/>
        <v>17496466.555063903</v>
      </c>
      <c r="F72" s="31">
        <f t="shared" si="3"/>
        <v>688979.97585045581</v>
      </c>
      <c r="G72" s="31">
        <f t="shared" si="4"/>
        <v>124389330.55786498</v>
      </c>
    </row>
    <row r="73" spans="2:7" ht="15.75" x14ac:dyDescent="0.25">
      <c r="B73" s="29">
        <v>57</v>
      </c>
      <c r="C73" s="33">
        <f t="shared" si="5"/>
        <v>124389330.55786498</v>
      </c>
      <c r="D73" s="31">
        <f t="shared" si="1"/>
        <v>18185446.530914359</v>
      </c>
      <c r="E73" s="30">
        <f t="shared" si="2"/>
        <v>17400089.213115983</v>
      </c>
      <c r="F73" s="31">
        <f t="shared" si="3"/>
        <v>785357.31779837771</v>
      </c>
      <c r="G73" s="31">
        <f t="shared" si="4"/>
        <v>123603973.2400666</v>
      </c>
    </row>
    <row r="74" spans="2:7" ht="15.75" x14ac:dyDescent="0.25">
      <c r="B74" s="32">
        <v>58</v>
      </c>
      <c r="C74" s="33">
        <f t="shared" si="5"/>
        <v>123603973.2400666</v>
      </c>
      <c r="D74" s="31">
        <f t="shared" si="1"/>
        <v>18185446.530914359</v>
      </c>
      <c r="E74" s="30">
        <f t="shared" si="2"/>
        <v>17290230.213693939</v>
      </c>
      <c r="F74" s="31">
        <f t="shared" si="3"/>
        <v>895216.31722042395</v>
      </c>
      <c r="G74" s="31">
        <f t="shared" si="4"/>
        <v>122708756.92284618</v>
      </c>
    </row>
    <row r="75" spans="2:7" ht="15.75" x14ac:dyDescent="0.25">
      <c r="B75" s="29">
        <v>59</v>
      </c>
      <c r="C75" s="33">
        <f t="shared" si="5"/>
        <v>122708756.92284618</v>
      </c>
      <c r="D75" s="31">
        <f t="shared" si="1"/>
        <v>18185446.530914359</v>
      </c>
      <c r="E75" s="30">
        <f t="shared" si="2"/>
        <v>17165003.68731251</v>
      </c>
      <c r="F75" s="31">
        <f t="shared" si="3"/>
        <v>1020442.843601851</v>
      </c>
      <c r="G75" s="31">
        <f t="shared" si="4"/>
        <v>121688314.07924433</v>
      </c>
    </row>
    <row r="76" spans="2:7" ht="15.75" x14ac:dyDescent="0.25">
      <c r="B76" s="32">
        <v>60</v>
      </c>
      <c r="C76" s="33">
        <f t="shared" si="5"/>
        <v>121688314.07924433</v>
      </c>
      <c r="D76" s="31">
        <f t="shared" si="1"/>
        <v>18185446.530914359</v>
      </c>
      <c r="E76" s="30">
        <f t="shared" si="2"/>
        <v>17022259.961335965</v>
      </c>
      <c r="F76" s="31">
        <f t="shared" si="3"/>
        <v>1163186.5695783978</v>
      </c>
      <c r="G76" s="31">
        <f t="shared" si="4"/>
        <v>120525127.50966594</v>
      </c>
    </row>
    <row r="77" spans="2:7" ht="15.75" x14ac:dyDescent="0.25">
      <c r="B77" s="29">
        <v>61</v>
      </c>
      <c r="C77" s="33">
        <f t="shared" si="5"/>
        <v>120525127.50966594</v>
      </c>
      <c r="D77" s="31">
        <f t="shared" si="1"/>
        <v>18185446.530914359</v>
      </c>
      <c r="E77" s="30">
        <f t="shared" si="2"/>
        <v>16859548.658112515</v>
      </c>
      <c r="F77" s="31">
        <f t="shared" si="3"/>
        <v>1325897.8728018459</v>
      </c>
      <c r="G77" s="31">
        <f t="shared" si="4"/>
        <v>119199229.6368641</v>
      </c>
    </row>
    <row r="78" spans="2:7" ht="15.75" x14ac:dyDescent="0.25">
      <c r="B78" s="32">
        <v>62</v>
      </c>
      <c r="C78" s="33">
        <f t="shared" si="5"/>
        <v>119199229.6368641</v>
      </c>
      <c r="D78" s="31">
        <f t="shared" si="1"/>
        <v>18185446.530914359</v>
      </c>
      <c r="E78" s="30">
        <f t="shared" si="2"/>
        <v>16674076.631124632</v>
      </c>
      <c r="F78" s="31">
        <f t="shared" si="3"/>
        <v>1511369.8997897273</v>
      </c>
      <c r="G78" s="31">
        <f t="shared" si="4"/>
        <v>117687859.73707438</v>
      </c>
    </row>
    <row r="79" spans="2:7" ht="15.75" x14ac:dyDescent="0.25">
      <c r="B79" s="29">
        <v>63</v>
      </c>
      <c r="C79" s="33">
        <f t="shared" si="5"/>
        <v>117687859.73707438</v>
      </c>
      <c r="D79" s="31">
        <f t="shared" si="1"/>
        <v>18185446.530914359</v>
      </c>
      <c r="E79" s="30">
        <f t="shared" si="2"/>
        <v>16462660.017075682</v>
      </c>
      <c r="F79" s="31">
        <f t="shared" si="3"/>
        <v>1722786.5138386774</v>
      </c>
      <c r="G79" s="31">
        <f t="shared" si="4"/>
        <v>115965073.2232357</v>
      </c>
    </row>
    <row r="80" spans="2:7" ht="15.75" x14ac:dyDescent="0.25">
      <c r="B80" s="32">
        <v>64</v>
      </c>
      <c r="C80" s="33">
        <f t="shared" si="5"/>
        <v>115965073.2232357</v>
      </c>
      <c r="D80" s="31">
        <f t="shared" si="1"/>
        <v>18185446.530914359</v>
      </c>
      <c r="E80" s="30">
        <f t="shared" si="2"/>
        <v>16221669.580825999</v>
      </c>
      <c r="F80" s="31">
        <f t="shared" si="3"/>
        <v>1963776.950088362</v>
      </c>
      <c r="G80" s="31">
        <f t="shared" si="4"/>
        <v>114001296.27314733</v>
      </c>
    </row>
    <row r="81" spans="2:7" ht="15.75" x14ac:dyDescent="0.25">
      <c r="B81" s="29">
        <v>65</v>
      </c>
      <c r="C81" s="33">
        <f t="shared" si="5"/>
        <v>114001296.27314733</v>
      </c>
      <c r="D81" s="31">
        <f t="shared" si="1"/>
        <v>18185446.530914359</v>
      </c>
      <c r="E81" s="30">
        <f t="shared" si="2"/>
        <v>15946968.414954681</v>
      </c>
      <c r="F81" s="31">
        <f t="shared" si="3"/>
        <v>2238478.1159596802</v>
      </c>
      <c r="G81" s="31">
        <f t="shared" si="4"/>
        <v>111762818.15718766</v>
      </c>
    </row>
    <row r="82" spans="2:7" ht="15.75" x14ac:dyDescent="0.25">
      <c r="B82" s="32">
        <v>66</v>
      </c>
      <c r="C82" s="33">
        <f t="shared" si="5"/>
        <v>111762818.15718766</v>
      </c>
      <c r="D82" s="31">
        <f t="shared" ref="D82:D96" si="6">PMT($C$10,$C$11,-$C$9)</f>
        <v>18185446.530914359</v>
      </c>
      <c r="E82" s="30">
        <f t="shared" ref="E82:E96" si="7">IPMT($C$10,B82,$C$11,-$C$9)</f>
        <v>15633840.924480831</v>
      </c>
      <c r="F82" s="31">
        <f t="shared" ref="F82:F96" si="8">PPMT($C$10,B82,$C$11,-$C$9)</f>
        <v>2551605.6064335285</v>
      </c>
      <c r="G82" s="31">
        <f t="shared" ref="G82:G96" si="9">C82-F82</f>
        <v>109211212.55075413</v>
      </c>
    </row>
    <row r="83" spans="2:7" ht="15.75" x14ac:dyDescent="0.25">
      <c r="B83" s="29">
        <v>67</v>
      </c>
      <c r="C83" s="33">
        <f t="shared" ref="C83:C96" si="10">G82</f>
        <v>109211212.55075413</v>
      </c>
      <c r="D83" s="31">
        <f t="shared" si="6"/>
        <v>18185446.530914359</v>
      </c>
      <c r="E83" s="30">
        <f t="shared" si="7"/>
        <v>15276911.87767664</v>
      </c>
      <c r="F83" s="31">
        <f t="shared" si="8"/>
        <v>2908534.6532377214</v>
      </c>
      <c r="G83" s="31">
        <f t="shared" si="9"/>
        <v>106302677.89751641</v>
      </c>
    </row>
    <row r="84" spans="2:7" ht="15.75" x14ac:dyDescent="0.25">
      <c r="B84" s="32">
        <v>68</v>
      </c>
      <c r="C84" s="33">
        <f t="shared" si="10"/>
        <v>106302677.89751641</v>
      </c>
      <c r="D84" s="31">
        <f t="shared" si="6"/>
        <v>18185446.530914359</v>
      </c>
      <c r="E84" s="30">
        <f t="shared" si="7"/>
        <v>14870054.133376515</v>
      </c>
      <c r="F84" s="31">
        <f t="shared" si="8"/>
        <v>3315392.397537848</v>
      </c>
      <c r="G84" s="31">
        <f t="shared" si="9"/>
        <v>102987285.49997857</v>
      </c>
    </row>
    <row r="85" spans="2:7" ht="15.75" x14ac:dyDescent="0.25">
      <c r="B85" s="29">
        <v>69</v>
      </c>
      <c r="C85" s="33">
        <f t="shared" si="10"/>
        <v>102987285.49997857</v>
      </c>
      <c r="D85" s="31">
        <f t="shared" si="6"/>
        <v>18185446.530914359</v>
      </c>
      <c r="E85" s="30">
        <f t="shared" si="7"/>
        <v>14406283.460804166</v>
      </c>
      <c r="F85" s="31">
        <f t="shared" si="8"/>
        <v>3779163.0701101949</v>
      </c>
      <c r="G85" s="31">
        <f t="shared" si="9"/>
        <v>99208122.42986837</v>
      </c>
    </row>
    <row r="86" spans="2:7" ht="15.75" x14ac:dyDescent="0.25">
      <c r="B86" s="32">
        <v>70</v>
      </c>
      <c r="C86" s="33">
        <f t="shared" si="10"/>
        <v>99208122.42986837</v>
      </c>
      <c r="D86" s="31">
        <f t="shared" si="6"/>
        <v>18185446.530914359</v>
      </c>
      <c r="E86" s="30">
        <f t="shared" si="7"/>
        <v>13877638.646366157</v>
      </c>
      <c r="F86" s="31">
        <f t="shared" si="8"/>
        <v>4307807.8845482031</v>
      </c>
      <c r="G86" s="31">
        <f t="shared" si="9"/>
        <v>94900314.545320168</v>
      </c>
    </row>
    <row r="87" spans="2:7" ht="15.75" x14ac:dyDescent="0.25">
      <c r="B87" s="29">
        <v>71</v>
      </c>
      <c r="C87" s="33">
        <f t="shared" si="10"/>
        <v>94900314.545320168</v>
      </c>
      <c r="D87" s="31">
        <f t="shared" si="6"/>
        <v>18185446.530914359</v>
      </c>
      <c r="E87" s="30">
        <f t="shared" si="7"/>
        <v>13275044.829292478</v>
      </c>
      <c r="F87" s="31">
        <f t="shared" si="8"/>
        <v>4910401.7016218808</v>
      </c>
      <c r="G87" s="31">
        <f t="shared" si="9"/>
        <v>89989912.843698293</v>
      </c>
    </row>
    <row r="88" spans="2:7" ht="15.75" x14ac:dyDescent="0.25">
      <c r="B88" s="32">
        <v>72</v>
      </c>
      <c r="C88" s="33">
        <f t="shared" si="10"/>
        <v>89989912.843698293</v>
      </c>
      <c r="D88" s="31">
        <f t="shared" si="6"/>
        <v>18185446.530914359</v>
      </c>
      <c r="E88" s="30">
        <f t="shared" si="7"/>
        <v>12588157.720106611</v>
      </c>
      <c r="F88" s="31">
        <f t="shared" si="8"/>
        <v>5597288.8108077487</v>
      </c>
      <c r="G88" s="31">
        <f t="shared" si="9"/>
        <v>84392624.032890543</v>
      </c>
    </row>
    <row r="89" spans="2:7" ht="15.75" x14ac:dyDescent="0.25">
      <c r="B89" s="29">
        <v>73</v>
      </c>
      <c r="C89" s="33">
        <f t="shared" si="10"/>
        <v>84392624.032890543</v>
      </c>
      <c r="D89" s="31">
        <f t="shared" si="6"/>
        <v>18185446.530914359</v>
      </c>
      <c r="E89" s="30">
        <f t="shared" si="7"/>
        <v>11805186.027736871</v>
      </c>
      <c r="F89" s="31">
        <f t="shared" si="8"/>
        <v>6380260.503177491</v>
      </c>
      <c r="G89" s="31">
        <f t="shared" si="9"/>
        <v>78012363.52971305</v>
      </c>
    </row>
    <row r="90" spans="2:7" ht="15.75" x14ac:dyDescent="0.25">
      <c r="B90" s="32">
        <v>74</v>
      </c>
      <c r="C90" s="33">
        <f t="shared" si="10"/>
        <v>78012363.52971305</v>
      </c>
      <c r="D90" s="31">
        <f t="shared" si="6"/>
        <v>18185446.530914359</v>
      </c>
      <c r="E90" s="30">
        <f t="shared" si="7"/>
        <v>10912689.047004553</v>
      </c>
      <c r="F90" s="31">
        <f t="shared" si="8"/>
        <v>7272757.4839098072</v>
      </c>
      <c r="G90" s="31">
        <f t="shared" si="9"/>
        <v>70739606.045803249</v>
      </c>
    </row>
    <row r="91" spans="2:7" ht="15.75" x14ac:dyDescent="0.25">
      <c r="B91" s="29">
        <v>75</v>
      </c>
      <c r="C91" s="33">
        <f t="shared" si="10"/>
        <v>70739606.045803249</v>
      </c>
      <c r="D91" s="31">
        <f t="shared" si="6"/>
        <v>18185446.530914359</v>
      </c>
      <c r="E91" s="30">
        <f t="shared" si="7"/>
        <v>9895345.9318205751</v>
      </c>
      <c r="F91" s="31">
        <f t="shared" si="8"/>
        <v>8290100.5990937836</v>
      </c>
      <c r="G91" s="31">
        <f t="shared" si="9"/>
        <v>62449505.446709469</v>
      </c>
    </row>
    <row r="92" spans="2:7" ht="15.75" x14ac:dyDescent="0.25">
      <c r="B92" s="32">
        <v>76</v>
      </c>
      <c r="C92" s="33">
        <f t="shared" si="10"/>
        <v>62449505.446709469</v>
      </c>
      <c r="D92" s="31">
        <f t="shared" si="6"/>
        <v>18185446.530914359</v>
      </c>
      <c r="E92" s="30">
        <f t="shared" si="7"/>
        <v>8735692.6933715232</v>
      </c>
      <c r="F92" s="31">
        <f t="shared" si="8"/>
        <v>9449753.8375428375</v>
      </c>
      <c r="G92" s="31">
        <f t="shared" si="9"/>
        <v>52999751.60916663</v>
      </c>
    </row>
    <row r="93" spans="2:7" ht="15.75" x14ac:dyDescent="0.25">
      <c r="B93" s="29">
        <v>77</v>
      </c>
      <c r="C93" s="33">
        <f t="shared" si="10"/>
        <v>52999751.60916663</v>
      </c>
      <c r="D93" s="31">
        <f t="shared" si="6"/>
        <v>18185446.530914359</v>
      </c>
      <c r="E93" s="30">
        <f t="shared" si="7"/>
        <v>7413822.4085343471</v>
      </c>
      <c r="F93" s="31">
        <f t="shared" si="8"/>
        <v>10771624.122380015</v>
      </c>
      <c r="G93" s="31">
        <f t="shared" si="9"/>
        <v>42228127.486786619</v>
      </c>
    </row>
    <row r="94" spans="2:7" ht="15.75" x14ac:dyDescent="0.25">
      <c r="B94" s="32">
        <v>78</v>
      </c>
      <c r="C94" s="33">
        <f t="shared" si="10"/>
        <v>42228127.486786619</v>
      </c>
      <c r="D94" s="31">
        <f t="shared" si="6"/>
        <v>18185446.530914359</v>
      </c>
      <c r="E94" s="30">
        <f t="shared" si="7"/>
        <v>5907043.4922158383</v>
      </c>
      <c r="F94" s="31">
        <f t="shared" si="8"/>
        <v>12278403.038698522</v>
      </c>
      <c r="G94" s="31">
        <f t="shared" si="9"/>
        <v>29949724.448088095</v>
      </c>
    </row>
    <row r="95" spans="2:7" ht="15.75" x14ac:dyDescent="0.25">
      <c r="B95" s="29">
        <v>79</v>
      </c>
      <c r="C95" s="33">
        <f t="shared" si="10"/>
        <v>29949724.448088095</v>
      </c>
      <c r="D95" s="31">
        <f t="shared" si="6"/>
        <v>18185446.530914359</v>
      </c>
      <c r="E95" s="30">
        <f t="shared" si="7"/>
        <v>4189490.1674267594</v>
      </c>
      <c r="F95" s="31">
        <f t="shared" si="8"/>
        <v>13995956.363487599</v>
      </c>
      <c r="G95" s="31">
        <f t="shared" si="9"/>
        <v>15953768.084600495</v>
      </c>
    </row>
    <row r="96" spans="2:7" ht="15.75" x14ac:dyDescent="0.25">
      <c r="B96" s="32">
        <v>80</v>
      </c>
      <c r="C96" s="33">
        <f t="shared" si="10"/>
        <v>15953768.084600495</v>
      </c>
      <c r="D96" s="31">
        <f t="shared" si="6"/>
        <v>18185446.530914359</v>
      </c>
      <c r="E96" s="30">
        <f t="shared" si="7"/>
        <v>2231678.4463139591</v>
      </c>
      <c r="F96" s="31">
        <f t="shared" si="8"/>
        <v>15953768.084600402</v>
      </c>
      <c r="G96" s="31">
        <f t="shared" si="9"/>
        <v>9.3132257461547852E-8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4:M36"/>
  <sheetViews>
    <sheetView topLeftCell="A16" workbookViewId="0">
      <selection activeCell="F37" sqref="F37"/>
    </sheetView>
  </sheetViews>
  <sheetFormatPr baseColWidth="10" defaultRowHeight="15" x14ac:dyDescent="0.25"/>
  <cols>
    <col min="3" max="3" width="13.85546875" bestFit="1" customWidth="1"/>
    <col min="4" max="4" width="14.140625" bestFit="1" customWidth="1"/>
    <col min="6" max="6" width="21" bestFit="1" customWidth="1"/>
    <col min="7" max="7" width="15.85546875" bestFit="1" customWidth="1"/>
    <col min="11" max="11" width="20.28515625" bestFit="1" customWidth="1"/>
    <col min="13" max="13" width="15.140625" bestFit="1" customWidth="1"/>
  </cols>
  <sheetData>
    <row r="14" spans="2:10" x14ac:dyDescent="0.25">
      <c r="B14" t="s">
        <v>60</v>
      </c>
      <c r="I14" t="s">
        <v>71</v>
      </c>
    </row>
    <row r="15" spans="2:10" x14ac:dyDescent="0.25">
      <c r="B15" t="s">
        <v>61</v>
      </c>
      <c r="C15">
        <v>30000000</v>
      </c>
      <c r="D15" s="18">
        <v>15000000</v>
      </c>
      <c r="E15" t="s">
        <v>62</v>
      </c>
      <c r="I15" t="s">
        <v>61</v>
      </c>
      <c r="J15">
        <v>15000000</v>
      </c>
    </row>
    <row r="16" spans="2:10" x14ac:dyDescent="0.25">
      <c r="B16" t="s">
        <v>63</v>
      </c>
      <c r="C16">
        <v>5</v>
      </c>
      <c r="D16" s="18" t="s">
        <v>64</v>
      </c>
      <c r="I16" t="s">
        <v>72</v>
      </c>
      <c r="J16">
        <v>1000000</v>
      </c>
    </row>
    <row r="17" spans="2:13" x14ac:dyDescent="0.25">
      <c r="B17" t="s">
        <v>65</v>
      </c>
      <c r="C17">
        <v>1000000</v>
      </c>
      <c r="D17" s="18"/>
      <c r="I17" t="s">
        <v>66</v>
      </c>
      <c r="J17">
        <v>8000000</v>
      </c>
    </row>
    <row r="18" spans="2:13" x14ac:dyDescent="0.25">
      <c r="B18" t="s">
        <v>66</v>
      </c>
      <c r="C18">
        <v>10000000</v>
      </c>
      <c r="D18" s="18"/>
      <c r="I18" t="s">
        <v>73</v>
      </c>
      <c r="J18">
        <v>6</v>
      </c>
      <c r="K18" t="s">
        <v>64</v>
      </c>
    </row>
    <row r="19" spans="2:13" x14ac:dyDescent="0.25">
      <c r="B19" t="s">
        <v>67</v>
      </c>
      <c r="C19" s="35">
        <v>0.09</v>
      </c>
      <c r="D19" s="18" t="s">
        <v>59</v>
      </c>
      <c r="I19" t="s">
        <v>46</v>
      </c>
      <c r="J19" s="35">
        <v>7.0000000000000007E-2</v>
      </c>
      <c r="K19" t="s">
        <v>59</v>
      </c>
    </row>
    <row r="21" spans="2:13" x14ac:dyDescent="0.25">
      <c r="B21" t="s">
        <v>68</v>
      </c>
      <c r="C21" s="37">
        <f>PMT(C19,C16,-D15)</f>
        <v>3856386.8543511746</v>
      </c>
      <c r="G21" s="34"/>
    </row>
    <row r="22" spans="2:13" x14ac:dyDescent="0.25">
      <c r="D22" s="47" t="s">
        <v>60</v>
      </c>
      <c r="G22" s="35"/>
      <c r="I22" s="47" t="s">
        <v>71</v>
      </c>
      <c r="M22" s="34"/>
    </row>
    <row r="23" spans="2:13" x14ac:dyDescent="0.25">
      <c r="D23" t="s">
        <v>69</v>
      </c>
      <c r="E23" t="s">
        <v>70</v>
      </c>
      <c r="F23" t="s">
        <v>74</v>
      </c>
      <c r="I23" t="s">
        <v>69</v>
      </c>
      <c r="J23" t="s">
        <v>70</v>
      </c>
      <c r="K23" t="s">
        <v>74</v>
      </c>
      <c r="M23" s="35"/>
    </row>
    <row r="24" spans="2:13" x14ac:dyDescent="0.25">
      <c r="C24">
        <v>0</v>
      </c>
      <c r="D24">
        <f>30000000</f>
        <v>30000000</v>
      </c>
      <c r="F24">
        <f>E24-D24</f>
        <v>-30000000</v>
      </c>
      <c r="H24">
        <v>0</v>
      </c>
      <c r="I24">
        <v>15000000</v>
      </c>
      <c r="K24">
        <f>J24-I24</f>
        <v>-15000000</v>
      </c>
      <c r="M24" s="35"/>
    </row>
    <row r="25" spans="2:13" x14ac:dyDescent="0.25">
      <c r="C25">
        <v>1</v>
      </c>
      <c r="D25" s="37">
        <f>C21+C17</f>
        <v>4856386.8543511741</v>
      </c>
      <c r="F25">
        <f t="shared" ref="F25:F29" si="0">E25-D25</f>
        <v>-4856386.8543511741</v>
      </c>
      <c r="H25">
        <v>1</v>
      </c>
      <c r="I25">
        <v>1000000</v>
      </c>
      <c r="J25">
        <v>8000000</v>
      </c>
      <c r="K25">
        <f t="shared" ref="K25:K30" si="1">J25-I25</f>
        <v>7000000</v>
      </c>
    </row>
    <row r="26" spans="2:13" x14ac:dyDescent="0.25">
      <c r="C26">
        <v>2</v>
      </c>
      <c r="D26" s="34">
        <v>4856386.8543511741</v>
      </c>
      <c r="F26">
        <f t="shared" si="0"/>
        <v>-4856386.8543511741</v>
      </c>
      <c r="H26">
        <v>2</v>
      </c>
      <c r="I26">
        <v>1000000</v>
      </c>
      <c r="J26">
        <f>J25*1.18</f>
        <v>9440000</v>
      </c>
      <c r="K26">
        <f t="shared" si="1"/>
        <v>8440000</v>
      </c>
    </row>
    <row r="27" spans="2:13" x14ac:dyDescent="0.25">
      <c r="C27">
        <v>3</v>
      </c>
      <c r="D27" s="34">
        <v>4856386.8543511741</v>
      </c>
      <c r="E27">
        <v>10000000</v>
      </c>
      <c r="F27">
        <f t="shared" si="0"/>
        <v>5143613.1456488259</v>
      </c>
      <c r="H27">
        <v>3</v>
      </c>
      <c r="I27">
        <v>1000000</v>
      </c>
      <c r="J27">
        <f t="shared" ref="J27:J30" si="2">J26*1.18</f>
        <v>11139200</v>
      </c>
      <c r="K27">
        <f t="shared" si="1"/>
        <v>10139200</v>
      </c>
    </row>
    <row r="28" spans="2:13" x14ac:dyDescent="0.25">
      <c r="C28">
        <v>4</v>
      </c>
      <c r="D28" s="34">
        <v>4856386.8543511741</v>
      </c>
      <c r="E28">
        <f>E27*1.2</f>
        <v>12000000</v>
      </c>
      <c r="F28">
        <f t="shared" si="0"/>
        <v>7143613.1456488259</v>
      </c>
      <c r="H28">
        <v>4</v>
      </c>
      <c r="I28">
        <v>1000000</v>
      </c>
      <c r="J28">
        <f t="shared" si="2"/>
        <v>13144256</v>
      </c>
      <c r="K28">
        <f t="shared" si="1"/>
        <v>12144256</v>
      </c>
    </row>
    <row r="29" spans="2:13" x14ac:dyDescent="0.25">
      <c r="C29">
        <v>5</v>
      </c>
      <c r="D29" s="34">
        <v>4856386.8543511741</v>
      </c>
      <c r="E29">
        <f>E28*1.2</f>
        <v>14400000</v>
      </c>
      <c r="F29">
        <f t="shared" si="0"/>
        <v>9543613.1456488259</v>
      </c>
      <c r="H29">
        <v>5</v>
      </c>
      <c r="I29">
        <v>1000000</v>
      </c>
      <c r="J29">
        <f t="shared" si="2"/>
        <v>15510222.08</v>
      </c>
      <c r="K29">
        <f t="shared" si="1"/>
        <v>14510222.08</v>
      </c>
    </row>
    <row r="30" spans="2:13" x14ac:dyDescent="0.25">
      <c r="H30">
        <v>6</v>
      </c>
      <c r="I30">
        <v>1000000</v>
      </c>
      <c r="J30">
        <f t="shared" si="2"/>
        <v>18302062.054400001</v>
      </c>
      <c r="K30">
        <f t="shared" si="1"/>
        <v>17302062.054400001</v>
      </c>
    </row>
    <row r="31" spans="2:13" x14ac:dyDescent="0.25">
      <c r="F31" s="38"/>
    </row>
    <row r="32" spans="2:13" x14ac:dyDescent="0.25">
      <c r="E32" s="47" t="s">
        <v>75</v>
      </c>
      <c r="F32" s="38">
        <f>NPV(C19,F25:F29)+F24</f>
        <v>-23307701.967262544</v>
      </c>
      <c r="J32" s="47" t="s">
        <v>75</v>
      </c>
      <c r="K32" s="38">
        <f>NPV(J19,K25:K30)+K24</f>
        <v>38329963.441262372</v>
      </c>
    </row>
    <row r="33" spans="5:11" x14ac:dyDescent="0.25">
      <c r="E33" s="47" t="s">
        <v>76</v>
      </c>
      <c r="F33" s="35">
        <f>IRR(F24:F29)</f>
        <v>-0.14415586966436367</v>
      </c>
      <c r="J33" s="47" t="s">
        <v>76</v>
      </c>
      <c r="K33" s="35">
        <f>IRR(K24:K30)</f>
        <v>0.57676875591052146</v>
      </c>
    </row>
    <row r="36" spans="5:11" x14ac:dyDescent="0.25">
      <c r="F36" t="s">
        <v>101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M28"/>
  <sheetViews>
    <sheetView workbookViewId="0">
      <selection activeCell="K25" sqref="K25"/>
    </sheetView>
  </sheetViews>
  <sheetFormatPr baseColWidth="10" defaultRowHeight="15" x14ac:dyDescent="0.25"/>
  <sheetData>
    <row r="11" spans="3:13" x14ac:dyDescent="0.25">
      <c r="C11" t="s">
        <v>78</v>
      </c>
      <c r="D11" s="39">
        <v>8.6999999999999994E-2</v>
      </c>
      <c r="E11" t="s">
        <v>79</v>
      </c>
      <c r="F11" t="s">
        <v>56</v>
      </c>
      <c r="G11" t="s">
        <v>80</v>
      </c>
      <c r="I11" t="s">
        <v>85</v>
      </c>
      <c r="J11" s="39">
        <v>2.9000000000000001E-2</v>
      </c>
      <c r="K11" t="s">
        <v>87</v>
      </c>
      <c r="L11" t="s">
        <v>56</v>
      </c>
      <c r="M11" t="s">
        <v>86</v>
      </c>
    </row>
    <row r="12" spans="3:13" x14ac:dyDescent="0.25">
      <c r="D12" s="40">
        <f>D11/4</f>
        <v>2.1749999999999999E-2</v>
      </c>
      <c r="E12" t="s">
        <v>81</v>
      </c>
      <c r="J12" s="42">
        <f>J11/12</f>
        <v>2.4166666666666668E-3</v>
      </c>
      <c r="K12" t="s">
        <v>81</v>
      </c>
    </row>
    <row r="13" spans="3:13" x14ac:dyDescent="0.25">
      <c r="D13" s="40">
        <f>(D12)/(1+D12)</f>
        <v>2.1287007585025691E-2</v>
      </c>
      <c r="E13" t="s">
        <v>83</v>
      </c>
      <c r="J13" s="42">
        <f>J12/(1+J12)</f>
        <v>2.410840468866905E-3</v>
      </c>
      <c r="K13" t="s">
        <v>83</v>
      </c>
    </row>
    <row r="14" spans="3:13" x14ac:dyDescent="0.25">
      <c r="D14" s="40">
        <f>EFFECT(D13,4)</f>
        <v>2.1457537516841541E-2</v>
      </c>
      <c r="E14" t="s">
        <v>82</v>
      </c>
      <c r="J14" s="42">
        <f>EFFECT(J13,12)</f>
        <v>2.4135061565222493E-3</v>
      </c>
      <c r="K14" t="s">
        <v>82</v>
      </c>
    </row>
    <row r="15" spans="3:13" x14ac:dyDescent="0.25">
      <c r="D15" s="40">
        <f>NOMINAL(D14,2)</f>
        <v>2.1343649671516474E-2</v>
      </c>
      <c r="E15" t="s">
        <v>84</v>
      </c>
      <c r="J15" s="42">
        <f>NOMINAL(J14,4)</f>
        <v>2.4113248472819038E-3</v>
      </c>
      <c r="K15" t="s">
        <v>86</v>
      </c>
    </row>
    <row r="18" spans="3:13" x14ac:dyDescent="0.25">
      <c r="C18" t="s">
        <v>88</v>
      </c>
      <c r="D18" s="40">
        <v>0.154</v>
      </c>
      <c r="E18" t="s">
        <v>80</v>
      </c>
      <c r="F18" t="s">
        <v>56</v>
      </c>
      <c r="G18" t="s">
        <v>89</v>
      </c>
      <c r="I18" t="s">
        <v>90</v>
      </c>
      <c r="J18" s="39">
        <v>0.113</v>
      </c>
      <c r="K18" t="s">
        <v>86</v>
      </c>
      <c r="L18" t="s">
        <v>56</v>
      </c>
      <c r="M18" t="s">
        <v>87</v>
      </c>
    </row>
    <row r="19" spans="3:13" x14ac:dyDescent="0.25">
      <c r="D19" s="40">
        <f>D18/2</f>
        <v>7.6999999999999999E-2</v>
      </c>
      <c r="E19" t="s">
        <v>83</v>
      </c>
      <c r="J19" s="41">
        <f>J18/4</f>
        <v>2.8250000000000001E-2</v>
      </c>
      <c r="K19" t="s">
        <v>83</v>
      </c>
    </row>
    <row r="20" spans="3:13" x14ac:dyDescent="0.25">
      <c r="D20" s="40">
        <f>D19/(1-D19)</f>
        <v>8.3423618634886232E-2</v>
      </c>
      <c r="E20" t="s">
        <v>81</v>
      </c>
      <c r="J20" s="41">
        <f>J19/(1-J19)</f>
        <v>2.9071263184975559E-2</v>
      </c>
      <c r="K20" t="s">
        <v>81</v>
      </c>
    </row>
    <row r="21" spans="3:13" x14ac:dyDescent="0.25">
      <c r="D21" s="40">
        <f>EFFECT(D20,2)</f>
        <v>8.5163493671420953E-2</v>
      </c>
      <c r="E21" t="s">
        <v>82</v>
      </c>
      <c r="J21" s="41">
        <f>EFFECT(J20,4)</f>
        <v>2.9389728431187701E-2</v>
      </c>
      <c r="K21" t="s">
        <v>82</v>
      </c>
    </row>
    <row r="22" spans="3:13" x14ac:dyDescent="0.25">
      <c r="D22" s="40">
        <f>NOMINAL(D21,52)</f>
        <v>8.1794924533006075E-2</v>
      </c>
      <c r="E22" t="s">
        <v>89</v>
      </c>
      <c r="J22" s="41">
        <f>NOMINAL(J21,12)</f>
        <v>2.9001117985393066E-2</v>
      </c>
      <c r="K22" t="s">
        <v>87</v>
      </c>
    </row>
    <row r="24" spans="3:13" x14ac:dyDescent="0.25">
      <c r="C24" t="s">
        <v>91</v>
      </c>
      <c r="D24" s="35">
        <v>0.45</v>
      </c>
      <c r="E24" t="s">
        <v>92</v>
      </c>
      <c r="F24" t="s">
        <v>56</v>
      </c>
      <c r="G24" t="s">
        <v>93</v>
      </c>
    </row>
    <row r="25" spans="3:13" x14ac:dyDescent="0.25">
      <c r="D25" s="42">
        <f>D24/365</f>
        <v>1.2328767123287671E-3</v>
      </c>
      <c r="E25" t="s">
        <v>83</v>
      </c>
    </row>
    <row r="26" spans="3:13" x14ac:dyDescent="0.25">
      <c r="D26" s="42">
        <f>D25/(1-D25)</f>
        <v>1.2343985735838706E-3</v>
      </c>
      <c r="E26" t="s">
        <v>81</v>
      </c>
    </row>
    <row r="27" spans="3:13" x14ac:dyDescent="0.25">
      <c r="D27" s="42">
        <f>EFFECT(D26,365)</f>
        <v>1.2351586672083581E-3</v>
      </c>
      <c r="E27" t="s">
        <v>82</v>
      </c>
    </row>
    <row r="28" spans="3:13" x14ac:dyDescent="0.25">
      <c r="D28" s="42">
        <f>NOMINAL(D27,6)</f>
        <v>1.2345234728856624E-3</v>
      </c>
      <c r="E28" t="s">
        <v>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Teoria</vt:lpstr>
      <vt:lpstr>Anualidades</vt:lpstr>
      <vt:lpstr>Amortizacion</vt:lpstr>
      <vt:lpstr>Evaluacion</vt:lpstr>
      <vt:lpstr>Bono</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&amp; Andres</dc:creator>
  <cp:lastModifiedBy>Cursos Ciencias Económicas</cp:lastModifiedBy>
  <dcterms:created xsi:type="dcterms:W3CDTF">2016-01-27T23:14:37Z</dcterms:created>
  <dcterms:modified xsi:type="dcterms:W3CDTF">2016-01-28T16:11:24Z</dcterms:modified>
</cp:coreProperties>
</file>