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ebastian\proyectos2024\documentos\"/>
    </mc:Choice>
  </mc:AlternateContent>
  <xr:revisionPtr revIDLastSave="0" documentId="13_ncr:1_{4C63B03F-211D-4370-9F02-898E8ABC2A7E}" xr6:coauthVersionLast="47" xr6:coauthVersionMax="47" xr10:uidLastSave="{00000000-0000-0000-0000-000000000000}"/>
  <bookViews>
    <workbookView xWindow="-120" yWindow="-120" windowWidth="20640" windowHeight="11160" tabRatio="748" firstSheet="2" activeTab="3" xr2:uid="{00000000-000D-0000-FFFF-FFFF00000000}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6" l="1"/>
  <c r="C50" i="6"/>
  <c r="C38" i="7"/>
  <c r="E38" i="7"/>
  <c r="F38" i="7" s="1"/>
  <c r="C37" i="7"/>
  <c r="G37" i="7" s="1"/>
  <c r="E37" i="7"/>
  <c r="F37" i="7"/>
  <c r="C49" i="6"/>
  <c r="C48" i="6"/>
  <c r="B8" i="10"/>
  <c r="H8" i="10" s="1"/>
  <c r="I8" i="10" s="1"/>
  <c r="K8" i="10" s="1"/>
  <c r="F8" i="10"/>
  <c r="G8" i="10"/>
  <c r="J8" i="10"/>
  <c r="L8" i="10"/>
  <c r="B41" i="9"/>
  <c r="C41" i="9" s="1"/>
  <c r="I41" i="9"/>
  <c r="L41" i="9" s="1"/>
  <c r="W41" i="9" s="1"/>
  <c r="U41" i="9"/>
  <c r="Y41" i="9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G36" i="7" s="1"/>
  <c r="E36" i="7"/>
  <c r="F36" i="7"/>
  <c r="C35" i="7"/>
  <c r="G35" i="7" s="1"/>
  <c r="E35" i="7"/>
  <c r="F35" i="7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G33" i="7" s="1"/>
  <c r="E33" i="7"/>
  <c r="F33" i="7"/>
  <c r="C45" i="6"/>
  <c r="C32" i="7"/>
  <c r="G32" i="7" s="1"/>
  <c r="E32" i="7"/>
  <c r="F32" i="7" s="1"/>
  <c r="C44" i="6"/>
  <c r="C31" i="7"/>
  <c r="G31" i="7" s="1"/>
  <c r="E31" i="7"/>
  <c r="F31" i="7"/>
  <c r="C43" i="6"/>
  <c r="C30" i="7"/>
  <c r="G30" i="7" s="1"/>
  <c r="E30" i="7"/>
  <c r="F30" i="7"/>
  <c r="G3" i="11"/>
  <c r="K3" i="11"/>
  <c r="B7" i="10"/>
  <c r="H7" i="10" s="1"/>
  <c r="I7" i="10" s="1"/>
  <c r="F7" i="10"/>
  <c r="J7" i="10" s="1"/>
  <c r="G7" i="10"/>
  <c r="L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G29" i="7" s="1"/>
  <c r="E29" i="7"/>
  <c r="F29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G27" i="7" s="1"/>
  <c r="E27" i="7"/>
  <c r="F27" i="7"/>
  <c r="C26" i="7"/>
  <c r="E26" i="7"/>
  <c r="F26" i="7" s="1"/>
  <c r="G38" i="7" l="1"/>
  <c r="F41" i="9"/>
  <c r="M41" i="9" s="1"/>
  <c r="E41" i="9"/>
  <c r="D41" i="9"/>
  <c r="F40" i="9"/>
  <c r="E40" i="9"/>
  <c r="N40" i="9" s="1"/>
  <c r="Q40" i="9" s="1"/>
  <c r="D40" i="9"/>
  <c r="F39" i="9"/>
  <c r="E39" i="9"/>
  <c r="D39" i="9"/>
  <c r="G34" i="7"/>
  <c r="K7" i="10"/>
  <c r="F38" i="9"/>
  <c r="M38" i="9" s="1"/>
  <c r="E38" i="9"/>
  <c r="D38" i="9"/>
  <c r="F37" i="9"/>
  <c r="E37" i="9"/>
  <c r="N37" i="9" s="1"/>
  <c r="Q37" i="9" s="1"/>
  <c r="D37" i="9"/>
  <c r="F36" i="9"/>
  <c r="E36" i="9"/>
  <c r="D36" i="9"/>
  <c r="G28" i="7"/>
  <c r="G26" i="7"/>
  <c r="C25" i="7"/>
  <c r="E25" i="7"/>
  <c r="F25" i="7"/>
  <c r="L4" i="10"/>
  <c r="L5" i="10"/>
  <c r="L6" i="10"/>
  <c r="C24" i="7"/>
  <c r="G24" i="7" s="1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/>
  <c r="N5" i="13"/>
  <c r="M3" i="13"/>
  <c r="M5" i="13"/>
  <c r="M4" i="13"/>
  <c r="L3" i="13"/>
  <c r="L5" i="13"/>
  <c r="L4" i="13"/>
  <c r="E22" i="7"/>
  <c r="F22" i="7" s="1"/>
  <c r="M3" i="11"/>
  <c r="G7" i="11"/>
  <c r="G10" i="1"/>
  <c r="I10" i="1"/>
  <c r="J10" i="1" s="1"/>
  <c r="G9" i="1"/>
  <c r="I9" i="1"/>
  <c r="J9" i="1" s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O10" i="11" s="1"/>
  <c r="K10" i="11"/>
  <c r="L10" i="11"/>
  <c r="N10" i="11" s="1"/>
  <c r="M10" i="11"/>
  <c r="G9" i="11"/>
  <c r="K9" i="11"/>
  <c r="L9" i="11"/>
  <c r="N9" i="11" s="1"/>
  <c r="M9" i="11"/>
  <c r="G8" i="11"/>
  <c r="K8" i="11"/>
  <c r="L8" i="11"/>
  <c r="N8" i="11" s="1"/>
  <c r="M8" i="11"/>
  <c r="K7" i="11"/>
  <c r="O7" i="11" s="1"/>
  <c r="L7" i="11"/>
  <c r="N7" i="11" s="1"/>
  <c r="M7" i="11"/>
  <c r="E21" i="7"/>
  <c r="F21" i="7" s="1"/>
  <c r="E20" i="7"/>
  <c r="F20" i="7" s="1"/>
  <c r="E19" i="7"/>
  <c r="F19" i="7" s="1"/>
  <c r="B5" i="10"/>
  <c r="H5" i="10" s="1"/>
  <c r="F5" i="10"/>
  <c r="J5" i="10" s="1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3" i="7"/>
  <c r="F3" i="7" s="1"/>
  <c r="E4" i="7"/>
  <c r="F4" i="7" s="1"/>
  <c r="E5" i="7"/>
  <c r="E6" i="7"/>
  <c r="F6" i="7" s="1"/>
  <c r="E7" i="7"/>
  <c r="F7" i="7" s="1"/>
  <c r="E8" i="7"/>
  <c r="F8" i="7" s="1"/>
  <c r="E9" i="7"/>
  <c r="F9" i="7" s="1"/>
  <c r="E10" i="7"/>
  <c r="F10" i="7" s="1"/>
  <c r="E11" i="7"/>
  <c r="E12" i="7"/>
  <c r="F12" i="7" s="1"/>
  <c r="E13" i="7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F13" i="7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M6" i="1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M4" i="11"/>
  <c r="M5" i="1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L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F11" i="7"/>
  <c r="F5" i="7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V41" i="9" l="1"/>
  <c r="N41" i="9"/>
  <c r="Q41" i="9" s="1"/>
  <c r="X41" i="9"/>
  <c r="V40" i="9"/>
  <c r="X40" i="9"/>
  <c r="M40" i="9"/>
  <c r="N39" i="9"/>
  <c r="Q39" i="9" s="1"/>
  <c r="V39" i="9"/>
  <c r="X39" i="9"/>
  <c r="M39" i="9"/>
  <c r="M37" i="9"/>
  <c r="V38" i="9"/>
  <c r="N38" i="9"/>
  <c r="Q38" i="9" s="1"/>
  <c r="X38" i="9"/>
  <c r="X37" i="9"/>
  <c r="V37" i="9"/>
  <c r="N36" i="9"/>
  <c r="Q36" i="9" s="1"/>
  <c r="X36" i="9"/>
  <c r="V36" i="9"/>
  <c r="M36" i="9"/>
  <c r="G25" i="7"/>
  <c r="G21" i="7"/>
  <c r="G17" i="7"/>
  <c r="G13" i="7"/>
  <c r="G9" i="7"/>
  <c r="G5" i="7"/>
  <c r="I6" i="10"/>
  <c r="K6" i="10" s="1"/>
  <c r="I4" i="10"/>
  <c r="K4" i="10" s="1"/>
  <c r="I5" i="10"/>
  <c r="K5" i="10" s="1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F35" i="9"/>
  <c r="X35" i="9" s="1"/>
  <c r="E35" i="9"/>
  <c r="D35" i="9"/>
  <c r="F34" i="9"/>
  <c r="E34" i="9"/>
  <c r="N34" i="9" s="1"/>
  <c r="Q34" i="9" s="1"/>
  <c r="D34" i="9"/>
  <c r="F33" i="9"/>
  <c r="E33" i="9"/>
  <c r="D33" i="9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N3" i="13"/>
  <c r="N4" i="13"/>
  <c r="M6" i="13"/>
  <c r="O6" i="13" s="1"/>
  <c r="L6" i="13"/>
  <c r="O3" i="13"/>
  <c r="F32" i="9"/>
  <c r="M32" i="9" s="1"/>
  <c r="E32" i="9"/>
  <c r="D32" i="9"/>
  <c r="F31" i="9"/>
  <c r="E31" i="9"/>
  <c r="N31" i="9" s="1"/>
  <c r="Q31" i="9" s="1"/>
  <c r="D31" i="9"/>
  <c r="F30" i="9"/>
  <c r="E30" i="9"/>
  <c r="D30" i="9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X29" i="9" s="1"/>
  <c r="E29" i="9"/>
  <c r="D29" i="9"/>
  <c r="F28" i="9"/>
  <c r="E28" i="9"/>
  <c r="N28" i="9" s="1"/>
  <c r="Q28" i="9" s="1"/>
  <c r="D28" i="9"/>
  <c r="F27" i="9"/>
  <c r="E27" i="9"/>
  <c r="D27" i="9"/>
  <c r="I3" i="10"/>
  <c r="K3" i="10" s="1"/>
  <c r="F26" i="9"/>
  <c r="X26" i="9" s="1"/>
  <c r="E26" i="9"/>
  <c r="D26" i="9"/>
  <c r="F25" i="9"/>
  <c r="V25" i="9" s="1"/>
  <c r="E25" i="9"/>
  <c r="D25" i="9"/>
  <c r="F24" i="9"/>
  <c r="M24" i="9" s="1"/>
  <c r="E24" i="9"/>
  <c r="D24" i="9"/>
  <c r="F23" i="9"/>
  <c r="M23" i="9" s="1"/>
  <c r="E23" i="9"/>
  <c r="D23" i="9"/>
  <c r="F22" i="9"/>
  <c r="E22" i="9"/>
  <c r="D22" i="9"/>
  <c r="F21" i="9"/>
  <c r="X21" i="9" s="1"/>
  <c r="E21" i="9"/>
  <c r="D21" i="9"/>
  <c r="F20" i="9"/>
  <c r="E20" i="9"/>
  <c r="D20" i="9"/>
  <c r="F19" i="9"/>
  <c r="X19" i="9" s="1"/>
  <c r="E19" i="9"/>
  <c r="D19" i="9"/>
  <c r="F18" i="9"/>
  <c r="X18" i="9" s="1"/>
  <c r="E18" i="9"/>
  <c r="D18" i="9"/>
  <c r="F17" i="9"/>
  <c r="E17" i="9"/>
  <c r="X17" i="9" s="1"/>
  <c r="D17" i="9"/>
  <c r="F16" i="9"/>
  <c r="E16" i="9"/>
  <c r="X16" i="9" s="1"/>
  <c r="D16" i="9"/>
  <c r="F15" i="9"/>
  <c r="E15" i="9"/>
  <c r="X15" i="9" s="1"/>
  <c r="D15" i="9"/>
  <c r="F14" i="9"/>
  <c r="E14" i="9"/>
  <c r="X14" i="9" s="1"/>
  <c r="C14" i="9"/>
  <c r="F13" i="9"/>
  <c r="E13" i="9"/>
  <c r="D13" i="9"/>
  <c r="X13" i="9" s="1"/>
  <c r="F12" i="9"/>
  <c r="E12" i="9"/>
  <c r="D12" i="9"/>
  <c r="X12" i="9" s="1"/>
  <c r="L11" i="9"/>
  <c r="W11" i="9" s="1"/>
  <c r="F11" i="9"/>
  <c r="E11" i="9"/>
  <c r="D11" i="9"/>
  <c r="X11" i="9" s="1"/>
  <c r="F10" i="9"/>
  <c r="E10" i="9"/>
  <c r="D10" i="9"/>
  <c r="X10" i="9" s="1"/>
  <c r="F9" i="9"/>
  <c r="D9" i="9"/>
  <c r="E9" i="9"/>
  <c r="X9" i="9" s="1"/>
  <c r="F8" i="9"/>
  <c r="X8" i="9" s="1"/>
  <c r="E8" i="9"/>
  <c r="D8" i="9"/>
  <c r="F7" i="9"/>
  <c r="E7" i="9"/>
  <c r="D7" i="9"/>
  <c r="X7" i="9" s="1"/>
  <c r="F6" i="9"/>
  <c r="E6" i="9"/>
  <c r="X6" i="9" s="1"/>
  <c r="D6" i="9"/>
  <c r="F5" i="9"/>
  <c r="E5" i="9"/>
  <c r="D5" i="9"/>
  <c r="X5" i="9" s="1"/>
  <c r="F3" i="9"/>
  <c r="F4" i="9"/>
  <c r="E4" i="9"/>
  <c r="X4" i="9" s="1"/>
  <c r="D4" i="9"/>
  <c r="D3" i="9"/>
  <c r="X3" i="9" s="1"/>
  <c r="V35" i="9" l="1"/>
  <c r="M35" i="9"/>
  <c r="N35" i="9"/>
  <c r="Q35" i="9" s="1"/>
  <c r="X34" i="9"/>
  <c r="V34" i="9"/>
  <c r="M34" i="9"/>
  <c r="N33" i="9"/>
  <c r="Q33" i="9" s="1"/>
  <c r="X33" i="9"/>
  <c r="V33" i="9"/>
  <c r="M33" i="9"/>
  <c r="O5" i="13"/>
  <c r="N6" i="13"/>
  <c r="O4" i="13"/>
  <c r="V31" i="9"/>
  <c r="V32" i="9"/>
  <c r="N32" i="9"/>
  <c r="Q32" i="9" s="1"/>
  <c r="X32" i="9"/>
  <c r="X31" i="9"/>
  <c r="M31" i="9"/>
  <c r="N30" i="9"/>
  <c r="Q30" i="9" s="1"/>
  <c r="X30" i="9"/>
  <c r="V30" i="9"/>
  <c r="M30" i="9"/>
  <c r="S7" i="12"/>
  <c r="T7" i="12" s="1"/>
  <c r="V29" i="9"/>
  <c r="N29" i="9"/>
  <c r="Q29" i="9" s="1"/>
  <c r="M29" i="9"/>
  <c r="X28" i="9"/>
  <c r="M28" i="9"/>
  <c r="V28" i="9"/>
  <c r="N27" i="9"/>
  <c r="Q27" i="9" s="1"/>
  <c r="X27" i="9"/>
  <c r="V27" i="9"/>
  <c r="M27" i="9"/>
  <c r="M26" i="9"/>
  <c r="V26" i="9"/>
  <c r="N26" i="9"/>
  <c r="Q26" i="9" s="1"/>
  <c r="M25" i="9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M22" i="9"/>
  <c r="X22" i="9"/>
  <c r="V22" i="9"/>
  <c r="N22" i="9"/>
  <c r="Q22" i="9" s="1"/>
  <c r="N3" i="9"/>
  <c r="Q3" i="9" s="1"/>
  <c r="V18" i="9"/>
  <c r="M4" i="9"/>
  <c r="V4" i="9"/>
  <c r="M6" i="9"/>
  <c r="V6" i="9"/>
  <c r="M9" i="9"/>
  <c r="V9" i="9"/>
  <c r="V14" i="9"/>
  <c r="M19" i="9"/>
  <c r="V19" i="9"/>
  <c r="M7" i="9"/>
  <c r="V7" i="9"/>
  <c r="M11" i="9"/>
  <c r="V11" i="9"/>
  <c r="M12" i="9"/>
  <c r="V12" i="9"/>
  <c r="M17" i="9"/>
  <c r="V17" i="9"/>
  <c r="M5" i="9"/>
  <c r="V5" i="9"/>
  <c r="M15" i="9"/>
  <c r="V15" i="9"/>
  <c r="M20" i="9"/>
  <c r="M13" i="9"/>
  <c r="V13" i="9"/>
  <c r="N8" i="9"/>
  <c r="Q8" i="9" s="1"/>
  <c r="V8" i="9"/>
  <c r="M10" i="9"/>
  <c r="V10" i="9"/>
  <c r="M16" i="9"/>
  <c r="V16" i="9"/>
  <c r="M21" i="9"/>
  <c r="V21" i="9"/>
  <c r="V3" i="9"/>
  <c r="M14" i="9"/>
  <c r="M3" i="9"/>
  <c r="M8" i="9"/>
  <c r="N18" i="9"/>
  <c r="Q18" i="9" s="1"/>
  <c r="M18" i="9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S8" i="12" l="1"/>
  <c r="T8" i="12" s="1"/>
</calcChain>
</file>

<file path=xl/sharedStrings.xml><?xml version="1.0" encoding="utf-8"?>
<sst xmlns="http://schemas.openxmlformats.org/spreadsheetml/2006/main" count="242" uniqueCount="114">
  <si>
    <t>FECHA</t>
  </si>
  <si>
    <t>TOTAL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</si>
  <si>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</si>
  <si>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</si>
  <si>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</si>
  <si>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</si>
  <si>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</si>
  <si>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</si>
  <si>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</si>
  <si>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</si>
  <si>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</si>
  <si>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</si>
  <si>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</si>
  <si>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</si>
  <si>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</si>
  <si>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</si>
  <si>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</si>
  <si>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</si>
  <si>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</si>
  <si>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</si>
  <si>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</si>
  <si>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</si>
  <si>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</si>
  <si>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</si>
  <si>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</si>
  <si>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</si>
  <si>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</si>
  <si>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</si>
  <si>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</si>
  <si>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</si>
  <si>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</si>
  <si>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</si>
  <si>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</si>
  <si>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</si>
  <si>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</si>
  <si>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</si>
  <si>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</si>
  <si>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</si>
  <si>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</si>
  <si>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</si>
  <si>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</si>
  <si>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</si>
  <si>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</si>
  <si>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</si>
  <si>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</si>
  <si>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</si>
  <si>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</si>
  <si>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</si>
  <si>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</si>
  <si>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</si>
  <si>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</si>
  <si>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</si>
  <si>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</si>
  <si>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</si>
  <si>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</si>
  <si>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</si>
  <si>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</si>
  <si>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</si>
  <si>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</si>
  <si>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</si>
  <si>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</si>
  <si>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</si>
  <si>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</si>
  <si>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</si>
  <si>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</si>
  <si>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</si>
  <si>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</si>
  <si>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</si>
  <si>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</si>
  <si>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</si>
  <si>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</si>
  <si>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</si>
  <si>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</si>
  <si>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</si>
  <si>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</si>
  <si>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</si>
  <si>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</si>
  <si>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</si>
  <si>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</si>
  <si>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</si>
  <si>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</si>
  <si>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</si>
  <si>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</si>
  <si>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</si>
  <si>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</si>
  <si>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</si>
  <si>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</si>
  <si>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</si>
  <si>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</si>
  <si>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</si>
  <si>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</si>
  <si>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</si>
  <si>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</si>
  <si>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</si>
  <si>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</si>
  <si>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</si>
  <si>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</si>
  <si>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</si>
  <si>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</si>
  <si>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</si>
  <si>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</si>
  <si>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</si>
  <si>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</si>
  <si>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</si>
  <si>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</si>
  <si>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INICIAL TOTAL</t>
  </si>
  <si>
    <t>CAPITAL FINAL TOTAL</t>
  </si>
  <si>
    <t>% DEL TOTAL CAPITAL</t>
  </si>
  <si>
    <t>CRIPTOMONEDAS</t>
  </si>
  <si>
    <t>TOTAL G/P</t>
  </si>
  <si>
    <t>CAPITAL INVERTIDO ESTE MES</t>
  </si>
  <si>
    <t>PRECIO DEL DÓLAR</t>
  </si>
  <si>
    <t>VALOR INVERSION 1</t>
  </si>
  <si>
    <t>VALOR EN 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</si>
</sst>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</cellXfs>
  <cellStyles count="3">
    <cellStyle name="Moneda" xfId="2" builtinId="4"/>
    <cellStyle name="Normal" xfId="0" builtinId="0"/>
    <cellStyle name="Porcentaje" xfId="1" builtinId="5"/>
  </cellStyles>
  <dxfs count="103"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 xr9:uid="{00000000-0011-0000-FFFF-FFFF00000000}">
      <tableStyleElement type="wholeTable" dxfId="102"/>
      <tableStyleElement type="headerRow" dxfId="101"/>
      <tableStyleElement type="secondRowStripe" dxfId="100"/>
    </tableStyle>
    <tableStyle name="Estilo de tabla 2" pivot="0" count="5" xr9:uid="{00000000-0011-0000-FFFF-FFFF01000000}">
      <tableStyleElement type="wholeTable" dxfId="99"/>
      <tableStyleElement type="headerRow" dxfId="98"/>
      <tableStyleElement type="firstRowStripe" dxfId="97"/>
      <tableStyleElement type="secondRowStripe" dxfId="96"/>
      <tableStyleElement type="firstColumnStripe" dxfId="95"/>
    </tableStyle>
    <tableStyle name="Estilo de tabla 3" pivot="0" count="3" xr9:uid="{00000000-0011-0000-FFFF-FFFF02000000}">
      <tableStyleElement type="headerRow" dxfId="94"/>
      <tableStyleElement type="firstRowStripe" dxfId="93"/>
      <tableStyleElement type="secondRowStripe" dxfId="92"/>
    </tableStyle>
    <tableStyle name="Estilo de tabla 4" pivot="0" count="4" xr9:uid="{00000000-0011-0000-FFFF-FFFF03000000}">
      <tableStyleElement type="wholeTable" dxfId="91"/>
      <tableStyleElement type="headerRow" dxfId="90"/>
      <tableStyleElement type="firstRowStripe" dxfId="89"/>
      <tableStyleElement type="secondRowStripe" dxfId="88"/>
    </tableStyle>
    <tableStyle name="Estilo de tabla 5" pivot="0" count="4" xr9:uid="{00000000-0011-0000-FFFF-FFFF04000000}">
      <tableStyleElement type="wholeTable" dxfId="87"/>
      <tableStyleElement type="headerRow" dxfId="86"/>
      <tableStyleElement type="firstRowStripe" dxfId="85"/>
      <tableStyleElement type="secondRowStripe" dxfId="84"/>
    </tableStyle>
  </tableStyles>
  <colors>
    <mruColors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CRIPTOS!$B$3:$B$123</c:f>
              <c:numCache>
                <c:formatCode>m/d/yyyy</c:formatCode>
                <c:ptCount val="121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</c:numCache>
            </c:numRef>
          </c:cat>
          <c:val>
            <c:numRef>
              <c:f>CRIPTOS!$C$3:$C$123</c:f>
              <c:numCache>
                <c:formatCode>_-[$$-240A]\ * #,##0.00_-;\-[$$-240A]\ * #,##0.00_-;_-[$$-240A]\ * "-"??_-;_-@_-</c:formatCode>
                <c:ptCount val="121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CRIPTOS!$B$3:$B$123</c:f>
              <c:numCache>
                <c:formatCode>m/d/yyyy</c:formatCode>
                <c:ptCount val="121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</c:numCache>
            </c:numRef>
          </c:cat>
          <c:val>
            <c:numRef>
              <c:f>CRIPTOS!$D$3:$D$123</c:f>
              <c:numCache>
                <c:formatCode>_-[$$-240A]\ * #,##0.00_-;\-[$$-240A]\ * #,##0.00_-;_-[$$-240A]\ * "-"??_-;_-@_-</c:formatCode>
                <c:ptCount val="121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CRIPTOS!$B$3:$B$123</c:f>
              <c:numCache>
                <c:formatCode>m/d/yyyy</c:formatCode>
                <c:ptCount val="121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</c:numCache>
            </c:numRef>
          </c:cat>
          <c:val>
            <c:numRef>
              <c:f>CRIPTOS!$E$3:$E$123</c:f>
              <c:numCache>
                <c:formatCode>_-[$$-240A]\ * #,##0.00_-;\-[$$-240A]\ * #,##0.00_-;_-[$$-240A]\ * "-"??_-;_-@_-</c:formatCode>
                <c:ptCount val="121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CRIPTOS!$B$3:$B$123</c:f>
              <c:numCache>
                <c:formatCode>m/d/yyyy</c:formatCode>
                <c:ptCount val="121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</c:numCache>
            </c:numRef>
          </c:cat>
          <c:val>
            <c:numRef>
              <c:f>CRIPTOS!$F$3:$F$123</c:f>
              <c:numCache>
                <c:formatCode>_-[$$-240A]\ * #,##0.00_-;\-[$$-240A]\ * #,##0.00_-;_-[$$-240A]\ * "-"??_-;_-@_-</c:formatCode>
                <c:ptCount val="121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CRIPTOS!$B$3:$B$123</c:f>
              <c:numCache>
                <c:formatCode>m/d/yyyy</c:formatCode>
                <c:ptCount val="121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</c:numCache>
            </c:numRef>
          </c:cat>
          <c:val>
            <c:numRef>
              <c:f>CRIPTOS!$G$3:$G$123</c:f>
              <c:numCache>
                <c:formatCode>_-[$$-240A]\ * #,##0.00_-;\-[$$-240A]\ * #,##0.00_-;_-[$$-240A]\ * "-"??_-;_-@_-</c:formatCode>
                <c:ptCount val="121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Bolsa'!$B$3:$B$38</c:f>
              <c:numCache>
                <c:formatCode>m/d/yyyy</c:formatCode>
                <c:ptCount val="36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</c:numCache>
            </c:numRef>
          </c:cat>
          <c:val>
            <c:numRef>
              <c:f>'Inv Bolsa'!$C$3:$C$38</c:f>
              <c:numCache>
                <c:formatCode>_("$"* #,##0.00_);_("$"* \(#,##0.00\);_("$"* "-"??_);_(@_)</c:formatCode>
                <c:ptCount val="36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Bolsa'!$B$3:$B$38</c:f>
              <c:numCache>
                <c:formatCode>m/d/yyyy</c:formatCode>
                <c:ptCount val="36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</c:numCache>
            </c:numRef>
          </c:cat>
          <c:val>
            <c:numRef>
              <c:f>'Inv Bolsa'!$D$3:$D$38</c:f>
              <c:numCache>
                <c:formatCode>_("$"* #,##0.00_);_("$"* \(#,##0.00\);_("$"* "-"??_);_(@_)</c:formatCode>
                <c:ptCount val="36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Bolsa'!$B$3:$B$38</c:f>
              <c:numCache>
                <c:formatCode>m/d/yyyy</c:formatCode>
                <c:ptCount val="36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</c:numCache>
            </c:numRef>
          </c:cat>
          <c:val>
            <c:numRef>
              <c:f>'Inv Bolsa'!$E$3:$E$38</c:f>
              <c:numCache>
                <c:formatCode>_("$"* #,##0.00_);_("$"* \(#,##0.00\);_("$"* "-"??_);_(@_)</c:formatCode>
                <c:ptCount val="36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Bolsa'!$B$3:$B$38</c:f>
              <c:numCache>
                <c:formatCode>m/d/yyyy</c:formatCode>
                <c:ptCount val="36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</c:numCache>
            </c:numRef>
          </c:cat>
          <c:val>
            <c:numRef>
              <c:f>'Inv Bolsa'!$F$3:$F$38</c:f>
              <c:numCache>
                <c:formatCode>_("$"* #,##0.00_);_("$"* \(#,##0.00\);_("$"* "-"??_);_(@_)</c:formatCode>
                <c:ptCount val="36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Bolsa'!$B$3:$B$38</c:f>
              <c:numCache>
                <c:formatCode>m/d/yyyy</c:formatCode>
                <c:ptCount val="36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</c:numCache>
            </c:numRef>
          </c:cat>
          <c:val>
            <c:numRef>
              <c:f>'Inv Bolsa'!$G$3:$G$38</c:f>
              <c:numCache>
                <c:formatCode>_("$"* #,##0.00_);_("$"* \(#,##0.00\);_("$"* "-"??_);_(@_)</c:formatCode>
                <c:ptCount val="36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BOLSA!$B$3:$B$51</c:f>
              <c:numCache>
                <c:formatCode>m/d/yyyy</c:formatCode>
                <c:ptCount val="49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</c:numCache>
            </c:numRef>
          </c:cat>
          <c:val>
            <c:numRef>
              <c:f>BOLSA!$C$3:$C$51</c:f>
              <c:numCache>
                <c:formatCode>_-[$$-240A]\ * #,##0.00_-;\-[$$-240A]\ * #,##0.00_-;_-[$$-240A]\ * "-"??_-;_-@_-</c:formatCode>
                <c:ptCount val="49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BOLSA!$B$3:$B$51</c:f>
              <c:numCache>
                <c:formatCode>m/d/yyyy</c:formatCode>
                <c:ptCount val="49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</c:numCache>
            </c:numRef>
          </c:cat>
          <c:val>
            <c:numRef>
              <c:f>BOLSA!$D$3:$D$51</c:f>
              <c:numCache>
                <c:formatCode>_-[$$-240A]\ * #,##0.00_-;\-[$$-240A]\ * #,##0.00_-;_-[$$-240A]\ * "-"??_-;_-@_-</c:formatCode>
                <c:ptCount val="49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BOLSA!$B$3:$B$51</c:f>
              <c:numCache>
                <c:formatCode>m/d/yyyy</c:formatCode>
                <c:ptCount val="49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</c:numCache>
            </c:numRef>
          </c:cat>
          <c:val>
            <c:numRef>
              <c:f>BOLSA!$E$3:$E$51</c:f>
              <c:numCache>
                <c:formatCode>_-[$$-240A]\ * #,##0.00_-;\-[$$-240A]\ * #,##0.00_-;_-[$$-240A]\ * "-"??_-;_-@_-</c:formatCode>
                <c:ptCount val="49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BOLSA!$B$3:$B$51</c:f>
              <c:numCache>
                <c:formatCode>m/d/yyyy</c:formatCode>
                <c:ptCount val="49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</c:numCache>
            </c:numRef>
          </c:cat>
          <c:val>
            <c:numRef>
              <c:f>BOLSA!$F$3:$F$51</c:f>
              <c:numCache>
                <c:formatCode>_-[$$-240A]\ * #,##0.00_-;\-[$$-240A]\ * #,##0.00_-;_-[$$-240A]\ * "-"??_-;_-@_-</c:formatCode>
                <c:ptCount val="49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BOLSA!$B$3:$B$51</c:f>
              <c:numCache>
                <c:formatCode>m/d/yyyy</c:formatCode>
                <c:ptCount val="49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</c:numCache>
            </c:numRef>
          </c:cat>
          <c:val>
            <c:numRef>
              <c:f>BOLSA!$G$3:$G$51</c:f>
              <c:numCache>
                <c:formatCode>_-[$$-240A]\ * #,##0.00_-;\-[$$-240A]\ * #,##0.00_-;_-[$$-240A]\ * "-"??_-;_-@_-</c:formatCode>
                <c:ptCount val="49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BOLSA!$B$3:$B$51</c:f>
              <c:numCache>
                <c:formatCode>m/d/yyyy</c:formatCode>
                <c:ptCount val="49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</c:numCache>
            </c:numRef>
          </c:cat>
          <c:val>
            <c:numRef>
              <c:f>BOLSA!$H$3:$H$51</c:f>
              <c:numCache>
                <c:formatCode>_-[$$-240A]\ * #,##0.00_-;\-[$$-240A]\ * #,##0.00_-;_-[$$-240A]\ * "-"??_-;_-@_-</c:formatCode>
                <c:ptCount val="49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BOLSA!$B$3:$B$51</c:f>
              <c:numCache>
                <c:formatCode>m/d/yyyy</c:formatCode>
                <c:ptCount val="49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</c:numCache>
            </c:numRef>
          </c:cat>
          <c:val>
            <c:numRef>
              <c:f>BOLSA!$I$3:$I$51</c:f>
              <c:numCache>
                <c:formatCode>_-[$$-240A]\ * #,##0.00_-;\-[$$-240A]\ * #,##0.00_-;_-[$$-240A]\ * "-"??_-;_-@_-</c:formatCode>
                <c:ptCount val="49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BOLSA!$B$3:$B$51</c:f>
              <c:numCache>
                <c:formatCode>m/d/yyyy</c:formatCode>
                <c:ptCount val="49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</c:numCache>
            </c:numRef>
          </c:cat>
          <c:val>
            <c:numRef>
              <c:f>BOLSA!$J$3:$J$51</c:f>
              <c:numCache>
                <c:formatCode>_-[$$-240A]\ * #,##0.00_-;\-[$$-240A]\ * #,##0.00_-;_-[$$-240A]\ * "-"??_-;_-@_-</c:formatCode>
                <c:ptCount val="49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BOLSA!$B$3:$B$51</c:f>
              <c:numCache>
                <c:formatCode>m/d/yyyy</c:formatCode>
                <c:ptCount val="49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</c:numCache>
            </c:numRef>
          </c:cat>
          <c:val>
            <c:numRef>
              <c:f>BOLSA!$K$3:$K$51</c:f>
              <c:numCache>
                <c:formatCode>_-[$$-240A]\ * #,##0.00_-;\-[$$-240A]\ * #,##0.00_-;_-[$$-240A]\ * "-"??_-;_-@_-</c:formatCode>
                <c:ptCount val="49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0</xdr:row>
      <xdr:rowOff>166687</xdr:rowOff>
    </xdr:from>
    <xdr:to>
      <xdr:col>28</xdr:col>
      <xdr:colOff>638174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a8" displayName="Tabla8" ref="B2:I16" totalsRowShown="0">
  <autoFilter ref="B2:I16" xr:uid="{00000000-0009-0000-0100-000008000000}"/>
  <tableColumns count="8">
    <tableColumn id="1" xr3:uid="{00000000-0010-0000-0000-000001000000}" name="MES"/>
    <tableColumn id="2" xr3:uid="{00000000-0010-0000-0000-000002000000}" name="TIPO DE INVERSION"/>
    <tableColumn id="7" xr3:uid="{00000000-0010-0000-0000-000007000000}" name="NOMBRE"/>
    <tableColumn id="3" xr3:uid="{00000000-0010-0000-0000-000003000000}" name="CAPITAL A INICIO DE MES" dataCellStyle="Moneda"/>
    <tableColumn id="8" xr3:uid="{00000000-0010-0000-0000-000008000000}" name="CAPITAL INVERTIDO ESTE MES" dataDxfId="83" dataCellStyle="Moneda"/>
    <tableColumn id="4" xr3:uid="{00000000-0010-0000-0000-000004000000}" name="CAPITAL A FIN DE MES" dataCellStyle="Moneda"/>
    <tableColumn id="5" xr3:uid="{00000000-0010-0000-0000-000005000000}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xr3:uid="{00000000-0010-0000-0000-000006000000}" name="RENTABILIDAD"/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a3" displayName="Tabla3" ref="B2:T14" totalsRowShown="0" headerRowDxfId="21">
  <autoFilter ref="B2:T14" xr:uid="{00000000-0009-0000-0100-000003000000}"/>
  <tableColumns count="19">
    <tableColumn id="1" xr3:uid="{00000000-0010-0000-0900-000001000000}" name="FECHA ACTUAL" dataDxfId="20">
      <calculatedColumnFormula>TODAY()</calculatedColumnFormula>
    </tableColumn>
    <tableColumn id="2" xr3:uid="{00000000-0010-0000-0900-000002000000}" name="PRECIO ACT KO" dataDxfId="19" dataCellStyle="Moneda">
      <calculatedColumnFormula>VLOOKUP(B3,Tabla1[],5,FALSE)</calculatedColumnFormula>
    </tableColumn>
    <tableColumn id="3" xr3:uid="{00000000-0010-0000-0900-000003000000}" name="PRECIO ACT JNJ" dataDxfId="18">
      <calculatedColumnFormula>VLOOKUP(B3,Tabla1[],6,FALSE)</calculatedColumnFormula>
    </tableColumn>
    <tableColumn id="4" xr3:uid="{00000000-0010-0000-0900-000004000000}" name="PRECIO ACT PG" dataDxfId="17">
      <calculatedColumnFormula>VLOOKUP(B3,Tabla1[],7,FALSE)</calculatedColumnFormula>
    </tableColumn>
    <tableColumn id="5" xr3:uid="{00000000-0010-0000-0900-000005000000}" name="PRECIO ACT PEP" dataDxfId="16">
      <calculatedColumnFormula>VLOOKUP(B3,Tabla1[],8,FALSE)</calculatedColumnFormula>
    </tableColumn>
    <tableColumn id="6" xr3:uid="{00000000-0010-0000-0900-000006000000}" name="PRECIO ACT MSFT" dataDxfId="15">
      <calculatedColumnFormula>VLOOKUP(B3,Tabla1[],9,FALSE)</calculatedColumnFormula>
    </tableColumn>
    <tableColumn id="7" xr3:uid="{00000000-0010-0000-0900-000007000000}" name="PRECIO ACT MCD" dataDxfId="14">
      <calculatedColumnFormula>VLOOKUP(B3,Tabla1[],10,FALSE)</calculatedColumnFormula>
    </tableColumn>
    <tableColumn id="20" xr3:uid="{00000000-0010-0000-0900-000014000000}" name="PRECIO ACT VOO" dataDxfId="13">
      <calculatedColumnFormula>VLOOKUP(B3,Tabla2[],3,FALSE)</calculatedColumnFormula>
    </tableColumn>
    <tableColumn id="8" xr3:uid="{00000000-0010-0000-0900-000008000000}" name="EMPRESA" dataDxfId="12"/>
    <tableColumn id="9" xr3:uid="{00000000-0010-0000-0900-000009000000}" name="FECHA COMPRA" dataDxfId="11"/>
    <tableColumn id="10" xr3:uid="{00000000-0010-0000-0900-00000A000000}" name="PRECIO COMPRA" dataDxfId="10" dataCellStyle="Moneda"/>
    <tableColumn id="11" xr3:uid="{00000000-0010-0000-0900-00000B000000}" name="CAPITAL INVE" dataDxfId="9" dataCellStyle="Moneda"/>
    <tableColumn id="12" xr3:uid="{00000000-0010-0000-0900-00000C000000}" name="CANTIDAD DE ACCIONES" dataDxfId="8" dataCellStyle="Moneda">
      <calculatedColumnFormula>(M3/L3)</calculatedColumnFormula>
    </tableColumn>
    <tableColumn id="13" xr3:uid="{00000000-0010-0000-0900-00000D000000}" name="VALOR ACTUAL INVE" dataDxfId="7" dataCellStyle="Moneda">
      <calculatedColumnFormula>ROUND(IF(J3="KO",N3*C3,IF(J3="JNJ",N3*D3,IF(J3="PG",N3*E3,IF(J3="PEP",N3*F3,IF(J3="MSFT",N3*G3,IF(J3="MCD",N3*H3,IF(J3="VOO",N3*I3,0))))))),2)</calculatedColumnFormula>
    </tableColumn>
    <tableColumn id="14" xr3:uid="{00000000-0010-0000-0900-00000E000000}" name="FECHA DIVIDENDO" dataDxfId="6"/>
    <tableColumn id="15" xr3:uid="{00000000-0010-0000-0900-00000F000000}" name="VALOR DIVIDENDO POR ACCION" dataDxfId="5" dataCellStyle="Moneda"/>
    <tableColumn id="16" xr3:uid="{00000000-0010-0000-0900-000010000000}" name="TOTAL DIVIDENDO RECIBIDO" dataDxfId="4" dataCellStyle="Moneda">
      <calculatedColumnFormula>ROUND(Q3*N3,2)</calculatedColumnFormula>
    </tableColumn>
    <tableColumn id="17" xr3:uid="{00000000-0010-0000-0900-000011000000}" name="GANACIA/PERDIDA" dataDxfId="3" dataCellStyle="Moneda">
      <calculatedColumnFormula>ROUND(O3-M3,2)</calculatedColumnFormula>
    </tableColumn>
    <tableColumn id="18" xr3:uid="{00000000-0010-0000-0900-000012000000}" name="RENTABILIDAD" dataDxfId="2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a10" displayName="Tabla10" ref="K2:O6" totalsRowShown="0">
  <autoFilter ref="K2:O6" xr:uid="{00000000-0009-0000-0100-00000A000000}"/>
  <tableColumns count="5">
    <tableColumn id="1" xr3:uid="{00000000-0010-0000-0100-000001000000}" name="TIPO DE INVERSION"/>
    <tableColumn id="2" xr3:uid="{00000000-0010-0000-0100-000002000000}" name="CAPITAL INICIAL TOTAL" dataCellStyle="Moneda"/>
    <tableColumn id="3" xr3:uid="{00000000-0010-0000-0100-000003000000}" name="CAPITAL FINAL TOTAL" dataCellStyle="Moneda"/>
    <tableColumn id="6" xr3:uid="{00000000-0010-0000-0100-000006000000}" name="TOTAL G/P" dataDxfId="82" dataCellStyle="Moneda">
      <calculatedColumnFormula>SUMIF(C:C,"CRIPTOMONEDA",H:H)</calculatedColumnFormula>
    </tableColumn>
    <tableColumn id="4" xr3:uid="{00000000-0010-0000-0100-000004000000}" name="% DEL TOTAL CAPITAL" dataDxfId="81" dataCellStyle="Porcentaje">
      <calculatedColumnFormula>M3/SUM(M3:M5)</calculatedColumnFormula>
    </tableColumn>
  </tableColumns>
  <tableStyleInfo name="Estilo de tabla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7" displayName="Tabla7" ref="B2:J10" totalsRowShown="0" headerRowDxfId="80">
  <autoFilter ref="B2:J10" xr:uid="{00000000-0009-0000-0100-000007000000}"/>
  <tableColumns count="9">
    <tableColumn id="1" xr3:uid="{00000000-0010-0000-0200-000001000000}" name="MES"/>
    <tableColumn id="2" xr3:uid="{00000000-0010-0000-0200-000002000000}" name="CUENTA"/>
    <tableColumn id="3" xr3:uid="{00000000-0010-0000-0200-000003000000}" name="CANTIDAD INICIAL" dataDxfId="79"/>
    <tableColumn id="4" xr3:uid="{00000000-0010-0000-0200-000004000000}" name="CAPITAL INVERTIDO" dataDxfId="78"/>
    <tableColumn id="5" xr3:uid="{00000000-0010-0000-0200-000005000000}" name="INTERES OBTENIDO" dataDxfId="77"/>
    <tableColumn id="6" xr3:uid="{00000000-0010-0000-0200-000006000000}" name="PORCENTAJE DE INTERES" dataDxfId="76" dataCellStyle="Porcentaje">
      <calculatedColumnFormula>(F3/(D3+E3))</calculatedColumnFormula>
    </tableColumn>
    <tableColumn id="7" xr3:uid="{00000000-0010-0000-0200-000007000000}" name="RETIROS DE CAPITAL" dataDxfId="75"/>
    <tableColumn id="8" xr3:uid="{00000000-0010-0000-0200-000008000000}" name="TOTAL CAPITAL FIN DE MES" dataDxfId="74">
      <calculatedColumnFormula>D3+E3+F3-H3</calculatedColumnFormula>
    </tableColumn>
    <tableColumn id="9" xr3:uid="{00000000-0010-0000-0200-000009000000}" name="RENTABILIDAD" dataDxfId="73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B2:G123" totalsRowShown="0">
  <autoFilter ref="B2:G123" xr:uid="{00000000-0009-0000-0100-000004000000}"/>
  <tableColumns count="6">
    <tableColumn id="1" xr3:uid="{00000000-0010-0000-0300-000001000000}" name="FECHA" dataDxfId="72"/>
    <tableColumn id="2" xr3:uid="{00000000-0010-0000-0300-000002000000}" name="DÓLAR" dataDxfId="71"/>
    <tableColumn id="3" xr3:uid="{00000000-0010-0000-0300-000003000000}" name="BITCOIN" dataDxfId="70"/>
    <tableColumn id="5" xr3:uid="{00000000-0010-0000-0300-000005000000}" name="io.net" dataDxfId="69"/>
    <tableColumn id="4" xr3:uid="{00000000-0010-0000-0300-000004000000}" name="ETHEREUM" dataDxfId="68"/>
    <tableColumn id="6" xr3:uid="{00000000-0010-0000-0300-000006000000}" name="USDT" dataDxfId="67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Z41" totalsRowShown="0">
  <autoFilter ref="B2:Z41" xr:uid="{00000000-0009-0000-0100-000006000000}">
    <filterColumn colId="23">
      <filters>
        <filter val="ACTIVA"/>
      </filters>
    </filterColumn>
  </autoFilter>
  <tableColumns count="25">
    <tableColumn id="1" xr3:uid="{00000000-0010-0000-0400-000001000000}" name="fecha act" dataDxfId="62">
      <calculatedColumnFormula>TODAY()</calculatedColumnFormula>
    </tableColumn>
    <tableColumn id="2" xr3:uid="{00000000-0010-0000-0400-000002000000}" name="precio actual dólar" dataDxfId="61">
      <calculatedColumnFormula>VLOOKUP(B3,Tabla4[],2,FALSE)</calculatedColumnFormula>
    </tableColumn>
    <tableColumn id="3" xr3:uid="{00000000-0010-0000-0400-000003000000}" name="precio actual btc" dataDxfId="60">
      <calculatedColumnFormula>VLOOKUP(B3,Tabla4[],3,FALSE)</calculatedColumnFormula>
    </tableColumn>
    <tableColumn id="4" xr3:uid="{00000000-0010-0000-0400-000004000000}" name="precio actul eth" dataDxfId="59">
      <calculatedColumnFormula>VLOOKUP(B3,Tabla4[],5,FALSE)</calculatedColumnFormula>
    </tableColumn>
    <tableColumn id="5" xr3:uid="{00000000-0010-0000-0400-000005000000}" name="precio actual io.net" dataDxfId="58">
      <calculatedColumnFormula>VLOOKUP(B3,Tabla4[],4,FALSE)</calculatedColumnFormula>
    </tableColumn>
    <tableColumn id="6" xr3:uid="{00000000-0010-0000-0400-000006000000}" name="moneda"/>
    <tableColumn id="27" xr3:uid="{00000000-0010-0000-0400-00001B000000}" name="FECHA COMPRA"/>
    <tableColumn id="20" xr3:uid="{00000000-0010-0000-0400-000014000000}" name="PRECIO DEL DÓLAR, DIA COMPRA" dataDxfId="57">
      <calculatedColumnFormula>VLOOKUP(H3,Tabla4[],2,FALSE)</calculatedColumnFormula>
    </tableColumn>
    <tableColumn id="7" xr3:uid="{00000000-0010-0000-0400-000007000000}" name="precio de compra" dataDxfId="56"/>
    <tableColumn id="8" xr3:uid="{00000000-0010-0000-0400-000008000000}" name="cantidad" dataDxfId="55" dataCellStyle="Porcentaje"/>
    <tableColumn id="18" xr3:uid="{00000000-0010-0000-0400-000012000000}" name="COSTO DE COMPRA" dataDxfId="54" dataCellStyle="Porcentaje">
      <calculatedColumnFormula>Tabla6[[#This Row],[precio de compra]]*Tabla6[[#This Row],[cantidad]]*Tabla6[[#This Row],[PRECIO DEL DÓLAR, DIA COMPRA]]</calculatedColumnFormula>
    </tableColumn>
    <tableColumn id="21" xr3:uid="{00000000-0010-0000-0400-000015000000}" name="VALOR ACTUAL INV" dataDxfId="53" dataCellStyle="Porcentaje">
      <calculatedColumnFormula xml:space="preserve"> K3 * (IF(G3="BTC", D3, IF(G3="ETH", E3, IF(G3="IO.NET", F3, 0)))) * C3</calculatedColumnFormula>
    </tableColumn>
    <tableColumn id="9" xr3:uid="{00000000-0010-0000-0400-000009000000}" name="rentabilidad" dataDxfId="52" dataCellStyle="Porcentaje">
      <calculatedColumnFormula>IF(G3 = "BTC", (D3 - J3) / J3,
 IF(G3 = "ETH", (E3 - J3) / J3,
 IF(G3 = "IO.NET", (F3 - J3) / J3,
 "Moneda no soportada")))</calculatedColumnFormula>
    </tableColumn>
    <tableColumn id="10" xr3:uid="{00000000-0010-0000-0400-00000A000000}" name="meta1" dataDxfId="51" dataCellStyle="Porcentaje"/>
    <tableColumn id="11" xr3:uid="{00000000-0010-0000-0400-00000B000000}" name="META2" dataDxfId="50" dataCellStyle="Porcentaje"/>
    <tableColumn id="12" xr3:uid="{00000000-0010-0000-0400-00000C000000}" name="ACCION" dataDxfId="49">
      <calculatedColumnFormula>IF(N3 &lt; O3, "MANTENER", IF(N3 &lt; P3, "VENTA PARCIAL", "VENDER"))</calculatedColumnFormula>
    </tableColumn>
    <tableColumn id="13" xr3:uid="{00000000-0010-0000-0400-00000D000000}" name="FECHA DE VENTA"/>
    <tableColumn id="17" xr3:uid="{00000000-0010-0000-0400-000011000000}" name="CANTIDAD VENDIDA"/>
    <tableColumn id="14" xr3:uid="{00000000-0010-0000-0400-00000E000000}" name="PRECIO DE VENTA" dataDxfId="48"/>
    <tableColumn id="23" xr3:uid="{00000000-0010-0000-0400-000017000000}" name="INVENTARIO" dataDxfId="47">
      <calculatedColumnFormula>Tabla6[[#This Row],[cantidad]]-Tabla6[[#This Row],[CANTIDAD VENDIDA]]</calculatedColumnFormula>
    </tableColumn>
    <tableColumn id="24" xr3:uid="{00000000-0010-0000-0400-000018000000}" name="VALOR ACTUAL" dataDxfId="46">
      <calculatedColumnFormula>IF(G3="BTC", D3 * U3 * C3, IF(G3="ETH", E3 * U3 * C3, IF(G3="IO.NET", F3 * U3 * C3, 0)))</calculatedColumnFormula>
    </tableColumn>
    <tableColumn id="15" xr3:uid="{00000000-0010-0000-0400-00000F000000}" name="GANANCIA/PERDIDA" dataDxfId="45">
      <calculatedColumnFormula>IF(G3 = "BTC", ((T3 - L3)), IF(G3 = "ETH", ((T3 - L3)), IF(G3 = "IO.NET", ((T3 - L3)), "Moneda no soportada")))</calculatedColumnFormula>
    </tableColumn>
    <tableColumn id="25" xr3:uid="{00000000-0010-0000-0400-000019000000}" name="RENTABILIDAD TOTAL" dataDxfId="44" dataCellStyle="Porcentaje">
      <calculatedColumnFormula>IF(G3 = "BTC", (((D3 - J3) / J3)),IF(G3 = "ETH", ((E3 - J3) / J3), IF(G3 = "IO.NET", ((F3 - J3) / J3), "Moneda no soportada")))</calculatedColumnFormula>
    </tableColumn>
    <tableColumn id="26" xr3:uid="{00000000-0010-0000-0400-00001A000000}" name="ESTADO DE LA INVERSION" dataDxfId="43">
      <calculatedColumnFormula>IF(U3=0,"VENDIDA","ACTIVA")</calculatedColumnFormula>
    </tableColumn>
    <tableColumn id="16" xr3:uid="{00000000-0010-0000-0400-000010000000}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5" displayName="Tabla5" ref="B2:L8" totalsRowShown="0">
  <autoFilter ref="B2:L8" xr:uid="{00000000-0009-0000-0100-000005000000}"/>
  <tableColumns count="11">
    <tableColumn id="1" xr3:uid="{00000000-0010-0000-0500-000001000000}" name="FECHA ACT" dataDxfId="42">
      <calculatedColumnFormula>TODAY()</calculatedColumnFormula>
    </tableColumn>
    <tableColumn id="11" xr3:uid="{00000000-0010-0000-0500-00000B000000}" name="FECHA COMPRA" dataDxfId="41"/>
    <tableColumn id="2" xr3:uid="{00000000-0010-0000-0500-000002000000}" name="PRECIO DEL USD,DIA COMPRA"/>
    <tableColumn id="3" xr3:uid="{00000000-0010-0000-0500-000003000000}" name="CANTIDAD COPRADA"/>
    <tableColumn id="4" xr3:uid="{00000000-0010-0000-0500-000004000000}" name="CONTO EN COP">
      <calculatedColumnFormula>D3*E3</calculatedColumnFormula>
    </tableColumn>
    <tableColumn id="5" xr3:uid="{00000000-0010-0000-0500-000005000000}" name="CANTIDAD TOTAL(USD)" dataDxfId="40">
      <calculatedColumnFormula>G2+E3</calculatedColumnFormula>
    </tableColumn>
    <tableColumn id="6" xr3:uid="{00000000-0010-0000-0500-000006000000}" name="PRECIO ACTUAL(USD)">
      <calculatedColumnFormula>VLOOKUP(B3,Tabla4[],6,FALSE)</calculatedColumnFormula>
    </tableColumn>
    <tableColumn id="7" xr3:uid="{00000000-0010-0000-0500-000007000000}" name="VALOR ACTUAL EN COP">
      <calculatedColumnFormula>G3*H3</calculatedColumnFormula>
    </tableColumn>
    <tableColumn id="8" xr3:uid="{00000000-0010-0000-0500-000008000000}" name="COSTO TOTAL EN COP">
      <calculatedColumnFormula>F3+J2</calculatedColumnFormula>
    </tableColumn>
    <tableColumn id="9" xr3:uid="{00000000-0010-0000-0500-000009000000}" name="RENTABILIDAD" dataDxfId="39" dataCellStyle="Porcentaje">
      <calculatedColumnFormula>((I3-J3)/J3)</calculatedColumnFormula>
    </tableColumn>
    <tableColumn id="10" xr3:uid="{00000000-0010-0000-0500-00000A000000}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a9" displayName="Tabla9" ref="B2:O10" totalsRowShown="0">
  <autoFilter ref="B2:O10" xr:uid="{00000000-0009-0000-0100-000009000000}"/>
  <tableColumns count="14">
    <tableColumn id="1" xr3:uid="{00000000-0010-0000-0600-000001000000}" name="MES" dataDxfId="38"/>
    <tableColumn id="2" xr3:uid="{00000000-0010-0000-0600-000002000000}" name="CRIPTOMONEDA"/>
    <tableColumn id="3" xr3:uid="{00000000-0010-0000-0600-000003000000}" name="CANTIDAD INICIAL"/>
    <tableColumn id="4" xr3:uid="{00000000-0010-0000-0600-000004000000}" name="PRECIO DÓLAR INICIAL"/>
    <tableColumn id="5" xr3:uid="{00000000-0010-0000-0600-000005000000}" name="PRECIO INICIAL USD" dataCellStyle="Moneda"/>
    <tableColumn id="6" xr3:uid="{00000000-0010-0000-0600-000006000000}" name="VALOR INICIAL EN COP">
      <calculatedColumnFormula>D3*F3*E3</calculatedColumnFormula>
    </tableColumn>
    <tableColumn id="7" xr3:uid="{00000000-0010-0000-0600-000007000000}" name="CANTIDAD A FIN DE MES"/>
    <tableColumn id="8" xr3:uid="{00000000-0010-0000-0600-000008000000}" name="PRECIO DÓLAR FINAL"/>
    <tableColumn id="9" xr3:uid="{00000000-0010-0000-0600-000009000000}" name="PRECIO A FIN DE MES(USD)"/>
    <tableColumn id="10" xr3:uid="{00000000-0010-0000-0600-00000A000000}" name="PRECIO FINAL(COP)">
      <calculatedColumnFormula>H3*J3*I3</calculatedColumnFormula>
    </tableColumn>
    <tableColumn id="11" xr3:uid="{00000000-0010-0000-0600-00000B000000}" name="DIFERENCIA DE CANTIDAD">
      <calculatedColumnFormula>H3-D3</calculatedColumnFormula>
    </tableColumn>
    <tableColumn id="12" xr3:uid="{00000000-0010-0000-0600-00000C000000}" name="DIFERENCIA EN PRECIO">
      <calculatedColumnFormula>J3-F3</calculatedColumnFormula>
    </tableColumn>
    <tableColumn id="13" xr3:uid="{00000000-0010-0000-0600-00000D000000}" name="PRECIO DE LA DIFERENCIA EN COP">
      <calculatedColumnFormula>L3*J3*I3</calculatedColumnFormula>
    </tableColumn>
    <tableColumn id="14" xr3:uid="{00000000-0010-0000-0600-00000E000000}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a2" displayName="Tabla2" ref="B2:G38" totalsRowShown="0">
  <autoFilter ref="B2:G38" xr:uid="{00000000-0009-0000-0100-000002000000}"/>
  <tableColumns count="6">
    <tableColumn id="1" xr3:uid="{00000000-0010-0000-0700-000001000000}" name="FECHA" dataDxfId="37"/>
    <tableColumn id="5" xr3:uid="{00000000-0010-0000-0700-000005000000}" name="PRECIO DEL DÓLAR" dataDxfId="36">
      <calculatedColumnFormula>VLOOKUP(B3,Tabla4[],2,FALSE)</calculatedColumnFormula>
    </tableColumn>
    <tableColumn id="2" xr3:uid="{00000000-0010-0000-0700-000002000000}" name="VOO" dataDxfId="35" dataCellStyle="Moneda"/>
    <tableColumn id="3" xr3:uid="{00000000-0010-0000-0700-000003000000}" name="VALOR INVERSION 1" dataDxfId="34">
      <calculatedColumnFormula>0.01518 * D3</calculatedColumnFormula>
    </tableColumn>
    <tableColumn id="4" xr3:uid="{00000000-0010-0000-0700-000004000000}" name="GAN/PER" dataDxfId="33">
      <calculatedColumnFormula>Tabla2[[#This Row],[VALOR INVERSION 1]]-7.7</calculatedColumnFormula>
    </tableColumn>
    <tableColumn id="6" xr3:uid="{00000000-0010-0000-0700-000006000000}" name="VALOR EN COP" dataDxfId="32">
      <calculatedColumnFormula>Tabla2[[#This Row],[VALOR INVERSION 1]]*Tabla2[[#This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Tabla1" displayName="Tabla1" ref="B2:K51" totalsRowShown="0" headerRowDxfId="31">
  <autoFilter ref="B2:K51" xr:uid="{00000000-0009-0000-0100-000001000000}"/>
  <tableColumns count="10">
    <tableColumn id="1" xr3:uid="{00000000-0010-0000-0800-000001000000}" name="FECHA"/>
    <tableColumn id="2" xr3:uid="{00000000-0010-0000-0800-000002000000}" name="DÓLAR" dataDxfId="30">
      <calculatedColumnFormula>VLOOKUP(B3,Tabla4[],2,FALSE)</calculatedColumnFormula>
    </tableColumn>
    <tableColumn id="3" xr3:uid="{00000000-0010-0000-0800-000003000000}" name="S&amp;P 500" dataDxfId="29"/>
    <tableColumn id="4" xr3:uid="{00000000-0010-0000-0800-000004000000}" name="NASDAQ-100" dataDxfId="28"/>
    <tableColumn id="5" xr3:uid="{00000000-0010-0000-0800-000005000000}" name="KO" dataDxfId="27"/>
    <tableColumn id="6" xr3:uid="{00000000-0010-0000-0800-000006000000}" name="JNJ" dataDxfId="26"/>
    <tableColumn id="7" xr3:uid="{00000000-0010-0000-0800-000007000000}" name="PG" dataDxfId="25"/>
    <tableColumn id="8" xr3:uid="{00000000-0010-0000-0800-000008000000}" name="PEP" dataDxfId="24"/>
    <tableColumn id="13" xr3:uid="{00000000-0010-0000-0800-00000D000000}" name="MSFT" dataDxfId="23"/>
    <tableColumn id="9" xr3:uid="{00000000-0010-0000-0800-000009000000}" name="MCD" dataDxfId="2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6"/>
  <sheetViews>
    <sheetView workbookViewId="0">
      <selection activeCell="G14" sqref="G14"/>
    </sheetView>
  </sheetViews>
  <sheetFormatPr baseColWidth="10" defaultRowHeight="15" x14ac:dyDescent="0.25"/>
  <cols>
    <col min="3" max="4" width="20.85546875" customWidth="1"/>
    <col min="5" max="6" width="25.85546875" customWidth="1"/>
    <col min="7" max="7" width="22.85546875" customWidth="1"/>
    <col min="8" max="8" width="21.7109375" customWidth="1"/>
    <col min="9" max="9" width="16.42578125" customWidth="1"/>
    <col min="11" max="11" width="20.85546875" customWidth="1"/>
    <col min="12" max="12" width="23.7109375" customWidth="1"/>
    <col min="13" max="14" width="22.140625" customWidth="1"/>
    <col min="15" max="15" width="22.5703125" customWidth="1"/>
  </cols>
  <sheetData>
    <row r="2" spans="2:15" x14ac:dyDescent="0.25">
      <c r="B2" t="s">
        <v>53</v>
      </c>
      <c r="C2" t="s">
        <v>99</v>
      </c>
      <c r="D2" t="s">
        <v>103</v>
      </c>
      <c r="E2" t="s">
        <v>101</v>
      </c>
      <c r="F2" t="s">
        <v>110</v>
      </c>
      <c r="G2" t="s">
        <v>100</v>
      </c>
      <c r="H2" t="s">
        <v>29</v>
      </c>
      <c r="I2" t="s">
        <v>48</v>
      </c>
      <c r="K2" t="s">
        <v>99</v>
      </c>
      <c r="L2" t="s">
        <v>105</v>
      </c>
      <c r="M2" t="s">
        <v>106</v>
      </c>
      <c r="N2" t="s">
        <v>109</v>
      </c>
      <c r="O2" t="s">
        <v>107</v>
      </c>
    </row>
    <row r="3" spans="2:15" x14ac:dyDescent="0.25">
      <c r="B3" t="s">
        <v>65</v>
      </c>
      <c r="C3" t="s">
        <v>102</v>
      </c>
      <c r="D3" t="s">
        <v>94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K3" t="s">
        <v>102</v>
      </c>
      <c r="L3" s="7">
        <f>SUMIF(C:C,"CUENTA DE AHORRO",E:E)</f>
        <v>45037.35</v>
      </c>
      <c r="M3" s="7">
        <f>SUMIF(C:C,"CUENTA DE AHORRO",G:G)</f>
        <v>25740.73</v>
      </c>
      <c r="N3" s="7">
        <f>SUMIF(C:C,"CUENTA DE AHORRO",H:H)</f>
        <v>-37496.619999999995</v>
      </c>
      <c r="O3" s="9">
        <f>M3/SUM(M3:M5)</f>
        <v>0.36574904245808215</v>
      </c>
    </row>
    <row r="4" spans="2:15" x14ac:dyDescent="0.25">
      <c r="B4" t="s">
        <v>65</v>
      </c>
      <c r="C4" t="s">
        <v>102</v>
      </c>
      <c r="D4" t="s">
        <v>97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K4" t="s">
        <v>108</v>
      </c>
      <c r="L4" s="7">
        <f>SUMIF(C:C,"CRIPTOMONEDA",E:E)</f>
        <v>26948.260000000002</v>
      </c>
      <c r="M4" s="7">
        <f>SUMIF(C:C,"CRIPTOMONEDA",G:G)</f>
        <v>13972.429999999998</v>
      </c>
      <c r="N4" s="7">
        <f>SUMIF(C:C,"CRIPTOMONEDA",H:H)</f>
        <v>-24625.829999999994</v>
      </c>
      <c r="O4" s="9">
        <f t="shared" ref="O4" si="0">M4/SUM(M4:M6)</f>
        <v>0.12148300694401998</v>
      </c>
    </row>
    <row r="5" spans="2:15" x14ac:dyDescent="0.25">
      <c r="B5" t="s">
        <v>65</v>
      </c>
      <c r="C5" t="s">
        <v>54</v>
      </c>
      <c r="D5" t="s">
        <v>15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K5" t="s">
        <v>104</v>
      </c>
      <c r="L5" s="7">
        <f>SUMIF(C:C,"BOLSA",E:E)</f>
        <v>62161.81</v>
      </c>
      <c r="M5" s="7">
        <f>SUMIF(C:C,"BOLSA",G:G)</f>
        <v>30664.959999999999</v>
      </c>
      <c r="N5" s="7">
        <f>SUMIF(C:C,"BOLSA",H:H)</f>
        <v>-31496.85</v>
      </c>
      <c r="O5" s="9">
        <f>M5/SUM(M5:M8)</f>
        <v>0.30348401889570276</v>
      </c>
    </row>
    <row r="6" spans="2:15" x14ac:dyDescent="0.25">
      <c r="B6" t="s">
        <v>65</v>
      </c>
      <c r="C6" t="s">
        <v>54</v>
      </c>
      <c r="D6" t="s">
        <v>16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K6" t="s">
        <v>1</v>
      </c>
      <c r="L6" s="7">
        <f>SUM(L3:L5)</f>
        <v>134147.41999999998</v>
      </c>
      <c r="M6" s="7">
        <f>SUM(M3:M5)</f>
        <v>70378.12</v>
      </c>
      <c r="N6" s="7">
        <f>SUM(N3:N5)</f>
        <v>-93619.299999999988</v>
      </c>
      <c r="O6" s="9">
        <f>M6/SUM(M6:M9)</f>
        <v>1</v>
      </c>
    </row>
    <row r="7" spans="2:15" x14ac:dyDescent="0.25">
      <c r="B7" t="s">
        <v>65</v>
      </c>
      <c r="C7" t="s">
        <v>54</v>
      </c>
      <c r="D7" t="s">
        <v>64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L7" s="7"/>
      <c r="M7" s="7"/>
      <c r="N7" s="7"/>
      <c r="O7" s="9"/>
    </row>
    <row r="8" spans="2:15" x14ac:dyDescent="0.25">
      <c r="B8" t="s">
        <v>65</v>
      </c>
      <c r="C8" t="s">
        <v>54</v>
      </c>
      <c r="D8" t="s">
        <v>42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</row>
    <row r="9" spans="2:15" x14ac:dyDescent="0.25">
      <c r="B9" t="s">
        <v>65</v>
      </c>
      <c r="C9" t="s">
        <v>104</v>
      </c>
      <c r="D9" t="s">
        <v>14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</row>
    <row r="10" spans="2:15" x14ac:dyDescent="0.25">
      <c r="B10" t="s">
        <v>86</v>
      </c>
      <c r="C10" t="s">
        <v>102</v>
      </c>
      <c r="D10" t="s">
        <v>94</v>
      </c>
      <c r="E10" s="7">
        <v>24997.599999999999</v>
      </c>
      <c r="F10" s="7">
        <v>6000</v>
      </c>
      <c r="G10" s="7"/>
      <c r="H10" s="7">
        <f>(Tabla8[[#This Row],[CAPITAL A FIN DE MES]]-(Tabla8[[#This Row],[CAPITAL A INICIO DE MES]]+Tabla8[[#This Row],[CAPITAL INVERTIDO ESTE MES]]))</f>
        <v>-30997.599999999999</v>
      </c>
    </row>
    <row r="11" spans="2:15" x14ac:dyDescent="0.25">
      <c r="B11" t="s">
        <v>86</v>
      </c>
      <c r="C11" t="s">
        <v>102</v>
      </c>
      <c r="D11" t="s">
        <v>97</v>
      </c>
      <c r="E11" s="7">
        <v>743.13</v>
      </c>
      <c r="F11" s="7">
        <v>6000</v>
      </c>
      <c r="G11" s="7"/>
      <c r="H11" s="7">
        <f>(Tabla8[[#This Row],[CAPITAL A FIN DE MES]]-(Tabla8[[#This Row],[CAPITAL A INICIO DE MES]]+Tabla8[[#This Row],[CAPITAL INVERTIDO ESTE MES]]))</f>
        <v>-6743.13</v>
      </c>
    </row>
    <row r="12" spans="2:15" x14ac:dyDescent="0.25">
      <c r="B12" t="s">
        <v>86</v>
      </c>
      <c r="C12" t="s">
        <v>54</v>
      </c>
      <c r="D12" t="s">
        <v>15</v>
      </c>
      <c r="E12" s="7">
        <v>6780.1</v>
      </c>
      <c r="F12" s="7">
        <v>2100</v>
      </c>
      <c r="G12" s="7"/>
      <c r="H12" s="7">
        <f>(Tabla8[[#This Row],[CAPITAL A FIN DE MES]]-(Tabla8[[#This Row],[CAPITAL A INICIO DE MES]]+Tabla8[[#This Row],[CAPITAL INVERTIDO ESTE MES]]))</f>
        <v>-8880.1</v>
      </c>
    </row>
    <row r="13" spans="2:15" x14ac:dyDescent="0.25">
      <c r="B13" t="s">
        <v>86</v>
      </c>
      <c r="C13" t="s">
        <v>54</v>
      </c>
      <c r="D13" t="s">
        <v>16</v>
      </c>
      <c r="E13" s="7">
        <v>3942.9</v>
      </c>
      <c r="F13" s="7">
        <v>2100</v>
      </c>
      <c r="G13" s="7"/>
      <c r="H13" s="7">
        <f>(Tabla8[[#This Row],[CAPITAL A FIN DE MES]]-(Tabla8[[#This Row],[CAPITAL A INICIO DE MES]]+Tabla8[[#This Row],[CAPITAL INVERTIDO ESTE MES]]))</f>
        <v>-6042.9</v>
      </c>
    </row>
    <row r="14" spans="2:15" x14ac:dyDescent="0.25">
      <c r="B14" t="s">
        <v>86</v>
      </c>
      <c r="C14" t="s">
        <v>54</v>
      </c>
      <c r="D14" t="s">
        <v>42</v>
      </c>
      <c r="E14" s="7">
        <v>2535.48</v>
      </c>
      <c r="F14" s="7">
        <v>1050</v>
      </c>
      <c r="G14" s="7"/>
      <c r="H14" s="7">
        <f>(Tabla8[[#This Row],[CAPITAL A FIN DE MES]]-(Tabla8[[#This Row],[CAPITAL A INICIO DE MES]]+Tabla8[[#This Row],[CAPITAL INVERTIDO ESTE MES]]))</f>
        <v>-3585.48</v>
      </c>
    </row>
    <row r="15" spans="2:15" x14ac:dyDescent="0.25">
      <c r="B15" t="s">
        <v>86</v>
      </c>
      <c r="C15" t="s">
        <v>54</v>
      </c>
      <c r="D15" t="s">
        <v>64</v>
      </c>
      <c r="E15" s="7">
        <v>1529.58</v>
      </c>
      <c r="F15" s="7">
        <v>2100</v>
      </c>
      <c r="G15" s="7"/>
      <c r="H15" s="7">
        <f>(Tabla8[[#This Row],[CAPITAL A FIN DE MES]]-(Tabla8[[#This Row],[CAPITAL A INICIO DE MES]]+Tabla8[[#This Row],[CAPITAL INVERTIDO ESTE MES]]))</f>
        <v>-3629.58</v>
      </c>
    </row>
    <row r="16" spans="2:15" x14ac:dyDescent="0.25">
      <c r="B16" t="s">
        <v>86</v>
      </c>
      <c r="C16" t="s">
        <v>104</v>
      </c>
      <c r="D16" t="s">
        <v>14</v>
      </c>
      <c r="E16" s="7">
        <v>30664.959999999999</v>
      </c>
      <c r="F16" s="7"/>
      <c r="G16" s="7"/>
      <c r="H16" s="7">
        <f>(Tabla8[[#This Row],[CAPITAL A FIN DE MES]]-(Tabla8[[#This Row],[CAPITAL A INICIO DE MES]]+Tabla8[[#This Row],[CAPITAL INVERTIDO ESTE MES]]))</f>
        <v>-30664.959999999999</v>
      </c>
    </row>
  </sheetData>
  <conditionalFormatting sqref="H1:H1048576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ignoredErrors>
    <ignoredError sqref="N3 N5:N6 H3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"/>
  <sheetViews>
    <sheetView workbookViewId="0">
      <selection activeCell="F19" sqref="F19"/>
    </sheetView>
  </sheetViews>
  <sheetFormatPr baseColWidth="10" defaultRowHeight="15" x14ac:dyDescent="0.25"/>
  <cols>
    <col min="2" max="2" width="17.140625" bestFit="1" customWidth="1"/>
    <col min="3" max="3" width="13.28515625" bestFit="1" customWidth="1"/>
    <col min="4" max="4" width="19.85546875" customWidth="1"/>
    <col min="5" max="5" width="21" customWidth="1"/>
    <col min="6" max="6" width="20.85546875" customWidth="1"/>
    <col min="7" max="7" width="26.140625" customWidth="1"/>
    <col min="8" max="8" width="21.85546875" customWidth="1"/>
    <col min="9" max="9" width="27.28515625" customWidth="1"/>
    <col min="10" max="10" width="16.42578125" customWidth="1"/>
    <col min="30" max="30" width="12.140625" bestFit="1" customWidth="1"/>
    <col min="31" max="31" width="14.28515625" bestFit="1" customWidth="1"/>
  </cols>
  <sheetData>
    <row r="2" spans="2:10" x14ac:dyDescent="0.25">
      <c r="B2" s="23" t="s">
        <v>53</v>
      </c>
      <c r="C2" s="23" t="s">
        <v>87</v>
      </c>
      <c r="D2" s="23" t="s">
        <v>55</v>
      </c>
      <c r="E2" s="23" t="s">
        <v>88</v>
      </c>
      <c r="F2" s="23" t="s">
        <v>89</v>
      </c>
      <c r="G2" s="23" t="s">
        <v>90</v>
      </c>
      <c r="H2" s="23" t="s">
        <v>91</v>
      </c>
      <c r="I2" s="23" t="s">
        <v>92</v>
      </c>
      <c r="J2" s="23" t="s">
        <v>48</v>
      </c>
    </row>
    <row r="3" spans="2:10" x14ac:dyDescent="0.25">
      <c r="B3" t="s">
        <v>93</v>
      </c>
      <c r="C3" t="s">
        <v>94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 x14ac:dyDescent="0.25">
      <c r="B4" t="s">
        <v>95</v>
      </c>
      <c r="C4" t="s">
        <v>94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 x14ac:dyDescent="0.25">
      <c r="B5" t="s">
        <v>96</v>
      </c>
      <c r="C5" t="s">
        <v>94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 x14ac:dyDescent="0.25">
      <c r="B6" t="s">
        <v>98</v>
      </c>
      <c r="C6" t="s">
        <v>94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 x14ac:dyDescent="0.25">
      <c r="B7" t="s">
        <v>65</v>
      </c>
      <c r="C7" t="s">
        <v>94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 x14ac:dyDescent="0.25">
      <c r="B8" t="s">
        <v>65</v>
      </c>
      <c r="C8" t="s">
        <v>97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 x14ac:dyDescent="0.25">
      <c r="B9" t="s">
        <v>86</v>
      </c>
      <c r="C9" t="s">
        <v>94</v>
      </c>
      <c r="D9" s="2">
        <v>24997.599999999999</v>
      </c>
      <c r="E9" s="2">
        <v>6000</v>
      </c>
      <c r="F9" s="2"/>
      <c r="G9" s="12">
        <f t="shared" si="0"/>
        <v>0</v>
      </c>
      <c r="H9" s="2"/>
      <c r="I9" s="2">
        <f t="shared" si="1"/>
        <v>30997.599999999999</v>
      </c>
      <c r="J9" s="12">
        <f t="shared" si="2"/>
        <v>0</v>
      </c>
    </row>
    <row r="10" spans="2:10" x14ac:dyDescent="0.25">
      <c r="B10" t="s">
        <v>86</v>
      </c>
      <c r="C10" t="s">
        <v>97</v>
      </c>
      <c r="D10" s="2">
        <v>743.73</v>
      </c>
      <c r="E10" s="2">
        <v>6000</v>
      </c>
      <c r="F10" s="2"/>
      <c r="G10" s="12">
        <f t="shared" si="0"/>
        <v>0</v>
      </c>
      <c r="H10" s="2"/>
      <c r="I10" s="2">
        <f t="shared" si="1"/>
        <v>6743.73</v>
      </c>
      <c r="J10" s="12">
        <f t="shared" si="2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23"/>
  <sheetViews>
    <sheetView topLeftCell="A105" zoomScaleNormal="100" workbookViewId="0">
      <selection activeCell="E124" sqref="E124"/>
    </sheetView>
  </sheetViews>
  <sheetFormatPr baseColWidth="10" defaultRowHeight="15" x14ac:dyDescent="0.25"/>
  <cols>
    <col min="3" max="3" width="11.5703125" bestFit="1" customWidth="1"/>
    <col min="4" max="4" width="12" bestFit="1" customWidth="1"/>
    <col min="5" max="5" width="12" customWidth="1"/>
    <col min="6" max="7" width="13.140625" customWidth="1"/>
  </cols>
  <sheetData>
    <row r="2" spans="2:7" x14ac:dyDescent="0.25">
      <c r="B2" t="s">
        <v>0</v>
      </c>
      <c r="C2" t="s">
        <v>2</v>
      </c>
      <c r="D2" t="s">
        <v>3</v>
      </c>
      <c r="E2" t="s">
        <v>5</v>
      </c>
      <c r="F2" t="s">
        <v>4</v>
      </c>
      <c r="G2" t="s">
        <v>64</v>
      </c>
    </row>
    <row r="3" spans="2:7" x14ac:dyDescent="0.25">
      <c r="B3" s="1">
        <v>45404</v>
      </c>
      <c r="C3" s="3">
        <v>3912.77</v>
      </c>
      <c r="D3" s="3">
        <v>66429</v>
      </c>
      <c r="E3" s="3"/>
      <c r="F3" s="3"/>
      <c r="G3" s="3"/>
    </row>
    <row r="4" spans="2:7" x14ac:dyDescent="0.25">
      <c r="B4" s="1">
        <v>45405</v>
      </c>
      <c r="C4" s="3">
        <v>3910.09</v>
      </c>
      <c r="D4" s="3">
        <v>66429</v>
      </c>
      <c r="E4" s="3"/>
      <c r="F4" s="3"/>
      <c r="G4" s="3"/>
    </row>
    <row r="5" spans="2:7" x14ac:dyDescent="0.25">
      <c r="B5" s="1">
        <v>45406</v>
      </c>
      <c r="C5" s="3">
        <v>3906.66</v>
      </c>
      <c r="D5" s="3">
        <v>66651</v>
      </c>
      <c r="E5" s="3"/>
      <c r="F5" s="3"/>
      <c r="G5" s="3"/>
    </row>
    <row r="6" spans="2:7" x14ac:dyDescent="0.25">
      <c r="B6" s="1">
        <v>45407</v>
      </c>
      <c r="C6" s="3">
        <v>3954.52</v>
      </c>
      <c r="D6" s="3">
        <v>64247</v>
      </c>
      <c r="E6" s="3"/>
      <c r="F6" s="3"/>
      <c r="G6" s="3"/>
    </row>
    <row r="7" spans="2:7" x14ac:dyDescent="0.25">
      <c r="B7" s="1">
        <v>45408</v>
      </c>
      <c r="C7" s="3">
        <v>3959.14</v>
      </c>
      <c r="D7" s="3">
        <v>64262</v>
      </c>
      <c r="E7" s="3"/>
      <c r="F7" s="3"/>
      <c r="G7" s="3"/>
    </row>
    <row r="8" spans="2:7" x14ac:dyDescent="0.25">
      <c r="B8" s="1">
        <v>45409</v>
      </c>
      <c r="C8" s="3">
        <v>3965.23</v>
      </c>
      <c r="D8" s="3">
        <v>64262</v>
      </c>
      <c r="E8" s="3"/>
      <c r="F8" s="3"/>
      <c r="G8" s="3"/>
    </row>
    <row r="9" spans="2:7" x14ac:dyDescent="0.25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 x14ac:dyDescent="0.25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 x14ac:dyDescent="0.25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 x14ac:dyDescent="0.25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 x14ac:dyDescent="0.25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 x14ac:dyDescent="0.25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 x14ac:dyDescent="0.25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 x14ac:dyDescent="0.25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 x14ac:dyDescent="0.25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 x14ac:dyDescent="0.25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 x14ac:dyDescent="0.25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 x14ac:dyDescent="0.25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 x14ac:dyDescent="0.25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 x14ac:dyDescent="0.25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 x14ac:dyDescent="0.25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 x14ac:dyDescent="0.25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 x14ac:dyDescent="0.25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 x14ac:dyDescent="0.25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 x14ac:dyDescent="0.25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 x14ac:dyDescent="0.25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 x14ac:dyDescent="0.25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 x14ac:dyDescent="0.25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 x14ac:dyDescent="0.25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 x14ac:dyDescent="0.25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 x14ac:dyDescent="0.25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 x14ac:dyDescent="0.25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 x14ac:dyDescent="0.25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 x14ac:dyDescent="0.25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 x14ac:dyDescent="0.25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 x14ac:dyDescent="0.25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 x14ac:dyDescent="0.25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 x14ac:dyDescent="0.25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 x14ac:dyDescent="0.25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 x14ac:dyDescent="0.25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 x14ac:dyDescent="0.25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 x14ac:dyDescent="0.25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 x14ac:dyDescent="0.25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 x14ac:dyDescent="0.25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 x14ac:dyDescent="0.25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 x14ac:dyDescent="0.25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7" x14ac:dyDescent="0.25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</row>
    <row r="50" spans="2:7" x14ac:dyDescent="0.25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7" x14ac:dyDescent="0.25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7" x14ac:dyDescent="0.25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7" x14ac:dyDescent="0.25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</row>
    <row r="54" spans="2:7" x14ac:dyDescent="0.25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7" x14ac:dyDescent="0.25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7" x14ac:dyDescent="0.25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7" x14ac:dyDescent="0.25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7" x14ac:dyDescent="0.25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7" x14ac:dyDescent="0.25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7" x14ac:dyDescent="0.25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</row>
    <row r="61" spans="2:7" x14ac:dyDescent="0.25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7" x14ac:dyDescent="0.25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7" x14ac:dyDescent="0.25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7" x14ac:dyDescent="0.25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7" x14ac:dyDescent="0.25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7" x14ac:dyDescent="0.25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7" x14ac:dyDescent="0.25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</row>
    <row r="68" spans="2:7" x14ac:dyDescent="0.25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7" x14ac:dyDescent="0.25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7" x14ac:dyDescent="0.25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7" x14ac:dyDescent="0.25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</row>
    <row r="72" spans="2:7" x14ac:dyDescent="0.25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7" x14ac:dyDescent="0.25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7" x14ac:dyDescent="0.25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7" x14ac:dyDescent="0.25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7" x14ac:dyDescent="0.25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7" x14ac:dyDescent="0.25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</row>
    <row r="78" spans="2:7" x14ac:dyDescent="0.25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7" x14ac:dyDescent="0.25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7" x14ac:dyDescent="0.25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7" x14ac:dyDescent="0.25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7" x14ac:dyDescent="0.25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7" x14ac:dyDescent="0.25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7" x14ac:dyDescent="0.25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</row>
    <row r="85" spans="2:7" x14ac:dyDescent="0.25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7" x14ac:dyDescent="0.25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7" x14ac:dyDescent="0.25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7" x14ac:dyDescent="0.25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7" x14ac:dyDescent="0.25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7" x14ac:dyDescent="0.25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7" x14ac:dyDescent="0.25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</row>
    <row r="92" spans="2:7" x14ac:dyDescent="0.25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7" x14ac:dyDescent="0.25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7" x14ac:dyDescent="0.25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7" x14ac:dyDescent="0.25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7" x14ac:dyDescent="0.25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7" x14ac:dyDescent="0.25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7" x14ac:dyDescent="0.25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</row>
    <row r="99" spans="2:7" x14ac:dyDescent="0.25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7" x14ac:dyDescent="0.25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7" x14ac:dyDescent="0.25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7" x14ac:dyDescent="0.25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7" x14ac:dyDescent="0.25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7" x14ac:dyDescent="0.25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7" x14ac:dyDescent="0.25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</row>
    <row r="106" spans="2:7" x14ac:dyDescent="0.25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7" x14ac:dyDescent="0.25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7" x14ac:dyDescent="0.25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7" x14ac:dyDescent="0.25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7" x14ac:dyDescent="0.25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7" x14ac:dyDescent="0.25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7" x14ac:dyDescent="0.25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</row>
    <row r="113" spans="2:7" x14ac:dyDescent="0.25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7" x14ac:dyDescent="0.25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7" x14ac:dyDescent="0.25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7" x14ac:dyDescent="0.25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7" x14ac:dyDescent="0.25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7" x14ac:dyDescent="0.25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7" x14ac:dyDescent="0.25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</row>
    <row r="120" spans="2:7" x14ac:dyDescent="0.25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7" x14ac:dyDescent="0.25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7" x14ac:dyDescent="0.25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7" x14ac:dyDescent="0.25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Z41"/>
  <sheetViews>
    <sheetView tabSelected="1" topLeftCell="F19" workbookViewId="0">
      <selection activeCell="H35" sqref="H35"/>
    </sheetView>
  </sheetViews>
  <sheetFormatPr baseColWidth="10" defaultRowHeight="15" x14ac:dyDescent="0.25"/>
  <cols>
    <col min="3" max="3" width="19.7109375" customWidth="1"/>
    <col min="4" max="4" width="18" customWidth="1"/>
    <col min="5" max="5" width="17.140625" customWidth="1"/>
    <col min="6" max="6" width="20.42578125" customWidth="1"/>
    <col min="9" max="9" width="19.7109375" customWidth="1"/>
    <col min="10" max="10" width="18.7109375" customWidth="1"/>
    <col min="12" max="12" width="20.140625" bestFit="1" customWidth="1"/>
    <col min="13" max="13" width="18.28515625" bestFit="1" customWidth="1"/>
    <col min="14" max="14" width="14" customWidth="1"/>
    <col min="17" max="17" width="15.5703125" bestFit="1" customWidth="1"/>
    <col min="18" max="19" width="18.5703125" customWidth="1"/>
    <col min="20" max="22" width="19.42578125" customWidth="1"/>
    <col min="23" max="25" width="21.7109375" customWidth="1"/>
  </cols>
  <sheetData>
    <row r="2" spans="2:26" x14ac:dyDescent="0.25">
      <c r="B2" t="s">
        <v>41</v>
      </c>
      <c r="C2" t="s">
        <v>21</v>
      </c>
      <c r="D2" t="s">
        <v>22</v>
      </c>
      <c r="E2" t="s">
        <v>23</v>
      </c>
      <c r="F2" t="s">
        <v>24</v>
      </c>
      <c r="G2" t="s">
        <v>17</v>
      </c>
      <c r="H2" t="s">
        <v>40</v>
      </c>
      <c r="I2" t="s">
        <v>34</v>
      </c>
      <c r="J2" t="s">
        <v>18</v>
      </c>
      <c r="K2" t="s">
        <v>19</v>
      </c>
      <c r="L2" t="s">
        <v>33</v>
      </c>
      <c r="M2" t="s">
        <v>35</v>
      </c>
      <c r="N2" t="s">
        <v>20</v>
      </c>
      <c r="O2" t="s">
        <v>25</v>
      </c>
      <c r="P2" t="s">
        <v>26</v>
      </c>
      <c r="Q2" t="s">
        <v>31</v>
      </c>
      <c r="R2" t="s">
        <v>27</v>
      </c>
      <c r="S2" t="s">
        <v>32</v>
      </c>
      <c r="T2" t="s">
        <v>28</v>
      </c>
      <c r="U2" t="s">
        <v>36</v>
      </c>
      <c r="V2" t="s">
        <v>37</v>
      </c>
      <c r="W2" t="s">
        <v>29</v>
      </c>
      <c r="X2" t="s">
        <v>38</v>
      </c>
      <c r="Y2" t="s">
        <v>39</v>
      </c>
      <c r="Z2" t="s">
        <v>30</v>
      </c>
    </row>
    <row r="3" spans="2:26" x14ac:dyDescent="0.25">
      <c r="B3" s="1">
        <f t="shared" ref="B3:B21" ca="1" si="0">TODAY()</f>
        <v>45527</v>
      </c>
      <c r="C3" s="2">
        <f ca="1">VLOOKUP(B3,Tabla4[],2,FALSE)</f>
        <v>4069.62</v>
      </c>
      <c r="D3" s="3">
        <f ca="1">VLOOKUP(B3,Tabla4[],3,FALSE)</f>
        <v>61146.6</v>
      </c>
      <c r="E3" s="2">
        <f ca="1">VLOOKUP(B3,Tabla4[],5,FALSE)</f>
        <v>2665</v>
      </c>
      <c r="F3" s="2">
        <f ca="1">VLOOKUP(B3,Tabla4[],4,FALSE)</f>
        <v>2.02</v>
      </c>
      <c r="G3" t="s">
        <v>15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627.08543425584003</v>
      </c>
      <c r="N3" s="10">
        <f t="shared" ref="N3:N21" ca="1" si="1">IF(G3 = "BTC", (D3 - J3) / J3,
 IF(G3 = "ETH", (E3 - J3) / J3,
 IF(G3 = "IO.NET", (F3 - J3) / J3,
 "Moneda no soportada")))</f>
        <v>-0.13813691910863041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627.08543425584003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-0.13813691910863041</v>
      </c>
      <c r="Y3" s="2" t="str">
        <f>IF(U3=0,"VENDIDA","ACTIVA")</f>
        <v>ACTIVA</v>
      </c>
    </row>
    <row r="4" spans="2:26" x14ac:dyDescent="0.25">
      <c r="B4" s="1">
        <f t="shared" ca="1" si="0"/>
        <v>45527</v>
      </c>
      <c r="C4" s="2">
        <f ca="1">VLOOKUP(B4,Tabla4[],2,FALSE)</f>
        <v>4069.62</v>
      </c>
      <c r="D4" s="3">
        <f ca="1">VLOOKUP(B4,Tabla4[],3,FALSE)</f>
        <v>61146.6</v>
      </c>
      <c r="E4" s="2">
        <f ca="1">VLOOKUP(B4,Tabla4[],5,FALSE)</f>
        <v>2665</v>
      </c>
      <c r="F4" s="2">
        <f ca="1">VLOOKUP(B4,Tabla4[],4,FALSE)</f>
        <v>2.02</v>
      </c>
      <c r="G4" t="s">
        <v>16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511.90936056000004</v>
      </c>
      <c r="N4" s="10">
        <f t="shared" ca="1" si="1"/>
        <v>-0.29892589659880409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511.90936056000004</v>
      </c>
      <c r="W4" s="2">
        <f t="shared" si="3"/>
        <v>-705.39693250799996</v>
      </c>
      <c r="X4" s="9">
        <f t="shared" ca="1" si="4"/>
        <v>-0.29892589659880409</v>
      </c>
      <c r="Y4" s="2" t="str">
        <f t="shared" ref="Y4:Y24" si="7">IF(U4=0,"VENDIDA","ACTIVA")</f>
        <v>ACTIVA</v>
      </c>
    </row>
    <row r="5" spans="2:26" x14ac:dyDescent="0.25">
      <c r="B5" s="1">
        <f t="shared" ca="1" si="0"/>
        <v>45527</v>
      </c>
      <c r="C5" s="2">
        <f ca="1">VLOOKUP(B5,Tabla4[],2,FALSE)</f>
        <v>4069.62</v>
      </c>
      <c r="D5" s="3">
        <f ca="1">VLOOKUP(B5,Tabla4[],3,FALSE)</f>
        <v>61146.6</v>
      </c>
      <c r="E5" s="2">
        <f ca="1">VLOOKUP(B5,Tabla4[],5,FALSE)</f>
        <v>2665</v>
      </c>
      <c r="F5" s="2">
        <f ca="1">VLOOKUP(B5,Tabla4[],4,FALSE)</f>
        <v>2.02</v>
      </c>
      <c r="G5" t="s">
        <v>15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639.52760557043996</v>
      </c>
      <c r="N5" s="10">
        <f t="shared" ca="1" si="1"/>
        <v>-0.11734799930711937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639.52760557043996</v>
      </c>
      <c r="W5" s="2">
        <f t="shared" si="3"/>
        <v>-711.38458935120002</v>
      </c>
      <c r="X5" s="9">
        <f t="shared" ca="1" si="4"/>
        <v>-0.11734799930711937</v>
      </c>
      <c r="Y5" s="2" t="str">
        <f t="shared" si="7"/>
        <v>ACTIVA</v>
      </c>
    </row>
    <row r="6" spans="2:26" x14ac:dyDescent="0.25">
      <c r="B6" s="1">
        <f t="shared" ca="1" si="0"/>
        <v>45527</v>
      </c>
      <c r="C6" s="2">
        <f ca="1">VLOOKUP(B6,Tabla4[],2,FALSE)</f>
        <v>4069.62</v>
      </c>
      <c r="D6" s="3">
        <f ca="1">VLOOKUP(B6,Tabla4[],3,FALSE)</f>
        <v>61146.6</v>
      </c>
      <c r="E6" s="2">
        <f ca="1">VLOOKUP(B6,Tabla4[],5,FALSE)</f>
        <v>2665</v>
      </c>
      <c r="F6" s="2">
        <f ca="1">VLOOKUP(B6,Tabla4[],4,FALSE)</f>
        <v>2.02</v>
      </c>
      <c r="G6" t="s">
        <v>16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527.85230039099997</v>
      </c>
      <c r="N6" s="10">
        <f t="shared" ca="1" si="1"/>
        <v>-0.27377864009940917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527.85230039099997</v>
      </c>
      <c r="W6" s="2">
        <f t="shared" si="3"/>
        <v>-713.63816396689595</v>
      </c>
      <c r="X6" s="9">
        <f t="shared" ca="1" si="4"/>
        <v>-0.27377864009940917</v>
      </c>
      <c r="Y6" s="2" t="str">
        <f t="shared" si="7"/>
        <v>ACTIVA</v>
      </c>
    </row>
    <row r="7" spans="2:26" x14ac:dyDescent="0.25">
      <c r="B7" s="1">
        <f t="shared" ca="1" si="0"/>
        <v>45527</v>
      </c>
      <c r="C7" s="2">
        <f ca="1">VLOOKUP(B7,Tabla4[],2,FALSE)</f>
        <v>4069.62</v>
      </c>
      <c r="D7" s="3">
        <f ca="1">VLOOKUP(B7,Tabla4[],3,FALSE)</f>
        <v>61146.6</v>
      </c>
      <c r="E7" s="2">
        <f ca="1">VLOOKUP(B7,Tabla4[],5,FALSE)</f>
        <v>2665</v>
      </c>
      <c r="F7" s="2">
        <f ca="1">VLOOKUP(B7,Tabla4[],4,FALSE)</f>
        <v>2.02</v>
      </c>
      <c r="G7" t="s">
        <v>15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654.45821114796001</v>
      </c>
      <c r="N7" s="10">
        <f t="shared" ca="1" si="1"/>
        <v>-8.0085873455503859E-2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654.45821114796001</v>
      </c>
      <c r="W7" s="2">
        <f t="shared" si="3"/>
        <v>-721.88976178291</v>
      </c>
      <c r="X7" s="9">
        <f t="shared" ca="1" si="4"/>
        <v>-8.0085873455503859E-2</v>
      </c>
      <c r="Y7" s="2" t="str">
        <f t="shared" si="7"/>
        <v>ACTIVA</v>
      </c>
    </row>
    <row r="8" spans="2:26" x14ac:dyDescent="0.25">
      <c r="B8" s="1">
        <f t="shared" ca="1" si="0"/>
        <v>45527</v>
      </c>
      <c r="C8" s="2">
        <f ca="1">VLOOKUP(B8,Tabla4[],2,FALSE)</f>
        <v>4069.62</v>
      </c>
      <c r="D8" s="3">
        <f ca="1">VLOOKUP(B8,Tabla4[],3,FALSE)</f>
        <v>61146.6</v>
      </c>
      <c r="E8" s="2">
        <f ca="1">VLOOKUP(B8,Tabla4[],5,FALSE)</f>
        <v>2665</v>
      </c>
      <c r="F8" s="2">
        <f ca="1">VLOOKUP(B8,Tabla4[],4,FALSE)</f>
        <v>2.02</v>
      </c>
      <c r="G8" t="s">
        <v>42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318.227010090948</v>
      </c>
      <c r="N8" s="10">
        <f t="shared" ca="1" si="1"/>
        <v>-0.52245862884160765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318.227010090948</v>
      </c>
      <c r="W8" s="2">
        <f t="shared" si="3"/>
        <v>-676.17994528545319</v>
      </c>
      <c r="X8" s="9">
        <f t="shared" ca="1" si="4"/>
        <v>-0.52245862884160765</v>
      </c>
      <c r="Y8" s="2" t="str">
        <f t="shared" si="7"/>
        <v>ACTIVA</v>
      </c>
    </row>
    <row r="9" spans="2:26" x14ac:dyDescent="0.25">
      <c r="B9" s="1">
        <f t="shared" ca="1" si="0"/>
        <v>45527</v>
      </c>
      <c r="C9" s="2">
        <f ca="1">VLOOKUP(B9,Tabla4[],2,FALSE)</f>
        <v>4069.62</v>
      </c>
      <c r="D9" s="3">
        <f ca="1">VLOOKUP(B9,Tabla4[],3,FALSE)</f>
        <v>61146.6</v>
      </c>
      <c r="E9" s="2">
        <f ca="1">VLOOKUP(B9,Tabla4[],5,FALSE)</f>
        <v>2665</v>
      </c>
      <c r="F9" s="2">
        <f ca="1">VLOOKUP(B9,Tabla4[],4,FALSE)</f>
        <v>2.02</v>
      </c>
      <c r="G9" t="s">
        <v>16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533.60043516000007</v>
      </c>
      <c r="N9" s="10">
        <f t="shared" ca="1" si="1"/>
        <v>-0.23982896864900635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533.60043516000007</v>
      </c>
      <c r="W9" s="2">
        <f t="shared" si="3"/>
        <v>-712.26418846524007</v>
      </c>
      <c r="X9" s="9">
        <f t="shared" ca="1" si="4"/>
        <v>-0.23982896864900635</v>
      </c>
      <c r="Y9" s="2" t="str">
        <f t="shared" si="7"/>
        <v>ACTIVA</v>
      </c>
    </row>
    <row r="10" spans="2:26" x14ac:dyDescent="0.25">
      <c r="B10" s="1">
        <f t="shared" ca="1" si="0"/>
        <v>45527</v>
      </c>
      <c r="C10" s="2">
        <f ca="1">VLOOKUP(B10,Tabla4[],2,FALSE)</f>
        <v>4069.62</v>
      </c>
      <c r="D10" s="3">
        <f ca="1">VLOOKUP(B10,Tabla4[],3,FALSE)</f>
        <v>61146.6</v>
      </c>
      <c r="E10" s="2">
        <f ca="1">VLOOKUP(B10,Tabla4[],5,FALSE)</f>
        <v>2665</v>
      </c>
      <c r="F10" s="2">
        <f ca="1">VLOOKUP(B10,Tabla4[],4,FALSE)</f>
        <v>2.02</v>
      </c>
      <c r="G10" t="s">
        <v>15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676.85411951423998</v>
      </c>
      <c r="N10" s="10">
        <f t="shared" ca="1" si="1"/>
        <v>-4.7948282260111873E-3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676.85411951423998</v>
      </c>
      <c r="W10" s="2">
        <f t="shared" si="3"/>
        <v>-692.62576284671991</v>
      </c>
      <c r="X10" s="9">
        <f t="shared" ca="1" si="4"/>
        <v>-4.7948282260111873E-3</v>
      </c>
      <c r="Y10" s="2" t="str">
        <f t="shared" si="7"/>
        <v>ACTIVA</v>
      </c>
    </row>
    <row r="11" spans="2:26" x14ac:dyDescent="0.25">
      <c r="B11" s="1">
        <f t="shared" ca="1" si="0"/>
        <v>45527</v>
      </c>
      <c r="C11" s="2">
        <f ca="1">VLOOKUP(B11,Tabla4[],2,FALSE)</f>
        <v>4069.62</v>
      </c>
      <c r="D11" s="3">
        <f ca="1">VLOOKUP(B11,Tabla4[],3,FALSE)</f>
        <v>61146.6</v>
      </c>
      <c r="E11" s="2">
        <f ca="1">VLOOKUP(B11,Tabla4[],5,FALSE)</f>
        <v>2665</v>
      </c>
      <c r="F11" s="2">
        <f ca="1">VLOOKUP(B11,Tabla4[],4,FALSE)</f>
        <v>2.02</v>
      </c>
      <c r="G11" t="s">
        <v>15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674.36568525131986</v>
      </c>
      <c r="N11" s="10">
        <f t="shared" ca="1" si="1"/>
        <v>2.8405829427257966E-3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674.36568525131986</v>
      </c>
      <c r="W11" s="2">
        <f t="shared" si="3"/>
        <v>-682.28056593911992</v>
      </c>
      <c r="X11" s="9">
        <f t="shared" ca="1" si="4"/>
        <v>2.8405829427257966E-3</v>
      </c>
      <c r="Y11" s="2" t="str">
        <f t="shared" si="7"/>
        <v>ACTIVA</v>
      </c>
    </row>
    <row r="12" spans="2:26" x14ac:dyDescent="0.25">
      <c r="B12" s="1">
        <f t="shared" ca="1" si="0"/>
        <v>45527</v>
      </c>
      <c r="C12" s="2">
        <f ca="1">VLOOKUP(B12,Tabla4[],2,FALSE)</f>
        <v>4069.62</v>
      </c>
      <c r="D12" s="3">
        <f ca="1">VLOOKUP(B12,Tabla4[],3,FALSE)</f>
        <v>61146.6</v>
      </c>
      <c r="E12" s="2">
        <f ca="1">VLOOKUP(B12,Tabla4[],5,FALSE)</f>
        <v>2665</v>
      </c>
      <c r="F12" s="2">
        <f ca="1">VLOOKUP(B12,Tabla4[],4,FALSE)</f>
        <v>2.02</v>
      </c>
      <c r="G12" t="s">
        <v>15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753.99558166475992</v>
      </c>
      <c r="N12" s="10">
        <f t="shared" ca="1" si="1"/>
        <v>7.0973685685461224E-2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753.99558166475992</v>
      </c>
      <c r="W12" s="2">
        <f t="shared" si="3"/>
        <v>-705.59026591680004</v>
      </c>
      <c r="X12" s="9">
        <f t="shared" ca="1" si="4"/>
        <v>7.0973685685461224E-2</v>
      </c>
      <c r="Y12" s="2" t="str">
        <f t="shared" si="7"/>
        <v>ACTIVA</v>
      </c>
    </row>
    <row r="13" spans="2:26" x14ac:dyDescent="0.25">
      <c r="B13" s="1">
        <f t="shared" ca="1" si="0"/>
        <v>45527</v>
      </c>
      <c r="C13" s="2">
        <f ca="1">VLOOKUP(B13,Tabla4[],2,FALSE)</f>
        <v>4069.62</v>
      </c>
      <c r="D13" s="3">
        <f ca="1">VLOOKUP(B13,Tabla4[],3,FALSE)</f>
        <v>61146.6</v>
      </c>
      <c r="E13" s="2">
        <f ca="1">VLOOKUP(B13,Tabla4[],5,FALSE)</f>
        <v>2665</v>
      </c>
      <c r="F13" s="2">
        <f ca="1">VLOOKUP(B13,Tabla4[],4,FALSE)</f>
        <v>2.02</v>
      </c>
      <c r="G13" t="s">
        <v>15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699.25002788051995</v>
      </c>
      <c r="N13" s="10">
        <f t="shared" ca="1" si="1"/>
        <v>-2.8800871665933443E-2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699.25002788051995</v>
      </c>
      <c r="W13" s="2">
        <f t="shared" si="3"/>
        <v>-706.44677732571006</v>
      </c>
      <c r="X13" s="9">
        <f t="shared" ca="1" si="4"/>
        <v>-2.8800871665933443E-2</v>
      </c>
      <c r="Y13" s="2" t="str">
        <f t="shared" si="7"/>
        <v>ACTIVA</v>
      </c>
    </row>
    <row r="14" spans="2:26" x14ac:dyDescent="0.25">
      <c r="B14" s="1">
        <f t="shared" ca="1" si="0"/>
        <v>45527</v>
      </c>
      <c r="C14" s="2">
        <f ca="1">VLOOKUP(B14,Tabla4[],2,FALSE)</f>
        <v>4069.62</v>
      </c>
      <c r="D14" s="3">
        <f ca="1">VLOOKUP(B14,Tabla4[],3,FALSE)</f>
        <v>61146.6</v>
      </c>
      <c r="E14" s="2">
        <f ca="1">VLOOKUP(B14,Tabla4[],5,FALSE)</f>
        <v>2665</v>
      </c>
      <c r="F14" s="2">
        <f ca="1">VLOOKUP(B14,Tabla4[],4,FALSE)</f>
        <v>2.02</v>
      </c>
      <c r="G14" t="s">
        <v>16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548.8926427529999</v>
      </c>
      <c r="N14" s="10">
        <f t="shared" ca="1" si="1"/>
        <v>-0.21102726322676527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548.8926427529999</v>
      </c>
      <c r="W14" s="2">
        <f t="shared" si="3"/>
        <v>-708.50285169316794</v>
      </c>
      <c r="X14" s="9">
        <f t="shared" ca="1" si="4"/>
        <v>-0.21102726322676527</v>
      </c>
      <c r="Y14" s="2" t="str">
        <f t="shared" si="7"/>
        <v>ACTIVA</v>
      </c>
    </row>
    <row r="15" spans="2:26" x14ac:dyDescent="0.25">
      <c r="B15" s="1">
        <f t="shared" ca="1" si="0"/>
        <v>45527</v>
      </c>
      <c r="C15" s="2">
        <f ca="1">VLOOKUP(B15,Tabla4[],2,FALSE)</f>
        <v>4069.62</v>
      </c>
      <c r="D15" s="3">
        <f ca="1">VLOOKUP(B15,Tabla4[],3,FALSE)</f>
        <v>61146.6</v>
      </c>
      <c r="E15" s="2">
        <f ca="1">VLOOKUP(B15,Tabla4[],5,FALSE)</f>
        <v>2665</v>
      </c>
      <c r="F15" s="2">
        <f ca="1">VLOOKUP(B15,Tabla4[],4,FALSE)</f>
        <v>2.02</v>
      </c>
      <c r="G15" t="s">
        <v>16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535.11881038199999</v>
      </c>
      <c r="N15" s="10">
        <f t="shared" ca="1" si="1"/>
        <v>-0.20661619574698653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535.11881038199999</v>
      </c>
      <c r="W15" s="2">
        <f t="shared" si="3"/>
        <v>-684.33117524901604</v>
      </c>
      <c r="X15" s="9">
        <f t="shared" ca="1" si="4"/>
        <v>-0.20661619574698653</v>
      </c>
      <c r="Y15" s="2" t="str">
        <f t="shared" si="7"/>
        <v>ACTIVA</v>
      </c>
    </row>
    <row r="16" spans="2:26" x14ac:dyDescent="0.25">
      <c r="B16" s="1">
        <f t="shared" ca="1" si="0"/>
        <v>45527</v>
      </c>
      <c r="C16" s="2">
        <f ca="1">VLOOKUP(B16,Tabla4[],2,FALSE)</f>
        <v>4069.62</v>
      </c>
      <c r="D16" s="3">
        <f ca="1">VLOOKUP(B16,Tabla4[],3,FALSE)</f>
        <v>61146.6</v>
      </c>
      <c r="E16" s="2">
        <f ca="1">VLOOKUP(B16,Tabla4[],5,FALSE)</f>
        <v>2665</v>
      </c>
      <c r="F16" s="2">
        <f ca="1">VLOOKUP(B16,Tabla4[],4,FALSE)</f>
        <v>2.02</v>
      </c>
      <c r="G16" t="s">
        <v>16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616.46034013199994</v>
      </c>
      <c r="N16" s="10">
        <f t="shared" ca="1" si="1"/>
        <v>-0.1276595744680851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616.46034013199994</v>
      </c>
      <c r="W16" s="2">
        <f t="shared" si="3"/>
        <v>-708.24207363000005</v>
      </c>
      <c r="X16" s="9">
        <f t="shared" ca="1" si="4"/>
        <v>-0.1276595744680851</v>
      </c>
      <c r="Y16" s="2" t="str">
        <f t="shared" si="7"/>
        <v>ACTIVA</v>
      </c>
    </row>
    <row r="17" spans="2:25" x14ac:dyDescent="0.25">
      <c r="B17" s="1">
        <f t="shared" ca="1" si="0"/>
        <v>45527</v>
      </c>
      <c r="C17" s="2">
        <f ca="1">VLOOKUP(B17,Tabla4[],2,FALSE)</f>
        <v>4069.62</v>
      </c>
      <c r="D17" s="3">
        <f ca="1">VLOOKUP(B17,Tabla4[],3,FALSE)</f>
        <v>61146.6</v>
      </c>
      <c r="E17" s="2">
        <f ca="1">VLOOKUP(B17,Tabla4[],5,FALSE)</f>
        <v>2665</v>
      </c>
      <c r="F17" s="2">
        <f ca="1">VLOOKUP(B17,Tabla4[],4,FALSE)</f>
        <v>2.02</v>
      </c>
      <c r="G17" t="s">
        <v>16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570.47526198000003</v>
      </c>
      <c r="N17" s="10">
        <f t="shared" ca="1" si="1"/>
        <v>-0.22934559440154997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570.47526198000003</v>
      </c>
      <c r="W17" s="2">
        <f t="shared" si="3"/>
        <v>-726.32733822540001</v>
      </c>
      <c r="X17" s="9">
        <f t="shared" ca="1" si="4"/>
        <v>-0.22934559440154997</v>
      </c>
      <c r="Y17" s="2" t="str">
        <f t="shared" si="7"/>
        <v>ACTIVA</v>
      </c>
    </row>
    <row r="18" spans="2:25" x14ac:dyDescent="0.25">
      <c r="B18" s="1">
        <f t="shared" ca="1" si="0"/>
        <v>45527</v>
      </c>
      <c r="C18" s="2">
        <f ca="1">VLOOKUP(B18,Tabla4[],2,FALSE)</f>
        <v>4069.62</v>
      </c>
      <c r="D18" s="3">
        <f ca="1">VLOOKUP(B18,Tabla4[],3,FALSE)</f>
        <v>61146.6</v>
      </c>
      <c r="E18" s="2">
        <f ca="1">VLOOKUP(B18,Tabla4[],5,FALSE)</f>
        <v>2665</v>
      </c>
      <c r="F18" s="2">
        <f ca="1">VLOOKUP(B18,Tabla4[],4,FALSE)</f>
        <v>2.02</v>
      </c>
      <c r="G18" t="s">
        <v>42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433.44114612872397</v>
      </c>
      <c r="N18" s="12">
        <f t="shared" ca="1" si="1"/>
        <v>-0.40588235294117647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433.44114612872397</v>
      </c>
      <c r="W18" s="2">
        <f t="shared" si="3"/>
        <v>-742.97443934431988</v>
      </c>
      <c r="X18" s="9">
        <f t="shared" ca="1" si="4"/>
        <v>-0.40588235294117647</v>
      </c>
      <c r="Y18" s="2" t="str">
        <f t="shared" si="7"/>
        <v>ACTIVA</v>
      </c>
    </row>
    <row r="19" spans="2:25" x14ac:dyDescent="0.25">
      <c r="B19" s="1">
        <f t="shared" ca="1" si="0"/>
        <v>45527</v>
      </c>
      <c r="C19" s="2">
        <f ca="1">VLOOKUP(B19,Tabla4[],2,FALSE)</f>
        <v>4069.62</v>
      </c>
      <c r="D19" s="3">
        <f ca="1">VLOOKUP(B19,Tabla4[],3,FALSE)</f>
        <v>61146.6</v>
      </c>
      <c r="E19" s="2">
        <f ca="1">VLOOKUP(B19,Tabla4[],5,FALSE)</f>
        <v>2665</v>
      </c>
      <c r="F19" s="2">
        <f ca="1">VLOOKUP(B19,Tabla4[],4,FALSE)</f>
        <v>2.02</v>
      </c>
      <c r="G19" t="s">
        <v>42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225.965783983536</v>
      </c>
      <c r="N19" s="12">
        <f t="shared" ca="1" si="1"/>
        <v>-0.28621908127208484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225.965783983536</v>
      </c>
      <c r="W19" s="2">
        <f t="shared" si="3"/>
        <v>-321.201220736496</v>
      </c>
      <c r="X19" s="9">
        <f t="shared" ca="1" si="4"/>
        <v>-0.28621908127208484</v>
      </c>
      <c r="Y19" s="2" t="str">
        <f t="shared" si="7"/>
        <v>ACTIVA</v>
      </c>
    </row>
    <row r="20" spans="2:25" hidden="1" x14ac:dyDescent="0.25">
      <c r="B20" s="1">
        <f t="shared" ca="1" si="0"/>
        <v>45527</v>
      </c>
      <c r="C20" s="2">
        <f ca="1">VLOOKUP(B20,Tabla4[],2,FALSE)</f>
        <v>4069.62</v>
      </c>
      <c r="D20" s="3">
        <f ca="1">VLOOKUP(B20,Tabla4[],3,FALSE)</f>
        <v>61146.6</v>
      </c>
      <c r="E20" s="2">
        <f ca="1">VLOOKUP(B20,Tabla4[],5,FALSE)</f>
        <v>2665</v>
      </c>
      <c r="F20" s="2">
        <f ca="1">VLOOKUP(B20,Tabla4[],4,FALSE)</f>
        <v>2.02</v>
      </c>
      <c r="G20" t="s">
        <v>42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317.62945232179197</v>
      </c>
      <c r="N20" s="12">
        <f t="shared" ca="1" si="1"/>
        <v>-0.11790393013100438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-0.11790393013100438</v>
      </c>
      <c r="Y20" s="2" t="str">
        <f t="shared" si="7"/>
        <v>VENDIDA</v>
      </c>
    </row>
    <row r="21" spans="2:25" hidden="1" x14ac:dyDescent="0.25">
      <c r="B21" s="1">
        <f t="shared" ca="1" si="0"/>
        <v>45527</v>
      </c>
      <c r="C21" s="2">
        <f ca="1">VLOOKUP(B21,Tabla4[],2,FALSE)</f>
        <v>4069.62</v>
      </c>
      <c r="D21" s="3">
        <f ca="1">VLOOKUP(B21,Tabla4[],3,FALSE)</f>
        <v>61146.6</v>
      </c>
      <c r="E21" s="2">
        <f ca="1">VLOOKUP(B21,Tabla4[],5,FALSE)</f>
        <v>2665</v>
      </c>
      <c r="F21" s="2">
        <f ca="1">VLOOKUP(B21,Tabla4[],4,FALSE)</f>
        <v>2.02</v>
      </c>
      <c r="G21" t="s">
        <v>42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305.14905262475997</v>
      </c>
      <c r="N21" s="12">
        <f t="shared" ca="1" si="1"/>
        <v>-0.22900763358778628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-0.22900763358778628</v>
      </c>
      <c r="Y21" s="2" t="str">
        <f t="shared" si="7"/>
        <v>VENDIDA</v>
      </c>
    </row>
    <row r="22" spans="2:25" x14ac:dyDescent="0.25">
      <c r="B22" s="1">
        <f t="shared" ref="B22:B29" ca="1" si="9">TODAY()</f>
        <v>45527</v>
      </c>
      <c r="C22" s="2">
        <f ca="1">VLOOKUP(B22,Tabla4[],2,FALSE)</f>
        <v>4069.62</v>
      </c>
      <c r="D22" s="3">
        <f ca="1">VLOOKUP(B22,Tabla4[],3,FALSE)</f>
        <v>61146.6</v>
      </c>
      <c r="E22" s="2">
        <f ca="1">VLOOKUP(B22,Tabla4[],5,FALSE)</f>
        <v>2665</v>
      </c>
      <c r="F22" s="2">
        <f ca="1">VLOOKUP(B22,Tabla4[],4,FALSE)</f>
        <v>2.02</v>
      </c>
      <c r="G22" t="s">
        <v>42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312.92124952733997</v>
      </c>
      <c r="N22" s="12">
        <f t="shared" ref="N22:N29" ca="1" si="11">IF(G22 = "BTC", (D22 - J22) / J22,
 IF(G22 = "ETH", (E22 - J22) / J22,
 IF(G22 = "IO.NET", (F22 - J22) / J22,
 "Moneda no soportada")))</f>
        <v>-0.24907063197026019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0.53721832733998964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-0.24907063197026019</v>
      </c>
      <c r="Y22" s="2" t="str">
        <f t="shared" si="7"/>
        <v>ACTIVA</v>
      </c>
    </row>
    <row r="23" spans="2:25" x14ac:dyDescent="0.25">
      <c r="B23" s="1">
        <f t="shared" ca="1" si="9"/>
        <v>45527</v>
      </c>
      <c r="C23" s="2">
        <f ca="1">VLOOKUP(B23,Tabla4[],2,FALSE)</f>
        <v>4069.62</v>
      </c>
      <c r="D23" s="3">
        <f ca="1">VLOOKUP(B23,Tabla4[],3,FALSE)</f>
        <v>61146.6</v>
      </c>
      <c r="E23" s="2">
        <f ca="1">VLOOKUP(B23,Tabla4[],5,FALSE)</f>
        <v>2665</v>
      </c>
      <c r="F23" s="2">
        <f ca="1">VLOOKUP(B23,Tabla4[],4,FALSE)</f>
        <v>2.02</v>
      </c>
      <c r="G23" t="s">
        <v>42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315.06453280666796</v>
      </c>
      <c r="N23" s="12">
        <f t="shared" ca="1" si="11"/>
        <v>-0.25735294117647062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2.6805016066679812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-0.25735294117647062</v>
      </c>
      <c r="Y23" s="2" t="str">
        <f t="shared" si="7"/>
        <v>ACTIVA</v>
      </c>
    </row>
    <row r="24" spans="2:25" x14ac:dyDescent="0.25">
      <c r="B24" s="1">
        <f t="shared" ca="1" si="9"/>
        <v>45527</v>
      </c>
      <c r="C24" s="2">
        <f ca="1">VLOOKUP(B24,Tabla4[],2,FALSE)</f>
        <v>4069.62</v>
      </c>
      <c r="D24" s="3">
        <f ca="1">VLOOKUP(B24,Tabla4[],3,FALSE)</f>
        <v>61146.6</v>
      </c>
      <c r="E24" s="2">
        <f ca="1">VLOOKUP(B24,Tabla4[],5,FALSE)</f>
        <v>2665</v>
      </c>
      <c r="F24" s="2">
        <f ca="1">VLOOKUP(B24,Tabla4[],4,FALSE)</f>
        <v>2.02</v>
      </c>
      <c r="G24" t="s">
        <v>42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319.49635793983197</v>
      </c>
      <c r="N24" s="12">
        <f t="shared" ca="1" si="11"/>
        <v>-0.26811594202898542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9.1018841932800214</v>
      </c>
      <c r="W24" s="2">
        <f t="shared" si="14"/>
        <v>8.8385908401840538</v>
      </c>
      <c r="X24" s="9">
        <f t="shared" ca="1" si="15"/>
        <v>-0.26811594202898542</v>
      </c>
      <c r="Y24" s="2" t="str">
        <f t="shared" si="7"/>
        <v>ACTIVA</v>
      </c>
    </row>
    <row r="25" spans="2:25" x14ac:dyDescent="0.25">
      <c r="B25" s="1">
        <f t="shared" ca="1" si="9"/>
        <v>45527</v>
      </c>
      <c r="C25" s="2">
        <f ca="1">VLOOKUP(B25,Tabla4[],2,FALSE)</f>
        <v>4069.62</v>
      </c>
      <c r="D25" s="3">
        <f ca="1">VLOOKUP(B25,Tabla4[],3,FALSE)</f>
        <v>61146.6</v>
      </c>
      <c r="E25" s="2">
        <f ca="1">VLOOKUP(B25,Tabla4[],5,FALSE)</f>
        <v>2665</v>
      </c>
      <c r="F25" s="2">
        <f ca="1">VLOOKUP(B25,Tabla4[],4,FALSE)</f>
        <v>2.02</v>
      </c>
      <c r="G25" t="s">
        <v>42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314.113734463284</v>
      </c>
      <c r="N25" s="12">
        <f t="shared" ca="1" si="11"/>
        <v>-0.28113879003558717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1.7297032632840095</v>
      </c>
      <c r="W25" s="2">
        <f t="shared" si="14"/>
        <v>40.44492107583801</v>
      </c>
      <c r="X25" s="9">
        <f t="shared" ca="1" si="15"/>
        <v>-0.28113879003558717</v>
      </c>
      <c r="Y25" s="2" t="str">
        <f t="shared" ref="Y25:Y32" si="16">IF(U25=0,"VENDIDA","ACTIVA")</f>
        <v>ACTIVA</v>
      </c>
    </row>
    <row r="26" spans="2:25" x14ac:dyDescent="0.25">
      <c r="B26" s="1">
        <f t="shared" ca="1" si="9"/>
        <v>45527</v>
      </c>
      <c r="C26" s="2">
        <f ca="1">VLOOKUP(B26,Tabla4[],2,FALSE)</f>
        <v>4069.62</v>
      </c>
      <c r="D26" s="3">
        <f ca="1">VLOOKUP(B26,Tabla4[],3,FALSE)</f>
        <v>61146.6</v>
      </c>
      <c r="E26" s="2">
        <f ca="1">VLOOKUP(B26,Tabla4[],5,FALSE)</f>
        <v>2665</v>
      </c>
      <c r="F26" s="2">
        <f ca="1">VLOOKUP(B26,Tabla4[],4,FALSE)</f>
        <v>2.02</v>
      </c>
      <c r="G26" t="s">
        <v>42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316.99112021593203</v>
      </c>
      <c r="N26" s="12">
        <f t="shared" ca="1" si="11"/>
        <v>-0.33647358705006669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316.99112021593203</v>
      </c>
      <c r="W26" s="2">
        <f t="shared" si="14"/>
        <v>-474.99592218630107</v>
      </c>
      <c r="X26" s="9">
        <f t="shared" ca="1" si="15"/>
        <v>-0.33647358705006669</v>
      </c>
      <c r="Y26" s="2" t="str">
        <f t="shared" si="16"/>
        <v>ACTIVA</v>
      </c>
    </row>
    <row r="27" spans="2:25" x14ac:dyDescent="0.25">
      <c r="B27" s="1">
        <f t="shared" ca="1" si="9"/>
        <v>45527</v>
      </c>
      <c r="C27" s="2">
        <f ca="1">VLOOKUP(B27,Tabla4[],2,FALSE)</f>
        <v>4069.62</v>
      </c>
      <c r="D27" s="3">
        <f ca="1">VLOOKUP(B27,Tabla4[],3,FALSE)</f>
        <v>61146.6</v>
      </c>
      <c r="E27" s="2">
        <f ca="1">VLOOKUP(B27,Tabla4[],5,FALSE)</f>
        <v>2665</v>
      </c>
      <c r="F27" s="2">
        <f ca="1">VLOOKUP(B27,Tabla4[],4,FALSE)</f>
        <v>2.02</v>
      </c>
      <c r="G27" t="s">
        <v>15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644.50447409627998</v>
      </c>
      <c r="N27" s="12">
        <f t="shared" ca="1" si="11"/>
        <v>-8.4565134529248701E-2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644.50447409627998</v>
      </c>
      <c r="W27" s="2">
        <f t="shared" si="14"/>
        <v>-699.14771612275808</v>
      </c>
      <c r="X27" s="9">
        <f t="shared" ca="1" si="15"/>
        <v>-8.4565134529248701E-2</v>
      </c>
      <c r="Y27" s="2" t="str">
        <f t="shared" si="16"/>
        <v>ACTIVA</v>
      </c>
    </row>
    <row r="28" spans="2:25" x14ac:dyDescent="0.25">
      <c r="B28" s="1">
        <f t="shared" ca="1" si="9"/>
        <v>45527</v>
      </c>
      <c r="C28" s="2">
        <f ca="1">VLOOKUP(B28,Tabla4[],2,FALSE)</f>
        <v>4069.62</v>
      </c>
      <c r="D28" s="3">
        <f ca="1">VLOOKUP(B28,Tabla4[],3,FALSE)</f>
        <v>61146.6</v>
      </c>
      <c r="E28" s="2">
        <f ca="1">VLOOKUP(B28,Tabla4[],5,FALSE)</f>
        <v>2665</v>
      </c>
      <c r="F28" s="2">
        <f ca="1">VLOOKUP(B28,Tabla4[],4,FALSE)</f>
        <v>2.02</v>
      </c>
      <c r="G28" t="s">
        <v>16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543.90369559500004</v>
      </c>
      <c r="N28" s="12">
        <f t="shared" ca="1" si="11"/>
        <v>-0.22912267507448436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543.90369559500004</v>
      </c>
      <c r="W28" s="2">
        <f t="shared" si="14"/>
        <v>-700.6597894414499</v>
      </c>
      <c r="X28" s="9">
        <f t="shared" ca="1" si="15"/>
        <v>-0.22912267507448436</v>
      </c>
      <c r="Y28" s="2" t="str">
        <f t="shared" si="16"/>
        <v>ACTIVA</v>
      </c>
    </row>
    <row r="29" spans="2:25" x14ac:dyDescent="0.25">
      <c r="B29" s="1">
        <f t="shared" ca="1" si="9"/>
        <v>45527</v>
      </c>
      <c r="C29" s="2">
        <f ca="1">VLOOKUP(B29,Tabla4[],2,FALSE)</f>
        <v>4069.62</v>
      </c>
      <c r="D29" s="3">
        <f ca="1">VLOOKUP(B29,Tabla4[],3,FALSE)</f>
        <v>61146.6</v>
      </c>
      <c r="E29" s="2">
        <f ca="1">VLOOKUP(B29,Tabla4[],5,FALSE)</f>
        <v>2665</v>
      </c>
      <c r="F29" s="2">
        <f ca="1">VLOOKUP(B29,Tabla4[],4,FALSE)</f>
        <v>2.02</v>
      </c>
      <c r="G29" t="s">
        <v>42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244.22339751231601</v>
      </c>
      <c r="N29" s="12">
        <f t="shared" ca="1" si="11"/>
        <v>-0.30821917808219174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244.22339751231601</v>
      </c>
      <c r="W29" s="2">
        <f t="shared" si="14"/>
        <v>-350.58167079212399</v>
      </c>
      <c r="X29" s="9">
        <f t="shared" ca="1" si="15"/>
        <v>-0.30821917808219174</v>
      </c>
      <c r="Y29" s="2" t="str">
        <f t="shared" si="16"/>
        <v>ACTIVA</v>
      </c>
    </row>
    <row r="30" spans="2:25" x14ac:dyDescent="0.25">
      <c r="B30" s="1">
        <f t="shared" ref="B30:B35" ca="1" si="17">TODAY()</f>
        <v>45527</v>
      </c>
      <c r="C30" s="2">
        <f ca="1">VLOOKUP(B30,Tabla4[],2,FALSE)</f>
        <v>4069.62</v>
      </c>
      <c r="D30" s="3">
        <f ca="1">VLOOKUP(B30,Tabla4[],3,FALSE)</f>
        <v>61146.6</v>
      </c>
      <c r="E30" s="2">
        <f ca="1">VLOOKUP(B30,Tabla4[],5,FALSE)</f>
        <v>2665</v>
      </c>
      <c r="F30" s="2">
        <f ca="1">VLOOKUP(B30,Tabla4[],4,FALSE)</f>
        <v>2.02</v>
      </c>
      <c r="G30" t="s">
        <v>15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629.57386851876004</v>
      </c>
      <c r="N30" s="12">
        <f t="shared" ref="N30:N35" ca="1" si="19">IF(G30 = "BTC", (D30 - J30) / J30,
 IF(G30 = "ETH", (E30 - J30) / J30,
 IF(G30 = "IO.NET", (F30 - J30) / J30,
 "Moneda no soportada")))</f>
        <v>-0.1096910026470511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629.57386851876004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-0.1096910026470511</v>
      </c>
      <c r="Y30" s="2" t="str">
        <f t="shared" si="16"/>
        <v>ACTIVA</v>
      </c>
    </row>
    <row r="31" spans="2:25" x14ac:dyDescent="0.25">
      <c r="B31" s="1">
        <f t="shared" ca="1" si="17"/>
        <v>45527</v>
      </c>
      <c r="C31" s="2">
        <f ca="1">VLOOKUP(B31,Tabla4[],2,FALSE)</f>
        <v>4069.62</v>
      </c>
      <c r="D31" s="3">
        <f ca="1">VLOOKUP(B31,Tabla4[],3,FALSE)</f>
        <v>61146.6</v>
      </c>
      <c r="E31" s="2">
        <f ca="1">VLOOKUP(B31,Tabla4[],5,FALSE)</f>
        <v>2665</v>
      </c>
      <c r="F31" s="2">
        <f ca="1">VLOOKUP(B31,Tabla4[],4,FALSE)</f>
        <v>2.02</v>
      </c>
      <c r="G31" t="s">
        <v>16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568.19769914699998</v>
      </c>
      <c r="N31" s="12">
        <f t="shared" ca="1" si="19"/>
        <v>-0.19619966822500376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568.19769914699998</v>
      </c>
      <c r="W31" s="2">
        <f t="shared" si="22"/>
        <v>-700.01062533089998</v>
      </c>
      <c r="X31" s="9">
        <f t="shared" ca="1" si="23"/>
        <v>-0.19619966822500376</v>
      </c>
      <c r="Y31" s="2" t="str">
        <f t="shared" si="16"/>
        <v>ACTIVA</v>
      </c>
    </row>
    <row r="32" spans="2:25" x14ac:dyDescent="0.25">
      <c r="B32" s="1">
        <f t="shared" ca="1" si="17"/>
        <v>45527</v>
      </c>
      <c r="C32" s="2">
        <f ca="1">VLOOKUP(B32,Tabla4[],2,FALSE)</f>
        <v>4069.62</v>
      </c>
      <c r="D32" s="3">
        <f ca="1">VLOOKUP(B32,Tabla4[],3,FALSE)</f>
        <v>61146.6</v>
      </c>
      <c r="E32" s="2">
        <f ca="1">VLOOKUP(B32,Tabla4[],5,FALSE)</f>
        <v>2665</v>
      </c>
      <c r="F32" s="2">
        <f ca="1">VLOOKUP(B32,Tabla4[],4,FALSE)</f>
        <v>2.02</v>
      </c>
      <c r="G32" t="s">
        <v>42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246.27132145580399</v>
      </c>
      <c r="N32" s="12">
        <f t="shared" ca="1" si="19"/>
        <v>-0.30344827586206896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246.27132145580399</v>
      </c>
      <c r="W32" s="2">
        <f t="shared" si="22"/>
        <v>-350.11749431717993</v>
      </c>
      <c r="X32" s="9">
        <f t="shared" ca="1" si="23"/>
        <v>-0.30344827586206896</v>
      </c>
      <c r="Y32" s="2" t="str">
        <f t="shared" si="16"/>
        <v>ACTIVA</v>
      </c>
    </row>
    <row r="33" spans="2:25" x14ac:dyDescent="0.25">
      <c r="B33" s="1">
        <f t="shared" ca="1" si="17"/>
        <v>45527</v>
      </c>
      <c r="C33" s="2">
        <f ca="1">VLOOKUP(B33,Tabla4[],2,FALSE)</f>
        <v>4069.62</v>
      </c>
      <c r="D33" s="3">
        <f ca="1">VLOOKUP(B33,Tabla4[],3,FALSE)</f>
        <v>61146.6</v>
      </c>
      <c r="E33" s="2">
        <f ca="1">VLOOKUP(B33,Tabla4[],5,FALSE)</f>
        <v>2665</v>
      </c>
      <c r="F33" s="2">
        <f ca="1">VLOOKUP(B33,Tabla4[],4,FALSE)</f>
        <v>2.02</v>
      </c>
      <c r="G33" t="s">
        <v>15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t="shared" ca="1" si="18"/>
        <v>791.32209560855995</v>
      </c>
      <c r="N33" s="12">
        <f t="shared" ca="1" si="19"/>
        <v>0.14360065152391624</v>
      </c>
      <c r="O33" s="9">
        <v>0.25</v>
      </c>
      <c r="P33" s="9">
        <v>0.5</v>
      </c>
      <c r="Q33" t="str">
        <f t="shared" ca="1" si="20"/>
        <v>MANTENER</v>
      </c>
      <c r="T33" s="2"/>
      <c r="U33" s="14">
        <f>Tabla6[[#This Row],[cantidad]]-Tabla6[[#This Row],[CANTIDAD VENDIDA]]</f>
        <v>3.18E-6</v>
      </c>
      <c r="V33" s="2">
        <f t="shared" ca="1" si="21"/>
        <v>791.32209560855995</v>
      </c>
      <c r="W33" s="2">
        <f t="shared" si="22"/>
        <v>-699.99737650756197</v>
      </c>
      <c r="X33" s="9">
        <f t="shared" ca="1" si="23"/>
        <v>0.14360065152391624</v>
      </c>
      <c r="Y33" s="2" t="str">
        <f t="shared" ref="Y33:Y38" si="24">IF(U33=0,"VENDIDA","ACTIVA")</f>
        <v>ACTIVA</v>
      </c>
    </row>
    <row r="34" spans="2:25" x14ac:dyDescent="0.25">
      <c r="B34" s="1">
        <f t="shared" ca="1" si="17"/>
        <v>45527</v>
      </c>
      <c r="C34" s="2">
        <f ca="1">VLOOKUP(B34,Tabla4[],2,FALSE)</f>
        <v>4069.62</v>
      </c>
      <c r="D34" s="3">
        <f ca="1">VLOOKUP(B34,Tabla4[],3,FALSE)</f>
        <v>61146.6</v>
      </c>
      <c r="E34" s="2">
        <f ca="1">VLOOKUP(B34,Tabla4[],5,FALSE)</f>
        <v>2665</v>
      </c>
      <c r="F34" s="2">
        <f ca="1">VLOOKUP(B34,Tabla4[],4,FALSE)</f>
        <v>2.02</v>
      </c>
      <c r="G34" t="s">
        <v>16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776.64892605299997</v>
      </c>
      <c r="N34" s="12">
        <f t="shared" ca="1" si="19"/>
        <v>0.12239826817948259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776.64892605299997</v>
      </c>
      <c r="W34" s="2">
        <f t="shared" si="22"/>
        <v>-699.99553871893795</v>
      </c>
      <c r="X34" s="9">
        <f t="shared" ca="1" si="23"/>
        <v>0.12239826817948259</v>
      </c>
      <c r="Y34" s="2" t="str">
        <f t="shared" si="24"/>
        <v>ACTIVA</v>
      </c>
    </row>
    <row r="35" spans="2:25" x14ac:dyDescent="0.25">
      <c r="B35" s="1">
        <f t="shared" ca="1" si="17"/>
        <v>45527</v>
      </c>
      <c r="C35" s="2">
        <f ca="1">VLOOKUP(B35,Tabla4[],2,FALSE)</f>
        <v>4069.62</v>
      </c>
      <c r="D35" s="3">
        <f ca="1">VLOOKUP(B35,Tabla4[],3,FALSE)</f>
        <v>61146.6</v>
      </c>
      <c r="E35" s="2">
        <f ca="1">VLOOKUP(B35,Tabla4[],5,FALSE)</f>
        <v>2665</v>
      </c>
      <c r="F35" s="2">
        <f ca="1">VLOOKUP(B35,Tabla4[],4,FALSE)</f>
        <v>2.02</v>
      </c>
      <c r="G35" t="s">
        <v>42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474.66449377441199</v>
      </c>
      <c r="N35" s="12">
        <f t="shared" ca="1" si="19"/>
        <v>0.37190980711763116</v>
      </c>
      <c r="O35" s="9">
        <v>0.1</v>
      </c>
      <c r="P35" s="9">
        <v>0.3</v>
      </c>
      <c r="Q35" t="str">
        <f t="shared" ca="1" si="20"/>
        <v>VENDER</v>
      </c>
      <c r="T35" s="2"/>
      <c r="U35" s="14">
        <f>Tabla6[[#This Row],[cantidad]]-Tabla6[[#This Row],[CANTIDAD VENDIDA]]</f>
        <v>5.7740630000000001E-2</v>
      </c>
      <c r="V35" s="2">
        <f t="shared" ca="1" si="21"/>
        <v>474.66449377441199</v>
      </c>
      <c r="W35" s="2">
        <f t="shared" si="22"/>
        <v>-350.00858741327886</v>
      </c>
      <c r="X35" s="9">
        <f t="shared" ca="1" si="23"/>
        <v>0.37190980711763116</v>
      </c>
      <c r="Y35" s="2" t="str">
        <f t="shared" si="24"/>
        <v>ACTIVA</v>
      </c>
    </row>
    <row r="36" spans="2:25" x14ac:dyDescent="0.25">
      <c r="B36" s="1">
        <f t="shared" ref="B36:B41" ca="1" si="25">TODAY()</f>
        <v>45527</v>
      </c>
      <c r="C36" s="2">
        <f ca="1">VLOOKUP(B36,Tabla4[],2,FALSE)</f>
        <v>4069.62</v>
      </c>
      <c r="D36" s="3">
        <f ca="1">VLOOKUP(B36,Tabla4[],3,FALSE)</f>
        <v>61146.6</v>
      </c>
      <c r="E36" s="2">
        <f ca="1">VLOOKUP(B36,Tabla4[],5,FALSE)</f>
        <v>2665</v>
      </c>
      <c r="F36" s="2">
        <f ca="1">VLOOKUP(B36,Tabla4[],4,FALSE)</f>
        <v>2.02</v>
      </c>
      <c r="G36" t="s">
        <v>15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t="shared" ref="M36:M41" ca="1" si="26" xml:space="preserve"> K36 * (IF(G36="BTC", D36, IF(G36="ETH", E36, IF(G36="IO.NET", F36, 0)))) * C36</f>
        <v>724.13437050971993</v>
      </c>
      <c r="N36" s="27">
        <f t="shared" ref="N36:N41" ca="1" si="27">IF(G36 = "BTC", (D36 - J36) / J36,
 IF(G36 = "ETH", (E36 - J36) / J36,
 IF(G36 = "IO.NET", (F36 - J36) / J36,
 "Moneda no soportada")))</f>
        <v>3.5553028767281239E-2</v>
      </c>
      <c r="O36" s="28">
        <v>0.25</v>
      </c>
      <c r="P36" s="28">
        <v>0.5</v>
      </c>
      <c r="Q36" t="str">
        <f t="shared" ref="Q36:Q41" ca="1" si="28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t="shared" ref="V36:V41" ca="1" si="29">IF(G36="BTC", D36 * U36 * C36, IF(G36="ETH", E36 * U36 * C36, IF(G36="IO.NET", F36 * U36 * C36, 0)))</f>
        <v>724.13437050971993</v>
      </c>
      <c r="W36" s="2">
        <f t="shared" ref="W36:W41" si="30">IF(G36 = "BTC", ((T36 - L36)), IF(G36 = "ETH", ((T36 - L36)), IF(G36 = "IO.NET", ((T36 - L36)), "Moneda no soportada")))</f>
        <v>-699.99648833423703</v>
      </c>
      <c r="X36" s="9">
        <f t="shared" ref="X36:X41" ca="1" si="31">IF(G36 = "BTC", (((D36 - J36) / J36)),IF(G36 = "ETH", ((E36 - J36) / J36), IF(G36 = "IO.NET", ((F36 - J36) / J36), "Moneda no soportada")))</f>
        <v>3.5553028767281239E-2</v>
      </c>
      <c r="Y36" s="2" t="str">
        <f t="shared" si="24"/>
        <v>ACTIVA</v>
      </c>
    </row>
    <row r="37" spans="2:25" x14ac:dyDescent="0.25">
      <c r="B37" s="1">
        <f t="shared" ca="1" si="25"/>
        <v>45527</v>
      </c>
      <c r="C37" s="2">
        <f ca="1">VLOOKUP(B37,Tabla4[],2,FALSE)</f>
        <v>4069.62</v>
      </c>
      <c r="D37" s="3">
        <f ca="1">VLOOKUP(B37,Tabla4[],3,FALSE)</f>
        <v>61146.6</v>
      </c>
      <c r="E37" s="2">
        <f ca="1">VLOOKUP(B37,Tabla4[],5,FALSE)</f>
        <v>2665</v>
      </c>
      <c r="F37" s="2">
        <f ca="1">VLOOKUP(B37,Tabla4[],4,FALSE)</f>
        <v>2.02</v>
      </c>
      <c r="G37" t="s">
        <v>16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t="shared" ca="1" si="26"/>
        <v>704.52610300799995</v>
      </c>
      <c r="N37" s="27">
        <f t="shared" ca="1" si="27"/>
        <v>7.4852563133223134E-3</v>
      </c>
      <c r="O37" s="28">
        <v>0.25</v>
      </c>
      <c r="P37" s="28">
        <v>0.5</v>
      </c>
      <c r="Q37" t="str">
        <f t="shared" ca="1" si="28"/>
        <v>MANTENER</v>
      </c>
      <c r="T37" s="2"/>
      <c r="U37" s="14">
        <f>Tabla6[[#This Row],[cantidad]]-Tabla6[[#This Row],[CANTIDAD VENDIDA]]</f>
        <v>6.4960000000000001E-5</v>
      </c>
      <c r="V37" s="2">
        <f t="shared" ca="1" si="29"/>
        <v>704.52610300799995</v>
      </c>
      <c r="W37" s="2">
        <f t="shared" si="30"/>
        <v>-700.01513873535998</v>
      </c>
      <c r="X37" s="9">
        <f t="shared" ca="1" si="31"/>
        <v>7.4852563133223134E-3</v>
      </c>
      <c r="Y37" s="2" t="str">
        <f t="shared" si="24"/>
        <v>ACTIVA</v>
      </c>
    </row>
    <row r="38" spans="2:25" x14ac:dyDescent="0.25">
      <c r="B38" s="1">
        <f t="shared" ca="1" si="25"/>
        <v>45527</v>
      </c>
      <c r="C38" s="2">
        <f ca="1">VLOOKUP(B38,Tabla4[],2,FALSE)</f>
        <v>4069.62</v>
      </c>
      <c r="D38" s="3">
        <f ca="1">VLOOKUP(B38,Tabla4[],3,FALSE)</f>
        <v>61146.6</v>
      </c>
      <c r="E38" s="2">
        <f ca="1">VLOOKUP(B38,Tabla4[],5,FALSE)</f>
        <v>2665</v>
      </c>
      <c r="F38" s="2">
        <f ca="1">VLOOKUP(B38,Tabla4[],4,FALSE)</f>
        <v>2.02</v>
      </c>
      <c r="G38" t="s">
        <v>42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t="shared" ca="1" si="26"/>
        <v>449.18242407986395</v>
      </c>
      <c r="N38" s="27">
        <f t="shared" ca="1" si="27"/>
        <v>0.28470941399442862</v>
      </c>
      <c r="O38" s="28">
        <v>0.1</v>
      </c>
      <c r="P38" s="28">
        <v>0.3</v>
      </c>
      <c r="Q38" t="str">
        <f t="shared" ca="1" si="28"/>
        <v>VENTA PARCIAL</v>
      </c>
      <c r="T38" s="2"/>
      <c r="U38" s="14">
        <f>Tabla6[[#This Row],[cantidad]]-Tabla6[[#This Row],[CANTIDAD VENDIDA]]</f>
        <v>5.4640859999999999E-2</v>
      </c>
      <c r="V38" s="2">
        <f t="shared" ca="1" si="29"/>
        <v>449.18242407986395</v>
      </c>
      <c r="W38" s="2">
        <f t="shared" si="30"/>
        <v>-349.9990705940495</v>
      </c>
      <c r="X38" s="9">
        <f t="shared" ca="1" si="31"/>
        <v>0.28470941399442862</v>
      </c>
      <c r="Y38" s="2" t="str">
        <f t="shared" si="24"/>
        <v>ACTIVA</v>
      </c>
    </row>
    <row r="39" spans="2:25" x14ac:dyDescent="0.25">
      <c r="B39" s="1">
        <f t="shared" ca="1" si="25"/>
        <v>45527</v>
      </c>
      <c r="C39" s="2">
        <f ca="1">VLOOKUP(B39,Tabla4[],2,FALSE)</f>
        <v>4069.62</v>
      </c>
      <c r="D39" s="3">
        <f ca="1">VLOOKUP(B39,Tabla4[],3,FALSE)</f>
        <v>61146.6</v>
      </c>
      <c r="E39" s="2">
        <f ca="1">VLOOKUP(B39,Tabla4[],5,FALSE)</f>
        <v>2665</v>
      </c>
      <c r="F39" s="2">
        <f ca="1">VLOOKUP(B39,Tabla4[],4,FALSE)</f>
        <v>2.02</v>
      </c>
      <c r="G39" t="s">
        <v>15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>
        <f t="shared" ca="1" si="26"/>
        <v>753.99558166475992</v>
      </c>
      <c r="N39" s="27">
        <f t="shared" ca="1" si="27"/>
        <v>6.6687832976878636E-2</v>
      </c>
      <c r="O39" s="28">
        <v>0.25</v>
      </c>
      <c r="P39" s="28">
        <v>0.5</v>
      </c>
      <c r="Q39" t="str">
        <f t="shared" ca="1" si="28"/>
        <v>MANTENER</v>
      </c>
      <c r="T39" s="2"/>
      <c r="U39" s="14">
        <f>Tabla6[[#This Row],[cantidad]]-Tabla6[[#This Row],[CANTIDAD VENDIDA]]</f>
        <v>3.0299999999999998E-6</v>
      </c>
      <c r="V39" s="2">
        <f t="shared" ca="1" si="29"/>
        <v>753.99558166475992</v>
      </c>
      <c r="W39" s="2">
        <f t="shared" si="30"/>
        <v>-700.00297999823999</v>
      </c>
      <c r="X39" s="9">
        <f t="shared" ca="1" si="31"/>
        <v>6.6687832976878636E-2</v>
      </c>
      <c r="Y39" s="2" t="str">
        <f>IF(U39=0,"VENDIDA","ACTIVA")</f>
        <v>ACTIVA</v>
      </c>
    </row>
    <row r="40" spans="2:25" x14ac:dyDescent="0.25">
      <c r="B40" s="1">
        <f t="shared" ca="1" si="25"/>
        <v>45527</v>
      </c>
      <c r="C40" s="2">
        <f ca="1">VLOOKUP(B40,Tabla4[],2,FALSE)</f>
        <v>4069.62</v>
      </c>
      <c r="D40" s="3">
        <f ca="1">VLOOKUP(B40,Tabla4[],3,FALSE)</f>
        <v>61146.6</v>
      </c>
      <c r="E40" s="2">
        <f ca="1">VLOOKUP(B40,Tabla4[],5,FALSE)</f>
        <v>2665</v>
      </c>
      <c r="F40" s="2">
        <f ca="1">VLOOKUP(B40,Tabla4[],4,FALSE)</f>
        <v>2.02</v>
      </c>
      <c r="G40" t="s">
        <v>16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t="shared" ca="1" si="26"/>
        <v>745.41377862900003</v>
      </c>
      <c r="N40" s="27">
        <f t="shared" ca="1" si="27"/>
        <v>5.4547612923649132E-2</v>
      </c>
      <c r="O40" s="28">
        <v>0.25</v>
      </c>
      <c r="P40" s="28">
        <v>0.5</v>
      </c>
      <c r="Q40" t="str">
        <f t="shared" ca="1" si="28"/>
        <v>MANTENER</v>
      </c>
      <c r="T40" s="2"/>
      <c r="U40" s="14">
        <f>Tabla6[[#This Row],[cantidad]]-Tabla6[[#This Row],[CANTIDAD VENDIDA]]</f>
        <v>6.8730000000000001E-5</v>
      </c>
      <c r="V40" s="2">
        <f t="shared" ca="1" si="29"/>
        <v>745.41377862900003</v>
      </c>
      <c r="W40" s="2">
        <f t="shared" si="30"/>
        <v>-700.00259914812</v>
      </c>
      <c r="X40" s="9">
        <f t="shared" ca="1" si="31"/>
        <v>5.4547612923649132E-2</v>
      </c>
      <c r="Y40" s="2" t="str">
        <f>IF(U40=0,"VENDIDA","ACTIVA")</f>
        <v>ACTIVA</v>
      </c>
    </row>
    <row r="41" spans="2:25" x14ac:dyDescent="0.25">
      <c r="B41" s="1">
        <f t="shared" ca="1" si="25"/>
        <v>45527</v>
      </c>
      <c r="C41" s="2">
        <f ca="1">VLOOKUP(B41,Tabla4[],2,FALSE)</f>
        <v>4069.62</v>
      </c>
      <c r="D41" s="3">
        <f ca="1">VLOOKUP(B41,Tabla4[],3,FALSE)</f>
        <v>61146.6</v>
      </c>
      <c r="E41" s="2">
        <f ca="1">VLOOKUP(B41,Tabla4[],5,FALSE)</f>
        <v>2665</v>
      </c>
      <c r="F41" s="2">
        <f ca="1">VLOOKUP(B41,Tabla4[],4,FALSE)</f>
        <v>2.02</v>
      </c>
      <c r="G41" t="s">
        <v>42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t="shared" ca="1" si="26"/>
        <v>442.82154534771598</v>
      </c>
      <c r="N41" s="27">
        <f t="shared" ca="1" si="27"/>
        <v>0.25294628458007684</v>
      </c>
      <c r="O41" s="28">
        <v>0.1</v>
      </c>
      <c r="P41" s="28">
        <v>0.3</v>
      </c>
      <c r="Q41" t="str">
        <f t="shared" ca="1" si="28"/>
        <v>VENTA PARCIAL</v>
      </c>
      <c r="T41" s="2"/>
      <c r="U41" s="14">
        <f>Tabla6[[#This Row],[cantidad]]-Tabla6[[#This Row],[CANTIDAD VENDIDA]]</f>
        <v>5.3867089999999999E-2</v>
      </c>
      <c r="V41" s="2">
        <f t="shared" ca="1" si="29"/>
        <v>442.82154534771598</v>
      </c>
      <c r="W41" s="2">
        <f t="shared" si="30"/>
        <v>-349.99732079053973</v>
      </c>
      <c r="X41" s="9">
        <f t="shared" ca="1" si="31"/>
        <v>0.25294628458007684</v>
      </c>
      <c r="Y41" s="2" t="str">
        <f>IF(U41=0,"VENDIDA","ACTIVA")</f>
        <v>ACTIVA</v>
      </c>
    </row>
  </sheetData>
  <conditionalFormatting sqref="B3:Z41">
    <cfRule type="expression" dxfId="66" priority="1">
      <formula>$Y:$Y="VENDIDA"</formula>
    </cfRule>
  </conditionalFormatting>
  <conditionalFormatting sqref="Q1:Q1048576">
    <cfRule type="containsText" dxfId="65" priority="9" operator="containsText" text="VENTA PARCIAL">
      <formula>NOT(ISERROR(SEARCH("VENTA PARCIAL",Q1)))</formula>
    </cfRule>
    <cfRule type="containsText" dxfId="64" priority="10" operator="containsText" text="MANTENER">
      <formula>NOT(ISERROR(SEARCH("MANTENER",Q1)))</formula>
    </cfRule>
  </conditionalFormatting>
  <conditionalFormatting sqref="Q3:Q41">
    <cfRule type="containsText" dxfId="63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8"/>
  <sheetViews>
    <sheetView workbookViewId="0">
      <selection activeCell="I8" sqref="I8"/>
    </sheetView>
  </sheetViews>
  <sheetFormatPr baseColWidth="10" defaultRowHeight="15" x14ac:dyDescent="0.25"/>
  <cols>
    <col min="4" max="4" width="30.5703125" customWidth="1"/>
    <col min="5" max="5" width="22.140625" customWidth="1"/>
    <col min="6" max="6" width="17.28515625" customWidth="1"/>
    <col min="7" max="7" width="24" customWidth="1"/>
    <col min="8" max="8" width="22.85546875" customWidth="1"/>
    <col min="9" max="9" width="24" customWidth="1"/>
    <col min="10" max="10" width="23" customWidth="1"/>
    <col min="11" max="11" width="16.42578125" customWidth="1"/>
    <col min="12" max="12" width="12" customWidth="1"/>
  </cols>
  <sheetData>
    <row r="2" spans="2:12" x14ac:dyDescent="0.25">
      <c r="B2" t="s">
        <v>80</v>
      </c>
      <c r="C2" t="s">
        <v>40</v>
      </c>
      <c r="D2" t="s">
        <v>46</v>
      </c>
      <c r="E2" t="s">
        <v>44</v>
      </c>
      <c r="F2" t="s">
        <v>45</v>
      </c>
      <c r="G2" t="s">
        <v>49</v>
      </c>
      <c r="H2" t="s">
        <v>50</v>
      </c>
      <c r="I2" t="s">
        <v>47</v>
      </c>
      <c r="J2" t="s">
        <v>52</v>
      </c>
      <c r="K2" t="s">
        <v>48</v>
      </c>
      <c r="L2" t="s">
        <v>51</v>
      </c>
    </row>
    <row r="3" spans="2:12" x14ac:dyDescent="0.25">
      <c r="B3" s="1">
        <f t="shared" ref="B3:B4" ca="1" si="0">TODAY()</f>
        <v>45527</v>
      </c>
      <c r="C3" s="1">
        <v>45495</v>
      </c>
      <c r="D3" s="7">
        <v>3983.25</v>
      </c>
      <c r="E3" s="14">
        <v>0.17572713000000001</v>
      </c>
      <c r="F3" s="7">
        <f t="shared" ref="F3:F8" si="1">D3*E3</f>
        <v>699.9650905725</v>
      </c>
      <c r="G3" s="14">
        <f>E3</f>
        <v>0.17572713000000001</v>
      </c>
      <c r="H3" s="7">
        <f ca="1">VLOOKUP(B3,Tabla4[],6,FALSE)</f>
        <v>4000</v>
      </c>
      <c r="I3" s="7">
        <f t="shared" ref="I3:I8" ca="1" si="2">G3*H3</f>
        <v>702.90852000000007</v>
      </c>
      <c r="J3" s="7">
        <f>F3</f>
        <v>699.9650905725</v>
      </c>
      <c r="K3" s="10">
        <f t="shared" ref="K3:K8" ca="1" si="3">((I3-J3)/J3)</f>
        <v>4.2051088934915871E-3</v>
      </c>
      <c r="L3" s="7">
        <f>D3*1.1</f>
        <v>4381.5750000000007</v>
      </c>
    </row>
    <row r="4" spans="2:12" x14ac:dyDescent="0.25">
      <c r="B4" s="1">
        <f t="shared" ca="1" si="0"/>
        <v>45527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>G3+E4</f>
        <v>0.20091751000000002</v>
      </c>
      <c r="H4" s="7">
        <f ca="1">VLOOKUP(B4,Tabla4[],6,FALSE)</f>
        <v>4000</v>
      </c>
      <c r="I4" s="7">
        <f t="shared" ca="1" si="2"/>
        <v>803.67004000000009</v>
      </c>
      <c r="J4" s="7">
        <f>F4+J3</f>
        <v>799.96510538510006</v>
      </c>
      <c r="K4" s="10">
        <f t="shared" ca="1" si="3"/>
        <v>4.6313702809780491E-3</v>
      </c>
      <c r="L4" s="7">
        <f t="shared" ref="L4:L6" si="4">D4*1.1</f>
        <v>4366.7470000000003</v>
      </c>
    </row>
    <row r="5" spans="2:12" x14ac:dyDescent="0.25">
      <c r="B5" s="1">
        <f ca="1">TODAY()</f>
        <v>45527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>G4+E5</f>
        <v>0.37532014000000002</v>
      </c>
      <c r="H5" s="7">
        <f ca="1">VLOOKUP(B5,Tabla4[],6,FALSE)</f>
        <v>4000</v>
      </c>
      <c r="I5" s="22">
        <f t="shared" ca="1" si="2"/>
        <v>1501.2805600000002</v>
      </c>
      <c r="J5" s="8">
        <f>F5+J4</f>
        <v>1499.9649414160999</v>
      </c>
      <c r="K5" s="10">
        <f t="shared" ca="1" si="3"/>
        <v>8.7709955584573283E-4</v>
      </c>
      <c r="L5" s="7">
        <f t="shared" si="4"/>
        <v>4415.07</v>
      </c>
    </row>
    <row r="6" spans="2:12" x14ac:dyDescent="0.25">
      <c r="B6" s="1">
        <f ca="1">TODAY()</f>
        <v>45527</v>
      </c>
      <c r="C6" s="1">
        <v>45509</v>
      </c>
      <c r="D6" s="7">
        <v>4203.8900000000003</v>
      </c>
      <c r="E6">
        <v>0.16651260000000001</v>
      </c>
      <c r="F6" s="22">
        <f t="shared" si="1"/>
        <v>700.00065401400013</v>
      </c>
      <c r="G6" s="14">
        <f>G5+E6</f>
        <v>0.54183274000000003</v>
      </c>
      <c r="H6" s="7">
        <f ca="1">VLOOKUP(B6,Tabla4[],6,FALSE)</f>
        <v>4000</v>
      </c>
      <c r="I6" s="22">
        <f t="shared" ca="1" si="2"/>
        <v>2167.3309600000002</v>
      </c>
      <c r="J6" s="8">
        <f>F6+J5</f>
        <v>2199.9655954301002</v>
      </c>
      <c r="K6" s="10">
        <f t="shared" ca="1" si="3"/>
        <v>-1.4834157178589769E-2</v>
      </c>
      <c r="L6" s="7">
        <f t="shared" si="4"/>
        <v>4624.2790000000005</v>
      </c>
    </row>
    <row r="7" spans="2:12" x14ac:dyDescent="0.25">
      <c r="B7" s="1">
        <f ca="1">TODAY()</f>
        <v>45527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>G6+E7</f>
        <v>0.71495810999999998</v>
      </c>
      <c r="H7" s="7">
        <f ca="1">VLOOKUP(B7,Tabla4[],6,FALSE)</f>
        <v>4000</v>
      </c>
      <c r="I7" s="22">
        <f t="shared" ca="1" si="2"/>
        <v>2859.8324400000001</v>
      </c>
      <c r="J7" s="8">
        <f>F7+J6</f>
        <v>2899.9651352048004</v>
      </c>
      <c r="K7" s="30">
        <f t="shared" ca="1" si="3"/>
        <v>-1.3839026792977639E-2</v>
      </c>
      <c r="L7" s="8">
        <f>D7*1.1</f>
        <v>4447.6410000000005</v>
      </c>
    </row>
    <row r="8" spans="2:12" x14ac:dyDescent="0.25">
      <c r="B8" s="1">
        <f ca="1">TODAY()</f>
        <v>45527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>G7+E8</f>
        <v>0.89181253999999999</v>
      </c>
      <c r="H8" s="7">
        <f ca="1">VLOOKUP(B8,Tabla4[],6,FALSE)</f>
        <v>4000</v>
      </c>
      <c r="I8" s="22">
        <f t="shared" ca="1" si="2"/>
        <v>3567.2501600000001</v>
      </c>
      <c r="J8" s="8">
        <f>F8+J7</f>
        <v>3599.9655804106005</v>
      </c>
      <c r="K8" s="30">
        <f t="shared" ca="1" si="3"/>
        <v>-9.0877036682303659E-3</v>
      </c>
      <c r="L8" s="8">
        <f>D8*1.1</f>
        <v>4353.866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10"/>
  <sheetViews>
    <sheetView workbookViewId="0">
      <selection activeCell="D8" sqref="D8"/>
    </sheetView>
  </sheetViews>
  <sheetFormatPr baseColWidth="10" defaultRowHeight="15" x14ac:dyDescent="0.25"/>
  <cols>
    <col min="3" max="3" width="18.140625" customWidth="1"/>
    <col min="4" max="4" width="19.85546875" customWidth="1"/>
    <col min="5" max="5" width="24" customWidth="1"/>
    <col min="6" max="6" width="21.5703125" customWidth="1"/>
    <col min="7" max="7" width="23.7109375" customWidth="1"/>
    <col min="8" max="8" width="25" customWidth="1"/>
    <col min="9" max="9" width="22.42578125" customWidth="1"/>
    <col min="10" max="10" width="27.7109375" customWidth="1"/>
    <col min="11" max="11" width="21.140625" customWidth="1"/>
    <col min="12" max="12" width="27.28515625" customWidth="1"/>
    <col min="13" max="13" width="24.7109375" customWidth="1"/>
    <col min="14" max="14" width="34.7109375" customWidth="1"/>
    <col min="15" max="15" width="16.42578125" customWidth="1"/>
  </cols>
  <sheetData>
    <row r="2" spans="2:15" x14ac:dyDescent="0.25">
      <c r="B2" t="s">
        <v>53</v>
      </c>
      <c r="C2" t="s">
        <v>54</v>
      </c>
      <c r="D2" t="s">
        <v>55</v>
      </c>
      <c r="E2" t="s">
        <v>66</v>
      </c>
      <c r="F2" t="s">
        <v>56</v>
      </c>
      <c r="G2" t="s">
        <v>57</v>
      </c>
      <c r="H2" t="s">
        <v>58</v>
      </c>
      <c r="I2" t="s">
        <v>67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48</v>
      </c>
    </row>
    <row r="3" spans="2:15" x14ac:dyDescent="0.25">
      <c r="B3" s="17" t="s">
        <v>65</v>
      </c>
      <c r="C3" t="s">
        <v>15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4041.51</v>
      </c>
      <c r="J3" s="7">
        <v>64080</v>
      </c>
      <c r="K3" s="7">
        <f>H3*J3*I3</f>
        <v>6780.0953737440004</v>
      </c>
      <c r="L3">
        <f>H3-D3</f>
        <v>5.1199999999999984E-6</v>
      </c>
      <c r="M3" s="7">
        <f>J3-F3</f>
        <v>-3261.1900000000023</v>
      </c>
      <c r="N3" s="7">
        <f>L3*J3*I3</f>
        <v>1325.9773992959997</v>
      </c>
      <c r="O3" s="9">
        <f>(K3-G3)/G3</f>
        <v>0.18152193973697042</v>
      </c>
    </row>
    <row r="4" spans="2:15" x14ac:dyDescent="0.25">
      <c r="B4" s="17" t="s">
        <v>65</v>
      </c>
      <c r="C4" t="s">
        <v>16</v>
      </c>
      <c r="D4">
        <v>2.0707000000000001E-4</v>
      </c>
      <c r="E4" s="7">
        <v>4046.27</v>
      </c>
      <c r="F4" s="7">
        <v>3513.1</v>
      </c>
      <c r="G4" s="7">
        <f t="shared" ref="G4:G5" si="0">D4*F4*E4</f>
        <v>2943.48993193859</v>
      </c>
      <c r="H4">
        <v>3.0967000000000001E-4</v>
      </c>
      <c r="I4" s="7">
        <v>4041.51</v>
      </c>
      <c r="J4" s="7">
        <v>3150.45</v>
      </c>
      <c r="K4" s="7">
        <f t="shared" ref="K4:K6" si="1">H4*J4*I4</f>
        <v>3942.896555835765</v>
      </c>
      <c r="L4">
        <f t="shared" ref="L4:L6" si="2">H4-D4</f>
        <v>1.026E-4</v>
      </c>
      <c r="M4" s="7">
        <f t="shared" ref="M4:M5" si="3">J4-F4</f>
        <v>-362.65000000000009</v>
      </c>
      <c r="N4" s="7">
        <f t="shared" ref="N4:N6" si="4">L4*J4*I4</f>
        <v>1306.3622134167001</v>
      </c>
      <c r="O4" s="9">
        <f t="shared" ref="O4:O6" si="5">(K4-G4)/G4</f>
        <v>0.33953118475216365</v>
      </c>
    </row>
    <row r="5" spans="2:15" x14ac:dyDescent="0.25">
      <c r="B5" s="17" t="s">
        <v>65</v>
      </c>
      <c r="C5" t="s">
        <v>42</v>
      </c>
      <c r="D5">
        <v>0.22405046000000001</v>
      </c>
      <c r="E5" s="7">
        <v>4046.27</v>
      </c>
      <c r="F5" s="7">
        <v>3.01</v>
      </c>
      <c r="G5" s="7">
        <f t="shared" si="0"/>
        <v>2728.7716509004417</v>
      </c>
      <c r="H5">
        <v>0.28387364999999998</v>
      </c>
      <c r="I5" s="7">
        <v>4041.51</v>
      </c>
      <c r="J5" s="7">
        <v>2.21</v>
      </c>
      <c r="K5" s="7">
        <f t="shared" si="1"/>
        <v>2535.4848114174151</v>
      </c>
      <c r="L5">
        <f t="shared" si="2"/>
        <v>5.9823189999999971E-2</v>
      </c>
      <c r="M5" s="7">
        <f t="shared" si="3"/>
        <v>-0.79999999999999982</v>
      </c>
      <c r="N5" s="7">
        <f t="shared" si="4"/>
        <v>534.32500556334878</v>
      </c>
      <c r="O5" s="9">
        <f t="shared" si="5"/>
        <v>-7.0832910998340839E-2</v>
      </c>
    </row>
    <row r="6" spans="2:15" x14ac:dyDescent="0.25">
      <c r="B6" s="17" t="s">
        <v>65</v>
      </c>
      <c r="C6" t="s">
        <v>64</v>
      </c>
      <c r="D6">
        <v>0.17572713000000001</v>
      </c>
      <c r="E6" s="7">
        <v>3983.45</v>
      </c>
      <c r="F6" s="7">
        <v>1</v>
      </c>
      <c r="G6" s="7">
        <f>D6*F6*E6</f>
        <v>700.00023599849999</v>
      </c>
      <c r="H6">
        <v>0.37613443000000002</v>
      </c>
      <c r="I6" s="7">
        <v>4004</v>
      </c>
      <c r="J6" s="7">
        <v>1</v>
      </c>
      <c r="K6" s="7">
        <f t="shared" si="1"/>
        <v>1506.0422577200002</v>
      </c>
      <c r="L6" s="14">
        <f t="shared" si="2"/>
        <v>0.20040730000000001</v>
      </c>
      <c r="M6" s="7">
        <f>J6-F6</f>
        <v>0</v>
      </c>
      <c r="N6" s="7">
        <f t="shared" si="4"/>
        <v>802.43082920000006</v>
      </c>
      <c r="O6" s="9">
        <f t="shared" si="5"/>
        <v>1.151488214245727</v>
      </c>
    </row>
    <row r="7" spans="2:15" x14ac:dyDescent="0.25">
      <c r="B7" s="17" t="s">
        <v>86</v>
      </c>
      <c r="C7" t="s">
        <v>15</v>
      </c>
      <c r="D7" s="16">
        <v>2.618E-5</v>
      </c>
      <c r="E7" s="7">
        <v>4041.51</v>
      </c>
      <c r="F7" s="7">
        <v>64080</v>
      </c>
      <c r="G7" s="7">
        <f>D7*F7*E7</f>
        <v>6780.0953737440004</v>
      </c>
      <c r="I7" s="7"/>
      <c r="J7" s="7"/>
      <c r="K7" s="7">
        <f>H7*J7*I7</f>
        <v>0</v>
      </c>
      <c r="L7" s="14">
        <f>H7-D7</f>
        <v>-2.618E-5</v>
      </c>
      <c r="M7" s="8">
        <f>J7-F7</f>
        <v>-64080</v>
      </c>
      <c r="N7" s="7">
        <f>L7*J7*I7</f>
        <v>0</v>
      </c>
      <c r="O7" s="9">
        <f>(K7-G7)/G7</f>
        <v>-1</v>
      </c>
    </row>
    <row r="8" spans="2:15" x14ac:dyDescent="0.25">
      <c r="B8" s="17" t="s">
        <v>86</v>
      </c>
      <c r="C8" t="s">
        <v>16</v>
      </c>
      <c r="D8">
        <v>3.0967000000000001E-4</v>
      </c>
      <c r="E8" s="7">
        <v>4041.51</v>
      </c>
      <c r="F8" s="7">
        <v>3150.45</v>
      </c>
      <c r="G8" s="7">
        <f>D8*F8*E8</f>
        <v>3942.896555835765</v>
      </c>
      <c r="I8" s="7"/>
      <c r="J8" s="7"/>
      <c r="K8" s="7">
        <f>H8*J8*I8</f>
        <v>0</v>
      </c>
      <c r="L8" s="14">
        <f>H8-D8</f>
        <v>-3.0967000000000001E-4</v>
      </c>
      <c r="M8" s="8">
        <f>J8-F8</f>
        <v>-3150.45</v>
      </c>
      <c r="N8" s="7">
        <f>L8*J8*I8</f>
        <v>0</v>
      </c>
      <c r="O8" s="9">
        <f>(K8-G8)/G8</f>
        <v>-1</v>
      </c>
    </row>
    <row r="9" spans="2:15" x14ac:dyDescent="0.25">
      <c r="B9" s="17" t="s">
        <v>86</v>
      </c>
      <c r="C9" t="s">
        <v>42</v>
      </c>
      <c r="D9">
        <v>0.28387364999999998</v>
      </c>
      <c r="E9" s="7">
        <v>4041.51</v>
      </c>
      <c r="F9" s="7">
        <v>2.21</v>
      </c>
      <c r="G9" s="7">
        <f>D9*F9*E9</f>
        <v>2535.4848114174151</v>
      </c>
      <c r="I9" s="7"/>
      <c r="J9" s="7"/>
      <c r="K9" s="7">
        <f>H9*J9*I9</f>
        <v>0</v>
      </c>
      <c r="L9" s="14">
        <f>H9-D9</f>
        <v>-0.28387364999999998</v>
      </c>
      <c r="M9" s="8">
        <f>J9-F9</f>
        <v>-2.21</v>
      </c>
      <c r="N9" s="7">
        <f>L9*J9*I9</f>
        <v>0</v>
      </c>
      <c r="O9" s="9">
        <f>(K9-G9)/G9</f>
        <v>-1</v>
      </c>
    </row>
    <row r="10" spans="2:15" x14ac:dyDescent="0.25">
      <c r="B10" s="17" t="s">
        <v>86</v>
      </c>
      <c r="C10" t="s">
        <v>64</v>
      </c>
      <c r="D10">
        <v>0.37613443000000002</v>
      </c>
      <c r="E10" s="7">
        <v>4040</v>
      </c>
      <c r="F10" s="7">
        <v>1</v>
      </c>
      <c r="G10" s="7">
        <f>D10*F10*E10</f>
        <v>1519.5830972000001</v>
      </c>
      <c r="I10" s="7"/>
      <c r="J10" s="7"/>
      <c r="K10" s="7">
        <f>H10*J10*I10</f>
        <v>0</v>
      </c>
      <c r="L10" s="14">
        <f>H10-D10</f>
        <v>-0.37613443000000002</v>
      </c>
      <c r="M10" s="8">
        <f>J10-F10</f>
        <v>-1</v>
      </c>
      <c r="N10" s="7">
        <f>L10*J10*I10</f>
        <v>0</v>
      </c>
      <c r="O10" s="9">
        <f>(K10-G10)/G10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38"/>
  <sheetViews>
    <sheetView topLeftCell="A25" workbookViewId="0">
      <selection activeCell="E38" sqref="E38"/>
    </sheetView>
  </sheetViews>
  <sheetFormatPr baseColWidth="10" defaultRowHeight="15" x14ac:dyDescent="0.25"/>
  <cols>
    <col min="5" max="5" width="12" bestFit="1" customWidth="1"/>
    <col min="6" max="6" width="12" customWidth="1"/>
    <col min="7" max="7" width="22.42578125" bestFit="1" customWidth="1"/>
  </cols>
  <sheetData>
    <row r="2" spans="2:7" x14ac:dyDescent="0.25">
      <c r="B2" t="s">
        <v>0</v>
      </c>
      <c r="C2" t="s">
        <v>111</v>
      </c>
      <c r="D2" t="s">
        <v>14</v>
      </c>
      <c r="E2" t="s">
        <v>112</v>
      </c>
      <c r="F2" t="s">
        <v>43</v>
      </c>
      <c r="G2" t="s">
        <v>113</v>
      </c>
    </row>
    <row r="3" spans="2:7" x14ac:dyDescent="0.25">
      <c r="B3" s="1">
        <v>45478</v>
      </c>
      <c r="C3" s="8">
        <f>VLOOKUP(B3,Tabla4[],2,FALSE)</f>
        <v>4090.5</v>
      </c>
      <c r="D3" s="6">
        <v>507.08</v>
      </c>
      <c r="E3" s="8">
        <f t="shared" ref="E3:E15" si="0">0.01518 * D3</f>
        <v>7.6974743999999999</v>
      </c>
      <c r="F3" s="8">
        <f>Tabla2[[#This Row],[VALOR INVERSION 1]]-7.7</f>
        <v>-2.5256000000002388E-3</v>
      </c>
      <c r="G3" s="8">
        <f>Tabla2[[#This Row],[VALOR INVERSION 1]]*Tabla2[[#This Row],[PRECIO DEL DÓLAR]]</f>
        <v>31486.519033199998</v>
      </c>
    </row>
    <row r="4" spans="2:7" x14ac:dyDescent="0.25">
      <c r="B4" s="1">
        <v>45481</v>
      </c>
      <c r="C4" s="8">
        <f>VLOOKUP(B4,Tabla4[],2,FALSE)</f>
        <v>4078.65</v>
      </c>
      <c r="D4" s="6">
        <v>510.33</v>
      </c>
      <c r="E4" s="8">
        <f t="shared" si="0"/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</row>
    <row r="5" spans="2:7" x14ac:dyDescent="0.25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</row>
    <row r="6" spans="2:7" x14ac:dyDescent="0.25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</row>
    <row r="7" spans="2:7" x14ac:dyDescent="0.25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</row>
    <row r="8" spans="2:7" x14ac:dyDescent="0.25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</row>
    <row r="9" spans="2:7" x14ac:dyDescent="0.25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</row>
    <row r="10" spans="2:7" x14ac:dyDescent="0.25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</row>
    <row r="11" spans="2:7" x14ac:dyDescent="0.25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</row>
    <row r="12" spans="2:7" x14ac:dyDescent="0.25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</row>
    <row r="13" spans="2:7" x14ac:dyDescent="0.25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</row>
    <row r="14" spans="2:7" x14ac:dyDescent="0.25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</row>
    <row r="15" spans="2:7" x14ac:dyDescent="0.25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</row>
    <row r="16" spans="2:7" x14ac:dyDescent="0.25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</row>
    <row r="17" spans="2:7" x14ac:dyDescent="0.25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</row>
    <row r="18" spans="2:7" x14ac:dyDescent="0.25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</row>
    <row r="19" spans="2:7" x14ac:dyDescent="0.25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</row>
    <row r="20" spans="2:7" x14ac:dyDescent="0.25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</row>
    <row r="21" spans="2:7" x14ac:dyDescent="0.25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</row>
    <row r="22" spans="2:7" x14ac:dyDescent="0.25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</row>
    <row r="23" spans="2:7" x14ac:dyDescent="0.25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</row>
    <row r="24" spans="2:7" x14ac:dyDescent="0.25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</row>
    <row r="25" spans="2:7" x14ac:dyDescent="0.25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</row>
    <row r="26" spans="2:7" x14ac:dyDescent="0.25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</row>
    <row r="27" spans="2:7" x14ac:dyDescent="0.25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</row>
    <row r="28" spans="2:7" x14ac:dyDescent="0.25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</row>
    <row r="29" spans="2:7" x14ac:dyDescent="0.25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</row>
    <row r="30" spans="2:7" x14ac:dyDescent="0.25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</row>
    <row r="31" spans="2:7" x14ac:dyDescent="0.25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</row>
    <row r="32" spans="2:7" x14ac:dyDescent="0.25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</row>
    <row r="33" spans="2:7" x14ac:dyDescent="0.25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</row>
    <row r="34" spans="2:7" x14ac:dyDescent="0.25">
      <c r="B34" s="1">
        <v>45520</v>
      </c>
      <c r="C34" s="8">
        <f>VLOOKUP(B34,Tabla4[],2,FALSE)</f>
        <v>4014.8</v>
      </c>
      <c r="D34" s="6">
        <v>509.45</v>
      </c>
      <c r="E34" s="8">
        <f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</row>
    <row r="35" spans="2:7" x14ac:dyDescent="0.25">
      <c r="B35" s="1">
        <v>45523</v>
      </c>
      <c r="C35" s="8">
        <f>VLOOKUP(B35,Tabla4[],2,FALSE)</f>
        <v>4030.16</v>
      </c>
      <c r="D35" s="24">
        <v>514.35</v>
      </c>
      <c r="E35" s="8">
        <f>0.01518 * D35</f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</row>
    <row r="36" spans="2:7" x14ac:dyDescent="0.25">
      <c r="B36" s="1">
        <v>45524</v>
      </c>
      <c r="C36" s="8">
        <f>VLOOKUP(B36,Tabla4[],2,FALSE)</f>
        <v>4023.02</v>
      </c>
      <c r="D36" s="24">
        <v>513.5</v>
      </c>
      <c r="E36" s="8">
        <f>0.01518 * D36</f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</row>
    <row r="37" spans="2:7" x14ac:dyDescent="0.25">
      <c r="B37" s="1">
        <v>45525</v>
      </c>
      <c r="C37" s="8">
        <f>VLOOKUP(B37,Tabla4[],2,FALSE)</f>
        <v>4010.2</v>
      </c>
      <c r="D37" s="24">
        <v>515.29999999999995</v>
      </c>
      <c r="E37" s="8">
        <f>0.01518 * D37</f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</row>
    <row r="38" spans="2:7" x14ac:dyDescent="0.25">
      <c r="B38" s="1">
        <v>45526</v>
      </c>
      <c r="C38" s="8">
        <f>VLOOKUP(B38,Tabla4[],2,FALSE)</f>
        <v>4036.25</v>
      </c>
      <c r="D38" s="6">
        <v>511.13</v>
      </c>
      <c r="E38" s="8">
        <f>0.01518 * D38</f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51"/>
  <sheetViews>
    <sheetView topLeftCell="A34" workbookViewId="0">
      <selection activeCell="L51" sqref="L51"/>
    </sheetView>
  </sheetViews>
  <sheetFormatPr baseColWidth="10" defaultRowHeight="15" x14ac:dyDescent="0.25"/>
  <cols>
    <col min="5" max="5" width="14.5703125" customWidth="1"/>
  </cols>
  <sheetData>
    <row r="2" spans="2:12" x14ac:dyDescent="0.25">
      <c r="B2" s="5" t="s">
        <v>0</v>
      </c>
      <c r="C2" s="5" t="s">
        <v>2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13</v>
      </c>
      <c r="K2" s="5" t="s">
        <v>12</v>
      </c>
      <c r="L2" s="5"/>
    </row>
    <row r="3" spans="2:12" x14ac:dyDescent="0.25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 x14ac:dyDescent="0.25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 x14ac:dyDescent="0.25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 x14ac:dyDescent="0.25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 x14ac:dyDescent="0.25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 x14ac:dyDescent="0.25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 x14ac:dyDescent="0.25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 x14ac:dyDescent="0.25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 x14ac:dyDescent="0.25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 x14ac:dyDescent="0.25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 x14ac:dyDescent="0.25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 x14ac:dyDescent="0.25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 x14ac:dyDescent="0.25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 x14ac:dyDescent="0.25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 x14ac:dyDescent="0.25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 x14ac:dyDescent="0.25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 x14ac:dyDescent="0.25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 x14ac:dyDescent="0.25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 x14ac:dyDescent="0.25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 x14ac:dyDescent="0.25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 x14ac:dyDescent="0.25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 x14ac:dyDescent="0.25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 x14ac:dyDescent="0.25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 x14ac:dyDescent="0.25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 x14ac:dyDescent="0.25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 x14ac:dyDescent="0.25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 x14ac:dyDescent="0.25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 x14ac:dyDescent="0.25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 x14ac:dyDescent="0.25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 x14ac:dyDescent="0.25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 x14ac:dyDescent="0.25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 x14ac:dyDescent="0.25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 x14ac:dyDescent="0.25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 x14ac:dyDescent="0.25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 x14ac:dyDescent="0.25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 x14ac:dyDescent="0.25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 x14ac:dyDescent="0.25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 x14ac:dyDescent="0.25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 x14ac:dyDescent="0.25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 x14ac:dyDescent="0.25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 x14ac:dyDescent="0.25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 x14ac:dyDescent="0.25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 x14ac:dyDescent="0.25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 x14ac:dyDescent="0.25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 x14ac:dyDescent="0.25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 x14ac:dyDescent="0.25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 x14ac:dyDescent="0.25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 x14ac:dyDescent="0.25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 x14ac:dyDescent="0.25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14"/>
  <sheetViews>
    <sheetView workbookViewId="0">
      <selection activeCell="I18" sqref="I18"/>
    </sheetView>
  </sheetViews>
  <sheetFormatPr baseColWidth="10" defaultRowHeight="15" x14ac:dyDescent="0.25"/>
  <cols>
    <col min="2" max="2" width="18.140625" customWidth="1"/>
    <col min="3" max="3" width="18.5703125" customWidth="1"/>
    <col min="4" max="4" width="18.85546875" customWidth="1"/>
    <col min="5" max="5" width="18.5703125" customWidth="1"/>
    <col min="6" max="6" width="19.42578125" customWidth="1"/>
    <col min="7" max="7" width="20.7109375" customWidth="1"/>
    <col min="8" max="9" width="20.42578125" customWidth="1"/>
    <col min="10" max="10" width="13.140625" customWidth="1"/>
    <col min="11" max="11" width="19.140625" customWidth="1"/>
    <col min="12" max="12" width="20" customWidth="1"/>
    <col min="13" max="13" width="16.7109375" customWidth="1"/>
    <col min="14" max="14" width="27.28515625" customWidth="1"/>
    <col min="15" max="15" width="22.7109375" customWidth="1"/>
    <col min="16" max="16" width="21.7109375" customWidth="1"/>
    <col min="17" max="17" width="33.7109375" customWidth="1"/>
    <col min="18" max="18" width="30.5703125" customWidth="1"/>
    <col min="19" max="19" width="21.7109375" customWidth="1"/>
    <col min="20" max="20" width="17.85546875" customWidth="1"/>
  </cols>
  <sheetData>
    <row r="2" spans="2:20" x14ac:dyDescent="0.25">
      <c r="B2" s="20" t="s">
        <v>68</v>
      </c>
      <c r="C2" s="20" t="s">
        <v>69</v>
      </c>
      <c r="D2" s="20" t="s">
        <v>70</v>
      </c>
      <c r="E2" s="20" t="s">
        <v>71</v>
      </c>
      <c r="F2" s="20" t="s">
        <v>72</v>
      </c>
      <c r="G2" s="20" t="s">
        <v>73</v>
      </c>
      <c r="H2" s="20" t="s">
        <v>74</v>
      </c>
      <c r="I2" s="20" t="s">
        <v>85</v>
      </c>
      <c r="J2" s="20" t="s">
        <v>75</v>
      </c>
      <c r="K2" s="20" t="s">
        <v>40</v>
      </c>
      <c r="L2" s="20" t="s">
        <v>76</v>
      </c>
      <c r="M2" s="20" t="s">
        <v>81</v>
      </c>
      <c r="N2" s="20" t="s">
        <v>82</v>
      </c>
      <c r="O2" s="20" t="s">
        <v>77</v>
      </c>
      <c r="P2" s="20" t="s">
        <v>78</v>
      </c>
      <c r="Q2" s="20" t="s">
        <v>83</v>
      </c>
      <c r="R2" s="20" t="s">
        <v>84</v>
      </c>
      <c r="S2" s="20" t="s">
        <v>79</v>
      </c>
      <c r="T2" s="20" t="s">
        <v>48</v>
      </c>
    </row>
    <row r="3" spans="2:20" x14ac:dyDescent="0.25">
      <c r="B3" s="1">
        <f t="shared" ref="B3:B14" ca="1" si="0">TODAY()</f>
        <v>45527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8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 x14ac:dyDescent="0.25">
      <c r="B4" s="1">
        <f t="shared" ca="1" si="0"/>
        <v>45527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9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 x14ac:dyDescent="0.25">
      <c r="B5" s="1">
        <f t="shared" ca="1" si="0"/>
        <v>45527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10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 x14ac:dyDescent="0.25">
      <c r="B6" s="1">
        <f t="shared" ca="1" si="0"/>
        <v>45527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11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 x14ac:dyDescent="0.25">
      <c r="B7" s="1">
        <f t="shared" ca="1" si="0"/>
        <v>45527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12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 x14ac:dyDescent="0.25">
      <c r="B8" s="1">
        <f t="shared" ca="1" si="0"/>
        <v>45527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14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 x14ac:dyDescent="0.25">
      <c r="B9" s="1">
        <f t="shared" ca="1" si="0"/>
        <v>45527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8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 x14ac:dyDescent="0.25">
      <c r="B10" s="1">
        <f t="shared" ca="1" si="0"/>
        <v>45527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9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 x14ac:dyDescent="0.25">
      <c r="B11" s="1">
        <f t="shared" ca="1" si="0"/>
        <v>45527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10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 x14ac:dyDescent="0.25">
      <c r="B12" s="1">
        <f t="shared" ca="1" si="0"/>
        <v>45527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11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 x14ac:dyDescent="0.25">
      <c r="B13" s="1">
        <f t="shared" ca="1" si="0"/>
        <v>45527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12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 x14ac:dyDescent="0.25">
      <c r="B14" s="1">
        <f t="shared" ca="1" si="0"/>
        <v>45527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13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sebastian carrero</cp:lastModifiedBy>
  <dcterms:created xsi:type="dcterms:W3CDTF">2024-04-08T04:15:12Z</dcterms:created>
  <dcterms:modified xsi:type="dcterms:W3CDTF">2024-08-23T13:13:46Z</dcterms:modified>
</cp:coreProperties>
</file>