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activeTab="3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0" i="7" l="1"/>
  <c r="J90" i="7" s="1"/>
  <c r="E90" i="7"/>
  <c r="F90" i="7" s="1"/>
  <c r="H90" i="7"/>
  <c r="I90" i="7"/>
  <c r="K90" i="7"/>
  <c r="L90" i="7"/>
  <c r="M90" i="7" l="1"/>
  <c r="G90" i="7"/>
  <c r="C89" i="7"/>
  <c r="E89" i="7"/>
  <c r="F89" i="7" s="1"/>
  <c r="H89" i="7"/>
  <c r="K89" i="7"/>
  <c r="L89" i="7" s="1"/>
  <c r="C88" i="7"/>
  <c r="J88" i="7" s="1"/>
  <c r="E88" i="7"/>
  <c r="F88" i="7"/>
  <c r="H88" i="7"/>
  <c r="I88" i="7" s="1"/>
  <c r="K88" i="7"/>
  <c r="L88" i="7" s="1"/>
  <c r="J89" i="7" l="1"/>
  <c r="G89" i="7"/>
  <c r="I89" i="7"/>
  <c r="M89" i="7"/>
  <c r="G88" i="7"/>
  <c r="M88" i="7"/>
  <c r="C87" i="7"/>
  <c r="E87" i="7"/>
  <c r="F87" i="7" s="1"/>
  <c r="H87" i="7"/>
  <c r="I87" i="7" s="1"/>
  <c r="K87" i="7"/>
  <c r="L87" i="7" s="1"/>
  <c r="M87" i="7" l="1"/>
  <c r="J87" i="7"/>
  <c r="G87" i="7"/>
  <c r="B74" i="9"/>
  <c r="C74" i="9" s="1"/>
  <c r="L74" i="9"/>
  <c r="W74" i="9" s="1"/>
  <c r="U74" i="9"/>
  <c r="Y74" i="9" s="1"/>
  <c r="B73" i="9"/>
  <c r="C73" i="9" s="1"/>
  <c r="L73" i="9"/>
  <c r="W73" i="9" s="1"/>
  <c r="U73" i="9"/>
  <c r="Y73" i="9" s="1"/>
  <c r="B72" i="9"/>
  <c r="E72" i="9" s="1"/>
  <c r="L72" i="9"/>
  <c r="W72" i="9" s="1"/>
  <c r="U72" i="9"/>
  <c r="Y72" i="9" s="1"/>
  <c r="B19" i="10"/>
  <c r="H19" i="10" s="1"/>
  <c r="I19" i="10" s="1"/>
  <c r="F19" i="10"/>
  <c r="J19" i="10" s="1"/>
  <c r="G19" i="10"/>
  <c r="M19" i="10"/>
  <c r="F74" i="9" l="1"/>
  <c r="E74" i="9"/>
  <c r="D74" i="9"/>
  <c r="F73" i="9"/>
  <c r="E73" i="9"/>
  <c r="M73" i="9" s="1"/>
  <c r="D73" i="9"/>
  <c r="D72" i="9"/>
  <c r="C72" i="9"/>
  <c r="F72" i="9"/>
  <c r="K19" i="10"/>
  <c r="L19" i="10"/>
  <c r="H37" i="13"/>
  <c r="I37" i="13"/>
  <c r="H36" i="13"/>
  <c r="I36" i="13"/>
  <c r="H35" i="13"/>
  <c r="I35" i="13"/>
  <c r="H34" i="13"/>
  <c r="I34" i="13"/>
  <c r="H33" i="13"/>
  <c r="I33" i="13"/>
  <c r="H32" i="13"/>
  <c r="I32" i="13"/>
  <c r="H31" i="13"/>
  <c r="I31" i="13"/>
  <c r="G22" i="11"/>
  <c r="O22" i="11" s="1"/>
  <c r="K22" i="11"/>
  <c r="L22" i="11"/>
  <c r="N22" i="11" s="1"/>
  <c r="M22" i="11"/>
  <c r="G21" i="11"/>
  <c r="K21" i="11"/>
  <c r="L21" i="11"/>
  <c r="N21" i="11" s="1"/>
  <c r="M21" i="11"/>
  <c r="G20" i="11"/>
  <c r="K20" i="11"/>
  <c r="L20" i="11"/>
  <c r="N20" i="11" s="1"/>
  <c r="M20" i="11"/>
  <c r="G19" i="11"/>
  <c r="K19" i="11"/>
  <c r="L19" i="11"/>
  <c r="N19" i="11" s="1"/>
  <c r="M19" i="11"/>
  <c r="G16" i="1"/>
  <c r="I16" i="1"/>
  <c r="J16" i="1" s="1"/>
  <c r="G15" i="1"/>
  <c r="I15" i="1"/>
  <c r="J15" i="1" s="1"/>
  <c r="C86" i="7"/>
  <c r="E86" i="7"/>
  <c r="F86" i="7" s="1"/>
  <c r="H86" i="7"/>
  <c r="I86" i="7" s="1"/>
  <c r="K86" i="7"/>
  <c r="L86" i="7" s="1"/>
  <c r="V74" i="9" l="1"/>
  <c r="X74" i="9"/>
  <c r="N74" i="9"/>
  <c r="Q74" i="9" s="1"/>
  <c r="M74" i="9"/>
  <c r="N73" i="9"/>
  <c r="Q73" i="9" s="1"/>
  <c r="V73" i="9"/>
  <c r="X73" i="9"/>
  <c r="N72" i="9"/>
  <c r="Q72" i="9" s="1"/>
  <c r="V72" i="9"/>
  <c r="X72" i="9"/>
  <c r="M72" i="9"/>
  <c r="O21" i="11"/>
  <c r="O20" i="11"/>
  <c r="O19" i="11"/>
  <c r="M86" i="7"/>
  <c r="J86" i="7"/>
  <c r="G86" i="7"/>
  <c r="C85" i="7"/>
  <c r="E85" i="7"/>
  <c r="H85" i="7"/>
  <c r="I85" i="7" s="1"/>
  <c r="K85" i="7"/>
  <c r="L85" i="7" s="1"/>
  <c r="M85" i="7" l="1"/>
  <c r="G85" i="7"/>
  <c r="F85" i="7"/>
  <c r="J85" i="7"/>
  <c r="C84" i="7"/>
  <c r="E84" i="7"/>
  <c r="F84" i="7" s="1"/>
  <c r="H84" i="7"/>
  <c r="I84" i="7" s="1"/>
  <c r="K84" i="7"/>
  <c r="M84" i="7" l="1"/>
  <c r="L84" i="7"/>
  <c r="J84" i="7"/>
  <c r="G84" i="7"/>
  <c r="C83" i="7"/>
  <c r="E83" i="7"/>
  <c r="F83" i="7" s="1"/>
  <c r="H83" i="7"/>
  <c r="I83" i="7" s="1"/>
  <c r="K83" i="7"/>
  <c r="L83" i="7" s="1"/>
  <c r="M83" i="7" l="1"/>
  <c r="J83" i="7"/>
  <c r="G83" i="7"/>
  <c r="B71" i="9"/>
  <c r="C71" i="9" s="1"/>
  <c r="L71" i="9"/>
  <c r="W71" i="9" s="1"/>
  <c r="U71" i="9"/>
  <c r="Y71" i="9" s="1"/>
  <c r="B70" i="9"/>
  <c r="C70" i="9" s="1"/>
  <c r="L70" i="9"/>
  <c r="W70" i="9" s="1"/>
  <c r="U70" i="9"/>
  <c r="Y70" i="9" s="1"/>
  <c r="L69" i="9"/>
  <c r="W69" i="9" s="1"/>
  <c r="B69" i="9"/>
  <c r="D69" i="9" s="1"/>
  <c r="U69" i="9"/>
  <c r="Y69" i="9" s="1"/>
  <c r="B18" i="10"/>
  <c r="H18" i="10" s="1"/>
  <c r="F18" i="10"/>
  <c r="J18" i="10" s="1"/>
  <c r="G18" i="10"/>
  <c r="M18" i="10"/>
  <c r="C82" i="7"/>
  <c r="E82" i="7"/>
  <c r="F82" i="7" s="1"/>
  <c r="H82" i="7"/>
  <c r="I82" i="7" s="1"/>
  <c r="K82" i="7"/>
  <c r="M82" i="7" l="1"/>
  <c r="F71" i="9"/>
  <c r="E71" i="9"/>
  <c r="D71" i="9"/>
  <c r="F70" i="9"/>
  <c r="E70" i="9"/>
  <c r="M70" i="9" s="1"/>
  <c r="D70" i="9"/>
  <c r="N69" i="9"/>
  <c r="Q69" i="9" s="1"/>
  <c r="X69" i="9"/>
  <c r="C69" i="9"/>
  <c r="M69" i="9" s="1"/>
  <c r="E69" i="9"/>
  <c r="F69" i="9"/>
  <c r="I18" i="10"/>
  <c r="J82" i="7"/>
  <c r="G82" i="7"/>
  <c r="L82" i="7"/>
  <c r="C81" i="7"/>
  <c r="E81" i="7"/>
  <c r="F81" i="7" s="1"/>
  <c r="H81" i="7"/>
  <c r="I81" i="7" s="1"/>
  <c r="K81" i="7"/>
  <c r="L81" i="7" s="1"/>
  <c r="N71" i="9" l="1"/>
  <c r="Q71" i="9" s="1"/>
  <c r="V71" i="9"/>
  <c r="X71" i="9"/>
  <c r="M71" i="9"/>
  <c r="V70" i="9"/>
  <c r="X70" i="9"/>
  <c r="N70" i="9"/>
  <c r="Q70" i="9" s="1"/>
  <c r="V69" i="9"/>
  <c r="K18" i="10"/>
  <c r="L18" i="10"/>
  <c r="J81" i="7"/>
  <c r="M81" i="7"/>
  <c r="G81" i="7"/>
  <c r="C80" i="7"/>
  <c r="E80" i="7"/>
  <c r="F80" i="7" s="1"/>
  <c r="H80" i="7"/>
  <c r="I80" i="7" s="1"/>
  <c r="K80" i="7"/>
  <c r="L80" i="7" s="1"/>
  <c r="M80" i="7" l="1"/>
  <c r="J80" i="7"/>
  <c r="G80" i="7"/>
  <c r="C79" i="7"/>
  <c r="E79" i="7"/>
  <c r="F79" i="7" s="1"/>
  <c r="H79" i="7"/>
  <c r="I79" i="7" s="1"/>
  <c r="K79" i="7"/>
  <c r="L79" i="7" s="1"/>
  <c r="M79" i="7" l="1"/>
  <c r="G79" i="7"/>
  <c r="J79" i="7"/>
  <c r="C78" i="7"/>
  <c r="E78" i="7"/>
  <c r="F78" i="7"/>
  <c r="H78" i="7"/>
  <c r="I78" i="7" s="1"/>
  <c r="K78" i="7"/>
  <c r="L78" i="7" s="1"/>
  <c r="G78" i="7" l="1"/>
  <c r="M78" i="7"/>
  <c r="J78" i="7"/>
  <c r="B17" i="10"/>
  <c r="H17" i="10" s="1"/>
  <c r="F17" i="10"/>
  <c r="G17" i="10"/>
  <c r="M17" i="10"/>
  <c r="B68" i="9"/>
  <c r="C68" i="9" s="1"/>
  <c r="I68" i="9"/>
  <c r="L68" i="9" s="1"/>
  <c r="W68" i="9" s="1"/>
  <c r="U68" i="9"/>
  <c r="Y68" i="9" s="1"/>
  <c r="B67" i="9"/>
  <c r="C67" i="9" s="1"/>
  <c r="I67" i="9"/>
  <c r="L67" i="9" s="1"/>
  <c r="W67" i="9" s="1"/>
  <c r="U67" i="9"/>
  <c r="Y67" i="9" s="1"/>
  <c r="B66" i="9"/>
  <c r="D66" i="9" s="1"/>
  <c r="I66" i="9"/>
  <c r="L66" i="9" s="1"/>
  <c r="W66" i="9" s="1"/>
  <c r="U66" i="9"/>
  <c r="Y66" i="9" s="1"/>
  <c r="B65" i="9"/>
  <c r="D65" i="9" s="1"/>
  <c r="I65" i="9"/>
  <c r="L65" i="9" s="1"/>
  <c r="W65" i="9" s="1"/>
  <c r="U65" i="9"/>
  <c r="Y65" i="9" s="1"/>
  <c r="N66" i="9" l="1"/>
  <c r="Q66" i="9" s="1"/>
  <c r="I17" i="10"/>
  <c r="F68" i="9"/>
  <c r="M68" i="9" s="1"/>
  <c r="E68" i="9"/>
  <c r="D68" i="9"/>
  <c r="F67" i="9"/>
  <c r="E67" i="9"/>
  <c r="M67" i="9" s="1"/>
  <c r="D67" i="9"/>
  <c r="X66" i="9"/>
  <c r="C66" i="9"/>
  <c r="M66" i="9" s="1"/>
  <c r="F66" i="9"/>
  <c r="E66" i="9"/>
  <c r="C65" i="9"/>
  <c r="E65" i="9"/>
  <c r="F65" i="9"/>
  <c r="B64" i="9"/>
  <c r="E64" i="9" s="1"/>
  <c r="I64" i="9"/>
  <c r="L64" i="9" s="1"/>
  <c r="W64" i="9" s="1"/>
  <c r="U64" i="9"/>
  <c r="Y64" i="9" s="1"/>
  <c r="B51" i="9"/>
  <c r="C51" i="9" s="1"/>
  <c r="I51" i="9"/>
  <c r="L51" i="9" s="1"/>
  <c r="W51" i="9" s="1"/>
  <c r="U51" i="9"/>
  <c r="Y51" i="9" s="1"/>
  <c r="C77" i="7"/>
  <c r="E77" i="7"/>
  <c r="H77" i="7"/>
  <c r="I77" i="7" s="1"/>
  <c r="K77" i="7"/>
  <c r="L77" i="7" s="1"/>
  <c r="M65" i="9" l="1"/>
  <c r="N68" i="9"/>
  <c r="Q68" i="9" s="1"/>
  <c r="V68" i="9"/>
  <c r="X68" i="9"/>
  <c r="V67" i="9"/>
  <c r="X67" i="9"/>
  <c r="N67" i="9"/>
  <c r="Q67" i="9" s="1"/>
  <c r="V66" i="9"/>
  <c r="V65" i="9"/>
  <c r="X65" i="9"/>
  <c r="N65" i="9"/>
  <c r="Q65" i="9" s="1"/>
  <c r="C64" i="9"/>
  <c r="M64" i="9" s="1"/>
  <c r="D64" i="9"/>
  <c r="X64" i="9"/>
  <c r="N64" i="9"/>
  <c r="Q64" i="9" s="1"/>
  <c r="F64" i="9"/>
  <c r="F51" i="9"/>
  <c r="E51" i="9"/>
  <c r="D51" i="9"/>
  <c r="M51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E76" i="7"/>
  <c r="F76" i="7" s="1"/>
  <c r="H76" i="7"/>
  <c r="I76" i="7" s="1"/>
  <c r="C75" i="7"/>
  <c r="E75" i="7"/>
  <c r="F75" i="7" s="1"/>
  <c r="H75" i="7"/>
  <c r="M75" i="7" l="1"/>
  <c r="V64" i="9"/>
  <c r="N51" i="9"/>
  <c r="Q51" i="9" s="1"/>
  <c r="V51" i="9"/>
  <c r="X51" i="9"/>
  <c r="M76" i="7"/>
  <c r="J75" i="7"/>
  <c r="J76" i="7"/>
  <c r="G75" i="7"/>
  <c r="G76" i="7"/>
  <c r="I75" i="7"/>
  <c r="C74" i="7"/>
  <c r="M74" i="7" s="1"/>
  <c r="E74" i="7"/>
  <c r="F74" i="7" s="1"/>
  <c r="I74" i="7"/>
  <c r="C73" i="7"/>
  <c r="M73" i="7" s="1"/>
  <c r="E73" i="7"/>
  <c r="F73" i="7" s="1"/>
  <c r="H73" i="7"/>
  <c r="J73" i="7" l="1"/>
  <c r="J74" i="7"/>
  <c r="G74" i="7"/>
  <c r="G73" i="7"/>
  <c r="I73" i="7"/>
  <c r="B16" i="10"/>
  <c r="H16" i="10" s="1"/>
  <c r="F16" i="10"/>
  <c r="G16" i="10"/>
  <c r="M16" i="10"/>
  <c r="C72" i="7"/>
  <c r="E72" i="7"/>
  <c r="F72" i="7" s="1"/>
  <c r="H72" i="7"/>
  <c r="I72" i="7" s="1"/>
  <c r="G72" i="7" l="1"/>
  <c r="M72" i="7"/>
  <c r="J72" i="7"/>
  <c r="I16" i="10"/>
  <c r="C71" i="7"/>
  <c r="M71" i="7" s="1"/>
  <c r="E71" i="7"/>
  <c r="H71" i="7"/>
  <c r="I71" i="7" s="1"/>
  <c r="G71" i="7" l="1"/>
  <c r="F71" i="7"/>
  <c r="J71" i="7"/>
  <c r="C70" i="7"/>
  <c r="M70" i="7" s="1"/>
  <c r="E70" i="7"/>
  <c r="F70" i="7" s="1"/>
  <c r="H70" i="7"/>
  <c r="I70" i="7" s="1"/>
  <c r="J70" i="7" l="1"/>
  <c r="G70" i="7"/>
  <c r="C69" i="7"/>
  <c r="M69" i="7" s="1"/>
  <c r="E69" i="7"/>
  <c r="H69" i="7"/>
  <c r="I69" i="7" s="1"/>
  <c r="J69" i="7" l="1"/>
  <c r="G69" i="7"/>
  <c r="F69" i="7"/>
  <c r="C68" i="7"/>
  <c r="M68" i="7" s="1"/>
  <c r="E68" i="7"/>
  <c r="F68" i="7" s="1"/>
  <c r="H68" i="7"/>
  <c r="I68" i="7" s="1"/>
  <c r="J68" i="7" l="1"/>
  <c r="G68" i="7"/>
  <c r="C67" i="7"/>
  <c r="E67" i="7"/>
  <c r="F67" i="7" s="1"/>
  <c r="H67" i="7"/>
  <c r="I67" i="7" s="1"/>
  <c r="B15" i="10"/>
  <c r="H15" i="10" s="1"/>
  <c r="I15" i="10" s="1"/>
  <c r="F15" i="10"/>
  <c r="G15" i="10"/>
  <c r="M15" i="10"/>
  <c r="B62" i="9"/>
  <c r="E62" i="9" s="1"/>
  <c r="L62" i="9"/>
  <c r="W62" i="9" s="1"/>
  <c r="U62" i="9"/>
  <c r="Y62" i="9" s="1"/>
  <c r="B61" i="9"/>
  <c r="D61" i="9" s="1"/>
  <c r="L61" i="9"/>
  <c r="W61" i="9" s="1"/>
  <c r="U61" i="9"/>
  <c r="Y61" i="9" s="1"/>
  <c r="B33" i="9"/>
  <c r="E33" i="9" s="1"/>
  <c r="L33" i="9"/>
  <c r="W33" i="9" s="1"/>
  <c r="U33" i="9"/>
  <c r="Y33" i="9" s="1"/>
  <c r="G67" i="7" l="1"/>
  <c r="M67" i="7"/>
  <c r="J67" i="7"/>
  <c r="D62" i="9"/>
  <c r="C62" i="9"/>
  <c r="F62" i="9"/>
  <c r="C61" i="9"/>
  <c r="F61" i="9"/>
  <c r="E61" i="9"/>
  <c r="C33" i="9"/>
  <c r="D33" i="9"/>
  <c r="F33" i="9"/>
  <c r="C66" i="7"/>
  <c r="M66" i="7" s="1"/>
  <c r="E66" i="7"/>
  <c r="F66" i="7" s="1"/>
  <c r="H66" i="7"/>
  <c r="I66" i="7" s="1"/>
  <c r="M62" i="9" l="1"/>
  <c r="M33" i="9"/>
  <c r="M61" i="9"/>
  <c r="V62" i="9"/>
  <c r="N62" i="9"/>
  <c r="Q62" i="9" s="1"/>
  <c r="X62" i="9"/>
  <c r="V61" i="9"/>
  <c r="X61" i="9"/>
  <c r="N61" i="9"/>
  <c r="Q61" i="9" s="1"/>
  <c r="V33" i="9"/>
  <c r="X33" i="9"/>
  <c r="N33" i="9"/>
  <c r="Q33" i="9" s="1"/>
  <c r="J66" i="7"/>
  <c r="G66" i="7"/>
  <c r="C65" i="7"/>
  <c r="M65" i="7" s="1"/>
  <c r="E65" i="7"/>
  <c r="F65" i="7" s="1"/>
  <c r="H65" i="7"/>
  <c r="I65" i="7" s="1"/>
  <c r="G65" i="7" l="1"/>
  <c r="J65" i="7"/>
  <c r="C64" i="7"/>
  <c r="E64" i="7"/>
  <c r="F64" i="7" s="1"/>
  <c r="H64" i="7"/>
  <c r="I64" i="7" s="1"/>
  <c r="G64" i="7" l="1"/>
  <c r="M64" i="7"/>
  <c r="J64" i="7"/>
  <c r="G18" i="11"/>
  <c r="K18" i="11"/>
  <c r="L18" i="11"/>
  <c r="N18" i="11" s="1"/>
  <c r="M18" i="11"/>
  <c r="G17" i="11"/>
  <c r="K17" i="11"/>
  <c r="L17" i="11"/>
  <c r="M17" i="11"/>
  <c r="N17" i="11"/>
  <c r="G16" i="11"/>
  <c r="K16" i="11"/>
  <c r="L16" i="11"/>
  <c r="N16" i="11" s="1"/>
  <c r="M16" i="11"/>
  <c r="G15" i="11"/>
  <c r="K15" i="11"/>
  <c r="L15" i="11"/>
  <c r="N15" i="11" s="1"/>
  <c r="M15" i="1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M63" i="7" s="1"/>
  <c r="E63" i="7"/>
  <c r="F63" i="7" s="1"/>
  <c r="H63" i="7"/>
  <c r="V3" i="13" l="1"/>
  <c r="O17" i="11"/>
  <c r="O18" i="11"/>
  <c r="J63" i="7"/>
  <c r="O16" i="11"/>
  <c r="O15" i="11"/>
  <c r="I14" i="1"/>
  <c r="J14" i="1" s="1"/>
  <c r="I13" i="1"/>
  <c r="J13" i="1" s="1"/>
  <c r="I63" i="7"/>
  <c r="G63" i="7"/>
  <c r="C62" i="7"/>
  <c r="M62" i="7" s="1"/>
  <c r="E62" i="7"/>
  <c r="H62" i="7"/>
  <c r="I62" i="7" s="1"/>
  <c r="B14" i="10"/>
  <c r="H14" i="10" s="1"/>
  <c r="F14" i="10"/>
  <c r="G14" i="10"/>
  <c r="M14" i="10"/>
  <c r="B59" i="9"/>
  <c r="C59" i="9" s="1"/>
  <c r="L59" i="9"/>
  <c r="W59" i="9" s="1"/>
  <c r="U59" i="9"/>
  <c r="Y59" i="9" s="1"/>
  <c r="B58" i="9"/>
  <c r="E58" i="9" s="1"/>
  <c r="L58" i="9"/>
  <c r="W58" i="9" s="1"/>
  <c r="U58" i="9"/>
  <c r="Y58" i="9" s="1"/>
  <c r="B39" i="9"/>
  <c r="D39" i="9" s="1"/>
  <c r="L39" i="9"/>
  <c r="W39" i="9" s="1"/>
  <c r="U39" i="9"/>
  <c r="Y39" i="9" s="1"/>
  <c r="J62" i="7" l="1"/>
  <c r="G62" i="7"/>
  <c r="F62" i="7"/>
  <c r="I14" i="10"/>
  <c r="F59" i="9"/>
  <c r="M59" i="9" s="1"/>
  <c r="D59" i="9"/>
  <c r="E59" i="9"/>
  <c r="C58" i="9"/>
  <c r="M58" i="9" s="1"/>
  <c r="D58" i="9"/>
  <c r="X58" i="9"/>
  <c r="N58" i="9"/>
  <c r="Q58" i="9" s="1"/>
  <c r="F58" i="9"/>
  <c r="C39" i="9"/>
  <c r="M39" i="9" s="1"/>
  <c r="N39" i="9"/>
  <c r="Q39" i="9" s="1"/>
  <c r="X39" i="9"/>
  <c r="F39" i="9"/>
  <c r="E39" i="9"/>
  <c r="C61" i="7"/>
  <c r="M61" i="7" s="1"/>
  <c r="E61" i="7"/>
  <c r="F61" i="7" s="1"/>
  <c r="H61" i="7"/>
  <c r="I61" i="7" s="1"/>
  <c r="V39" i="9" l="1"/>
  <c r="V59" i="9"/>
  <c r="N59" i="9"/>
  <c r="Q59" i="9" s="1"/>
  <c r="X59" i="9"/>
  <c r="V58" i="9"/>
  <c r="J61" i="7"/>
  <c r="G61" i="7"/>
  <c r="C60" i="7"/>
  <c r="M60" i="7" s="1"/>
  <c r="E60" i="7"/>
  <c r="F60" i="7" s="1"/>
  <c r="H60" i="7"/>
  <c r="I60" i="7" s="1"/>
  <c r="C59" i="7"/>
  <c r="M59" i="7" s="1"/>
  <c r="E59" i="7"/>
  <c r="F59" i="7" s="1"/>
  <c r="H59" i="7"/>
  <c r="I59" i="7" s="1"/>
  <c r="G60" i="7" l="1"/>
  <c r="J60" i="7"/>
  <c r="G59" i="7"/>
  <c r="J59" i="7"/>
  <c r="C58" i="7"/>
  <c r="E58" i="7"/>
  <c r="F58" i="7" s="1"/>
  <c r="H58" i="7"/>
  <c r="I58" i="7" s="1"/>
  <c r="G58" i="7" l="1"/>
  <c r="M58" i="7"/>
  <c r="J58" i="7"/>
  <c r="B13" i="10"/>
  <c r="H13" i="10" s="1"/>
  <c r="I13" i="10" s="1"/>
  <c r="F13" i="10"/>
  <c r="G13" i="10"/>
  <c r="M13" i="10"/>
  <c r="B56" i="9"/>
  <c r="D56" i="9" s="1"/>
  <c r="I56" i="9"/>
  <c r="L56" i="9" s="1"/>
  <c r="W56" i="9" s="1"/>
  <c r="U56" i="9"/>
  <c r="Y56" i="9" s="1"/>
  <c r="B55" i="9"/>
  <c r="E55" i="9" s="1"/>
  <c r="I55" i="9"/>
  <c r="L55" i="9" s="1"/>
  <c r="W55" i="9" s="1"/>
  <c r="U55" i="9"/>
  <c r="Y55" i="9" s="1"/>
  <c r="B45" i="9"/>
  <c r="C45" i="9" s="1"/>
  <c r="I45" i="9"/>
  <c r="L45" i="9" s="1"/>
  <c r="W45" i="9" s="1"/>
  <c r="U45" i="9"/>
  <c r="Y45" i="9" s="1"/>
  <c r="C56" i="9" l="1"/>
  <c r="F56" i="9"/>
  <c r="E56" i="9"/>
  <c r="D55" i="9"/>
  <c r="C55" i="9"/>
  <c r="M55" i="9" s="1"/>
  <c r="F55" i="9"/>
  <c r="N55" i="9"/>
  <c r="Q55" i="9" s="1"/>
  <c r="X55" i="9"/>
  <c r="F45" i="9"/>
  <c r="E45" i="9"/>
  <c r="D45" i="9"/>
  <c r="M45" i="9" s="1"/>
  <c r="H18" i="13"/>
  <c r="H19" i="13"/>
  <c r="H20" i="13"/>
  <c r="H21" i="13"/>
  <c r="H22" i="13"/>
  <c r="H23" i="13"/>
  <c r="M56" i="9" l="1"/>
  <c r="N56" i="9"/>
  <c r="Q56" i="9" s="1"/>
  <c r="V56" i="9"/>
  <c r="X56" i="9"/>
  <c r="V55" i="9"/>
  <c r="N45" i="9"/>
  <c r="Q45" i="9" s="1"/>
  <c r="X45" i="9"/>
  <c r="V45" i="9"/>
  <c r="C57" i="7"/>
  <c r="M57" i="7" s="1"/>
  <c r="E57" i="7"/>
  <c r="F57" i="7" s="1"/>
  <c r="H57" i="7"/>
  <c r="I57" i="7" s="1"/>
  <c r="G57" i="7" l="1"/>
  <c r="J57" i="7"/>
  <c r="C56" i="7"/>
  <c r="M56" i="7" s="1"/>
  <c r="E56" i="7"/>
  <c r="F56" i="7" s="1"/>
  <c r="H56" i="7"/>
  <c r="I56" i="7" s="1"/>
  <c r="J56" i="7" l="1"/>
  <c r="G56" i="7"/>
  <c r="C55" i="7"/>
  <c r="E55" i="7"/>
  <c r="F55" i="7" s="1"/>
  <c r="H55" i="7"/>
  <c r="I55" i="7" s="1"/>
  <c r="G55" i="7" l="1"/>
  <c r="M55" i="7"/>
  <c r="J55" i="7"/>
  <c r="B12" i="10"/>
  <c r="H12" i="10" s="1"/>
  <c r="I12" i="10" s="1"/>
  <c r="F12" i="10"/>
  <c r="G12" i="10"/>
  <c r="M12" i="10"/>
  <c r="B53" i="9"/>
  <c r="C53" i="9" s="1"/>
  <c r="I53" i="9"/>
  <c r="L53" i="9" s="1"/>
  <c r="W53" i="9" s="1"/>
  <c r="U53" i="9"/>
  <c r="Y53" i="9" s="1"/>
  <c r="B52" i="9"/>
  <c r="D52" i="9" s="1"/>
  <c r="I52" i="9"/>
  <c r="L52" i="9" s="1"/>
  <c r="W52" i="9" s="1"/>
  <c r="U52" i="9"/>
  <c r="Y52" i="9" s="1"/>
  <c r="B13" i="9"/>
  <c r="D13" i="9" s="1"/>
  <c r="I13" i="9"/>
  <c r="L13" i="9" s="1"/>
  <c r="W13" i="9" s="1"/>
  <c r="U13" i="9"/>
  <c r="Y13" i="9" s="1"/>
  <c r="F53" i="9" l="1"/>
  <c r="M53" i="9" s="1"/>
  <c r="E53" i="9"/>
  <c r="D53" i="9"/>
  <c r="C52" i="9"/>
  <c r="F52" i="9"/>
  <c r="E52" i="9"/>
  <c r="C13" i="9"/>
  <c r="M13" i="9" s="1"/>
  <c r="N13" i="9"/>
  <c r="Q13" i="9" s="1"/>
  <c r="X13" i="9"/>
  <c r="F13" i="9"/>
  <c r="E13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M54" i="7" s="1"/>
  <c r="E54" i="7"/>
  <c r="F54" i="7" s="1"/>
  <c r="C53" i="7"/>
  <c r="M53" i="7" s="1"/>
  <c r="M52" i="9" l="1"/>
  <c r="J53" i="7"/>
  <c r="N53" i="9"/>
  <c r="Q53" i="9" s="1"/>
  <c r="V53" i="9"/>
  <c r="X53" i="9"/>
  <c r="V52" i="9"/>
  <c r="X52" i="9"/>
  <c r="N52" i="9"/>
  <c r="Q52" i="9" s="1"/>
  <c r="V13" i="9"/>
  <c r="J54" i="7"/>
  <c r="G54" i="7"/>
  <c r="G53" i="7"/>
  <c r="C52" i="7"/>
  <c r="E52" i="7"/>
  <c r="F52" i="7" s="1"/>
  <c r="J52" i="7" l="1"/>
  <c r="M52" i="7"/>
  <c r="G52" i="7"/>
  <c r="C51" i="7"/>
  <c r="M51" i="7" s="1"/>
  <c r="E51" i="7"/>
  <c r="F51" i="7" s="1"/>
  <c r="G51" i="7" l="1"/>
  <c r="J51" i="7"/>
  <c r="C50" i="7"/>
  <c r="E50" i="7"/>
  <c r="F50" i="7" s="1"/>
  <c r="B11" i="10"/>
  <c r="H11" i="10" s="1"/>
  <c r="I11" i="10" s="1"/>
  <c r="F11" i="10"/>
  <c r="G11" i="10"/>
  <c r="M11" i="10"/>
  <c r="B50" i="9"/>
  <c r="C50" i="9" s="1"/>
  <c r="I50" i="9"/>
  <c r="L50" i="9" s="1"/>
  <c r="W50" i="9" s="1"/>
  <c r="U50" i="9"/>
  <c r="Y50" i="9" s="1"/>
  <c r="J50" i="7" l="1"/>
  <c r="M50" i="7"/>
  <c r="G50" i="7"/>
  <c r="E50" i="9"/>
  <c r="F50" i="9"/>
  <c r="M50" i="9" s="1"/>
  <c r="D50" i="9"/>
  <c r="B49" i="9"/>
  <c r="C49" i="9" s="1"/>
  <c r="I49" i="9"/>
  <c r="L49" i="9" s="1"/>
  <c r="W49" i="9" s="1"/>
  <c r="U49" i="9"/>
  <c r="Y49" i="9" s="1"/>
  <c r="B5" i="9"/>
  <c r="D5" i="9" s="1"/>
  <c r="I5" i="9"/>
  <c r="L5" i="9" s="1"/>
  <c r="W5" i="9" s="1"/>
  <c r="U5" i="9"/>
  <c r="Y5" i="9" s="1"/>
  <c r="C49" i="7"/>
  <c r="E49" i="7"/>
  <c r="F49" i="7" s="1"/>
  <c r="J49" i="7" l="1"/>
  <c r="M49" i="7"/>
  <c r="G49" i="7"/>
  <c r="V50" i="9"/>
  <c r="X50" i="9"/>
  <c r="N50" i="9"/>
  <c r="Q50" i="9" s="1"/>
  <c r="F49" i="9"/>
  <c r="E49" i="9"/>
  <c r="M49" i="9" s="1"/>
  <c r="D49" i="9"/>
  <c r="X5" i="9"/>
  <c r="N5" i="9"/>
  <c r="Q5" i="9" s="1"/>
  <c r="C5" i="9"/>
  <c r="M5" i="9" s="1"/>
  <c r="F5" i="9"/>
  <c r="E5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49" i="9" l="1"/>
  <c r="Q49" i="9" s="1"/>
  <c r="V49" i="9"/>
  <c r="X49" i="9"/>
  <c r="V5" i="9"/>
  <c r="H17" i="13"/>
  <c r="U3" i="13" s="1"/>
  <c r="M3" i="11"/>
  <c r="M4" i="11"/>
  <c r="M5" i="11"/>
  <c r="M6" i="11"/>
  <c r="M7" i="11"/>
  <c r="M8" i="11"/>
  <c r="M9" i="11"/>
  <c r="M10" i="11"/>
  <c r="M11" i="11"/>
  <c r="M12" i="11"/>
  <c r="M13" i="11"/>
  <c r="M14" i="1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47" i="9"/>
  <c r="E47" i="9" s="1"/>
  <c r="I47" i="9"/>
  <c r="L47" i="9" s="1"/>
  <c r="W47" i="9" s="1"/>
  <c r="U47" i="9"/>
  <c r="Y47" i="9" s="1"/>
  <c r="B10" i="10"/>
  <c r="H10" i="10" s="1"/>
  <c r="I10" i="10" s="1"/>
  <c r="F10" i="10"/>
  <c r="G10" i="10"/>
  <c r="M10" i="10"/>
  <c r="B46" i="9"/>
  <c r="E46" i="9" s="1"/>
  <c r="I46" i="9"/>
  <c r="L46" i="9" s="1"/>
  <c r="W46" i="9" s="1"/>
  <c r="U46" i="9"/>
  <c r="Y46" i="9" s="1"/>
  <c r="B11" i="9"/>
  <c r="E11" i="9" s="1"/>
  <c r="I11" i="9"/>
  <c r="L11" i="9" s="1"/>
  <c r="W11" i="9" s="1"/>
  <c r="U11" i="9"/>
  <c r="Y11" i="9" s="1"/>
  <c r="C48" i="7"/>
  <c r="E48" i="7"/>
  <c r="F48" i="7" s="1"/>
  <c r="C47" i="7"/>
  <c r="E47" i="7"/>
  <c r="F47" i="7" s="1"/>
  <c r="C46" i="7"/>
  <c r="E46" i="7"/>
  <c r="F46" i="7" s="1"/>
  <c r="C45" i="7"/>
  <c r="E45" i="7"/>
  <c r="F45" i="7" s="1"/>
  <c r="C44" i="7"/>
  <c r="E44" i="7"/>
  <c r="F44" i="7" s="1"/>
  <c r="C43" i="7"/>
  <c r="E43" i="7"/>
  <c r="F43" i="7" s="1"/>
  <c r="C42" i="7"/>
  <c r="E42" i="7"/>
  <c r="F42" i="7" s="1"/>
  <c r="C41" i="7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G45" i="7"/>
  <c r="G46" i="7"/>
  <c r="G41" i="7"/>
  <c r="G48" i="7"/>
  <c r="O14" i="11"/>
  <c r="O13" i="11"/>
  <c r="O12" i="11"/>
  <c r="D47" i="9"/>
  <c r="C47" i="9"/>
  <c r="F47" i="9"/>
  <c r="D46" i="9"/>
  <c r="C46" i="9"/>
  <c r="M46" i="9" s="1"/>
  <c r="X46" i="9"/>
  <c r="N46" i="9"/>
  <c r="Q46" i="9" s="1"/>
  <c r="F46" i="9"/>
  <c r="D11" i="9"/>
  <c r="C11" i="9"/>
  <c r="F11" i="9"/>
  <c r="G43" i="7"/>
  <c r="G42" i="7"/>
  <c r="D12" i="1"/>
  <c r="G12" i="1" s="1"/>
  <c r="I12" i="1"/>
  <c r="J12" i="1" s="1"/>
  <c r="C40" i="7"/>
  <c r="E40" i="7"/>
  <c r="F40" i="7" s="1"/>
  <c r="B9" i="10"/>
  <c r="H9" i="10" s="1"/>
  <c r="I9" i="10" s="1"/>
  <c r="F9" i="10"/>
  <c r="G9" i="10"/>
  <c r="M9" i="10"/>
  <c r="B44" i="9"/>
  <c r="C44" i="9" s="1"/>
  <c r="I44" i="9"/>
  <c r="L44" i="9" s="1"/>
  <c r="W44" i="9" s="1"/>
  <c r="U44" i="9"/>
  <c r="Y44" i="9" s="1"/>
  <c r="I43" i="9"/>
  <c r="L43" i="9" s="1"/>
  <c r="W43" i="9" s="1"/>
  <c r="B43" i="9"/>
  <c r="C43" i="9" s="1"/>
  <c r="U43" i="9"/>
  <c r="Y43" i="9" s="1"/>
  <c r="B30" i="9"/>
  <c r="C30" i="9" s="1"/>
  <c r="I30" i="9"/>
  <c r="L30" i="9" s="1"/>
  <c r="W30" i="9" s="1"/>
  <c r="U30" i="9"/>
  <c r="Y30" i="9" s="1"/>
  <c r="C52" i="6"/>
  <c r="C39" i="7"/>
  <c r="E39" i="7"/>
  <c r="F39" i="7" s="1"/>
  <c r="C51" i="6"/>
  <c r="C50" i="6"/>
  <c r="C38" i="7"/>
  <c r="E38" i="7"/>
  <c r="F38" i="7" s="1"/>
  <c r="C37" i="7"/>
  <c r="E37" i="7"/>
  <c r="F37" i="7" s="1"/>
  <c r="C49" i="6"/>
  <c r="C48" i="6"/>
  <c r="B8" i="10"/>
  <c r="H8" i="10" s="1"/>
  <c r="I8" i="10" s="1"/>
  <c r="F8" i="10"/>
  <c r="G8" i="10"/>
  <c r="M8" i="10"/>
  <c r="B41" i="9"/>
  <c r="C41" i="9" s="1"/>
  <c r="I41" i="9"/>
  <c r="L41" i="9" s="1"/>
  <c r="W41" i="9" s="1"/>
  <c r="U41" i="9"/>
  <c r="Y41" i="9" s="1"/>
  <c r="B40" i="9"/>
  <c r="C40" i="9" s="1"/>
  <c r="I40" i="9"/>
  <c r="L40" i="9" s="1"/>
  <c r="W40" i="9" s="1"/>
  <c r="U40" i="9"/>
  <c r="Y40" i="9" s="1"/>
  <c r="B10" i="9"/>
  <c r="C10" i="9" s="1"/>
  <c r="I10" i="9"/>
  <c r="L10" i="9" s="1"/>
  <c r="W10" i="9" s="1"/>
  <c r="U10" i="9"/>
  <c r="Y10" i="9" s="1"/>
  <c r="C36" i="7"/>
  <c r="E36" i="7"/>
  <c r="F36" i="7" s="1"/>
  <c r="C35" i="7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E33" i="7"/>
  <c r="F33" i="7" s="1"/>
  <c r="C45" i="6"/>
  <c r="C32" i="7"/>
  <c r="E32" i="7"/>
  <c r="F32" i="7" s="1"/>
  <c r="C44" i="6"/>
  <c r="C31" i="7"/>
  <c r="E31" i="7"/>
  <c r="F31" i="7" s="1"/>
  <c r="C43" i="6"/>
  <c r="C30" i="7"/>
  <c r="E30" i="7"/>
  <c r="F30" i="7" s="1"/>
  <c r="G3" i="11"/>
  <c r="K3" i="11"/>
  <c r="B7" i="10"/>
  <c r="H7" i="10" s="1"/>
  <c r="I7" i="10" s="1"/>
  <c r="F7" i="10"/>
  <c r="G7" i="10"/>
  <c r="M7" i="10"/>
  <c r="B38" i="9"/>
  <c r="C38" i="9" s="1"/>
  <c r="I38" i="9"/>
  <c r="L38" i="9" s="1"/>
  <c r="W38" i="9" s="1"/>
  <c r="U38" i="9"/>
  <c r="Y38" i="9" s="1"/>
  <c r="B37" i="9"/>
  <c r="C37" i="9" s="1"/>
  <c r="I37" i="9"/>
  <c r="L37" i="9" s="1"/>
  <c r="W37" i="9" s="1"/>
  <c r="U37" i="9"/>
  <c r="Y37" i="9" s="1"/>
  <c r="B12" i="9"/>
  <c r="C12" i="9" s="1"/>
  <c r="I12" i="9"/>
  <c r="L12" i="9" s="1"/>
  <c r="W12" i="9" s="1"/>
  <c r="U12" i="9"/>
  <c r="Y12" i="9" s="1"/>
  <c r="C29" i="7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E27" i="7"/>
  <c r="F27" i="7" s="1"/>
  <c r="C26" i="7"/>
  <c r="E26" i="7"/>
  <c r="F26" i="7" s="1"/>
  <c r="M47" i="9" l="1"/>
  <c r="M11" i="9"/>
  <c r="J28" i="7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46" i="9"/>
  <c r="V47" i="9"/>
  <c r="X47" i="9"/>
  <c r="N47" i="9"/>
  <c r="Q47" i="9" s="1"/>
  <c r="V11" i="9"/>
  <c r="X11" i="9"/>
  <c r="N11" i="9"/>
  <c r="Q11" i="9" s="1"/>
  <c r="G40" i="7"/>
  <c r="F44" i="9"/>
  <c r="E44" i="9"/>
  <c r="D44" i="9"/>
  <c r="F43" i="9"/>
  <c r="E43" i="9"/>
  <c r="D43" i="9"/>
  <c r="F30" i="9"/>
  <c r="E30" i="9"/>
  <c r="D30" i="9"/>
  <c r="M30" i="9" s="1"/>
  <c r="G38" i="7"/>
  <c r="F41" i="9"/>
  <c r="M41" i="9" s="1"/>
  <c r="E41" i="9"/>
  <c r="D41" i="9"/>
  <c r="F40" i="9"/>
  <c r="E40" i="9"/>
  <c r="D40" i="9"/>
  <c r="F10" i="9"/>
  <c r="E10" i="9"/>
  <c r="D10" i="9"/>
  <c r="M10" i="9" s="1"/>
  <c r="G34" i="7"/>
  <c r="F38" i="9"/>
  <c r="M38" i="9" s="1"/>
  <c r="E38" i="9"/>
  <c r="D38" i="9"/>
  <c r="F37" i="9"/>
  <c r="E37" i="9"/>
  <c r="D37" i="9"/>
  <c r="F12" i="9"/>
  <c r="E12" i="9"/>
  <c r="D12" i="9"/>
  <c r="M12" i="9" s="1"/>
  <c r="G28" i="7"/>
  <c r="G26" i="7"/>
  <c r="C25" i="7"/>
  <c r="E25" i="7"/>
  <c r="F25" i="7" s="1"/>
  <c r="M4" i="10"/>
  <c r="M5" i="10"/>
  <c r="M6" i="10"/>
  <c r="C24" i="7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" i="9"/>
  <c r="C3" i="9" s="1"/>
  <c r="I3" i="9"/>
  <c r="L3" i="9" s="1"/>
  <c r="W3" i="9" s="1"/>
  <c r="U3" i="9"/>
  <c r="Y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 s="1"/>
  <c r="E22" i="7"/>
  <c r="F22" i="7" s="1"/>
  <c r="G7" i="11"/>
  <c r="G10" i="1"/>
  <c r="I10" i="1"/>
  <c r="J10" i="1" s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60" i="9"/>
  <c r="C60" i="9" s="1"/>
  <c r="I60" i="9"/>
  <c r="L60" i="9" s="1"/>
  <c r="W60" i="9" s="1"/>
  <c r="U60" i="9"/>
  <c r="Y6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54" i="9"/>
  <c r="C54" i="9" s="1"/>
  <c r="I54" i="9"/>
  <c r="L54" i="9" s="1"/>
  <c r="W54" i="9" s="1"/>
  <c r="U54" i="9"/>
  <c r="Y54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M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27" i="9"/>
  <c r="C27" i="9" s="1"/>
  <c r="I27" i="9"/>
  <c r="L27" i="9" s="1"/>
  <c r="W27" i="9" s="1"/>
  <c r="U27" i="9"/>
  <c r="Y27" i="9" s="1"/>
  <c r="B7" i="9"/>
  <c r="C7" i="9" s="1"/>
  <c r="I7" i="9"/>
  <c r="L7" i="9" s="1"/>
  <c r="W7" i="9" s="1"/>
  <c r="U7" i="9"/>
  <c r="Y7" i="9" s="1"/>
  <c r="I63" i="9"/>
  <c r="L63" i="9" s="1"/>
  <c r="W63" i="9" s="1"/>
  <c r="I4" i="9"/>
  <c r="L4" i="9" s="1"/>
  <c r="W4" i="9" s="1"/>
  <c r="I57" i="9"/>
  <c r="L57" i="9" s="1"/>
  <c r="W57" i="9" s="1"/>
  <c r="I6" i="9"/>
  <c r="L6" i="9" s="1"/>
  <c r="W6" i="9" s="1"/>
  <c r="I48" i="9"/>
  <c r="L48" i="9" s="1"/>
  <c r="W48" i="9" s="1"/>
  <c r="I8" i="9"/>
  <c r="L8" i="9" s="1"/>
  <c r="W8" i="9" s="1"/>
  <c r="I9" i="9"/>
  <c r="L9" i="9" s="1"/>
  <c r="W9" i="9" s="1"/>
  <c r="I36" i="9"/>
  <c r="L36" i="9" s="1"/>
  <c r="W36" i="9" s="1"/>
  <c r="I42" i="9"/>
  <c r="B42" i="9"/>
  <c r="C42" i="9" s="1"/>
  <c r="U42" i="9"/>
  <c r="Y42" i="9" s="1"/>
  <c r="B36" i="9"/>
  <c r="C36" i="9" s="1"/>
  <c r="U36" i="9"/>
  <c r="Y36" i="9" s="1"/>
  <c r="B9" i="9"/>
  <c r="C9" i="9" s="1"/>
  <c r="U9" i="9"/>
  <c r="Y9" i="9" s="1"/>
  <c r="B8" i="9"/>
  <c r="C8" i="9" s="1"/>
  <c r="U8" i="9"/>
  <c r="Y8" i="9" s="1"/>
  <c r="B48" i="9"/>
  <c r="C48" i="9" s="1"/>
  <c r="U48" i="9"/>
  <c r="Y48" i="9" s="1"/>
  <c r="B6" i="9"/>
  <c r="C6" i="9" s="1"/>
  <c r="U6" i="9"/>
  <c r="Y6" i="9" s="1"/>
  <c r="U57" i="9"/>
  <c r="Y57" i="9" s="1"/>
  <c r="B57" i="9"/>
  <c r="C57" i="9" s="1"/>
  <c r="B4" i="9"/>
  <c r="C4" i="9" s="1"/>
  <c r="B63" i="9"/>
  <c r="E63" i="9" s="1"/>
  <c r="U4" i="9"/>
  <c r="Y4" i="9" s="1"/>
  <c r="U63" i="9"/>
  <c r="Y63" i="9" s="1"/>
  <c r="N43" i="9" l="1"/>
  <c r="Q43" i="9" s="1"/>
  <c r="M43" i="9"/>
  <c r="N37" i="9"/>
  <c r="Q37" i="9" s="1"/>
  <c r="M37" i="9"/>
  <c r="X44" i="9"/>
  <c r="M44" i="9"/>
  <c r="N40" i="9"/>
  <c r="Q40" i="9" s="1"/>
  <c r="M40" i="9"/>
  <c r="J5" i="10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M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Y3" i="13"/>
  <c r="G24" i="7"/>
  <c r="O10" i="11"/>
  <c r="J9" i="1"/>
  <c r="D11" i="1"/>
  <c r="V44" i="9"/>
  <c r="N44" i="9"/>
  <c r="Q44" i="9" s="1"/>
  <c r="V43" i="9"/>
  <c r="X43" i="9"/>
  <c r="N30" i="9"/>
  <c r="Q30" i="9" s="1"/>
  <c r="V30" i="9"/>
  <c r="X30" i="9"/>
  <c r="V41" i="9"/>
  <c r="N41" i="9"/>
  <c r="Q41" i="9" s="1"/>
  <c r="X41" i="9"/>
  <c r="V40" i="9"/>
  <c r="X40" i="9"/>
  <c r="N10" i="9"/>
  <c r="Q10" i="9" s="1"/>
  <c r="V10" i="9"/>
  <c r="X10" i="9"/>
  <c r="V38" i="9"/>
  <c r="N38" i="9"/>
  <c r="Q38" i="9" s="1"/>
  <c r="X38" i="9"/>
  <c r="X37" i="9"/>
  <c r="V37" i="9"/>
  <c r="N12" i="9"/>
  <c r="Q12" i="9" s="1"/>
  <c r="X12" i="9"/>
  <c r="V12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J7" i="10" s="1"/>
  <c r="F35" i="9"/>
  <c r="E35" i="9"/>
  <c r="D35" i="9"/>
  <c r="F34" i="9"/>
  <c r="E34" i="9"/>
  <c r="D34" i="9"/>
  <c r="F3" i="9"/>
  <c r="E3" i="9"/>
  <c r="D3" i="9"/>
  <c r="M3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63" i="9"/>
  <c r="F32" i="9"/>
  <c r="M32" i="9" s="1"/>
  <c r="E32" i="9"/>
  <c r="D32" i="9"/>
  <c r="F31" i="9"/>
  <c r="E31" i="9"/>
  <c r="D31" i="9"/>
  <c r="F60" i="9"/>
  <c r="E60" i="9"/>
  <c r="D60" i="9"/>
  <c r="M60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E29" i="9"/>
  <c r="D29" i="9"/>
  <c r="F28" i="9"/>
  <c r="E28" i="9"/>
  <c r="D28" i="9"/>
  <c r="F54" i="9"/>
  <c r="E54" i="9"/>
  <c r="D54" i="9"/>
  <c r="M54" i="9" s="1"/>
  <c r="I3" i="10"/>
  <c r="F26" i="9"/>
  <c r="E26" i="9"/>
  <c r="D26" i="9"/>
  <c r="F25" i="9"/>
  <c r="E25" i="9"/>
  <c r="D25" i="9"/>
  <c r="F24" i="9"/>
  <c r="M24" i="9" s="1"/>
  <c r="E24" i="9"/>
  <c r="D24" i="9"/>
  <c r="F23" i="9"/>
  <c r="M23" i="9" s="1"/>
  <c r="E23" i="9"/>
  <c r="D23" i="9"/>
  <c r="F22" i="9"/>
  <c r="M22" i="9" s="1"/>
  <c r="E22" i="9"/>
  <c r="D22" i="9"/>
  <c r="F21" i="9"/>
  <c r="E21" i="9"/>
  <c r="D21" i="9"/>
  <c r="F20" i="9"/>
  <c r="M20" i="9" s="1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C14" i="9"/>
  <c r="F27" i="9"/>
  <c r="E27" i="9"/>
  <c r="D27" i="9"/>
  <c r="F7" i="9"/>
  <c r="E7" i="9"/>
  <c r="D7" i="9"/>
  <c r="L42" i="9"/>
  <c r="W42" i="9" s="1"/>
  <c r="F42" i="9"/>
  <c r="E42" i="9"/>
  <c r="D42" i="9"/>
  <c r="F36" i="9"/>
  <c r="E36" i="9"/>
  <c r="D36" i="9"/>
  <c r="F9" i="9"/>
  <c r="D9" i="9"/>
  <c r="E9" i="9"/>
  <c r="F8" i="9"/>
  <c r="E8" i="9"/>
  <c r="D8" i="9"/>
  <c r="F48" i="9"/>
  <c r="E48" i="9"/>
  <c r="D48" i="9"/>
  <c r="F6" i="9"/>
  <c r="E6" i="9"/>
  <c r="D6" i="9"/>
  <c r="F57" i="9"/>
  <c r="E57" i="9"/>
  <c r="D57" i="9"/>
  <c r="F63" i="9"/>
  <c r="F4" i="9"/>
  <c r="E4" i="9"/>
  <c r="D4" i="9"/>
  <c r="D63" i="9"/>
  <c r="X6" i="9" l="1"/>
  <c r="M6" i="9"/>
  <c r="X29" i="9"/>
  <c r="M29" i="9"/>
  <c r="X21" i="9"/>
  <c r="M21" i="9"/>
  <c r="X9" i="9"/>
  <c r="M9" i="9"/>
  <c r="X4" i="9"/>
  <c r="M4" i="9"/>
  <c r="X14" i="9"/>
  <c r="M14" i="9"/>
  <c r="X19" i="9"/>
  <c r="M19" i="9"/>
  <c r="N34" i="9"/>
  <c r="Q34" i="9" s="1"/>
  <c r="M34" i="9"/>
  <c r="X8" i="9"/>
  <c r="M8" i="9"/>
  <c r="X7" i="9"/>
  <c r="M7" i="9"/>
  <c r="X17" i="9"/>
  <c r="M17" i="9"/>
  <c r="X48" i="9"/>
  <c r="M48" i="9"/>
  <c r="X36" i="9"/>
  <c r="M36" i="9"/>
  <c r="V25" i="9"/>
  <c r="M25" i="9"/>
  <c r="N31" i="9"/>
  <c r="Q31" i="9" s="1"/>
  <c r="M31" i="9"/>
  <c r="X63" i="9"/>
  <c r="M63" i="9"/>
  <c r="X16" i="9"/>
  <c r="M16" i="9"/>
  <c r="N28" i="9"/>
  <c r="Q28" i="9" s="1"/>
  <c r="M28" i="9"/>
  <c r="X27" i="9"/>
  <c r="M27" i="9"/>
  <c r="X35" i="9"/>
  <c r="M35" i="9"/>
  <c r="X57" i="9"/>
  <c r="M57" i="9"/>
  <c r="X15" i="9"/>
  <c r="M15" i="9"/>
  <c r="X42" i="9"/>
  <c r="M42" i="9"/>
  <c r="X18" i="9"/>
  <c r="M18" i="9"/>
  <c r="X26" i="9"/>
  <c r="M26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35" i="9"/>
  <c r="N35" i="9"/>
  <c r="Q35" i="9" s="1"/>
  <c r="X34" i="9"/>
  <c r="V34" i="9"/>
  <c r="N3" i="9"/>
  <c r="Q3" i="9" s="1"/>
  <c r="X3" i="9"/>
  <c r="V3" i="9"/>
  <c r="V31" i="9"/>
  <c r="V32" i="9"/>
  <c r="N32" i="9"/>
  <c r="Q32" i="9" s="1"/>
  <c r="X32" i="9"/>
  <c r="X31" i="9"/>
  <c r="N60" i="9"/>
  <c r="Q60" i="9" s="1"/>
  <c r="X60" i="9"/>
  <c r="V60" i="9"/>
  <c r="S7" i="12"/>
  <c r="T7" i="12" s="1"/>
  <c r="V29" i="9"/>
  <c r="N29" i="9"/>
  <c r="Q29" i="9" s="1"/>
  <c r="X28" i="9"/>
  <c r="V28" i="9"/>
  <c r="N54" i="9"/>
  <c r="Q54" i="9" s="1"/>
  <c r="X54" i="9"/>
  <c r="V54" i="9"/>
  <c r="V26" i="9"/>
  <c r="N26" i="9"/>
  <c r="Q26" i="9" s="1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X22" i="9"/>
  <c r="V22" i="9"/>
  <c r="N22" i="9"/>
  <c r="Q22" i="9" s="1"/>
  <c r="N63" i="9"/>
  <c r="Q63" i="9" s="1"/>
  <c r="V18" i="9"/>
  <c r="V4" i="9"/>
  <c r="V6" i="9"/>
  <c r="V9" i="9"/>
  <c r="V14" i="9"/>
  <c r="V19" i="9"/>
  <c r="V48" i="9"/>
  <c r="V42" i="9"/>
  <c r="V7" i="9"/>
  <c r="V17" i="9"/>
  <c r="V57" i="9"/>
  <c r="V15" i="9"/>
  <c r="V27" i="9"/>
  <c r="N8" i="9"/>
  <c r="Q8" i="9" s="1"/>
  <c r="V8" i="9"/>
  <c r="V36" i="9"/>
  <c r="V16" i="9"/>
  <c r="V21" i="9"/>
  <c r="V63" i="9"/>
  <c r="N18" i="9"/>
  <c r="Q18" i="9" s="1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27" i="9"/>
  <c r="Q27" i="9" s="1"/>
  <c r="N7" i="9"/>
  <c r="Q7" i="9" s="1"/>
  <c r="N42" i="9"/>
  <c r="Q42" i="9" s="1"/>
  <c r="N36" i="9"/>
  <c r="Q36" i="9" s="1"/>
  <c r="N9" i="9"/>
  <c r="Q9" i="9" s="1"/>
  <c r="N48" i="9"/>
  <c r="Q48" i="9" s="1"/>
  <c r="N6" i="9"/>
  <c r="Q6" i="9" s="1"/>
  <c r="N57" i="9"/>
  <c r="Q57" i="9" s="1"/>
  <c r="N4" i="9"/>
  <c r="Q4" i="9" s="1"/>
  <c r="J9" i="10" l="1"/>
  <c r="K8" i="10"/>
  <c r="L8" i="10"/>
  <c r="S8" i="12"/>
  <c r="T8" i="12" s="1"/>
  <c r="J10" i="10" l="1"/>
  <c r="L9" i="10"/>
  <c r="K9" i="10"/>
  <c r="J11" i="10" l="1"/>
  <c r="L10" i="10"/>
  <c r="K10" i="10"/>
  <c r="J12" i="10" l="1"/>
  <c r="L11" i="10"/>
  <c r="K11" i="10"/>
  <c r="J13" i="10" l="1"/>
  <c r="L12" i="10"/>
  <c r="K12" i="10"/>
  <c r="J14" i="10" l="1"/>
  <c r="L13" i="10"/>
  <c r="K13" i="10"/>
  <c r="J15" i="10" l="1"/>
  <c r="K14" i="10"/>
  <c r="L14" i="10"/>
  <c r="J16" i="10" l="1"/>
  <c r="L15" i="10"/>
  <c r="K15" i="10"/>
  <c r="J17" i="10" l="1"/>
  <c r="L16" i="10"/>
  <c r="K16" i="10"/>
  <c r="L17" i="10" l="1"/>
  <c r="K17" i="10"/>
</calcChain>
</file>

<file path=xl/sharedStrings.xml><?xml version="1.0" encoding="utf-8"?>
<sst xmlns="http://schemas.openxmlformats.org/spreadsheetml/2006/main" count="387" uniqueCount="124">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</sst>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38"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numFmt numFmtId="34" formatCode="_-&quot;$&quot;\ * #,##0.00_-;\-&quot;$&quot;\ * #,##0.00_-;_-&quot;$&quot;\ * &quot;-&quot;??_-;_-@_-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37"/>
      <tableStyleElement type="headerRow" dxfId="136"/>
      <tableStyleElement type="secondRowStripe" dxfId="135"/>
    </tableStyle>
    <tableStyle name="Estilo de tabla 2" pivot="0" count="5">
      <tableStyleElement type="wholeTable" dxfId="134"/>
      <tableStyleElement type="headerRow" dxfId="133"/>
      <tableStyleElement type="firstRowStripe" dxfId="132"/>
      <tableStyleElement type="secondRowStripe" dxfId="131"/>
      <tableStyleElement type="firstColumnStripe" dxfId="130"/>
    </tableStyle>
    <tableStyle name="Estilo de tabla 3" pivot="0" count="3">
      <tableStyleElement type="headerRow" dxfId="129"/>
      <tableStyleElement type="firstRowStripe" dxfId="128"/>
      <tableStyleElement type="secondRowStripe" dxfId="127"/>
    </tableStyle>
    <tableStyle name="Estilo de tabla 4" pivot="0" count="4">
      <tableStyleElement type="wholeTable" dxfId="126"/>
      <tableStyleElement type="headerRow" dxfId="125"/>
      <tableStyleElement type="firstRowStripe" dxfId="124"/>
      <tableStyleElement type="secondRowStripe" dxfId="123"/>
    </tableStyle>
    <tableStyle name="Estilo de tabla 5" pivot="0" count="4">
      <tableStyleElement type="wholeTable" dxfId="122"/>
      <tableStyleElement type="headerRow" dxfId="121"/>
      <tableStyleElement type="firstRowStripe" dxfId="120"/>
      <tableStyleElement type="secondRowStripe" dxfId="119"/>
    </tableStyle>
  </tableStyles>
  <colors>
    <mruColors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  <c:pt idx="3">
                  <c:v>-3958.345066650003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611104"/>
        <c:axId val="1735620672"/>
      </c:lineChart>
      <c:catAx>
        <c:axId val="17356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20672"/>
        <c:crosses val="autoZero"/>
        <c:auto val="1"/>
        <c:lblAlgn val="ctr"/>
        <c:lblOffset val="100"/>
        <c:noMultiLvlLbl val="0"/>
      </c:catAx>
      <c:valAx>
        <c:axId val="1735620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5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CRIPTOS!$B$3:$B$200</c:f>
              <c:numCache>
                <c:formatCode>m/d/yyyy</c:formatCode>
                <c:ptCount val="19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</c:numCache>
            </c:numRef>
          </c:cat>
          <c:val>
            <c:numRef>
              <c:f>CRIPTOS!$C$3:$C$200</c:f>
              <c:numCache>
                <c:formatCode>_-[$$-240A]\ * #,##0.00_-;\-[$$-240A]\ * #,##0.00_-;_-[$$-240A]\ * "-"??_-;_-@_-</c:formatCode>
                <c:ptCount val="198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  <c:pt idx="187">
                  <c:v>4345.13</c:v>
                </c:pt>
                <c:pt idx="188">
                  <c:v>4323.01</c:v>
                </c:pt>
                <c:pt idx="189">
                  <c:v>4374.1000000000004</c:v>
                </c:pt>
                <c:pt idx="190">
                  <c:v>4418.63</c:v>
                </c:pt>
                <c:pt idx="191">
                  <c:v>4414</c:v>
                </c:pt>
                <c:pt idx="192">
                  <c:v>4418.12</c:v>
                </c:pt>
                <c:pt idx="193">
                  <c:v>4445.3500000000004</c:v>
                </c:pt>
                <c:pt idx="194">
                  <c:v>4438.62</c:v>
                </c:pt>
                <c:pt idx="195">
                  <c:v>4439.75</c:v>
                </c:pt>
                <c:pt idx="196">
                  <c:v>4389.7299999999996</c:v>
                </c:pt>
                <c:pt idx="197">
                  <c:v>4399.58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CRIPTOS!$B$3:$B$200</c:f>
              <c:numCache>
                <c:formatCode>m/d/yyyy</c:formatCode>
                <c:ptCount val="19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</c:numCache>
            </c:numRef>
          </c:cat>
          <c:val>
            <c:numRef>
              <c:f>CRIPTOS!$D$3:$D$200</c:f>
              <c:numCache>
                <c:formatCode>_-[$$-240A]\ * #,##0.00_-;\-[$$-240A]\ * #,##0.00_-;_-[$$-240A]\ * "-"??_-;_-@_-</c:formatCode>
                <c:ptCount val="198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  <c:pt idx="187">
                  <c:v>71200.91</c:v>
                </c:pt>
                <c:pt idx="188">
                  <c:v>72187.039999999994</c:v>
                </c:pt>
                <c:pt idx="189">
                  <c:v>72074</c:v>
                </c:pt>
                <c:pt idx="190">
                  <c:v>69923.17</c:v>
                </c:pt>
                <c:pt idx="191">
                  <c:v>69374.740000000005</c:v>
                </c:pt>
                <c:pt idx="192">
                  <c:v>68306.28</c:v>
                </c:pt>
                <c:pt idx="193">
                  <c:v>67722.23</c:v>
                </c:pt>
                <c:pt idx="194">
                  <c:v>68825.05</c:v>
                </c:pt>
                <c:pt idx="195">
                  <c:v>75165</c:v>
                </c:pt>
                <c:pt idx="196">
                  <c:v>76495</c:v>
                </c:pt>
                <c:pt idx="197">
                  <c:v>76116.72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CRIPTOS!$B$3:$B$200</c:f>
              <c:numCache>
                <c:formatCode>m/d/yyyy</c:formatCode>
                <c:ptCount val="19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</c:numCache>
            </c:numRef>
          </c:cat>
          <c:val>
            <c:numRef>
              <c:f>CRIPTOS!$E$3:$E$200</c:f>
              <c:numCache>
                <c:formatCode>_-[$$-240A]\ * #,##0.00_-;\-[$$-240A]\ * #,##0.00_-;_-[$$-240A]\ * "-"??_-;_-@_-</c:formatCode>
                <c:ptCount val="198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  <c:pt idx="187">
                  <c:v>1.75</c:v>
                </c:pt>
                <c:pt idx="188">
                  <c:v>1.74</c:v>
                </c:pt>
                <c:pt idx="189">
                  <c:v>1.68</c:v>
                </c:pt>
                <c:pt idx="190">
                  <c:v>1.61</c:v>
                </c:pt>
                <c:pt idx="191">
                  <c:v>1.54</c:v>
                </c:pt>
                <c:pt idx="192">
                  <c:v>1.47</c:v>
                </c:pt>
                <c:pt idx="193">
                  <c:v>1.47</c:v>
                </c:pt>
                <c:pt idx="194">
                  <c:v>1.5</c:v>
                </c:pt>
                <c:pt idx="195">
                  <c:v>1.73</c:v>
                </c:pt>
                <c:pt idx="196">
                  <c:v>1.83</c:v>
                </c:pt>
                <c:pt idx="197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CRIPTOS!$B$3:$B$200</c:f>
              <c:numCache>
                <c:formatCode>m/d/yyyy</c:formatCode>
                <c:ptCount val="19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</c:numCache>
            </c:numRef>
          </c:cat>
          <c:val>
            <c:numRef>
              <c:f>CRIPTOS!$F$3:$F$200</c:f>
              <c:numCache>
                <c:formatCode>_-[$$-240A]\ * #,##0.00_-;\-[$$-240A]\ * #,##0.00_-;_-[$$-240A]\ * "-"??_-;_-@_-</c:formatCode>
                <c:ptCount val="198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  <c:pt idx="187">
                  <c:v>2619.9</c:v>
                </c:pt>
                <c:pt idx="188">
                  <c:v>2664</c:v>
                </c:pt>
                <c:pt idx="189">
                  <c:v>2630</c:v>
                </c:pt>
                <c:pt idx="190">
                  <c:v>2517.8000000000002</c:v>
                </c:pt>
                <c:pt idx="191">
                  <c:v>2493.4</c:v>
                </c:pt>
                <c:pt idx="192">
                  <c:v>2445.3000000000002</c:v>
                </c:pt>
                <c:pt idx="193">
                  <c:v>2412</c:v>
                </c:pt>
                <c:pt idx="194">
                  <c:v>2438.6</c:v>
                </c:pt>
                <c:pt idx="195">
                  <c:v>2622.5</c:v>
                </c:pt>
                <c:pt idx="196">
                  <c:v>2819.3</c:v>
                </c:pt>
                <c:pt idx="197">
                  <c:v>2924.8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CRIPTOS!$B$3:$B$200</c:f>
              <c:numCache>
                <c:formatCode>m/d/yyyy</c:formatCode>
                <c:ptCount val="198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</c:numCache>
            </c:numRef>
          </c:cat>
          <c:val>
            <c:numRef>
              <c:f>CRIPTOS!$G$3:$G$200</c:f>
              <c:numCache>
                <c:formatCode>_-[$$-240A]\ * #,##0.00_-;\-[$$-240A]\ * #,##0.00_-;_-[$$-240A]\ * "-"??_-;_-@_-</c:formatCode>
                <c:ptCount val="198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  <c:pt idx="187">
                  <c:v>4254</c:v>
                </c:pt>
                <c:pt idx="188">
                  <c:v>4288</c:v>
                </c:pt>
                <c:pt idx="189">
                  <c:v>4314</c:v>
                </c:pt>
                <c:pt idx="190">
                  <c:v>4293</c:v>
                </c:pt>
                <c:pt idx="191">
                  <c:v>4327</c:v>
                </c:pt>
                <c:pt idx="192">
                  <c:v>4328</c:v>
                </c:pt>
                <c:pt idx="193">
                  <c:v>4338</c:v>
                </c:pt>
                <c:pt idx="194">
                  <c:v>4287</c:v>
                </c:pt>
                <c:pt idx="195">
                  <c:v>4338</c:v>
                </c:pt>
                <c:pt idx="196">
                  <c:v>4331</c:v>
                </c:pt>
                <c:pt idx="197">
                  <c:v>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Bolsa'!$B$3:$B$90</c:f>
              <c:numCache>
                <c:formatCode>m/d/yyyy</c:formatCode>
                <c:ptCount val="8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</c:numCache>
            </c:numRef>
          </c:cat>
          <c:val>
            <c:numRef>
              <c:f>'Inv Bolsa'!$C$3:$C$90</c:f>
              <c:numCache>
                <c:formatCode>_("$"* #,##0.00_);_("$"* \(#,##0.00\);_("$"* "-"??_);_(@_)</c:formatCode>
                <c:ptCount val="88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  <c:pt idx="80">
                  <c:v>4321.6400000000003</c:v>
                </c:pt>
                <c:pt idx="81">
                  <c:v>4345.13</c:v>
                </c:pt>
                <c:pt idx="82">
                  <c:v>4323.01</c:v>
                </c:pt>
                <c:pt idx="83">
                  <c:v>4418.63</c:v>
                </c:pt>
                <c:pt idx="84">
                  <c:v>4445.3500000000004</c:v>
                </c:pt>
                <c:pt idx="85">
                  <c:v>4438.62</c:v>
                </c:pt>
                <c:pt idx="86">
                  <c:v>4439.75</c:v>
                </c:pt>
                <c:pt idx="87">
                  <c:v>4389.7299999999996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Bolsa'!$B$3:$B$90</c:f>
              <c:numCache>
                <c:formatCode>m/d/yyyy</c:formatCode>
                <c:ptCount val="8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</c:numCache>
            </c:numRef>
          </c:cat>
          <c:val>
            <c:numRef>
              <c:f>'Inv Bolsa'!$D$3:$D$90</c:f>
              <c:numCache>
                <c:formatCode>_("$"* #,##0.00_);_("$"* \(#,##0.00\);_("$"* "-"??_);_(@_)</c:formatCode>
                <c:ptCount val="88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  <c:pt idx="80">
                  <c:v>533.91999999999996</c:v>
                </c:pt>
                <c:pt idx="81">
                  <c:v>534.77</c:v>
                </c:pt>
                <c:pt idx="82">
                  <c:v>533.16</c:v>
                </c:pt>
                <c:pt idx="83">
                  <c:v>522.66999999999996</c:v>
                </c:pt>
                <c:pt idx="84">
                  <c:v>523.79999999999995</c:v>
                </c:pt>
                <c:pt idx="85">
                  <c:v>530.1</c:v>
                </c:pt>
                <c:pt idx="86">
                  <c:v>543.29999999999995</c:v>
                </c:pt>
                <c:pt idx="87">
                  <c:v>547.53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Bolsa'!$B$3:$B$90</c:f>
              <c:numCache>
                <c:formatCode>m/d/yyyy</c:formatCode>
                <c:ptCount val="8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</c:numCache>
            </c:numRef>
          </c:cat>
          <c:val>
            <c:numRef>
              <c:f>'Inv Bolsa'!$E$3:$E$90</c:f>
              <c:numCache>
                <c:formatCode>_("$"* #,##0.00_);_("$"* \(#,##0.00\);_("$"* "-"??_);_(@_)</c:formatCode>
                <c:ptCount val="88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  <c:pt idx="80">
                  <c:v>8.1049056000000004</c:v>
                </c:pt>
                <c:pt idx="81">
                  <c:v>8.1178086</c:v>
                </c:pt>
                <c:pt idx="82">
                  <c:v>8.0933688000000004</c:v>
                </c:pt>
                <c:pt idx="83">
                  <c:v>7.9341305999999996</c:v>
                </c:pt>
                <c:pt idx="84">
                  <c:v>7.9512839999999994</c:v>
                </c:pt>
                <c:pt idx="85">
                  <c:v>8.0469180000000016</c:v>
                </c:pt>
                <c:pt idx="86">
                  <c:v>8.2472940000000001</c:v>
                </c:pt>
                <c:pt idx="87">
                  <c:v>8.3115053999999997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Bolsa'!$B$3:$B$90</c:f>
              <c:numCache>
                <c:formatCode>m/d/yyyy</c:formatCode>
                <c:ptCount val="8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</c:numCache>
            </c:numRef>
          </c:cat>
          <c:val>
            <c:numRef>
              <c:f>'Inv Bolsa'!$F$3:$F$90</c:f>
              <c:numCache>
                <c:formatCode>_("$"* #,##0.00_);_("$"* \(#,##0.00\);_("$"* "-"??_);_(@_)</c:formatCode>
                <c:ptCount val="88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  <c:pt idx="80">
                  <c:v>0.4049056000000002</c:v>
                </c:pt>
                <c:pt idx="81">
                  <c:v>0.41780859999999986</c:v>
                </c:pt>
                <c:pt idx="82">
                  <c:v>0.39336880000000018</c:v>
                </c:pt>
                <c:pt idx="83">
                  <c:v>0.23413059999999941</c:v>
                </c:pt>
                <c:pt idx="84">
                  <c:v>0.25128399999999917</c:v>
                </c:pt>
                <c:pt idx="85">
                  <c:v>0.34691800000000139</c:v>
                </c:pt>
                <c:pt idx="86">
                  <c:v>0.54729399999999995</c:v>
                </c:pt>
                <c:pt idx="87">
                  <c:v>0.61150539999999953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Bolsa'!$B$3:$B$90</c:f>
              <c:numCache>
                <c:formatCode>m/d/yyyy</c:formatCode>
                <c:ptCount val="8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</c:numCache>
            </c:numRef>
          </c:cat>
          <c:val>
            <c:numRef>
              <c:f>'Inv Bolsa'!$G$3:$G$90</c:f>
              <c:numCache>
                <c:formatCode>_("$"* #,##0.00_);_("$"* \(#,##0.00\);_("$"* "-"??_);_(@_)</c:formatCode>
                <c:ptCount val="88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  <c:pt idx="80">
                  <c:v>35026.484237184006</c:v>
                </c:pt>
                <c:pt idx="81">
                  <c:v>35272.933682118004</c:v>
                </c:pt>
                <c:pt idx="82">
                  <c:v>34987.714256088002</c:v>
                </c:pt>
                <c:pt idx="83">
                  <c:v>35057.987493077999</c:v>
                </c:pt>
                <c:pt idx="84">
                  <c:v>35346.240329400003</c:v>
                </c:pt>
                <c:pt idx="85">
                  <c:v>35717.211173160009</c:v>
                </c:pt>
                <c:pt idx="86">
                  <c:v>36615.923536499999</c:v>
                </c:pt>
                <c:pt idx="87">
                  <c:v>36485.264599541995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Bolsa'!$B$3:$B$90</c:f>
              <c:numCache>
                <c:formatCode>m/d/yyyy</c:formatCode>
                <c:ptCount val="8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</c:numCache>
            </c:numRef>
          </c:cat>
          <c:val>
            <c:numRef>
              <c:f>'Inv Bolsa'!$H$3:$H$90</c:f>
              <c:numCache>
                <c:formatCode>_("$"* #,##0.00_);_("$"* \(#,##0.00\);_("$"* "-"??_);_(@_)</c:formatCode>
                <c:ptCount val="88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  <c:pt idx="80">
                  <c:v>8.1529583999999993</c:v>
                </c:pt>
                <c:pt idx="81">
                  <c:v>8.1659378999999994</c:v>
                </c:pt>
                <c:pt idx="82">
                  <c:v>8.1413531999999993</c:v>
                </c:pt>
                <c:pt idx="83">
                  <c:v>7.9811708999999995</c:v>
                </c:pt>
                <c:pt idx="84">
                  <c:v>7.9984259999999994</c:v>
                </c:pt>
                <c:pt idx="85">
                  <c:v>8.0946270000000009</c:v>
                </c:pt>
                <c:pt idx="86">
                  <c:v>8.2961910000000003</c:v>
                </c:pt>
                <c:pt idx="87">
                  <c:v>8.360783099999999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Bolsa'!$B$3:$B$90</c:f>
              <c:numCache>
                <c:formatCode>m/d/yyyy</c:formatCode>
                <c:ptCount val="8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</c:numCache>
            </c:numRef>
          </c:cat>
          <c:val>
            <c:numRef>
              <c:f>'Inv Bolsa'!$I$3:$I$90</c:f>
              <c:numCache>
                <c:formatCode>_("$"* #,##0.00_);_("$"* \(#,##0.00\);_("$"* "-"??_);_(@_)</c:formatCode>
                <c:ptCount val="88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  <c:pt idx="80">
                  <c:v>0.25295839999999892</c:v>
                </c:pt>
                <c:pt idx="81">
                  <c:v>0.26593789999999906</c:v>
                </c:pt>
                <c:pt idx="82">
                  <c:v>0.24135319999999894</c:v>
                </c:pt>
                <c:pt idx="83">
                  <c:v>8.1170899999999158E-2</c:v>
                </c:pt>
                <c:pt idx="84">
                  <c:v>9.8425999999999014E-2</c:v>
                </c:pt>
                <c:pt idx="85">
                  <c:v>0.19462700000000055</c:v>
                </c:pt>
                <c:pt idx="86">
                  <c:v>0.39619099999999996</c:v>
                </c:pt>
                <c:pt idx="87">
                  <c:v>0.46078309999999867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Bolsa'!$B$3:$B$90</c:f>
              <c:numCache>
                <c:formatCode>m/d/yyyy</c:formatCode>
                <c:ptCount val="8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</c:numCache>
            </c:numRef>
          </c:cat>
          <c:val>
            <c:numRef>
              <c:f>'Inv Bolsa'!$J$3:$J$90</c:f>
              <c:numCache>
                <c:formatCode>_("$"* #,##0.00_);_("$"* \(#,##0.00\);_("$"* "-"??_);_(@_)</c:formatCode>
                <c:ptCount val="88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  <c:pt idx="80">
                  <c:v>35234.151139775997</c:v>
                </c:pt>
                <c:pt idx="81">
                  <c:v>35482.061747426997</c:v>
                </c:pt>
                <c:pt idx="82">
                  <c:v>35195.151297131997</c:v>
                </c:pt>
                <c:pt idx="83">
                  <c:v>35265.841173866997</c:v>
                </c:pt>
                <c:pt idx="84">
                  <c:v>35555.8030191</c:v>
                </c:pt>
                <c:pt idx="85">
                  <c:v>35928.973294740004</c:v>
                </c:pt>
                <c:pt idx="86">
                  <c:v>36833.013992250002</c:v>
                </c:pt>
                <c:pt idx="87">
                  <c:v>36701.58039756299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Bolsa'!$B$3:$B$90</c:f>
              <c:numCache>
                <c:formatCode>m/d/yyyy</c:formatCode>
                <c:ptCount val="8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</c:numCache>
            </c:numRef>
          </c:cat>
          <c:val>
            <c:numRef>
              <c:f>'Inv Bolsa'!$K$3:$K$90</c:f>
              <c:numCache>
                <c:formatCode>_("$"* #,##0.00_);_("$"* \(#,##0.00\);_("$"* "-"??_);_(@_)</c:formatCode>
                <c:ptCount val="88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  <c:pt idx="80">
                  <c:v>6.8555327999999998</c:v>
                </c:pt>
                <c:pt idx="81">
                  <c:v>6.8664468000000003</c:v>
                </c:pt>
                <c:pt idx="82">
                  <c:v>6.8457743999999998</c:v>
                </c:pt>
                <c:pt idx="83">
                  <c:v>6.7110827999999998</c:v>
                </c:pt>
                <c:pt idx="84">
                  <c:v>6.7255919999999998</c:v>
                </c:pt>
                <c:pt idx="85">
                  <c:v>6.8064840000000011</c:v>
                </c:pt>
                <c:pt idx="86">
                  <c:v>6.9759719999999996</c:v>
                </c:pt>
                <c:pt idx="87">
                  <c:v>7.0302851999999998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Bolsa'!$B$3:$B$90</c:f>
              <c:numCache>
                <c:formatCode>m/d/yyyy</c:formatCode>
                <c:ptCount val="8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</c:numCache>
            </c:numRef>
          </c:cat>
          <c:val>
            <c:numRef>
              <c:f>'Inv Bolsa'!$L$3:$L$90</c:f>
              <c:numCache>
                <c:formatCode>_("$"* #,##0.00_);_("$"* \(#,##0.00\);_("$"* "-"??_);_(@_)</c:formatCode>
                <c:ptCount val="88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  <c:pt idx="80">
                  <c:v>-4.4467200000000595E-2</c:v>
                </c:pt>
                <c:pt idx="81">
                  <c:v>-3.3553200000000061E-2</c:v>
                </c:pt>
                <c:pt idx="82">
                  <c:v>-5.422560000000054E-2</c:v>
                </c:pt>
                <c:pt idx="83">
                  <c:v>-0.18891720000000056</c:v>
                </c:pt>
                <c:pt idx="84">
                  <c:v>-0.17440800000000056</c:v>
                </c:pt>
                <c:pt idx="85">
                  <c:v>-9.3515999999999266E-2</c:v>
                </c:pt>
                <c:pt idx="86">
                  <c:v>7.5971999999999262E-2</c:v>
                </c:pt>
                <c:pt idx="87">
                  <c:v>0.13028519999999943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Bolsa'!$B$3:$B$90</c:f>
              <c:numCache>
                <c:formatCode>m/d/yyyy</c:formatCode>
                <c:ptCount val="8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</c:numCache>
            </c:numRef>
          </c:cat>
          <c:val>
            <c:numRef>
              <c:f>'Inv Bolsa'!$M$3:$M$90</c:f>
              <c:numCache>
                <c:formatCode>_("$"* #,##0.00_);_("$"* \(#,##0.00\);_("$"* "-"??_);_(@_)</c:formatCode>
                <c:ptCount val="88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  <c:pt idx="80">
                  <c:v>29627.144769792001</c:v>
                </c:pt>
                <c:pt idx="81">
                  <c:v>29835.603984084002</c:v>
                </c:pt>
                <c:pt idx="82">
                  <c:v>29594.351188944001</c:v>
                </c:pt>
                <c:pt idx="83">
                  <c:v>29653.791792563999</c:v>
                </c:pt>
                <c:pt idx="84">
                  <c:v>29897.610397200002</c:v>
                </c:pt>
                <c:pt idx="85">
                  <c:v>30211.396012080004</c:v>
                </c:pt>
                <c:pt idx="86">
                  <c:v>30971.571687</c:v>
                </c:pt>
                <c:pt idx="87">
                  <c:v>30861.053850995995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6</xdr:row>
      <xdr:rowOff>104775</xdr:rowOff>
    </xdr:from>
    <xdr:to>
      <xdr:col>16</xdr:col>
      <xdr:colOff>76200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0</xdr:row>
      <xdr:rowOff>166687</xdr:rowOff>
    </xdr:from>
    <xdr:to>
      <xdr:col>34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37" totalsRowShown="0">
  <autoFilter ref="B2:I37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14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21">
  <autoFilter ref="B2:T14"/>
  <tableColumns count="19">
    <tableColumn id="1" name="FECHA ACTUAL" dataDxfId="20">
      <calculatedColumnFormula>TODAY()</calculatedColumnFormula>
    </tableColumn>
    <tableColumn id="2" name="PRECIO ACT KO" dataDxfId="19" dataCellStyle="Moneda">
      <calculatedColumnFormula>VLOOKUP(B3,Tabla1[],5,FALSE)</calculatedColumnFormula>
    </tableColumn>
    <tableColumn id="3" name="PRECIO ACT JNJ" dataDxfId="18">
      <calculatedColumnFormula>VLOOKUP(B3,Tabla1[],6,FALSE)</calculatedColumnFormula>
    </tableColumn>
    <tableColumn id="4" name="PRECIO ACT PG" dataDxfId="17">
      <calculatedColumnFormula>VLOOKUP(B3,Tabla1[],7,FALSE)</calculatedColumnFormula>
    </tableColumn>
    <tableColumn id="5" name="PRECIO ACT PEP" dataDxfId="16">
      <calculatedColumnFormula>VLOOKUP(B3,Tabla1[],8,FALSE)</calculatedColumnFormula>
    </tableColumn>
    <tableColumn id="6" name="PRECIO ACT MSFT" dataDxfId="15">
      <calculatedColumnFormula>VLOOKUP(B3,Tabla1[],9,FALSE)</calculatedColumnFormula>
    </tableColumn>
    <tableColumn id="7" name="PRECIO ACT MCD" dataDxfId="14">
      <calculatedColumnFormula>VLOOKUP(B3,Tabla1[],10,FALSE)</calculatedColumnFormula>
    </tableColumn>
    <tableColumn id="20" name="PRECIO ACT VOO" dataDxfId="13">
      <calculatedColumnFormula>VLOOKUP(B3,Tabla2[],3,FALSE)</calculatedColumnFormula>
    </tableColumn>
    <tableColumn id="8" name="EMPRESA" dataDxfId="12"/>
    <tableColumn id="9" name="FECHA COMPRA" dataDxfId="11"/>
    <tableColumn id="10" name="PRECIO COMPRA" dataDxfId="10" dataCellStyle="Moneda"/>
    <tableColumn id="11" name="CAPITAL INVE" dataDxfId="9" dataCellStyle="Moneda"/>
    <tableColumn id="12" name="CANTIDAD DE ACCIONES" dataDxfId="8" dataCellStyle="Moneda">
      <calculatedColumnFormula>(M3/L3)</calculatedColumnFormula>
    </tableColumn>
    <tableColumn id="13" name="VALOR ACTUAL INVE" dataDxfId="7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6"/>
    <tableColumn id="15" name="VALOR DIVIDENDO POR ACCION" dataDxfId="5" dataCellStyle="Moneda"/>
    <tableColumn id="16" name="TOTAL DIVIDENDO RECIBIDO" dataDxfId="4" dataCellStyle="Moneda">
      <calculatedColumnFormula>ROUND(Q3*N3,2)</calculatedColumnFormula>
    </tableColumn>
    <tableColumn id="17" name="GANACIA/PERDIDA" dataDxfId="3" dataCellStyle="Moneda">
      <calculatedColumnFormula>ROUND(O3-M3,2)</calculatedColumnFormula>
    </tableColumn>
    <tableColumn id="18" name="RENTABILIDAD" dataDxfId="2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13" dataDxfId="111" headerRowBorderDxfId="112" tableBorderDxfId="110" totalsRowBorderDxfId="109" dataCellStyle="Moneda">
  <autoFilter ref="L2:Y3"/>
  <tableColumns count="14">
    <tableColumn id="1" name="MES" dataDxfId="108"/>
    <tableColumn id="2" name="ENERO" dataDxfId="107" dataCellStyle="Moneda"/>
    <tableColumn id="3" name="FEBRERO" dataDxfId="106" dataCellStyle="Moneda"/>
    <tableColumn id="4" name="MARZO" dataDxfId="105" dataCellStyle="Moneda"/>
    <tableColumn id="5" name="ABRIL" dataDxfId="104" dataCellStyle="Moneda"/>
    <tableColumn id="6" name="MAYO" dataDxfId="103" dataCellStyle="Moneda"/>
    <tableColumn id="7" name="JUNIO" dataDxfId="102" dataCellStyle="Moneda"/>
    <tableColumn id="8" name="JULIO" dataDxfId="101" dataCellStyle="Moneda">
      <calculatedColumnFormula>SUM(H3:H9)</calculatedColumnFormula>
    </tableColumn>
    <tableColumn id="9" name="AGOSTO" dataDxfId="100" dataCellStyle="Moneda">
      <calculatedColumnFormula>SUM(H10:H16)</calculatedColumnFormula>
    </tableColumn>
    <tableColumn id="10" name="SEPTIEMBRE" dataDxfId="99" dataCellStyle="Moneda">
      <calculatedColumnFormula>SUM(H17:H23)</calculatedColumnFormula>
    </tableColumn>
    <tableColumn id="11" name="OCTUBRE" dataDxfId="98" dataCellStyle="Moneda">
      <calculatedColumnFormula>SUM(H24:H30)</calculatedColumnFormula>
    </tableColumn>
    <tableColumn id="12" name="NOVIEMBRE" dataDxfId="97" dataCellStyle="Moneda"/>
    <tableColumn id="13" name="DICIEMBRE" dataDxfId="96" dataCellStyle="Moneda"/>
    <tableColumn id="14" name="TOTAL ANUAL" dataDxfId="95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6" totalsRowShown="0" headerRowDxfId="94">
  <autoFilter ref="B2:J16"/>
  <tableColumns count="9">
    <tableColumn id="1" name="MES"/>
    <tableColumn id="2" name="CUENTA"/>
    <tableColumn id="3" name="CANTIDAD INICIAL" dataDxfId="93"/>
    <tableColumn id="4" name="CAPITAL INVERTIDO" dataDxfId="92"/>
    <tableColumn id="5" name="INTERES OBTENIDO" dataDxfId="91"/>
    <tableColumn id="6" name="PORCENTAJE DE INTERES" dataDxfId="90" dataCellStyle="Porcentaje">
      <calculatedColumnFormula>(F3/(D3+E3))</calculatedColumnFormula>
    </tableColumn>
    <tableColumn id="7" name="RETIROS DE CAPITAL" dataDxfId="89"/>
    <tableColumn id="8" name="TOTAL CAPITAL FIN DE MES" dataDxfId="88">
      <calculatedColumnFormula>D3+E3+F3-H3</calculatedColumnFormula>
    </tableColumn>
    <tableColumn id="9" name="RENTABILIDAD" dataDxfId="87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200" totalsRowShown="0">
  <autoFilter ref="B2:G200"/>
  <tableColumns count="6">
    <tableColumn id="1" name="FECHA" dataDxfId="86"/>
    <tableColumn id="2" name="DÓLAR" dataDxfId="85"/>
    <tableColumn id="3" name="BITCOIN" dataDxfId="84"/>
    <tableColumn id="5" name="io.net" dataDxfId="83"/>
    <tableColumn id="4" name="ETHEREUM" dataDxfId="82"/>
    <tableColumn id="6" name="USDT" dataDxfId="81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74" totalsRowShown="0">
  <autoFilter ref="B2:Z74">
    <filterColumn colId="23">
      <filters>
        <filter val="ACTIVA"/>
      </filters>
    </filterColumn>
  </autoFilter>
  <sortState ref="B3:Z72">
    <sortCondition descending="1" ref="M2:M74"/>
  </sortState>
  <tableColumns count="25">
    <tableColumn id="1" name="fecha act" dataDxfId="76">
      <calculatedColumnFormula>TODAY()</calculatedColumnFormula>
    </tableColumn>
    <tableColumn id="2" name="precio actual dólar" dataDxfId="75">
      <calculatedColumnFormula>VLOOKUP(B3,Tabla4[],2,FALSE)</calculatedColumnFormula>
    </tableColumn>
    <tableColumn id="3" name="precio actual btc" dataDxfId="74">
      <calculatedColumnFormula>VLOOKUP(B3,Tabla4[],3,FALSE)</calculatedColumnFormula>
    </tableColumn>
    <tableColumn id="4" name="precio actul eth" dataDxfId="73">
      <calculatedColumnFormula>VLOOKUP(B3,Tabla4[],5,FALSE)</calculatedColumnFormula>
    </tableColumn>
    <tableColumn id="5" name="precio actual io.net" dataDxfId="72">
      <calculatedColumnFormula>VLOOKUP(B3,Tabla4[],4,FALSE)</calculatedColumnFormula>
    </tableColumn>
    <tableColumn id="6" name="moneda"/>
    <tableColumn id="27" name="FECHA COMPRA"/>
    <tableColumn id="20" name="PRECIO DEL DÓLAR, DIA COMPRA" dataDxfId="71">
      <calculatedColumnFormula>VLOOKUP(H3,Tabla4[],2,FALSE)</calculatedColumnFormula>
    </tableColumn>
    <tableColumn id="7" name="precio de compra" dataDxfId="70"/>
    <tableColumn id="8" name="cantidad" dataDxfId="69" dataCellStyle="Porcentaje"/>
    <tableColumn id="18" name="COSTO DE COMPRA" dataDxfId="68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67" dataCellStyle="Porcentaje">
      <calculatedColumnFormula xml:space="preserve"> K3 * (IF(G3="BTC", D3, IF(G3="ETH", E3, IF(G3="IO.NET", F3, 0)))) * C3</calculatedColumnFormula>
    </tableColumn>
    <tableColumn id="9" name="rentabilidad" dataDxfId="66" dataCellStyle="Porcentaje">
      <calculatedColumnFormula>IF(G3 = "BTC", (D3 - J3) / J3,
 IF(G3 = "ETH", (E3 - J3) / J3,
 IF(G3 = "IO.NET", (F3 - J3) / J3,
 "Moneda no soportada")))</calculatedColumnFormula>
    </tableColumn>
    <tableColumn id="10" name="meta1" dataDxfId="65" dataCellStyle="Porcentaje"/>
    <tableColumn id="11" name="META2" dataDxfId="64" dataCellStyle="Porcentaje"/>
    <tableColumn id="12" name="ACCION" dataDxfId="63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2"/>
    <tableColumn id="23" name="INVENTARIO" dataDxfId="61">
      <calculatedColumnFormula>Tabla6[[#This Row],[cantidad]]-Tabla6[[#This Row],[CANTIDAD VENDIDA]]</calculatedColumnFormula>
    </tableColumn>
    <tableColumn id="24" name="VALOR ACTUAL" dataDxfId="60">
      <calculatedColumnFormula>IF(G3="BTC", D3 * U3 * C3, IF(G3="ETH", E3 * U3 * C3, IF(G3="IO.NET", F3 * U3 * C3, 0)))</calculatedColumnFormula>
    </tableColumn>
    <tableColumn id="15" name="GANANCIA/PERDIDA" dataDxfId="59">
      <calculatedColumnFormula>IF(G3 = "BTC", ((T3 - L3)), IF(G3 = "ETH", ((T3 - L3)), IF(G3 = "IO.NET", ((T3 - L3)), "Moneda no soportada")))</calculatedColumnFormula>
    </tableColumn>
    <tableColumn id="25" name="RENTABILIDAD TOTAL" dataDxfId="58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57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19" totalsRowShown="0">
  <autoFilter ref="B2:M19"/>
  <tableColumns count="12">
    <tableColumn id="1" name="FECHA ACT" dataDxfId="56">
      <calculatedColumnFormula>TODAY()</calculatedColumnFormula>
    </tableColumn>
    <tableColumn id="11" name="FECHA COMPRA" dataDxfId="55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54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53">
      <calculatedColumnFormula>Tabla5[[#This Row],[VALOR ACTUAL EN COP]]-Tabla5[[#This Row],[COSTO TOTAL EN COP]]</calculatedColumnFormula>
    </tableColumn>
    <tableColumn id="9" name="RENTABILIDAD" dataDxfId="52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22" totalsRowShown="0">
  <autoFilter ref="B2:O22"/>
  <tableColumns count="14">
    <tableColumn id="1" name="MES" dataDxfId="51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50">
      <calculatedColumnFormula>F3-J3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M90" totalsRowShown="0">
  <autoFilter ref="B2:M90"/>
  <tableColumns count="12">
    <tableColumn id="1" name="FECHA" dataDxfId="43"/>
    <tableColumn id="5" name="PRECIO DEL DÓLAR" dataDxfId="42">
      <calculatedColumnFormula>VLOOKUP(B3,Tabla4[],2,FALSE)</calculatedColumnFormula>
    </tableColumn>
    <tableColumn id="2" name="VOO" dataDxfId="41" dataCellStyle="Moneda"/>
    <tableColumn id="3" name="VALOR INVERSION 1" dataDxfId="40">
      <calculatedColumnFormula>0.01518 * D3</calculatedColumnFormula>
    </tableColumn>
    <tableColumn id="4" name="GAN/PER" dataDxfId="39">
      <calculatedColumnFormula>Tabla2[[#This Row],[VALOR INVERSION 1]]-7.7</calculatedColumnFormula>
    </tableColumn>
    <tableColumn id="6" name="VALOR EN COP" dataDxfId="38">
      <calculatedColumnFormula>Tabla2[[#This Row],[VALOR INVERSION 1]]*Tabla2[[#This Row],[PRECIO DEL DÓLAR]]</calculatedColumnFormula>
    </tableColumn>
    <tableColumn id="8" name="VALOR INVERSION 2" dataDxfId="37">
      <calculatedColumnFormula>Tabla2[[#This Row],[VOO]]*0.01527</calculatedColumnFormula>
    </tableColumn>
    <tableColumn id="9" name="GAN/PER2" dataDxfId="36">
      <calculatedColumnFormula>Tabla2[[#This Row],[VALOR INVERSION 2]]-7.9</calculatedColumnFormula>
    </tableColumn>
    <tableColumn id="10" name="VALOR EN COP2" dataDxfId="35">
      <calculatedColumnFormula>Tabla2[[#This Row],[VALOR INVERSION 2]]*Tabla2[[#This Row],[PRECIO DEL DÓLAR]]</calculatedColumnFormula>
    </tableColumn>
    <tableColumn id="7" name="VALOR INVERSION 3" dataDxfId="34">
      <calculatedColumnFormula>Tabla2[[#This Row],[VOO]]*0.01284</calculatedColumnFormula>
    </tableColumn>
    <tableColumn id="11" name="GAN/PER3" dataDxfId="33">
      <calculatedColumnFormula>Tabla2[[#This Row],[VALOR INVERSION 3]]-6.9</calculatedColumnFormula>
    </tableColumn>
    <tableColumn id="12" name="VALOR EN COP3" dataDxfId="32">
      <calculatedColumnFormula>Tabla2[[#This Row],[VALOR INVERSION 3]]*Tabla2[[#This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31">
  <autoFilter ref="B2:K52"/>
  <tableColumns count="10">
    <tableColumn id="1" name="FECHA"/>
    <tableColumn id="2" name="DÓLAR" dataDxfId="30">
      <calculatedColumnFormula>VLOOKUP(B3,Tabla4[],2,FALSE)</calculatedColumnFormula>
    </tableColumn>
    <tableColumn id="3" name="S&amp;P 500" dataDxfId="29"/>
    <tableColumn id="4" name="NASDAQ-100" dataDxfId="28"/>
    <tableColumn id="5" name="KO" dataDxfId="27"/>
    <tableColumn id="6" name="JNJ" dataDxfId="26"/>
    <tableColumn id="7" name="PG" dataDxfId="25"/>
    <tableColumn id="8" name="PEP" dataDxfId="24"/>
    <tableColumn id="13" name="MSFT" dataDxfId="23"/>
    <tableColumn id="9" name="MCD" dataDxfId="2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7"/>
  <sheetViews>
    <sheetView topLeftCell="C18" workbookViewId="0">
      <selection activeCell="F37" sqref="F37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>
        <f>SUM(H24:H30)</f>
        <v>-3958.345066650003</v>
      </c>
      <c r="W3" s="37"/>
      <c r="X3" s="37"/>
      <c r="Y3" s="38">
        <f>SUM(M3:X3)</f>
        <v>-57.792917422632854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>
        <v>44138.1</v>
      </c>
      <c r="H24" s="7">
        <f>(Tabla8[[#This Row],[CAPITAL A FIN DE MES]]-(Tabla8[[#This Row],[CAPITAL A INICIO DE MES]]+Tabla8[[#This Row],[CAPITAL INVERTIDO ESTE MES]]))</f>
        <v>442.09999999999854</v>
      </c>
      <c r="I24" s="9">
        <f>(Tabla8[[#This Row],[CAPITAL A FIN DE MES]]-Tabla8[[#This Row],[CAPITAL A INICIO DE MES]])/Tabla8[[#This Row],[CAPITAL A INICIO DE MES]]</f>
        <v>0.17089611629881152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>
        <v>19138.02</v>
      </c>
      <c r="H25" s="7">
        <f>(Tabla8[[#This Row],[CAPITAL A FIN DE MES]]-(Tabla8[[#This Row],[CAPITAL A INICIO DE MES]]+Tabla8[[#This Row],[CAPITAL INVERTIDO ESTE MES]]))</f>
        <v>197.61000000000058</v>
      </c>
      <c r="I25" s="9">
        <f>(Tabla8[[#This Row],[CAPITAL A FIN DE MES]]-Tabla8[[#This Row],[CAPITAL A INICIO DE MES]])/Tabla8[[#This Row],[CAPITAL A INICIO DE MES]]</f>
        <v>0.47893459326250098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2800</v>
      </c>
      <c r="G26" s="7">
        <v>19782.494933349997</v>
      </c>
      <c r="H26" s="7">
        <f>(Tabla8[[#This Row],[CAPITAL A FIN DE MES]]-(Tabla8[[#This Row],[CAPITAL A INICIO DE MES]]+Tabla8[[#This Row],[CAPITAL INVERTIDO ESTE MES]]))</f>
        <v>2912.6349333499966</v>
      </c>
      <c r="I26" s="9">
        <f>(Tabla8[[#This Row],[CAPITAL A FIN DE MES]]-Tabla8[[#This Row],[CAPITAL A INICIO DE MES]])/Tabla8[[#This Row],[CAPITAL A INICIO DE MES]]</f>
        <v>0.40601931599532592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2800</v>
      </c>
      <c r="G27" s="7">
        <v>14770.53</v>
      </c>
      <c r="H27" s="7">
        <f>(Tabla8[[#This Row],[CAPITAL A FIN DE MES]]-(Tabla8[[#This Row],[CAPITAL A INICIO DE MES]]+Tabla8[[#This Row],[CAPITAL INVERTIDO ESTE MES]]))</f>
        <v>597.14000000000124</v>
      </c>
      <c r="I27" s="9">
        <f>(Tabla8[[#This Row],[CAPITAL A FIN DE MES]]-Tabla8[[#This Row],[CAPITAL A INICIO DE MES]])/Tabla8[[#This Row],[CAPITAL A INICIO DE MES]]</f>
        <v>0.29869194672828431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1400</v>
      </c>
      <c r="G28" s="7">
        <v>6757.24</v>
      </c>
      <c r="H28" s="7">
        <f>(Tabla8[[#This Row],[CAPITAL A FIN DE MES]]-(Tabla8[[#This Row],[CAPITAL A INICIO DE MES]]+Tabla8[[#This Row],[CAPITAL INVERTIDO ESTE MES]]))</f>
        <v>-2762.4499999999989</v>
      </c>
      <c r="I28" s="9">
        <f>(Tabla8[[#This Row],[CAPITAL A FIN DE MES]]-Tabla8[[#This Row],[CAPITAL A INICIO DE MES]])/Tabla8[[#This Row],[CAPITAL A INICIO DE MES]]</f>
        <v>-0.1677958148648532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2800</v>
      </c>
      <c r="G29" s="7">
        <v>11513.11</v>
      </c>
      <c r="H29" s="7">
        <f>(Tabla8[[#This Row],[CAPITAL A FIN DE MES]]-(Tabla8[[#This Row],[CAPITAL A INICIO DE MES]]+Tabla8[[#This Row],[CAPITAL INVERTIDO ESTE MES]]))</f>
        <v>593.42000000000189</v>
      </c>
      <c r="I29" s="9">
        <f>(Tabla8[[#This Row],[CAPITAL A FIN DE MES]]-Tabla8[[#This Row],[CAPITAL A INICIO DE MES]])/Tabla8[[#This Row],[CAPITAL A INICIO DE MES]]</f>
        <v>0.41792482225306643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>
        <v>99977.62</v>
      </c>
      <c r="H30" s="7">
        <f>(Tabla8[[#This Row],[CAPITAL A FIN DE MES]]-(Tabla8[[#This Row],[CAPITAL A INICIO DE MES]]+Tabla8[[#This Row],[CAPITAL INVERTIDO ESTE MES]]))</f>
        <v>-5938.8000000000029</v>
      </c>
      <c r="I30" s="9">
        <f>(Tabla8[[#This Row],[CAPITAL A FIN DE MES]]-Tabla8[[#This Row],[CAPITAL A INICIO DE MES]])/Tabla8[[#This Row],[CAPITAL A INICIO DE MES]]</f>
        <v>0.49659433603848424</v>
      </c>
    </row>
    <row r="31" spans="2:9">
      <c r="B31" t="s">
        <v>112</v>
      </c>
      <c r="C31" t="s">
        <v>101</v>
      </c>
      <c r="D31" t="s">
        <v>93</v>
      </c>
      <c r="E31" s="7">
        <v>44138.1</v>
      </c>
      <c r="F31" s="29">
        <v>6000</v>
      </c>
      <c r="G31" s="7"/>
      <c r="H31" s="7">
        <f>(Tabla8[[#This Row],[CAPITAL A FIN DE MES]]-(Tabla8[[#This Row],[CAPITAL A INICIO DE MES]]+Tabla8[[#This Row],[CAPITAL INVERTIDO ESTE MES]]))</f>
        <v>-50138.1</v>
      </c>
      <c r="I31" s="9">
        <f>(Tabla8[[#This Row],[CAPITAL A FIN DE MES]]-Tabla8[[#This Row],[CAPITAL A INICIO DE MES]])/Tabla8[[#This Row],[CAPITAL A INICIO DE MES]]</f>
        <v>-1</v>
      </c>
    </row>
    <row r="32" spans="2:9">
      <c r="B32" t="s">
        <v>112</v>
      </c>
      <c r="C32" t="s">
        <v>101</v>
      </c>
      <c r="D32" t="s">
        <v>96</v>
      </c>
      <c r="E32" s="7">
        <v>19138.02</v>
      </c>
      <c r="F32" s="29">
        <v>6000</v>
      </c>
      <c r="G32" s="7"/>
      <c r="H32" s="7">
        <f>(Tabla8[[#This Row],[CAPITAL A FIN DE MES]]-(Tabla8[[#This Row],[CAPITAL A INICIO DE MES]]+Tabla8[[#This Row],[CAPITAL INVERTIDO ESTE MES]]))</f>
        <v>-25138.02</v>
      </c>
      <c r="I32" s="9">
        <f>(Tabla8[[#This Row],[CAPITAL A FIN DE MES]]-Tabla8[[#This Row],[CAPITAL A INICIO DE MES]])/Tabla8[[#This Row],[CAPITAL A INICIO DE MES]]</f>
        <v>-1</v>
      </c>
    </row>
    <row r="33" spans="2:9">
      <c r="B33" t="s">
        <v>112</v>
      </c>
      <c r="C33" t="s">
        <v>53</v>
      </c>
      <c r="D33" t="s">
        <v>14</v>
      </c>
      <c r="E33" s="7">
        <v>19782.494933349997</v>
      </c>
      <c r="F33" s="29">
        <v>2800</v>
      </c>
      <c r="G33" s="7"/>
      <c r="H33" s="7">
        <f>(Tabla8[[#This Row],[CAPITAL A FIN DE MES]]-(Tabla8[[#This Row],[CAPITAL A INICIO DE MES]]+Tabla8[[#This Row],[CAPITAL INVERTIDO ESTE MES]]))</f>
        <v>-22582.494933349997</v>
      </c>
      <c r="I33" s="9">
        <f>(Tabla8[[#This Row],[CAPITAL A FIN DE MES]]-Tabla8[[#This Row],[CAPITAL A INICIO DE MES]])/Tabla8[[#This Row],[CAPITAL A INICIO DE MES]]</f>
        <v>-1</v>
      </c>
    </row>
    <row r="34" spans="2:9">
      <c r="B34" t="s">
        <v>112</v>
      </c>
      <c r="C34" t="s">
        <v>53</v>
      </c>
      <c r="D34" t="s">
        <v>15</v>
      </c>
      <c r="E34" s="7">
        <v>14770.53</v>
      </c>
      <c r="F34" s="29">
        <v>2800</v>
      </c>
      <c r="G34" s="7"/>
      <c r="H34" s="7">
        <f>(Tabla8[[#This Row],[CAPITAL A FIN DE MES]]-(Tabla8[[#This Row],[CAPITAL A INICIO DE MES]]+Tabla8[[#This Row],[CAPITAL INVERTIDO ESTE MES]]))</f>
        <v>-17570.53</v>
      </c>
      <c r="I34" s="9">
        <f>(Tabla8[[#This Row],[CAPITAL A FIN DE MES]]-Tabla8[[#This Row],[CAPITAL A INICIO DE MES]])/Tabla8[[#This Row],[CAPITAL A INICIO DE MES]]</f>
        <v>-1</v>
      </c>
    </row>
    <row r="35" spans="2:9">
      <c r="B35" t="s">
        <v>112</v>
      </c>
      <c r="C35" t="s">
        <v>53</v>
      </c>
      <c r="D35" t="s">
        <v>41</v>
      </c>
      <c r="E35" s="7">
        <v>6757.24</v>
      </c>
      <c r="F35" s="29">
        <v>1400</v>
      </c>
      <c r="G35" s="7"/>
      <c r="H35" s="7">
        <f>(Tabla8[[#This Row],[CAPITAL A FIN DE MES]]-(Tabla8[[#This Row],[CAPITAL A INICIO DE MES]]+Tabla8[[#This Row],[CAPITAL INVERTIDO ESTE MES]]))</f>
        <v>-8157.24</v>
      </c>
      <c r="I35" s="9">
        <f>(Tabla8[[#This Row],[CAPITAL A FIN DE MES]]-Tabla8[[#This Row],[CAPITAL A INICIO DE MES]])/Tabla8[[#This Row],[CAPITAL A INICIO DE MES]]</f>
        <v>-1</v>
      </c>
    </row>
    <row r="36" spans="2:9">
      <c r="B36" t="s">
        <v>112</v>
      </c>
      <c r="C36" t="s">
        <v>53</v>
      </c>
      <c r="D36" t="s">
        <v>63</v>
      </c>
      <c r="E36" s="7">
        <v>11513.11</v>
      </c>
      <c r="F36" s="29">
        <v>2800</v>
      </c>
      <c r="G36" s="7"/>
      <c r="H36" s="7">
        <f>(Tabla8[[#This Row],[CAPITAL A FIN DE MES]]-(Tabla8[[#This Row],[CAPITAL A INICIO DE MES]]+Tabla8[[#This Row],[CAPITAL INVERTIDO ESTE MES]]))</f>
        <v>-14313.11</v>
      </c>
      <c r="I36" s="9">
        <f>(Tabla8[[#This Row],[CAPITAL A FIN DE MES]]-Tabla8[[#This Row],[CAPITAL A INICIO DE MES]])/Tabla8[[#This Row],[CAPITAL A INICIO DE MES]]</f>
        <v>-1</v>
      </c>
    </row>
    <row r="37" spans="2:9">
      <c r="B37" t="s">
        <v>112</v>
      </c>
      <c r="C37" t="s">
        <v>103</v>
      </c>
      <c r="D37" t="s">
        <v>13</v>
      </c>
      <c r="E37" s="7">
        <v>99977.62</v>
      </c>
      <c r="F37" s="29"/>
      <c r="G37" s="7"/>
      <c r="H37" s="7">
        <f>(Tabla8[[#This Row],[CAPITAL A FIN DE MES]]-(Tabla8[[#This Row],[CAPITAL A INICIO DE MES]]+Tabla8[[#This Row],[CAPITAL INVERTIDO ESTE MES]]))</f>
        <v>-99977.62</v>
      </c>
      <c r="I37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18" priority="3" operator="lessThan">
      <formula>0</formula>
    </cfRule>
    <cfRule type="cellIs" dxfId="117" priority="4" operator="lessThan">
      <formula>0</formula>
    </cfRule>
  </conditionalFormatting>
  <conditionalFormatting sqref="M3:X3">
    <cfRule type="cellIs" dxfId="116" priority="2" operator="lessThan">
      <formula>0</formula>
    </cfRule>
  </conditionalFormatting>
  <conditionalFormatting sqref="M3:Y3">
    <cfRule type="cellIs" dxfId="115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D1" workbookViewId="0">
      <selection activeCell="I14" sqref="I14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 t="shared" ref="G11:G16" si="3">(F11/(D11+E11))</f>
        <v>9.3869559442866374E-3</v>
      </c>
      <c r="H11" s="2"/>
      <c r="I11" s="2">
        <f t="shared" ref="I11:I16" si="4">D11+E11+F11-H11</f>
        <v>37696</v>
      </c>
      <c r="J11" s="27">
        <f t="shared" ref="J11:J16" si="5"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 t="shared" si="3"/>
        <v>9.8602628675064728E-3</v>
      </c>
      <c r="H12" s="2"/>
      <c r="I12" s="2">
        <f t="shared" si="4"/>
        <v>12940.41</v>
      </c>
      <c r="J12" s="27">
        <f t="shared" si="5"/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>
        <v>442.1</v>
      </c>
      <c r="G13" s="27">
        <f t="shared" si="3"/>
        <v>1.0117630904430613E-2</v>
      </c>
      <c r="H13" s="2"/>
      <c r="I13" s="2">
        <f t="shared" si="4"/>
        <v>44138.1</v>
      </c>
      <c r="J13" s="27">
        <f t="shared" si="5"/>
        <v>1.0117630904430578E-2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>
        <v>197.61</v>
      </c>
      <c r="G14" s="27">
        <f t="shared" si="3"/>
        <v>1.0433248277096432E-2</v>
      </c>
      <c r="H14" s="2"/>
      <c r="I14" s="2">
        <f t="shared" si="4"/>
        <v>19138.02</v>
      </c>
      <c r="J14" s="27">
        <f t="shared" si="5"/>
        <v>1.0433248277096461E-2</v>
      </c>
    </row>
    <row r="15" spans="2:10">
      <c r="B15" t="s">
        <v>112</v>
      </c>
      <c r="C15" t="s">
        <v>93</v>
      </c>
      <c r="D15" s="2">
        <v>44138.1</v>
      </c>
      <c r="E15" s="2">
        <v>6000</v>
      </c>
      <c r="F15" s="2"/>
      <c r="G15" s="27">
        <f t="shared" si="3"/>
        <v>0</v>
      </c>
      <c r="H15" s="2"/>
      <c r="I15" s="2">
        <f t="shared" si="4"/>
        <v>50138.1</v>
      </c>
      <c r="J15" s="27">
        <f t="shared" si="5"/>
        <v>0</v>
      </c>
    </row>
    <row r="16" spans="2:10">
      <c r="B16" t="s">
        <v>112</v>
      </c>
      <c r="C16" t="s">
        <v>96</v>
      </c>
      <c r="D16" s="2">
        <v>19138.02</v>
      </c>
      <c r="E16" s="2">
        <v>6000</v>
      </c>
      <c r="F16" s="2"/>
      <c r="G16" s="27">
        <f t="shared" si="3"/>
        <v>0</v>
      </c>
      <c r="H16" s="2"/>
      <c r="I16" s="2">
        <f t="shared" si="4"/>
        <v>25138.02</v>
      </c>
      <c r="J16" s="27">
        <f t="shared" si="5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0"/>
  <sheetViews>
    <sheetView topLeftCell="A178" zoomScaleNormal="100" workbookViewId="0">
      <selection activeCell="H200" sqref="H200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4">
        <v>69615</v>
      </c>
      <c r="E189" s="4">
        <v>1.73</v>
      </c>
      <c r="F189" s="4">
        <v>2524.6</v>
      </c>
      <c r="G189" s="4">
        <v>4207</v>
      </c>
      <c r="H189">
        <v>22</v>
      </c>
    </row>
    <row r="190" spans="2:8">
      <c r="B190" s="1">
        <v>45594</v>
      </c>
      <c r="C190" s="3">
        <v>4345.13</v>
      </c>
      <c r="D190" s="3">
        <v>71200.91</v>
      </c>
      <c r="E190" s="3">
        <v>1.75</v>
      </c>
      <c r="F190" s="3">
        <v>2619.9</v>
      </c>
      <c r="G190" s="3">
        <v>4254</v>
      </c>
    </row>
    <row r="191" spans="2:8">
      <c r="B191" s="1">
        <v>45595</v>
      </c>
      <c r="C191" s="3">
        <v>4323.01</v>
      </c>
      <c r="D191" s="3">
        <v>72187.039999999994</v>
      </c>
      <c r="E191" s="3">
        <v>1.74</v>
      </c>
      <c r="F191" s="3">
        <v>2664</v>
      </c>
      <c r="G191" s="3">
        <v>4288</v>
      </c>
    </row>
    <row r="192" spans="2:8">
      <c r="B192" s="1">
        <v>45596</v>
      </c>
      <c r="C192" s="3">
        <v>4374.1000000000004</v>
      </c>
      <c r="D192" s="3">
        <v>72074</v>
      </c>
      <c r="E192" s="3">
        <v>1.68</v>
      </c>
      <c r="F192" s="3">
        <v>2630</v>
      </c>
      <c r="G192" s="3">
        <v>4314</v>
      </c>
    </row>
    <row r="193" spans="2:8">
      <c r="B193" s="1">
        <v>45597</v>
      </c>
      <c r="C193" s="3">
        <v>4418.63</v>
      </c>
      <c r="D193" s="3">
        <v>69923.17</v>
      </c>
      <c r="E193" s="3">
        <v>1.61</v>
      </c>
      <c r="F193" s="3">
        <v>2517.8000000000002</v>
      </c>
      <c r="G193" s="3">
        <v>4293</v>
      </c>
    </row>
    <row r="194" spans="2:8">
      <c r="B194" s="1">
        <v>45598</v>
      </c>
      <c r="C194" s="3">
        <v>4414</v>
      </c>
      <c r="D194" s="3">
        <v>69374.740000000005</v>
      </c>
      <c r="E194" s="3">
        <v>1.54</v>
      </c>
      <c r="F194" s="3">
        <v>2493.4</v>
      </c>
      <c r="G194" s="3">
        <v>4327</v>
      </c>
    </row>
    <row r="195" spans="2:8">
      <c r="B195" s="1">
        <v>45599</v>
      </c>
      <c r="C195" s="3">
        <v>4418.12</v>
      </c>
      <c r="D195" s="3">
        <v>68306.28</v>
      </c>
      <c r="E195" s="3">
        <v>1.47</v>
      </c>
      <c r="F195" s="3">
        <v>2445.3000000000002</v>
      </c>
      <c r="G195" s="3">
        <v>4328</v>
      </c>
    </row>
    <row r="196" spans="2:8">
      <c r="B196" s="1">
        <v>45600</v>
      </c>
      <c r="C196" s="3">
        <v>4445.3500000000004</v>
      </c>
      <c r="D196" s="4">
        <v>67722.23</v>
      </c>
      <c r="E196" s="4">
        <v>1.47</v>
      </c>
      <c r="F196" s="4">
        <v>2412</v>
      </c>
      <c r="G196" s="4">
        <v>4338</v>
      </c>
      <c r="H196">
        <v>23</v>
      </c>
    </row>
    <row r="197" spans="2:8">
      <c r="B197" s="1">
        <v>45601</v>
      </c>
      <c r="C197" s="3">
        <v>4438.62</v>
      </c>
      <c r="D197" s="3">
        <v>68825.05</v>
      </c>
      <c r="E197" s="3">
        <v>1.5</v>
      </c>
      <c r="F197" s="3">
        <v>2438.6</v>
      </c>
      <c r="G197" s="3">
        <v>4287</v>
      </c>
    </row>
    <row r="198" spans="2:8">
      <c r="B198" s="1">
        <v>45602</v>
      </c>
      <c r="C198" s="3">
        <v>4439.75</v>
      </c>
      <c r="D198" s="3">
        <v>75165</v>
      </c>
      <c r="E198" s="3">
        <v>1.73</v>
      </c>
      <c r="F198" s="3">
        <v>2622.5</v>
      </c>
      <c r="G198" s="3">
        <v>4338</v>
      </c>
    </row>
    <row r="199" spans="2:8">
      <c r="B199" s="1">
        <v>45603</v>
      </c>
      <c r="C199" s="3">
        <v>4389.7299999999996</v>
      </c>
      <c r="D199" s="3">
        <v>76495</v>
      </c>
      <c r="E199" s="3">
        <v>1.83</v>
      </c>
      <c r="F199" s="3">
        <v>2819.3</v>
      </c>
      <c r="G199" s="3">
        <v>4331</v>
      </c>
    </row>
    <row r="200" spans="2:8">
      <c r="B200" s="1">
        <v>45604</v>
      </c>
      <c r="C200" s="3">
        <v>4399.58</v>
      </c>
      <c r="D200" s="3">
        <v>76116.72</v>
      </c>
      <c r="E200" s="3">
        <v>1.99</v>
      </c>
      <c r="F200" s="3">
        <v>2924.8</v>
      </c>
      <c r="G200" s="3">
        <v>4234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4"/>
  <sheetViews>
    <sheetView tabSelected="1" topLeftCell="G1" workbookViewId="0">
      <selection activeCell="M49" sqref="M49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t="shared" ref="B3:B34" ca="1" si="0">TODAY()</f>
        <v>45604</v>
      </c>
      <c r="C3" s="2">
        <f ca="1">VLOOKUP(B3,Tabla4[],2,FALSE)</f>
        <v>4399.58</v>
      </c>
      <c r="D3" s="3">
        <f ca="1">VLOOKUP(B3,Tabla4[],3,FALSE)</f>
        <v>76116.72</v>
      </c>
      <c r="E3" s="2">
        <f ca="1">VLOOKUP(B3,Tabla4[],5,FALSE)</f>
        <v>2924.8</v>
      </c>
      <c r="F3" s="2">
        <f ca="1">VLOOKUP(B3,Tabla4[],4,FALSE)</f>
        <v>1.99</v>
      </c>
      <c r="G3" t="s">
        <v>14</v>
      </c>
      <c r="H3" s="1">
        <v>45509</v>
      </c>
      <c r="I3" s="3">
        <f>VLOOKUP(H3,Tabla4[],2,FALSE)</f>
        <v>4116.91</v>
      </c>
      <c r="J3" s="3">
        <v>53468.49</v>
      </c>
      <c r="K3" s="11">
        <v>3.18E-6</v>
      </c>
      <c r="L3" s="7">
        <f>Tabla6[[#This Row],[precio de compra]]*Tabla6[[#This Row],[cantidad]]*Tabla6[[#This Row],[PRECIO DEL DÓLAR, DIA COMPRA]]</f>
        <v>699.99737650756197</v>
      </c>
      <c r="M3" s="13">
        <f t="shared" ref="M3:M34" ca="1" si="1" xml:space="preserve"> K3 * (IF(G3="BTC", D3, IF(G3="ETH", E3, IF(G3="IO.NET", F3, 0)))) * C3</f>
        <v>1064.923484748768</v>
      </c>
      <c r="N3" s="32">
        <f t="shared" ref="N3:N34" ca="1" si="2">IF(G3 = "BTC", (D3 - J3) / J3,
 IF(G3 = "ETH", (E3 - J3) / J3,
 IF(G3 = "IO.NET", (F3 - J3) / J3,
 "Moneda no soportada")))</f>
        <v>0.42358087913086762</v>
      </c>
      <c r="O3" s="9">
        <v>0.25</v>
      </c>
      <c r="P3" s="9">
        <v>0.5</v>
      </c>
      <c r="Q3" t="str">
        <f t="shared" ref="Q3:Q34" ca="1" si="3">IF(N3 &lt; O3, "MANTENER", IF(N3 &lt; P3, "VENTA PARCIAL", "VENDER"))</f>
        <v>VENTA PARCIAL</v>
      </c>
      <c r="T3" s="2"/>
      <c r="U3" s="14">
        <f>Tabla6[[#This Row],[cantidad]]-Tabla6[[#This Row],[CANTIDAD VENDIDA]]</f>
        <v>3.18E-6</v>
      </c>
      <c r="V3" s="2">
        <f t="shared" ref="V3:V34" ca="1" si="4">IF(G3="BTC", D3 * U3 * C3, IF(G3="ETH", E3 * U3 * C3, IF(G3="IO.NET", F3 * U3 * C3, 0)))</f>
        <v>1064.923484748768</v>
      </c>
      <c r="W3" s="2">
        <f t="shared" ref="W3:W34" si="5">IF(G3 = "BTC", ((T3 - L3)), IF(G3 = "ETH", ((T3 - L3)), IF(G3 = "IO.NET", ((T3 - L3)), "Moneda no soportada")))</f>
        <v>-699.99737650756197</v>
      </c>
      <c r="X3" s="9">
        <f t="shared" ref="X3:X34" ca="1" si="6">IF(G3 = "BTC", (((D3 - J3) / J3)),IF(G3 = "ETH", ((E3 - J3) / J3), IF(G3 = "IO.NET", ((F3 - J3) / J3), "Moneda no soportada")))</f>
        <v>0.42358087913086762</v>
      </c>
      <c r="Y3" s="2" t="str">
        <f t="shared" ref="Y3:Y34" si="7">IF(U3=0,"VENDIDA","ACTIVA")</f>
        <v>ACTIVA</v>
      </c>
    </row>
    <row r="4" spans="2:26">
      <c r="B4" s="1">
        <f t="shared" ca="1" si="0"/>
        <v>45604</v>
      </c>
      <c r="C4" s="2">
        <f ca="1">VLOOKUP(B4,Tabla4[],2,FALSE)</f>
        <v>4399.58</v>
      </c>
      <c r="D4" s="3">
        <f ca="1">VLOOKUP(B4,Tabla4[],3,FALSE)</f>
        <v>76116.72</v>
      </c>
      <c r="E4" s="2">
        <f ca="1">VLOOKUP(B4,Tabla4[],5,FALSE)</f>
        <v>2924.8</v>
      </c>
      <c r="F4" s="2">
        <f ca="1">VLOOKUP(B4,Tabla4[],4,FALSE)</f>
        <v>1.99</v>
      </c>
      <c r="G4" t="s">
        <v>15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ca="1" si="1"/>
        <v>607.36448276480007</v>
      </c>
      <c r="N4" s="32">
        <f t="shared" ca="1" si="2"/>
        <v>-0.23058103653740414</v>
      </c>
      <c r="O4" s="9">
        <v>0.25</v>
      </c>
      <c r="P4" s="9">
        <v>0.5</v>
      </c>
      <c r="Q4" t="str">
        <f t="shared" ca="1" si="3"/>
        <v>MANTENER</v>
      </c>
      <c r="T4" s="2"/>
      <c r="U4" s="14">
        <f>Tabla6[[#This Row],[cantidad]]-Tabla6[[#This Row],[CANTIDAD VENDIDA]]</f>
        <v>4.7200000000000002E-5</v>
      </c>
      <c r="V4" s="2">
        <f t="shared" ca="1" si="4"/>
        <v>607.36448276480007</v>
      </c>
      <c r="W4" s="2">
        <f t="shared" si="5"/>
        <v>-705.39693250799996</v>
      </c>
      <c r="X4" s="9">
        <f t="shared" ca="1" si="6"/>
        <v>-0.23058103653740414</v>
      </c>
      <c r="Y4" s="2" t="str">
        <f t="shared" si="7"/>
        <v>ACTIVA</v>
      </c>
    </row>
    <row r="5" spans="2:26">
      <c r="B5" s="1">
        <f t="shared" ca="1" si="0"/>
        <v>45604</v>
      </c>
      <c r="C5" s="2">
        <f ca="1">VLOOKUP(B5,Tabla4[],2,FALSE)</f>
        <v>4399.58</v>
      </c>
      <c r="D5" s="3">
        <f ca="1">VLOOKUP(B5,Tabla4[],3,FALSE)</f>
        <v>76116.72</v>
      </c>
      <c r="E5" s="2">
        <f ca="1">VLOOKUP(B5,Tabla4[],5,FALSE)</f>
        <v>2924.8</v>
      </c>
      <c r="F5" s="2">
        <f ca="1">VLOOKUP(B5,Tabla4[],4,FALSE)</f>
        <v>1.99</v>
      </c>
      <c r="G5" t="s">
        <v>14</v>
      </c>
      <c r="H5" s="1">
        <v>45544</v>
      </c>
      <c r="I5" s="3">
        <f>VLOOKUP(H5,Tabla4[],2,FALSE)</f>
        <v>4149.79</v>
      </c>
      <c r="J5" s="3">
        <v>54414</v>
      </c>
      <c r="K5" s="25">
        <v>3.1E-6</v>
      </c>
      <c r="L5" s="29">
        <f>Tabla6[[#This Row],[precio de compra]]*Tabla6[[#This Row],[cantidad]]*Tabla6[[#This Row],[PRECIO DEL DÓLAR, DIA COMPRA]]</f>
        <v>700.00068648600006</v>
      </c>
      <c r="M5" s="26">
        <f t="shared" ca="1" si="1"/>
        <v>1038.13295683056</v>
      </c>
      <c r="N5" s="41">
        <f t="shared" ca="1" si="2"/>
        <v>0.39884441504024704</v>
      </c>
      <c r="O5" s="28">
        <v>0.25</v>
      </c>
      <c r="P5" s="28">
        <v>0.5</v>
      </c>
      <c r="Q5" s="31" t="str">
        <f t="shared" ca="1" si="3"/>
        <v>VENTA PARCIAL</v>
      </c>
      <c r="T5" s="2"/>
      <c r="U5" s="14">
        <f>Tabla6[[#This Row],[cantidad]]-Tabla6[[#This Row],[CANTIDAD VENDIDA]]</f>
        <v>3.1E-6</v>
      </c>
      <c r="V5" s="2">
        <f t="shared" ca="1" si="4"/>
        <v>1038.13295683056</v>
      </c>
      <c r="W5" s="2">
        <f t="shared" si="5"/>
        <v>-700.00068648600006</v>
      </c>
      <c r="X5" s="32">
        <f t="shared" ca="1" si="6"/>
        <v>0.39884441504024704</v>
      </c>
      <c r="Y5" s="2" t="str">
        <f t="shared" si="7"/>
        <v>ACTIVA</v>
      </c>
    </row>
    <row r="6" spans="2:26">
      <c r="B6" s="1">
        <f t="shared" ca="1" si="0"/>
        <v>45604</v>
      </c>
      <c r="C6" s="2">
        <f ca="1">VLOOKUP(B6,Tabla4[],2,FALSE)</f>
        <v>4399.58</v>
      </c>
      <c r="D6" s="3">
        <f ca="1">VLOOKUP(B6,Tabla4[],3,FALSE)</f>
        <v>76116.72</v>
      </c>
      <c r="E6" s="2">
        <f ca="1">VLOOKUP(B6,Tabla4[],5,FALSE)</f>
        <v>2924.8</v>
      </c>
      <c r="F6" s="2">
        <f ca="1">VLOOKUP(B6,Tabla4[],4,FALSE)</f>
        <v>1.99</v>
      </c>
      <c r="G6" t="s">
        <v>15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1"/>
        <v>626.28028339328</v>
      </c>
      <c r="N6" s="32">
        <f t="shared" ca="1" si="2"/>
        <v>-0.20298227638377181</v>
      </c>
      <c r="O6" s="9">
        <v>0.25</v>
      </c>
      <c r="P6" s="9">
        <v>0.5</v>
      </c>
      <c r="Q6" t="str">
        <f t="shared" ca="1" si="3"/>
        <v>MANTENER</v>
      </c>
      <c r="T6" s="2"/>
      <c r="U6" s="14">
        <f>Tabla6[[#This Row],[cantidad]]-Tabla6[[#This Row],[CANTIDAD VENDIDA]]</f>
        <v>4.867E-5</v>
      </c>
      <c r="V6" s="2">
        <f t="shared" ca="1" si="4"/>
        <v>626.28028339328</v>
      </c>
      <c r="W6" s="2">
        <f t="shared" si="5"/>
        <v>-713.63816396689595</v>
      </c>
      <c r="X6" s="9">
        <f t="shared" ca="1" si="6"/>
        <v>-0.20298227638377181</v>
      </c>
      <c r="Y6" s="2" t="str">
        <f t="shared" si="7"/>
        <v>ACTIVA</v>
      </c>
    </row>
    <row r="7" spans="2:26">
      <c r="B7" s="1">
        <f t="shared" ca="1" si="0"/>
        <v>45604</v>
      </c>
      <c r="C7" s="2">
        <f ca="1">VLOOKUP(B7,Tabla4[],2,FALSE)</f>
        <v>4399.58</v>
      </c>
      <c r="D7" s="3">
        <f ca="1">VLOOKUP(B7,Tabla4[],3,FALSE)</f>
        <v>76116.72</v>
      </c>
      <c r="E7" s="2">
        <f ca="1">VLOOKUP(B7,Tabla4[],5,FALSE)</f>
        <v>2924.8</v>
      </c>
      <c r="F7" s="2">
        <f ca="1">VLOOKUP(B7,Tabla4[],4,FALSE)</f>
        <v>1.99</v>
      </c>
      <c r="G7" t="s">
        <v>14</v>
      </c>
      <c r="H7" s="1">
        <v>45481</v>
      </c>
      <c r="I7" s="3">
        <f>VLOOKUP(H7,Tabla4[],2,FALSE)</f>
        <v>4078.65</v>
      </c>
      <c r="J7" s="3">
        <v>57094.400000000001</v>
      </c>
      <c r="K7" s="11">
        <v>3.0299999999999998E-6</v>
      </c>
      <c r="L7" s="7">
        <f>Tabla6[[#This Row],[precio de compra]]*Tabla6[[#This Row],[cantidad]]*Tabla6[[#This Row],[PRECIO DEL DÓLAR, DIA COMPRA]]</f>
        <v>705.59026591680004</v>
      </c>
      <c r="M7" s="13">
        <f t="shared" ca="1" si="1"/>
        <v>1014.6912449021279</v>
      </c>
      <c r="N7" s="32">
        <f t="shared" ca="1" si="2"/>
        <v>0.33317313081493105</v>
      </c>
      <c r="O7" s="9">
        <v>0.25</v>
      </c>
      <c r="P7" s="9">
        <v>0.5</v>
      </c>
      <c r="Q7" t="str">
        <f t="shared" ca="1" si="3"/>
        <v>VENTA PARCIAL</v>
      </c>
      <c r="T7" s="2"/>
      <c r="U7" s="14">
        <f>Tabla6[[#This Row],[cantidad]]-Tabla6[[#This Row],[CANTIDAD VENDIDA]]</f>
        <v>3.0299999999999998E-6</v>
      </c>
      <c r="V7" s="2">
        <f t="shared" ca="1" si="4"/>
        <v>1014.6912449021279</v>
      </c>
      <c r="W7" s="2">
        <f t="shared" si="5"/>
        <v>-705.59026591680004</v>
      </c>
      <c r="X7" s="9">
        <f t="shared" ca="1" si="6"/>
        <v>0.33317313081493105</v>
      </c>
      <c r="Y7" s="2" t="str">
        <f t="shared" si="7"/>
        <v>ACTIVA</v>
      </c>
    </row>
    <row r="8" spans="2:26">
      <c r="B8" s="1">
        <f t="shared" ca="1" si="0"/>
        <v>45604</v>
      </c>
      <c r="C8" s="2">
        <f ca="1">VLOOKUP(B8,Tabla4[],2,FALSE)</f>
        <v>4399.58</v>
      </c>
      <c r="D8" s="3">
        <f ca="1">VLOOKUP(B8,Tabla4[],3,FALSE)</f>
        <v>76116.72</v>
      </c>
      <c r="E8" s="2">
        <f ca="1">VLOOKUP(B8,Tabla4[],5,FALSE)</f>
        <v>2924.8</v>
      </c>
      <c r="F8" s="2">
        <f ca="1">VLOOKUP(B8,Tabla4[],4,FALSE)</f>
        <v>1.99</v>
      </c>
      <c r="G8" t="s">
        <v>41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1"/>
        <v>338.91914765843399</v>
      </c>
      <c r="N8" s="32">
        <f t="shared" ca="1" si="2"/>
        <v>-0.52955082742316784</v>
      </c>
      <c r="O8" s="9">
        <v>0.25</v>
      </c>
      <c r="P8" s="9">
        <v>0.5</v>
      </c>
      <c r="Q8" t="str">
        <f t="shared" ca="1" si="3"/>
        <v>MANTENER</v>
      </c>
      <c r="T8" s="2"/>
      <c r="U8" s="14">
        <f>Tabla6[[#This Row],[cantidad]]-Tabla6[[#This Row],[CANTIDAD VENDIDA]]</f>
        <v>3.8710769999999999E-2</v>
      </c>
      <c r="V8" s="2">
        <f t="shared" ca="1" si="4"/>
        <v>338.91914765843399</v>
      </c>
      <c r="W8" s="2">
        <f t="shared" si="5"/>
        <v>-676.17994528545319</v>
      </c>
      <c r="X8" s="9">
        <f t="shared" ca="1" si="6"/>
        <v>-0.52955082742316784</v>
      </c>
      <c r="Y8" s="2" t="str">
        <f t="shared" si="7"/>
        <v>ACTIVA</v>
      </c>
    </row>
    <row r="9" spans="2:26">
      <c r="B9" s="1">
        <f t="shared" ca="1" si="0"/>
        <v>45604</v>
      </c>
      <c r="C9" s="2">
        <f ca="1">VLOOKUP(B9,Tabla4[],2,FALSE)</f>
        <v>4399.58</v>
      </c>
      <c r="D9" s="3">
        <f ca="1">VLOOKUP(B9,Tabla4[],3,FALSE)</f>
        <v>76116.72</v>
      </c>
      <c r="E9" s="2">
        <f ca="1">VLOOKUP(B9,Tabla4[],5,FALSE)</f>
        <v>2924.8</v>
      </c>
      <c r="F9" s="2">
        <f ca="1">VLOOKUP(B9,Tabla4[],4,FALSE)</f>
        <v>1.99</v>
      </c>
      <c r="G9" t="s">
        <v>15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1"/>
        <v>633.10026593280008</v>
      </c>
      <c r="N9" s="32">
        <f t="shared" ca="1" si="2"/>
        <v>-0.16572298968278185</v>
      </c>
      <c r="O9" s="9">
        <v>0.25</v>
      </c>
      <c r="P9" s="9">
        <v>0.5</v>
      </c>
      <c r="Q9" t="str">
        <f t="shared" ca="1" si="3"/>
        <v>MANTENER</v>
      </c>
      <c r="T9" s="2"/>
      <c r="U9" s="14">
        <f>Tabla6[[#This Row],[cantidad]]-Tabla6[[#This Row],[CANTIDAD VENDIDA]]</f>
        <v>4.9200000000000003E-5</v>
      </c>
      <c r="V9" s="2">
        <f t="shared" ca="1" si="4"/>
        <v>633.10026593280008</v>
      </c>
      <c r="W9" s="2">
        <f t="shared" si="5"/>
        <v>-712.26418846524007</v>
      </c>
      <c r="X9" s="9">
        <f t="shared" ca="1" si="6"/>
        <v>-0.16572298968278185</v>
      </c>
      <c r="Y9" s="2" t="str">
        <f t="shared" si="7"/>
        <v>ACTIVA</v>
      </c>
    </row>
    <row r="10" spans="2:26">
      <c r="B10" s="1">
        <f t="shared" ca="1" si="0"/>
        <v>45604</v>
      </c>
      <c r="C10" s="2">
        <f ca="1">VLOOKUP(B10,Tabla4[],2,FALSE)</f>
        <v>4399.58</v>
      </c>
      <c r="D10" s="3">
        <f ca="1">VLOOKUP(B10,Tabla4[],3,FALSE)</f>
        <v>76116.72</v>
      </c>
      <c r="E10" s="2">
        <f ca="1">VLOOKUP(B10,Tabla4[],5,FALSE)</f>
        <v>2924.8</v>
      </c>
      <c r="F10" s="2">
        <f ca="1">VLOOKUP(B10,Tabla4[],4,FALSE)</f>
        <v>1.99</v>
      </c>
      <c r="G10" t="s">
        <v>14</v>
      </c>
      <c r="H10" s="1">
        <v>45523</v>
      </c>
      <c r="I10" s="3">
        <f>VLOOKUP(H10,Tabla4[],2,FALSE)</f>
        <v>4030.16</v>
      </c>
      <c r="J10" s="3">
        <v>57323.8</v>
      </c>
      <c r="K10" s="25">
        <v>3.0299999999999998E-6</v>
      </c>
      <c r="L10" s="29">
        <f>Tabla6[[#This Row],[precio de compra]]*Tabla6[[#This Row],[cantidad]]*Tabla6[[#This Row],[PRECIO DEL DÓLAR, DIA COMPRA]]</f>
        <v>700.00297999823999</v>
      </c>
      <c r="M10" s="26">
        <f t="shared" ca="1" si="1"/>
        <v>1014.6912449021279</v>
      </c>
      <c r="N10" s="41">
        <f t="shared" ca="1" si="2"/>
        <v>0.32783800096992866</v>
      </c>
      <c r="O10" s="28">
        <v>0.25</v>
      </c>
      <c r="P10" s="28">
        <v>0.5</v>
      </c>
      <c r="Q10" t="str">
        <f t="shared" ca="1" si="3"/>
        <v>VENTA PARCIAL</v>
      </c>
      <c r="T10" s="2"/>
      <c r="U10" s="14">
        <f>Tabla6[[#This Row],[cantidad]]-Tabla6[[#This Row],[CANTIDAD VENDIDA]]</f>
        <v>3.0299999999999998E-6</v>
      </c>
      <c r="V10" s="2">
        <f t="shared" ca="1" si="4"/>
        <v>1014.6912449021279</v>
      </c>
      <c r="W10" s="2">
        <f t="shared" si="5"/>
        <v>-700.00297999823999</v>
      </c>
      <c r="X10" s="9">
        <f t="shared" ca="1" si="6"/>
        <v>0.32783800096992866</v>
      </c>
      <c r="Y10" s="2" t="str">
        <f t="shared" si="7"/>
        <v>ACTIVA</v>
      </c>
    </row>
    <row r="11" spans="2:26">
      <c r="B11" s="1">
        <f t="shared" ca="1" si="0"/>
        <v>45604</v>
      </c>
      <c r="C11" s="2">
        <f ca="1">VLOOKUP(B11,Tabla4[],2,FALSE)</f>
        <v>4399.58</v>
      </c>
      <c r="D11" s="3">
        <f ca="1">VLOOKUP(B11,Tabla4[],3,FALSE)</f>
        <v>76116.72</v>
      </c>
      <c r="E11" s="2">
        <f ca="1">VLOOKUP(B11,Tabla4[],5,FALSE)</f>
        <v>2924.8</v>
      </c>
      <c r="F11" s="2">
        <f ca="1">VLOOKUP(B11,Tabla4[],4,FALSE)</f>
        <v>1.99</v>
      </c>
      <c r="G11" t="s">
        <v>14</v>
      </c>
      <c r="H11" s="1">
        <v>45537</v>
      </c>
      <c r="I11" s="3">
        <f>VLOOKUP(H11,Tabla4[],2,FALSE)</f>
        <v>4160.3100000000004</v>
      </c>
      <c r="J11" s="3">
        <v>56272.800000000003</v>
      </c>
      <c r="K11" s="25">
        <v>2.9900000000000002E-6</v>
      </c>
      <c r="L11" s="29">
        <f>Tabla6[[#This Row],[precio de compra]]*Tabla6[[#This Row],[cantidad]]*Tabla6[[#This Row],[PRECIO DEL DÓLAR, DIA COMPRA]]</f>
        <v>699.99575477832013</v>
      </c>
      <c r="M11" s="26">
        <f t="shared" ca="1" si="1"/>
        <v>1001.2959809430241</v>
      </c>
      <c r="N11" s="41">
        <f t="shared" ca="1" si="2"/>
        <v>0.35263786411907699</v>
      </c>
      <c r="O11" s="28">
        <v>0.25</v>
      </c>
      <c r="P11" s="28">
        <v>0.5</v>
      </c>
      <c r="Q11" s="31" t="str">
        <f t="shared" ca="1" si="3"/>
        <v>VENTA PARCIAL</v>
      </c>
      <c r="T11" s="2"/>
      <c r="U11" s="14">
        <f>Tabla6[[#This Row],[cantidad]]-Tabla6[[#This Row],[CANTIDAD VENDIDA]]</f>
        <v>2.9900000000000002E-6</v>
      </c>
      <c r="V11" s="2">
        <f t="shared" ca="1" si="4"/>
        <v>1001.2959809430241</v>
      </c>
      <c r="W11" s="2">
        <f t="shared" si="5"/>
        <v>-699.99575477832013</v>
      </c>
      <c r="X11" s="32">
        <f t="shared" ca="1" si="6"/>
        <v>0.35263786411907699</v>
      </c>
      <c r="Y11" s="2" t="str">
        <f t="shared" si="7"/>
        <v>ACTIVA</v>
      </c>
    </row>
    <row r="12" spans="2:26">
      <c r="B12" s="1">
        <f t="shared" ca="1" si="0"/>
        <v>45604</v>
      </c>
      <c r="C12" s="2">
        <f ca="1">VLOOKUP(B12,Tabla4[],2,FALSE)</f>
        <v>4399.58</v>
      </c>
      <c r="D12" s="3">
        <f ca="1">VLOOKUP(B12,Tabla4[],3,FALSE)</f>
        <v>76116.72</v>
      </c>
      <c r="E12" s="2">
        <f ca="1">VLOOKUP(B12,Tabla4[],5,FALSE)</f>
        <v>2924.8</v>
      </c>
      <c r="F12" s="2">
        <f ca="1">VLOOKUP(B12,Tabla4[],4,FALSE)</f>
        <v>1.99</v>
      </c>
      <c r="G12" t="s">
        <v>14</v>
      </c>
      <c r="H12" s="1">
        <v>45516</v>
      </c>
      <c r="I12" s="3">
        <f>VLOOKUP(H12,Tabla4[],2,FALSE)</f>
        <v>4073.83</v>
      </c>
      <c r="J12" s="3">
        <v>59047.29</v>
      </c>
      <c r="K12" s="11">
        <v>2.9100000000000001E-6</v>
      </c>
      <c r="L12" s="29">
        <f>Tabla6[[#This Row],[precio de compra]]*Tabla6[[#This Row],[cantidad]]*Tabla6[[#This Row],[PRECIO DEL DÓLAR, DIA COMPRA]]</f>
        <v>699.99648833423703</v>
      </c>
      <c r="M12" s="26">
        <f t="shared" ca="1" si="1"/>
        <v>974.50545302481601</v>
      </c>
      <c r="N12" s="41">
        <f t="shared" ca="1" si="2"/>
        <v>0.28908066737694482</v>
      </c>
      <c r="O12" s="28">
        <v>0.25</v>
      </c>
      <c r="P12" s="28">
        <v>0.5</v>
      </c>
      <c r="Q12" t="str">
        <f t="shared" ca="1" si="3"/>
        <v>VENTA PARCIAL</v>
      </c>
      <c r="T12" s="2"/>
      <c r="U12" s="14">
        <f>Tabla6[[#This Row],[cantidad]]-Tabla6[[#This Row],[CANTIDAD VENDIDA]]</f>
        <v>2.9100000000000001E-6</v>
      </c>
      <c r="V12" s="2">
        <f t="shared" ca="1" si="4"/>
        <v>974.50545302481601</v>
      </c>
      <c r="W12" s="2">
        <f t="shared" si="5"/>
        <v>-699.99648833423703</v>
      </c>
      <c r="X12" s="9">
        <f t="shared" ca="1" si="6"/>
        <v>0.28908066737694482</v>
      </c>
      <c r="Y12" s="2" t="str">
        <f t="shared" si="7"/>
        <v>ACTIVA</v>
      </c>
    </row>
    <row r="13" spans="2:26">
      <c r="B13" s="1">
        <f t="shared" ca="1" si="0"/>
        <v>45604</v>
      </c>
      <c r="C13" s="2">
        <f ca="1">VLOOKUP(B13,Tabla4[],2,FALSE)</f>
        <v>4399.58</v>
      </c>
      <c r="D13" s="3">
        <f ca="1">VLOOKUP(B13,Tabla4[],3,FALSE)</f>
        <v>76116.72</v>
      </c>
      <c r="E13" s="2">
        <f ca="1">VLOOKUP(B13,Tabla4[],5,FALSE)</f>
        <v>2924.8</v>
      </c>
      <c r="F13" s="2">
        <f ca="1">VLOOKUP(B13,Tabla4[],4,FALSE)</f>
        <v>1.99</v>
      </c>
      <c r="G13" t="s">
        <v>14</v>
      </c>
      <c r="H13" s="1">
        <v>45551</v>
      </c>
      <c r="I13" s="3">
        <f>VLOOKUP(H13,Tabla4[],2,FALSE)</f>
        <v>4172.13</v>
      </c>
      <c r="J13" s="3">
        <v>58055.63</v>
      </c>
      <c r="K13" s="25">
        <v>2.8899999999999999E-6</v>
      </c>
      <c r="L13" s="29">
        <f>Tabla6[[#This Row],[precio de compra]]*Tabla6[[#This Row],[cantidad]]*Tabla6[[#This Row],[PRECIO DEL DÓLAR, DIA COMPRA]]</f>
        <v>700.00318686059086</v>
      </c>
      <c r="M13" s="26">
        <f t="shared" ca="1" si="1"/>
        <v>967.80782104526395</v>
      </c>
      <c r="N13" s="41">
        <f t="shared" ca="1" si="2"/>
        <v>0.31109971591041219</v>
      </c>
      <c r="O13" s="28">
        <v>0.25</v>
      </c>
      <c r="P13" s="28">
        <v>0.5</v>
      </c>
      <c r="Q13" s="31" t="str">
        <f t="shared" ca="1" si="3"/>
        <v>VENTA PARCIAL</v>
      </c>
      <c r="T13" s="2"/>
      <c r="U13" s="14">
        <f>Tabla6[[#This Row],[cantidad]]-Tabla6[[#This Row],[CANTIDAD VENDIDA]]</f>
        <v>2.8899999999999999E-6</v>
      </c>
      <c r="V13" s="2">
        <f t="shared" ca="1" si="4"/>
        <v>967.80782104526395</v>
      </c>
      <c r="W13" s="2">
        <f t="shared" si="5"/>
        <v>-700.00318686059086</v>
      </c>
      <c r="X13" s="32">
        <f t="shared" ca="1" si="6"/>
        <v>0.31109971591041219</v>
      </c>
      <c r="Y13" s="2" t="str">
        <f t="shared" si="7"/>
        <v>ACTIVA</v>
      </c>
    </row>
    <row r="14" spans="2:26">
      <c r="B14" s="1">
        <f t="shared" ca="1" si="0"/>
        <v>45604</v>
      </c>
      <c r="C14" s="2">
        <f ca="1">VLOOKUP(B14,Tabla4[],2,FALSE)</f>
        <v>4399.58</v>
      </c>
      <c r="D14" s="3">
        <f ca="1">VLOOKUP(B14,Tabla4[],3,FALSE)</f>
        <v>76116.72</v>
      </c>
      <c r="E14" s="2">
        <f ca="1">VLOOKUP(B14,Tabla4[],5,FALSE)</f>
        <v>2924.8</v>
      </c>
      <c r="F14" s="2">
        <f ca="1">VLOOKUP(B14,Tabla4[],4,FALSE)</f>
        <v>1.99</v>
      </c>
      <c r="G14" t="s">
        <v>15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1"/>
        <v>651.24399306624002</v>
      </c>
      <c r="N14" s="32">
        <f t="shared" ca="1" si="2"/>
        <v>-0.13411352325915304</v>
      </c>
      <c r="O14" s="9">
        <v>0.25</v>
      </c>
      <c r="P14" s="9">
        <v>0.5</v>
      </c>
      <c r="Q14" t="str">
        <f t="shared" ca="1" si="3"/>
        <v>MANTENER</v>
      </c>
      <c r="T14" s="2"/>
      <c r="U14" s="14">
        <f>Tabla6[[#This Row],[cantidad]]-Tabla6[[#This Row],[CANTIDAD VENDIDA]]</f>
        <v>5.0609999999999998E-5</v>
      </c>
      <c r="V14" s="2">
        <f t="shared" ca="1" si="4"/>
        <v>651.24399306624002</v>
      </c>
      <c r="W14" s="2">
        <f t="shared" si="5"/>
        <v>-708.50285169316794</v>
      </c>
      <c r="X14" s="9">
        <f t="shared" ca="1" si="6"/>
        <v>-0.13411352325915304</v>
      </c>
      <c r="Y14" s="2" t="str">
        <f t="shared" si="7"/>
        <v>ACTIVA</v>
      </c>
    </row>
    <row r="15" spans="2:26">
      <c r="B15" s="1">
        <f t="shared" ca="1" si="0"/>
        <v>45604</v>
      </c>
      <c r="C15" s="2">
        <f ca="1">VLOOKUP(B15,Tabla4[],2,FALSE)</f>
        <v>4399.58</v>
      </c>
      <c r="D15" s="3">
        <f ca="1">VLOOKUP(B15,Tabla4[],3,FALSE)</f>
        <v>76116.72</v>
      </c>
      <c r="E15" s="2">
        <f ca="1">VLOOKUP(B15,Tabla4[],5,FALSE)</f>
        <v>2924.8</v>
      </c>
      <c r="F15" s="2">
        <f ca="1">VLOOKUP(B15,Tabla4[],4,FALSE)</f>
        <v>1.99</v>
      </c>
      <c r="G15" t="s">
        <v>15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1"/>
        <v>634.90177075455995</v>
      </c>
      <c r="N15" s="32">
        <f t="shared" ca="1" si="2"/>
        <v>-0.12927243876952571</v>
      </c>
      <c r="O15" s="9">
        <v>0.25</v>
      </c>
      <c r="P15" s="9">
        <v>0.5</v>
      </c>
      <c r="Q15" t="str">
        <f t="shared" ca="1" si="3"/>
        <v>MANTENER</v>
      </c>
      <c r="T15" s="2"/>
      <c r="U15" s="14">
        <f>Tabla6[[#This Row],[cantidad]]-Tabla6[[#This Row],[CANTIDAD VENDIDA]]</f>
        <v>4.9339999999999999E-5</v>
      </c>
      <c r="V15" s="2">
        <f t="shared" ca="1" si="4"/>
        <v>634.90177075455995</v>
      </c>
      <c r="W15" s="2">
        <f t="shared" si="5"/>
        <v>-684.33117524901604</v>
      </c>
      <c r="X15" s="9">
        <f t="shared" ca="1" si="6"/>
        <v>-0.12927243876952571</v>
      </c>
      <c r="Y15" s="2" t="str">
        <f t="shared" si="7"/>
        <v>ACTIVA</v>
      </c>
    </row>
    <row r="16" spans="2:26">
      <c r="B16" s="1">
        <f t="shared" ca="1" si="0"/>
        <v>45604</v>
      </c>
      <c r="C16" s="2">
        <f ca="1">VLOOKUP(B16,Tabla4[],2,FALSE)</f>
        <v>4399.58</v>
      </c>
      <c r="D16" s="3">
        <f ca="1">VLOOKUP(B16,Tabla4[],3,FALSE)</f>
        <v>76116.72</v>
      </c>
      <c r="E16" s="2">
        <f ca="1">VLOOKUP(B16,Tabla4[],5,FALSE)</f>
        <v>2924.8</v>
      </c>
      <c r="F16" s="2">
        <f ca="1">VLOOKUP(B16,Tabla4[],4,FALSE)</f>
        <v>1.99</v>
      </c>
      <c r="G16" t="s">
        <v>15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1"/>
        <v>731.41095763455996</v>
      </c>
      <c r="N16" s="32">
        <f t="shared" ca="1" si="2"/>
        <v>-4.2618657937806816E-2</v>
      </c>
      <c r="O16" s="9">
        <v>0.25</v>
      </c>
      <c r="P16" s="9">
        <v>0.5</v>
      </c>
      <c r="Q16" t="str">
        <f t="shared" ca="1" si="3"/>
        <v>MANTENER</v>
      </c>
      <c r="T16" s="2"/>
      <c r="U16" s="14">
        <f>Tabla6[[#This Row],[cantidad]]-Tabla6[[#This Row],[CANTIDAD VENDIDA]]</f>
        <v>5.6839999999999998E-5</v>
      </c>
      <c r="V16" s="2">
        <f t="shared" ca="1" si="4"/>
        <v>731.41095763455996</v>
      </c>
      <c r="W16" s="2">
        <f t="shared" si="5"/>
        <v>-708.24207363000005</v>
      </c>
      <c r="X16" s="9">
        <f t="shared" ca="1" si="6"/>
        <v>-4.2618657937806816E-2</v>
      </c>
      <c r="Y16" s="2" t="str">
        <f t="shared" si="7"/>
        <v>ACTIVA</v>
      </c>
    </row>
    <row r="17" spans="2:25">
      <c r="B17" s="1">
        <f t="shared" ca="1" si="0"/>
        <v>45604</v>
      </c>
      <c r="C17" s="2">
        <f ca="1">VLOOKUP(B17,Tabla4[],2,FALSE)</f>
        <v>4399.58</v>
      </c>
      <c r="D17" s="3">
        <f ca="1">VLOOKUP(B17,Tabla4[],3,FALSE)</f>
        <v>76116.72</v>
      </c>
      <c r="E17" s="2">
        <f ca="1">VLOOKUP(B17,Tabla4[],5,FALSE)</f>
        <v>2924.8</v>
      </c>
      <c r="F17" s="2">
        <f ca="1">VLOOKUP(B17,Tabla4[],4,FALSE)</f>
        <v>1.99</v>
      </c>
      <c r="G17" t="s">
        <v>15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1"/>
        <v>676.85109731839998</v>
      </c>
      <c r="N17" s="32">
        <f t="shared" ca="1" si="2"/>
        <v>-0.15421763396084548</v>
      </c>
      <c r="O17" s="9">
        <v>0.25</v>
      </c>
      <c r="P17" s="9">
        <v>0.5</v>
      </c>
      <c r="Q17" t="str">
        <f t="shared" ca="1" si="3"/>
        <v>MANTENER</v>
      </c>
      <c r="T17" s="2"/>
      <c r="U17" s="14">
        <f>Tabla6[[#This Row],[cantidad]]-Tabla6[[#This Row],[CANTIDAD VENDIDA]]</f>
        <v>5.2599999999999998E-5</v>
      </c>
      <c r="V17" s="2">
        <f t="shared" ca="1" si="4"/>
        <v>676.85109731839998</v>
      </c>
      <c r="W17" s="2">
        <f t="shared" si="5"/>
        <v>-726.32733822540001</v>
      </c>
      <c r="X17" s="9">
        <f t="shared" ca="1" si="6"/>
        <v>-0.15421763396084548</v>
      </c>
      <c r="Y17" s="2" t="str">
        <f t="shared" si="7"/>
        <v>ACTIVA</v>
      </c>
    </row>
    <row r="18" spans="2:25">
      <c r="B18" s="1">
        <f t="shared" ca="1" si="0"/>
        <v>45604</v>
      </c>
      <c r="C18" s="2">
        <f ca="1">VLOOKUP(B18,Tabla4[],2,FALSE)</f>
        <v>4399.58</v>
      </c>
      <c r="D18" s="3">
        <f ca="1">VLOOKUP(B18,Tabla4[],3,FALSE)</f>
        <v>76116.72</v>
      </c>
      <c r="E18" s="2">
        <f ca="1">VLOOKUP(B18,Tabla4[],5,FALSE)</f>
        <v>2924.8</v>
      </c>
      <c r="F18" s="2">
        <f ca="1">VLOOKUP(B18,Tabla4[],4,FALSE)</f>
        <v>1.99</v>
      </c>
      <c r="G18" t="s">
        <v>41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1"/>
        <v>461.62487516084201</v>
      </c>
      <c r="N18" s="32">
        <f t="shared" ca="1" si="2"/>
        <v>-0.41470588235294115</v>
      </c>
      <c r="O18" s="9">
        <v>0.1</v>
      </c>
      <c r="P18" s="9">
        <v>0.3</v>
      </c>
      <c r="Q18" t="str">
        <f t="shared" ca="1" si="3"/>
        <v>MANTENER</v>
      </c>
      <c r="T18" s="2"/>
      <c r="U18" s="14">
        <f>Tabla6[[#This Row],[cantidad]]-Tabla6[[#This Row],[CANTIDAD VENDIDA]]</f>
        <v>5.2726009999999997E-2</v>
      </c>
      <c r="V18" s="2">
        <f t="shared" ca="1" si="4"/>
        <v>461.62487516084201</v>
      </c>
      <c r="W18" s="2">
        <f t="shared" si="5"/>
        <v>-742.97443934431988</v>
      </c>
      <c r="X18" s="9">
        <f t="shared" ca="1" si="6"/>
        <v>-0.41470588235294115</v>
      </c>
      <c r="Y18" s="2" t="str">
        <f t="shared" si="7"/>
        <v>ACTIVA</v>
      </c>
    </row>
    <row r="19" spans="2:25">
      <c r="B19" s="1">
        <f t="shared" ca="1" si="0"/>
        <v>45604</v>
      </c>
      <c r="C19" s="2">
        <f ca="1">VLOOKUP(B19,Tabla4[],2,FALSE)</f>
        <v>4399.58</v>
      </c>
      <c r="D19" s="3">
        <f ca="1">VLOOKUP(B19,Tabla4[],3,FALSE)</f>
        <v>76116.72</v>
      </c>
      <c r="E19" s="2">
        <f ca="1">VLOOKUP(B19,Tabla4[],5,FALSE)</f>
        <v>2924.8</v>
      </c>
      <c r="F19" s="2">
        <f ca="1">VLOOKUP(B19,Tabla4[],4,FALSE)</f>
        <v>1.99</v>
      </c>
      <c r="G19" t="s">
        <v>41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1"/>
        <v>240.658801670488</v>
      </c>
      <c r="N19" s="32">
        <f t="shared" ca="1" si="2"/>
        <v>-0.29681978798586572</v>
      </c>
      <c r="O19" s="9">
        <v>0.1</v>
      </c>
      <c r="P19" s="9">
        <v>0.3</v>
      </c>
      <c r="Q19" t="str">
        <f t="shared" ca="1" si="3"/>
        <v>MANTENER</v>
      </c>
      <c r="T19" s="2"/>
      <c r="U19" s="14">
        <f>Tabla6[[#This Row],[cantidad]]-Tabla6[[#This Row],[CANTIDAD VENDIDA]]</f>
        <v>2.7487640000000001E-2</v>
      </c>
      <c r="V19" s="2">
        <f t="shared" ca="1" si="4"/>
        <v>240.658801670488</v>
      </c>
      <c r="W19" s="2">
        <f t="shared" si="5"/>
        <v>-321.201220736496</v>
      </c>
      <c r="X19" s="9">
        <f t="shared" ca="1" si="6"/>
        <v>-0.29681978798586572</v>
      </c>
      <c r="Y19" s="2" t="str">
        <f t="shared" si="7"/>
        <v>ACTIVA</v>
      </c>
    </row>
    <row r="20" spans="2:25" hidden="1">
      <c r="B20" s="1">
        <f t="shared" ca="1" si="0"/>
        <v>45604</v>
      </c>
      <c r="C20" s="2">
        <f ca="1">VLOOKUP(B20,Tabla4[],2,FALSE)</f>
        <v>4399.58</v>
      </c>
      <c r="D20" s="3">
        <f ca="1">VLOOKUP(B20,Tabla4[],3,FALSE)</f>
        <v>76116.72</v>
      </c>
      <c r="E20" s="2">
        <f ca="1">VLOOKUP(B20,Tabla4[],5,FALSE)</f>
        <v>2924.8</v>
      </c>
      <c r="F20" s="2">
        <f ca="1">VLOOKUP(B20,Tabla4[],4,FALSE)</f>
        <v>1.99</v>
      </c>
      <c r="G20" t="s">
        <v>41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t="shared" ca="1" si="1"/>
        <v>338.28273477273598</v>
      </c>
      <c r="N20" s="12">
        <f t="shared" ca="1" si="2"/>
        <v>-0.1310043668122271</v>
      </c>
      <c r="O20" s="9">
        <v>0.1</v>
      </c>
      <c r="P20" s="9">
        <v>0.3</v>
      </c>
      <c r="Q20" t="str">
        <f t="shared" ca="1" si="3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t="shared" ca="1" si="4"/>
        <v>0</v>
      </c>
      <c r="W20" s="2">
        <f t="shared" si="5"/>
        <v>54.11614056832002</v>
      </c>
      <c r="X20" s="9">
        <f t="shared" ca="1" si="6"/>
        <v>-0.1310043668122271</v>
      </c>
      <c r="Y20" s="2" t="str">
        <f t="shared" si="7"/>
        <v>VENDIDA</v>
      </c>
    </row>
    <row r="21" spans="2:25" hidden="1">
      <c r="B21" s="1">
        <f t="shared" ca="1" si="0"/>
        <v>45604</v>
      </c>
      <c r="C21" s="2">
        <f ca="1">VLOOKUP(B21,Tabla4[],2,FALSE)</f>
        <v>4399.58</v>
      </c>
      <c r="D21" s="3">
        <f ca="1">VLOOKUP(B21,Tabla4[],3,FALSE)</f>
        <v>76116.72</v>
      </c>
      <c r="E21" s="2">
        <f ca="1">VLOOKUP(B21,Tabla4[],5,FALSE)</f>
        <v>2924.8</v>
      </c>
      <c r="F21" s="2">
        <f ca="1">VLOOKUP(B21,Tabla4[],4,FALSE)</f>
        <v>1.99</v>
      </c>
      <c r="G21" t="s">
        <v>41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1"/>
        <v>324.99081958757995</v>
      </c>
      <c r="N21" s="12">
        <f t="shared" ca="1" si="2"/>
        <v>-0.24045801526717561</v>
      </c>
      <c r="O21" s="9">
        <v>0.1</v>
      </c>
      <c r="P21" s="9">
        <v>0.3</v>
      </c>
      <c r="Q21" t="str">
        <f t="shared" ca="1" si="3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4"/>
        <v>0</v>
      </c>
      <c r="W21" s="2">
        <f t="shared" si="5"/>
        <v>36.655474093579983</v>
      </c>
      <c r="X21" s="9">
        <f t="shared" ca="1" si="6"/>
        <v>-0.24045801526717561</v>
      </c>
      <c r="Y21" s="2" t="str">
        <f t="shared" si="7"/>
        <v>VENDIDA</v>
      </c>
    </row>
    <row r="22" spans="2:25">
      <c r="B22" s="1">
        <f t="shared" ca="1" si="0"/>
        <v>45604</v>
      </c>
      <c r="C22" s="2">
        <f ca="1">VLOOKUP(B22,Tabla4[],2,FALSE)</f>
        <v>4399.58</v>
      </c>
      <c r="D22" s="3">
        <f ca="1">VLOOKUP(B22,Tabla4[],3,FALSE)</f>
        <v>76116.72</v>
      </c>
      <c r="E22" s="2">
        <f ca="1">VLOOKUP(B22,Tabla4[],5,FALSE)</f>
        <v>2924.8</v>
      </c>
      <c r="F22" s="2">
        <f ca="1">VLOOKUP(B22,Tabla4[],4,FALSE)</f>
        <v>1.99</v>
      </c>
      <c r="G22" t="s">
        <v>41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ca="1" si="1"/>
        <v>333.26838958047</v>
      </c>
      <c r="N22" s="32">
        <f t="shared" ca="1" si="2"/>
        <v>-0.26022304832713755</v>
      </c>
      <c r="O22" s="9">
        <v>0.1</v>
      </c>
      <c r="P22" s="9">
        <v>0.3</v>
      </c>
      <c r="Q22" t="str">
        <f t="shared" ca="1" si="3"/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ca="1" si="4"/>
        <v>0.57214998046998899</v>
      </c>
      <c r="W22" s="2">
        <f t="shared" si="5"/>
        <v>10.139327903980018</v>
      </c>
      <c r="X22" s="9">
        <f t="shared" ca="1" si="6"/>
        <v>-0.26022304832713755</v>
      </c>
      <c r="Y22" s="2" t="str">
        <f t="shared" si="7"/>
        <v>ACTIVA</v>
      </c>
    </row>
    <row r="23" spans="2:25">
      <c r="B23" s="1">
        <f t="shared" ca="1" si="0"/>
        <v>45604</v>
      </c>
      <c r="C23" s="2">
        <f ca="1">VLOOKUP(B23,Tabla4[],2,FALSE)</f>
        <v>4399.58</v>
      </c>
      <c r="D23" s="3">
        <f ca="1">VLOOKUP(B23,Tabla4[],3,FALSE)</f>
        <v>76116.72</v>
      </c>
      <c r="E23" s="2">
        <f ca="1">VLOOKUP(B23,Tabla4[],5,FALSE)</f>
        <v>2924.8</v>
      </c>
      <c r="F23" s="2">
        <f ca="1">VLOOKUP(B23,Tabla4[],4,FALSE)</f>
        <v>1.99</v>
      </c>
      <c r="G23" t="s">
        <v>41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"/>
        <v>335.55103599069395</v>
      </c>
      <c r="N23" s="32">
        <f t="shared" ca="1" si="2"/>
        <v>-0.26838235294117652</v>
      </c>
      <c r="O23" s="9">
        <v>0.1</v>
      </c>
      <c r="P23" s="9">
        <v>0.3</v>
      </c>
      <c r="Q23" t="str">
        <f t="shared" ca="1" si="3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4"/>
        <v>2.8547963906939802</v>
      </c>
      <c r="W23" s="2">
        <f t="shared" si="5"/>
        <v>11.840577079152013</v>
      </c>
      <c r="X23" s="9">
        <f t="shared" ca="1" si="6"/>
        <v>-0.26838235294117652</v>
      </c>
      <c r="Y23" s="2" t="str">
        <f t="shared" si="7"/>
        <v>ACTIVA</v>
      </c>
    </row>
    <row r="24" spans="2:25">
      <c r="B24" s="1">
        <f t="shared" ca="1" si="0"/>
        <v>45604</v>
      </c>
      <c r="C24" s="2">
        <f ca="1">VLOOKUP(B24,Tabla4[],2,FALSE)</f>
        <v>4399.58</v>
      </c>
      <c r="D24" s="3">
        <f ca="1">VLOOKUP(B24,Tabla4[],3,FALSE)</f>
        <v>76116.72</v>
      </c>
      <c r="E24" s="2">
        <f ca="1">VLOOKUP(B24,Tabla4[],5,FALSE)</f>
        <v>2924.8</v>
      </c>
      <c r="F24" s="2">
        <f ca="1">VLOOKUP(B24,Tabla4[],4,FALSE)</f>
        <v>1.99</v>
      </c>
      <c r="G24" t="s">
        <v>41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"/>
        <v>340.271032562556</v>
      </c>
      <c r="N24" s="32">
        <f t="shared" ca="1" si="2"/>
        <v>-0.27898550724637677</v>
      </c>
      <c r="O24" s="9">
        <v>0.1</v>
      </c>
      <c r="P24" s="9">
        <v>0.3</v>
      </c>
      <c r="Q24" t="str">
        <f t="shared" ca="1" si="3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4"/>
        <v>9.6937178022400232</v>
      </c>
      <c r="W24" s="2">
        <f t="shared" si="5"/>
        <v>8.8385908401840538</v>
      </c>
      <c r="X24" s="9">
        <f t="shared" ca="1" si="6"/>
        <v>-0.27898550724637677</v>
      </c>
      <c r="Y24" s="2" t="str">
        <f t="shared" si="7"/>
        <v>ACTIVA</v>
      </c>
    </row>
    <row r="25" spans="2:25">
      <c r="B25" s="1">
        <f t="shared" ca="1" si="0"/>
        <v>45604</v>
      </c>
      <c r="C25" s="2">
        <f ca="1">VLOOKUP(B25,Tabla4[],2,FALSE)</f>
        <v>4399.58</v>
      </c>
      <c r="D25" s="3">
        <f ca="1">VLOOKUP(B25,Tabla4[],3,FALSE)</f>
        <v>76116.72</v>
      </c>
      <c r="E25" s="2">
        <f ca="1">VLOOKUP(B25,Tabla4[],5,FALSE)</f>
        <v>2924.8</v>
      </c>
      <c r="F25" s="2">
        <f ca="1">VLOOKUP(B25,Tabla4[],4,FALSE)</f>
        <v>1.99</v>
      </c>
      <c r="G25" t="s">
        <v>41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"/>
        <v>334.53841369932201</v>
      </c>
      <c r="N25" s="32">
        <f t="shared" ca="1" si="2"/>
        <v>-0.29181494661921709</v>
      </c>
      <c r="O25" s="9">
        <v>0.1</v>
      </c>
      <c r="P25" s="9">
        <v>0.3</v>
      </c>
      <c r="Q25" t="str">
        <f t="shared" ca="1" si="3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4"/>
        <v>1.8421740993220099</v>
      </c>
      <c r="W25" s="2">
        <f t="shared" si="5"/>
        <v>40.44492107583801</v>
      </c>
      <c r="X25" s="9">
        <f t="shared" ca="1" si="6"/>
        <v>-0.29181494661921709</v>
      </c>
      <c r="Y25" s="2" t="str">
        <f t="shared" si="7"/>
        <v>ACTIVA</v>
      </c>
    </row>
    <row r="26" spans="2:25">
      <c r="B26" s="1">
        <f t="shared" ca="1" si="0"/>
        <v>45604</v>
      </c>
      <c r="C26" s="2">
        <f ca="1">VLOOKUP(B26,Tabla4[],2,FALSE)</f>
        <v>4399.58</v>
      </c>
      <c r="D26" s="3">
        <f ca="1">VLOOKUP(B26,Tabla4[],3,FALSE)</f>
        <v>76116.72</v>
      </c>
      <c r="E26" s="2">
        <f ca="1">VLOOKUP(B26,Tabla4[],5,FALSE)</f>
        <v>2924.8</v>
      </c>
      <c r="F26" s="2">
        <f ca="1">VLOOKUP(B26,Tabla4[],4,FALSE)</f>
        <v>1.99</v>
      </c>
      <c r="G26" t="s">
        <v>41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"/>
        <v>337.60289627260602</v>
      </c>
      <c r="N26" s="32">
        <f t="shared" ca="1" si="2"/>
        <v>-0.34632793971763998</v>
      </c>
      <c r="O26" s="9">
        <v>0.1</v>
      </c>
      <c r="P26" s="9">
        <v>0.3</v>
      </c>
      <c r="Q26" t="str">
        <f t="shared" ca="1" si="3"/>
        <v>MANTENER</v>
      </c>
      <c r="T26" s="2"/>
      <c r="U26" s="14">
        <f>Tabla6[[#This Row],[cantidad]]-Tabla6[[#This Row],[CANTIDAD VENDIDA]]</f>
        <v>3.856043E-2</v>
      </c>
      <c r="V26" s="2">
        <f t="shared" ca="1" si="4"/>
        <v>337.60289627260602</v>
      </c>
      <c r="W26" s="2">
        <f t="shared" si="5"/>
        <v>-474.99592218630107</v>
      </c>
      <c r="X26" s="9">
        <f t="shared" ca="1" si="6"/>
        <v>-0.34632793971763998</v>
      </c>
      <c r="Y26" s="2" t="str">
        <f t="shared" si="7"/>
        <v>ACTIVA</v>
      </c>
    </row>
    <row r="27" spans="2:25">
      <c r="B27" s="1">
        <f t="shared" ca="1" si="0"/>
        <v>45604</v>
      </c>
      <c r="C27" s="2">
        <f ca="1">VLOOKUP(B27,Tabla4[],2,FALSE)</f>
        <v>4399.58</v>
      </c>
      <c r="D27" s="3">
        <f ca="1">VLOOKUP(B27,Tabla4[],3,FALSE)</f>
        <v>76116.72</v>
      </c>
      <c r="E27" s="2">
        <f ca="1">VLOOKUP(B27,Tabla4[],5,FALSE)</f>
        <v>2924.8</v>
      </c>
      <c r="F27" s="2">
        <f ca="1">VLOOKUP(B27,Tabla4[],4,FALSE)</f>
        <v>1.99</v>
      </c>
      <c r="G27" t="s">
        <v>14</v>
      </c>
      <c r="H27" s="1">
        <v>45488</v>
      </c>
      <c r="I27" s="3">
        <f>VLOOKUP(H27,Tabla4[],2,FALSE)</f>
        <v>3993.09</v>
      </c>
      <c r="J27" s="3">
        <v>62959.9</v>
      </c>
      <c r="K27" s="11">
        <v>2.8100000000000002E-6</v>
      </c>
      <c r="L27" s="7">
        <f>Tabla6[[#This Row],[precio de compra]]*Tabla6[[#This Row],[cantidad]]*Tabla6[[#This Row],[PRECIO DEL DÓLAR, DIA COMPRA]]</f>
        <v>706.44677732571006</v>
      </c>
      <c r="M27" s="13">
        <f t="shared" ca="1" si="1"/>
        <v>941.01729312705606</v>
      </c>
      <c r="N27" s="32">
        <f t="shared" ca="1" si="2"/>
        <v>0.20897142466871771</v>
      </c>
      <c r="O27" s="9">
        <v>0.25</v>
      </c>
      <c r="P27" s="9">
        <v>0.5</v>
      </c>
      <c r="Q27" t="str">
        <f t="shared" ca="1" si="3"/>
        <v>MANTENER</v>
      </c>
      <c r="T27" s="2"/>
      <c r="U27" s="14">
        <f>Tabla6[[#This Row],[cantidad]]-Tabla6[[#This Row],[CANTIDAD VENDIDA]]</f>
        <v>2.8100000000000002E-6</v>
      </c>
      <c r="V27" s="2">
        <f t="shared" ca="1" si="4"/>
        <v>941.01729312705606</v>
      </c>
      <c r="W27" s="2">
        <f t="shared" si="5"/>
        <v>-706.44677732571006</v>
      </c>
      <c r="X27" s="9">
        <f t="shared" ca="1" si="6"/>
        <v>0.20897142466871771</v>
      </c>
      <c r="Y27" s="2" t="str">
        <f t="shared" si="7"/>
        <v>ACTIVA</v>
      </c>
    </row>
    <row r="28" spans="2:25">
      <c r="B28" s="1">
        <f t="shared" ca="1" si="0"/>
        <v>45604</v>
      </c>
      <c r="C28" s="2">
        <f ca="1">VLOOKUP(B28,Tabla4[],2,FALSE)</f>
        <v>4399.58</v>
      </c>
      <c r="D28" s="3">
        <f ca="1">VLOOKUP(B28,Tabla4[],3,FALSE)</f>
        <v>76116.72</v>
      </c>
      <c r="E28" s="2">
        <f ca="1">VLOOKUP(B28,Tabla4[],5,FALSE)</f>
        <v>2924.8</v>
      </c>
      <c r="F28" s="2">
        <f ca="1">VLOOKUP(B28,Tabla4[],4,FALSE)</f>
        <v>1.99</v>
      </c>
      <c r="G28" t="s">
        <v>15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"/>
        <v>645.3247629376001</v>
      </c>
      <c r="N28" s="32">
        <f t="shared" ca="1" si="2"/>
        <v>-0.15397298313615451</v>
      </c>
      <c r="O28" s="9">
        <v>0.25</v>
      </c>
      <c r="P28" s="9">
        <v>0.5</v>
      </c>
      <c r="Q28" t="str">
        <f t="shared" ca="1" si="3"/>
        <v>MANTENER</v>
      </c>
      <c r="T28" s="2"/>
      <c r="U28" s="14">
        <f>Tabla6[[#This Row],[cantidad]]-Tabla6[[#This Row],[CANTIDAD VENDIDA]]</f>
        <v>5.0149999999999999E-5</v>
      </c>
      <c r="V28" s="2">
        <f t="shared" ca="1" si="4"/>
        <v>645.3247629376001</v>
      </c>
      <c r="W28" s="2">
        <f t="shared" si="5"/>
        <v>-700.6597894414499</v>
      </c>
      <c r="X28" s="9">
        <f t="shared" ca="1" si="6"/>
        <v>-0.15397298313615451</v>
      </c>
      <c r="Y28" s="2" t="str">
        <f t="shared" si="7"/>
        <v>ACTIVA</v>
      </c>
    </row>
    <row r="29" spans="2:25">
      <c r="B29" s="1">
        <f t="shared" ca="1" si="0"/>
        <v>45604</v>
      </c>
      <c r="C29" s="2">
        <f ca="1">VLOOKUP(B29,Tabla4[],2,FALSE)</f>
        <v>4399.58</v>
      </c>
      <c r="D29" s="3">
        <f ca="1">VLOOKUP(B29,Tabla4[],3,FALSE)</f>
        <v>76116.72</v>
      </c>
      <c r="E29" s="2">
        <f ca="1">VLOOKUP(B29,Tabla4[],5,FALSE)</f>
        <v>2924.8</v>
      </c>
      <c r="F29" s="2">
        <f ca="1">VLOOKUP(B29,Tabla4[],4,FALSE)</f>
        <v>1.99</v>
      </c>
      <c r="G29" t="s">
        <v>41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"/>
        <v>260.10358360047798</v>
      </c>
      <c r="N29" s="32">
        <f t="shared" ca="1" si="2"/>
        <v>-0.3184931506849315</v>
      </c>
      <c r="O29" s="9">
        <v>0.1</v>
      </c>
      <c r="P29" s="9">
        <v>0.3</v>
      </c>
      <c r="Q29" t="str">
        <f t="shared" ca="1" si="3"/>
        <v>MANTENER</v>
      </c>
      <c r="T29" s="2"/>
      <c r="U29" s="14">
        <f>Tabla6[[#This Row],[cantidad]]-Tabla6[[#This Row],[CANTIDAD VENDIDA]]</f>
        <v>2.970859E-2</v>
      </c>
      <c r="V29" s="2">
        <f t="shared" ca="1" si="4"/>
        <v>260.10358360047798</v>
      </c>
      <c r="W29" s="2">
        <f t="shared" si="5"/>
        <v>-350.58167079212399</v>
      </c>
      <c r="X29" s="9">
        <f t="shared" ca="1" si="6"/>
        <v>-0.3184931506849315</v>
      </c>
      <c r="Y29" s="2" t="str">
        <f t="shared" si="7"/>
        <v>ACTIVA</v>
      </c>
    </row>
    <row r="30" spans="2:25">
      <c r="B30" s="1">
        <f t="shared" ca="1" si="0"/>
        <v>45604</v>
      </c>
      <c r="C30" s="2">
        <f ca="1">VLOOKUP(B30,Tabla4[],2,FALSE)</f>
        <v>4399.58</v>
      </c>
      <c r="D30" s="3">
        <f ca="1">VLOOKUP(B30,Tabla4[],3,FALSE)</f>
        <v>76116.72</v>
      </c>
      <c r="E30" s="2">
        <f ca="1">VLOOKUP(B30,Tabla4[],5,FALSE)</f>
        <v>2924.8</v>
      </c>
      <c r="F30" s="2">
        <f ca="1">VLOOKUP(B30,Tabla4[],4,FALSE)</f>
        <v>1.99</v>
      </c>
      <c r="G30" t="s">
        <v>14</v>
      </c>
      <c r="H30" s="1">
        <v>45530</v>
      </c>
      <c r="I30" s="3">
        <f>VLOOKUP(H30,Tabla4[],2,FALSE)</f>
        <v>4029.75</v>
      </c>
      <c r="J30" s="3">
        <v>62485</v>
      </c>
      <c r="K30" s="25">
        <v>2.7800000000000001E-6</v>
      </c>
      <c r="L30" s="29">
        <f>Tabla6[[#This Row],[precio de compra]]*Tabla6[[#This Row],[cantidad]]*Tabla6[[#This Row],[PRECIO DEL DÓLAR, DIA COMPRA]]</f>
        <v>700.00102192500003</v>
      </c>
      <c r="M30" s="26">
        <f t="shared" ca="1" si="1"/>
        <v>930.97084515772804</v>
      </c>
      <c r="N30" s="41">
        <f t="shared" ca="1" si="2"/>
        <v>0.21815987837080902</v>
      </c>
      <c r="O30" s="28">
        <v>0.25</v>
      </c>
      <c r="P30" s="28">
        <v>0.5</v>
      </c>
      <c r="Q30" t="str">
        <f t="shared" ca="1" si="3"/>
        <v>MANTENER</v>
      </c>
      <c r="T30" s="2"/>
      <c r="U30" s="14">
        <f>Tabla6[[#This Row],[cantidad]]-Tabla6[[#This Row],[CANTIDAD VENDIDA]]</f>
        <v>2.7800000000000001E-6</v>
      </c>
      <c r="V30" s="2">
        <f t="shared" ca="1" si="4"/>
        <v>930.97084515772804</v>
      </c>
      <c r="W30" s="2">
        <f t="shared" si="5"/>
        <v>-700.00102192500003</v>
      </c>
      <c r="X30" s="9">
        <f t="shared" ca="1" si="6"/>
        <v>0.21815987837080902</v>
      </c>
      <c r="Y30" s="2" t="str">
        <f t="shared" si="7"/>
        <v>ACTIVA</v>
      </c>
    </row>
    <row r="31" spans="2:25">
      <c r="B31" s="1">
        <f t="shared" ca="1" si="0"/>
        <v>45604</v>
      </c>
      <c r="C31" s="2">
        <f ca="1">VLOOKUP(B31,Tabla4[],2,FALSE)</f>
        <v>4399.58</v>
      </c>
      <c r="D31" s="3">
        <f ca="1">VLOOKUP(B31,Tabla4[],3,FALSE)</f>
        <v>76116.72</v>
      </c>
      <c r="E31" s="2">
        <f ca="1">VLOOKUP(B31,Tabla4[],5,FALSE)</f>
        <v>2924.8</v>
      </c>
      <c r="F31" s="2">
        <f ca="1">VLOOKUP(B31,Tabla4[],4,FALSE)</f>
        <v>1.99</v>
      </c>
      <c r="G31" t="s">
        <v>15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"/>
        <v>674.14884008575996</v>
      </c>
      <c r="N31" s="32">
        <f t="shared" ca="1" si="2"/>
        <v>-0.11784044638817669</v>
      </c>
      <c r="O31" s="9">
        <v>0.25</v>
      </c>
      <c r="P31" s="9">
        <v>0.5</v>
      </c>
      <c r="Q31" t="str">
        <f t="shared" ca="1" si="3"/>
        <v>MANTENER</v>
      </c>
      <c r="T31" s="2"/>
      <c r="U31" s="14">
        <f>Tabla6[[#This Row],[cantidad]]-Tabla6[[#This Row],[CANTIDAD VENDIDA]]</f>
        <v>5.2389999999999998E-5</v>
      </c>
      <c r="V31" s="2">
        <f t="shared" ca="1" si="4"/>
        <v>674.14884008575996</v>
      </c>
      <c r="W31" s="2">
        <f t="shared" si="5"/>
        <v>-700.01062533089998</v>
      </c>
      <c r="X31" s="9">
        <f t="shared" ca="1" si="6"/>
        <v>-0.11784044638817669</v>
      </c>
      <c r="Y31" s="2" t="str">
        <f t="shared" si="7"/>
        <v>ACTIVA</v>
      </c>
    </row>
    <row r="32" spans="2:25">
      <c r="B32" s="1">
        <f t="shared" ca="1" si="0"/>
        <v>45604</v>
      </c>
      <c r="C32" s="2">
        <f ca="1">VLOOKUP(B32,Tabla4[],2,FALSE)</f>
        <v>4399.58</v>
      </c>
      <c r="D32" s="3">
        <f ca="1">VLOOKUP(B32,Tabla4[],3,FALSE)</f>
        <v>76116.72</v>
      </c>
      <c r="E32" s="2">
        <f ca="1">VLOOKUP(B32,Tabla4[],5,FALSE)</f>
        <v>2924.8</v>
      </c>
      <c r="F32" s="2">
        <f ca="1">VLOOKUP(B32,Tabla4[],4,FALSE)</f>
        <v>1.99</v>
      </c>
      <c r="G32" t="s">
        <v>41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"/>
        <v>262.28467010598195</v>
      </c>
      <c r="N32" s="32">
        <f t="shared" ca="1" si="2"/>
        <v>-0.31379310344827582</v>
      </c>
      <c r="O32" s="9">
        <v>0.1</v>
      </c>
      <c r="P32" s="9">
        <v>0.3</v>
      </c>
      <c r="Q32" t="str">
        <f t="shared" ca="1" si="3"/>
        <v>MANTENER</v>
      </c>
      <c r="T32" s="2"/>
      <c r="U32" s="14">
        <f>Tabla6[[#This Row],[cantidad]]-Tabla6[[#This Row],[CANTIDAD VENDIDA]]</f>
        <v>2.9957709999999999E-2</v>
      </c>
      <c r="V32" s="2">
        <f t="shared" ca="1" si="4"/>
        <v>262.28467010598195</v>
      </c>
      <c r="W32" s="2">
        <f t="shared" si="5"/>
        <v>-350.11749431717993</v>
      </c>
      <c r="X32" s="9">
        <f t="shared" ca="1" si="6"/>
        <v>-0.31379310344827582</v>
      </c>
      <c r="Y32" s="2" t="str">
        <f t="shared" si="7"/>
        <v>ACTIVA</v>
      </c>
    </row>
    <row r="33" spans="2:25">
      <c r="B33" s="1">
        <f t="shared" ca="1" si="0"/>
        <v>45604</v>
      </c>
      <c r="C33" s="2">
        <f ca="1">VLOOKUP(B33,Tabla4[],2,FALSE)</f>
        <v>4399.58</v>
      </c>
      <c r="D33" s="3">
        <f ca="1">VLOOKUP(B33,Tabla4[],3,FALSE)</f>
        <v>76116.72</v>
      </c>
      <c r="E33" s="2">
        <f ca="1">VLOOKUP(B33,Tabla4[],5,FALSE)</f>
        <v>2924.8</v>
      </c>
      <c r="F33" s="2">
        <f ca="1">VLOOKUP(B33,Tabla4[],4,FALSE)</f>
        <v>1.99</v>
      </c>
      <c r="G33" t="s">
        <v>14</v>
      </c>
      <c r="H33" s="1">
        <v>45572</v>
      </c>
      <c r="I33" s="3">
        <v>4036.67</v>
      </c>
      <c r="J33" s="3">
        <v>63058</v>
      </c>
      <c r="K33" s="25">
        <v>2.7499999999999999E-6</v>
      </c>
      <c r="L33" s="29">
        <f>Tabla6[[#This Row],[precio de compra]]*Tabla6[[#This Row],[cantidad]]*Tabla6[[#This Row],[PRECIO DEL DÓLAR, DIA COMPRA]]</f>
        <v>699.99692636500004</v>
      </c>
      <c r="M33" s="26">
        <f t="shared" ca="1" si="1"/>
        <v>920.92439718839989</v>
      </c>
      <c r="N33" s="41">
        <f t="shared" ca="1" si="2"/>
        <v>0.20709061498937487</v>
      </c>
      <c r="O33" s="28">
        <v>0.25</v>
      </c>
      <c r="P33" s="28">
        <v>0.5</v>
      </c>
      <c r="Q33" s="31" t="str">
        <f t="shared" ca="1" si="3"/>
        <v>MANTENER</v>
      </c>
      <c r="T33" s="2"/>
      <c r="U33" s="14">
        <f>Tabla6[[#This Row],[cantidad]]-Tabla6[[#This Row],[CANTIDAD VENDIDA]]</f>
        <v>2.7499999999999999E-6</v>
      </c>
      <c r="V33" s="2">
        <f t="shared" ca="1" si="4"/>
        <v>920.92439718839989</v>
      </c>
      <c r="W33" s="2">
        <f t="shared" si="5"/>
        <v>-699.99692636500004</v>
      </c>
      <c r="X33" s="32">
        <f t="shared" ca="1" si="6"/>
        <v>0.20709061498937487</v>
      </c>
      <c r="Y33" s="2" t="str">
        <f t="shared" si="7"/>
        <v>ACTIVA</v>
      </c>
    </row>
    <row r="34" spans="2:25">
      <c r="B34" s="1">
        <f t="shared" ca="1" si="0"/>
        <v>45604</v>
      </c>
      <c r="C34" s="2">
        <f ca="1">VLOOKUP(B34,Tabla4[],2,FALSE)</f>
        <v>4399.58</v>
      </c>
      <c r="D34" s="3">
        <f ca="1">VLOOKUP(B34,Tabla4[],3,FALSE)</f>
        <v>76116.72</v>
      </c>
      <c r="E34" s="2">
        <f ca="1">VLOOKUP(B34,Tabla4[],5,FALSE)</f>
        <v>2924.8</v>
      </c>
      <c r="F34" s="2">
        <f ca="1">VLOOKUP(B34,Tabla4[],4,FALSE)</f>
        <v>1.99</v>
      </c>
      <c r="G34" t="s">
        <v>15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"/>
        <v>921.46971633023998</v>
      </c>
      <c r="N34" s="32">
        <f t="shared" ca="1" si="2"/>
        <v>0.23181630573033804</v>
      </c>
      <c r="O34" s="9">
        <v>0.25</v>
      </c>
      <c r="P34" s="9">
        <v>0.5</v>
      </c>
      <c r="Q34" t="str">
        <f t="shared" ca="1" si="3"/>
        <v>MANTENER</v>
      </c>
      <c r="T34" s="2"/>
      <c r="U34" s="14">
        <f>Tabla6[[#This Row],[cantidad]]-Tabla6[[#This Row],[CANTIDAD VENDIDA]]</f>
        <v>7.161E-5</v>
      </c>
      <c r="V34" s="2">
        <f t="shared" ca="1" si="4"/>
        <v>921.46971633023998</v>
      </c>
      <c r="W34" s="2">
        <f t="shared" si="5"/>
        <v>-699.99553871893795</v>
      </c>
      <c r="X34" s="9">
        <f t="shared" ca="1" si="6"/>
        <v>0.23181630573033804</v>
      </c>
      <c r="Y34" s="2" t="str">
        <f t="shared" si="7"/>
        <v>ACTIVA</v>
      </c>
    </row>
    <row r="35" spans="2:25">
      <c r="B35" s="1">
        <f t="shared" ref="B35:B66" ca="1" si="8">TODAY()</f>
        <v>45604</v>
      </c>
      <c r="C35" s="2">
        <f ca="1">VLOOKUP(B35,Tabla4[],2,FALSE)</f>
        <v>4399.58</v>
      </c>
      <c r="D35" s="3">
        <f ca="1">VLOOKUP(B35,Tabla4[],3,FALSE)</f>
        <v>76116.72</v>
      </c>
      <c r="E35" s="2">
        <f ca="1">VLOOKUP(B35,Tabla4[],5,FALSE)</f>
        <v>2924.8</v>
      </c>
      <c r="F35" s="2">
        <f ca="1">VLOOKUP(B35,Tabla4[],4,FALSE)</f>
        <v>1.99</v>
      </c>
      <c r="G35" t="s">
        <v>41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ref="M35:M66" ca="1" si="9" xml:space="preserve"> K35 * (IF(G35="BTC", D35, IF(G35="ETH", E35, IF(G35="IO.NET", F35, 0)))) * C35</f>
        <v>505.52869666144602</v>
      </c>
      <c r="N35" s="32">
        <f t="shared" ref="N35:N66" ca="1" si="10">IF(G35 = "BTC", (D35 - J35) / J35,
 IF(G35 = "ETH", (E35 - J35) / J35,
 IF(G35 = "IO.NET", (F35 - J35) / J35,
 "Moneda no soportada")))</f>
        <v>0.35153490899212175</v>
      </c>
      <c r="O35" s="9">
        <v>0.1</v>
      </c>
      <c r="P35" s="9">
        <v>0.3</v>
      </c>
      <c r="Q35" t="str">
        <f t="shared" ref="Q35:Q66" ca="1" si="11">IF(N35 &lt; O35, "MANTENER", IF(N35 &lt; P35, "VENTA PARCIAL", "VENDER"))</f>
        <v>VENDER</v>
      </c>
      <c r="T35" s="2"/>
      <c r="U35" s="14">
        <f>Tabla6[[#This Row],[cantidad]]-Tabla6[[#This Row],[CANTIDAD VENDIDA]]</f>
        <v>5.7740630000000001E-2</v>
      </c>
      <c r="V35" s="2">
        <f t="shared" ref="V35:V66" ca="1" si="12">IF(G35="BTC", D35 * U35 * C35, IF(G35="ETH", E35 * U35 * C35, IF(G35="IO.NET", F35 * U35 * C35, 0)))</f>
        <v>505.52869666144602</v>
      </c>
      <c r="W35" s="2">
        <f t="shared" ref="W35:W66" si="13">IF(G35 = "BTC", ((T35 - L35)), IF(G35 = "ETH", ((T35 - L35)), IF(G35 = "IO.NET", ((T35 - L35)), "Moneda no soportada")))</f>
        <v>-350.00858741327886</v>
      </c>
      <c r="X35" s="9">
        <f t="shared" ref="X35:X66" ca="1" si="14">IF(G35 = "BTC", (((D35 - J35) / J35)),IF(G35 = "ETH", ((E35 - J35) / J35), IF(G35 = "IO.NET", ((F35 - J35) / J35), "Moneda no soportada")))</f>
        <v>0.35153490899212175</v>
      </c>
      <c r="Y35" s="2" t="str">
        <f t="shared" ref="Y35:Y66" si="15">IF(U35=0,"VENDIDA","ACTIVA")</f>
        <v>ACTIVA</v>
      </c>
    </row>
    <row r="36" spans="2:25">
      <c r="B36" s="1">
        <f t="shared" ca="1" si="8"/>
        <v>45604</v>
      </c>
      <c r="C36" s="2">
        <f ca="1">VLOOKUP(B36,Tabla4[],2,FALSE)</f>
        <v>4399.58</v>
      </c>
      <c r="D36" s="3">
        <f ca="1">VLOOKUP(B36,Tabla4[],3,FALSE)</f>
        <v>76116.72</v>
      </c>
      <c r="E36" s="2">
        <f ca="1">VLOOKUP(B36,Tabla4[],5,FALSE)</f>
        <v>2924.8</v>
      </c>
      <c r="F36" s="2">
        <f ca="1">VLOOKUP(B36,Tabla4[],4,FALSE)</f>
        <v>1.99</v>
      </c>
      <c r="G36" t="s">
        <v>14</v>
      </c>
      <c r="H36" s="1">
        <v>45467</v>
      </c>
      <c r="I36" s="3">
        <f>VLOOKUP(H36,Tabla4[],2,FALSE)</f>
        <v>4144.4799999999996</v>
      </c>
      <c r="J36" s="3">
        <v>61441.2</v>
      </c>
      <c r="K36" s="11">
        <v>2.7199999999999998E-6</v>
      </c>
      <c r="L36" s="7">
        <f>Tabla6[[#This Row],[precio de compra]]*Tabla6[[#This Row],[cantidad]]*Tabla6[[#This Row],[PRECIO DEL DÓLAR, DIA COMPRA]]</f>
        <v>692.62576284671991</v>
      </c>
      <c r="M36" s="13">
        <f t="shared" ca="1" si="9"/>
        <v>910.87794921907187</v>
      </c>
      <c r="N36" s="32">
        <f t="shared" ca="1" si="10"/>
        <v>0.23885470986894794</v>
      </c>
      <c r="O36" s="9">
        <v>0.25</v>
      </c>
      <c r="P36" s="9">
        <v>0.5</v>
      </c>
      <c r="Q36" t="str">
        <f t="shared" ca="1" si="11"/>
        <v>MANTENER</v>
      </c>
      <c r="T36" s="2"/>
      <c r="U36" s="14">
        <f>Tabla6[[#This Row],[cantidad]]-Tabla6[[#This Row],[CANTIDAD VENDIDA]]</f>
        <v>2.7199999999999998E-6</v>
      </c>
      <c r="V36" s="2">
        <f t="shared" ca="1" si="12"/>
        <v>910.87794921907187</v>
      </c>
      <c r="W36" s="2">
        <f t="shared" si="13"/>
        <v>-692.62576284671991</v>
      </c>
      <c r="X36" s="9">
        <f t="shared" ca="1" si="14"/>
        <v>0.23885470986894794</v>
      </c>
      <c r="Y36" s="2" t="str">
        <f t="shared" si="15"/>
        <v>ACTIVA</v>
      </c>
    </row>
    <row r="37" spans="2:25">
      <c r="B37" s="1">
        <f t="shared" ca="1" si="8"/>
        <v>45604</v>
      </c>
      <c r="C37" s="2">
        <f ca="1">VLOOKUP(B37,Tabla4[],2,FALSE)</f>
        <v>4399.58</v>
      </c>
      <c r="D37" s="3">
        <f ca="1">VLOOKUP(B37,Tabla4[],3,FALSE)</f>
        <v>76116.72</v>
      </c>
      <c r="E37" s="2">
        <f ca="1">VLOOKUP(B37,Tabla4[],5,FALSE)</f>
        <v>2924.8</v>
      </c>
      <c r="F37" s="2">
        <f ca="1">VLOOKUP(B37,Tabla4[],4,FALSE)</f>
        <v>1.99</v>
      </c>
      <c r="G37" t="s">
        <v>15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t="shared" ca="1" si="9"/>
        <v>835.8982372966401</v>
      </c>
      <c r="N37" s="41">
        <f t="shared" ca="1" si="10"/>
        <v>0.10570089218206577</v>
      </c>
      <c r="O37" s="28">
        <v>0.25</v>
      </c>
      <c r="P37" s="28">
        <v>0.5</v>
      </c>
      <c r="Q37" t="str">
        <f t="shared" ca="1" si="11"/>
        <v>MANTENER</v>
      </c>
      <c r="T37" s="2"/>
      <c r="U37" s="14">
        <f>Tabla6[[#This Row],[cantidad]]-Tabla6[[#This Row],[CANTIDAD VENDIDA]]</f>
        <v>6.4960000000000001E-5</v>
      </c>
      <c r="V37" s="2">
        <f t="shared" ca="1" si="12"/>
        <v>835.8982372966401</v>
      </c>
      <c r="W37" s="2">
        <f t="shared" si="13"/>
        <v>-700.01513873535998</v>
      </c>
      <c r="X37" s="9">
        <f t="shared" ca="1" si="14"/>
        <v>0.10570089218206577</v>
      </c>
      <c r="Y37" s="2" t="str">
        <f t="shared" si="15"/>
        <v>ACTIVA</v>
      </c>
    </row>
    <row r="38" spans="2:25">
      <c r="B38" s="1">
        <f t="shared" ca="1" si="8"/>
        <v>45604</v>
      </c>
      <c r="C38" s="2">
        <f ca="1">VLOOKUP(B38,Tabla4[],2,FALSE)</f>
        <v>4399.58</v>
      </c>
      <c r="D38" s="3">
        <f ca="1">VLOOKUP(B38,Tabla4[],3,FALSE)</f>
        <v>76116.72</v>
      </c>
      <c r="E38" s="2">
        <f ca="1">VLOOKUP(B38,Tabla4[],5,FALSE)</f>
        <v>2924.8</v>
      </c>
      <c r="F38" s="2">
        <f ca="1">VLOOKUP(B38,Tabla4[],4,FALSE)</f>
        <v>1.99</v>
      </c>
      <c r="G38" t="s">
        <v>41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t="shared" ca="1" si="9"/>
        <v>478.38970132921196</v>
      </c>
      <c r="N38" s="41">
        <f t="shared" ca="1" si="10"/>
        <v>0.26562957121233316</v>
      </c>
      <c r="O38" s="28">
        <v>0.1</v>
      </c>
      <c r="P38" s="28">
        <v>0.3</v>
      </c>
      <c r="Q38" t="str">
        <f t="shared" ca="1" si="11"/>
        <v>VENTA PARCIAL</v>
      </c>
      <c r="T38" s="2"/>
      <c r="U38" s="14">
        <f>Tabla6[[#This Row],[cantidad]]-Tabla6[[#This Row],[CANTIDAD VENDIDA]]</f>
        <v>5.4640859999999999E-2</v>
      </c>
      <c r="V38" s="2">
        <f t="shared" ca="1" si="12"/>
        <v>478.38970132921196</v>
      </c>
      <c r="W38" s="2">
        <f t="shared" si="13"/>
        <v>-349.9990705940495</v>
      </c>
      <c r="X38" s="9">
        <f t="shared" ca="1" si="14"/>
        <v>0.26562957121233316</v>
      </c>
      <c r="Y38" s="2" t="str">
        <f t="shared" si="15"/>
        <v>ACTIVA</v>
      </c>
    </row>
    <row r="39" spans="2:25">
      <c r="B39" s="1">
        <f t="shared" ca="1" si="8"/>
        <v>45604</v>
      </c>
      <c r="C39" s="2">
        <f ca="1">VLOOKUP(B39,Tabla4[],2,FALSE)</f>
        <v>4399.58</v>
      </c>
      <c r="D39" s="3">
        <f ca="1">VLOOKUP(B39,Tabla4[],3,FALSE)</f>
        <v>76116.72</v>
      </c>
      <c r="E39" s="2">
        <f ca="1">VLOOKUP(B39,Tabla4[],5,FALSE)</f>
        <v>2924.8</v>
      </c>
      <c r="F39" s="2">
        <f ca="1">VLOOKUP(B39,Tabla4[],4,FALSE)</f>
        <v>1.99</v>
      </c>
      <c r="G39" t="s">
        <v>14</v>
      </c>
      <c r="H39" s="1">
        <v>45565</v>
      </c>
      <c r="I39" s="3">
        <v>4000</v>
      </c>
      <c r="J39" s="3">
        <v>64338.16</v>
      </c>
      <c r="K39" s="25">
        <v>2.7199999999999998E-6</v>
      </c>
      <c r="L39" s="29">
        <f>Tabla6[[#This Row],[precio de compra]]*Tabla6[[#This Row],[cantidad]]*Tabla6[[#This Row],[PRECIO DEL DÓLAR, DIA COMPRA]]</f>
        <v>699.99918079999998</v>
      </c>
      <c r="M39" s="26">
        <f t="shared" ca="1" si="9"/>
        <v>910.87794921907187</v>
      </c>
      <c r="N39" s="41">
        <f t="shared" ca="1" si="10"/>
        <v>0.1830726896759248</v>
      </c>
      <c r="O39" s="28">
        <v>0.25</v>
      </c>
      <c r="P39" s="28">
        <v>0.5</v>
      </c>
      <c r="Q39" s="31" t="str">
        <f t="shared" ca="1" si="11"/>
        <v>MANTENER</v>
      </c>
      <c r="T39" s="2"/>
      <c r="U39" s="14">
        <f>Tabla6[[#This Row],[cantidad]]-Tabla6[[#This Row],[CANTIDAD VENDIDA]]</f>
        <v>2.7199999999999998E-6</v>
      </c>
      <c r="V39" s="2">
        <f t="shared" ca="1" si="12"/>
        <v>910.87794921907187</v>
      </c>
      <c r="W39" s="2">
        <f t="shared" si="13"/>
        <v>-699.99918079999998</v>
      </c>
      <c r="X39" s="32">
        <f t="shared" ca="1" si="14"/>
        <v>0.1830726896759248</v>
      </c>
      <c r="Y39" s="2" t="str">
        <f t="shared" si="15"/>
        <v>ACTIVA</v>
      </c>
    </row>
    <row r="40" spans="2:25">
      <c r="B40" s="1">
        <f t="shared" ca="1" si="8"/>
        <v>45604</v>
      </c>
      <c r="C40" s="2">
        <f ca="1">VLOOKUP(B40,Tabla4[],2,FALSE)</f>
        <v>4399.58</v>
      </c>
      <c r="D40" s="3">
        <f ca="1">VLOOKUP(B40,Tabla4[],3,FALSE)</f>
        <v>76116.72</v>
      </c>
      <c r="E40" s="2">
        <f ca="1">VLOOKUP(B40,Tabla4[],5,FALSE)</f>
        <v>2924.8</v>
      </c>
      <c r="F40" s="2">
        <f ca="1">VLOOKUP(B40,Tabla4[],4,FALSE)</f>
        <v>1.99</v>
      </c>
      <c r="G40" t="s">
        <v>15</v>
      </c>
      <c r="H40" s="1">
        <v>45523</v>
      </c>
      <c r="I40" s="3">
        <f>VLOOKUP(H40,Tabla4[],2,FALSE)</f>
        <v>4030.16</v>
      </c>
      <c r="J40" s="3">
        <v>2527.15</v>
      </c>
      <c r="K40" s="25">
        <v>6.8730000000000001E-5</v>
      </c>
      <c r="L40" s="29">
        <f>Tabla6[[#This Row],[precio de compra]]*Tabla6[[#This Row],[cantidad]]*Tabla6[[#This Row],[PRECIO DEL DÓLAR, DIA COMPRA]]</f>
        <v>700.00259914812</v>
      </c>
      <c r="M40" s="26">
        <f t="shared" ca="1" si="9"/>
        <v>884.41018856832011</v>
      </c>
      <c r="N40" s="41">
        <f t="shared" ca="1" si="10"/>
        <v>0.15735116633361695</v>
      </c>
      <c r="O40" s="28">
        <v>0.25</v>
      </c>
      <c r="P40" s="28">
        <v>0.5</v>
      </c>
      <c r="Q40" t="str">
        <f t="shared" ca="1" si="11"/>
        <v>MANTENER</v>
      </c>
      <c r="T40" s="2"/>
      <c r="U40" s="14">
        <f>Tabla6[[#This Row],[cantidad]]-Tabla6[[#This Row],[CANTIDAD VENDIDA]]</f>
        <v>6.8730000000000001E-5</v>
      </c>
      <c r="V40" s="2">
        <f t="shared" ca="1" si="12"/>
        <v>884.41018856832011</v>
      </c>
      <c r="W40" s="2">
        <f t="shared" si="13"/>
        <v>-700.00259914812</v>
      </c>
      <c r="X40" s="9">
        <f t="shared" ca="1" si="14"/>
        <v>0.15735116633361695</v>
      </c>
      <c r="Y40" s="2" t="str">
        <f t="shared" si="15"/>
        <v>ACTIVA</v>
      </c>
    </row>
    <row r="41" spans="2:25">
      <c r="B41" s="1">
        <f t="shared" ca="1" si="8"/>
        <v>45604</v>
      </c>
      <c r="C41" s="2">
        <f ca="1">VLOOKUP(B41,Tabla4[],2,FALSE)</f>
        <v>4399.58</v>
      </c>
      <c r="D41" s="3">
        <f ca="1">VLOOKUP(B41,Tabla4[],3,FALSE)</f>
        <v>76116.72</v>
      </c>
      <c r="E41" s="2">
        <f ca="1">VLOOKUP(B41,Tabla4[],5,FALSE)</f>
        <v>2924.8</v>
      </c>
      <c r="F41" s="2">
        <f ca="1">VLOOKUP(B41,Tabla4[],4,FALSE)</f>
        <v>1.99</v>
      </c>
      <c r="G41" t="s">
        <v>41</v>
      </c>
      <c r="H41" s="1">
        <v>45523</v>
      </c>
      <c r="I41" s="3">
        <f>VLOOKUP(H41,Tabla4[],2,FALSE)</f>
        <v>4030.16</v>
      </c>
      <c r="J41" s="3">
        <v>1.6122000000000001</v>
      </c>
      <c r="K41" s="25">
        <v>5.3867089999999999E-2</v>
      </c>
      <c r="L41" s="29">
        <f>Tabla6[[#This Row],[precio de compra]]*Tabla6[[#This Row],[cantidad]]*Tabla6[[#This Row],[PRECIO DEL DÓLAR, DIA COMPRA]]</f>
        <v>349.99732079053973</v>
      </c>
      <c r="M41" s="26">
        <f t="shared" ca="1" si="9"/>
        <v>471.61521792617799</v>
      </c>
      <c r="N41" s="41">
        <f t="shared" ca="1" si="10"/>
        <v>0.23433817144274896</v>
      </c>
      <c r="O41" s="28">
        <v>0.1</v>
      </c>
      <c r="P41" s="28">
        <v>0.3</v>
      </c>
      <c r="Q41" t="str">
        <f t="shared" ca="1" si="11"/>
        <v>VENTA PARCIAL</v>
      </c>
      <c r="T41" s="2"/>
      <c r="U41" s="14">
        <f>Tabla6[[#This Row],[cantidad]]-Tabla6[[#This Row],[CANTIDAD VENDIDA]]</f>
        <v>5.3867089999999999E-2</v>
      </c>
      <c r="V41" s="2">
        <f t="shared" ca="1" si="12"/>
        <v>471.61521792617799</v>
      </c>
      <c r="W41" s="2">
        <f t="shared" si="13"/>
        <v>-349.99732079053973</v>
      </c>
      <c r="X41" s="9">
        <f t="shared" ca="1" si="14"/>
        <v>0.23433817144274896</v>
      </c>
      <c r="Y41" s="2" t="str">
        <f t="shared" si="15"/>
        <v>ACTIVA</v>
      </c>
    </row>
    <row r="42" spans="2:25">
      <c r="B42" s="1">
        <f t="shared" ca="1" si="8"/>
        <v>45604</v>
      </c>
      <c r="C42" s="2">
        <f ca="1">VLOOKUP(B42,Tabla4[],2,FALSE)</f>
        <v>4399.58</v>
      </c>
      <c r="D42" s="3">
        <f ca="1">VLOOKUP(B42,Tabla4[],3,FALSE)</f>
        <v>76116.72</v>
      </c>
      <c r="E42" s="2">
        <f ca="1">VLOOKUP(B42,Tabla4[],5,FALSE)</f>
        <v>2924.8</v>
      </c>
      <c r="F42" s="2">
        <f ca="1">VLOOKUP(B42,Tabla4[],4,FALSE)</f>
        <v>1.99</v>
      </c>
      <c r="G42" t="s">
        <v>14</v>
      </c>
      <c r="H42" s="1">
        <v>45475</v>
      </c>
      <c r="I42" s="3">
        <f>VLOOKUP(H42,Tabla4[],2,FALSE)</f>
        <v>4129.08</v>
      </c>
      <c r="J42" s="3">
        <v>60973.4</v>
      </c>
      <c r="K42" s="11">
        <v>2.7099999999999999E-6</v>
      </c>
      <c r="L42" s="7">
        <f>Tabla6[[#This Row],[precio de compra]]*Tabla6[[#This Row],[cantidad]]*Tabla6[[#This Row],[PRECIO DEL DÓLAR, DIA COMPRA]]</f>
        <v>682.28056593911992</v>
      </c>
      <c r="M42" s="13">
        <f t="shared" ca="1" si="9"/>
        <v>907.52913322929601</v>
      </c>
      <c r="N42" s="32">
        <f t="shared" ca="1" si="10"/>
        <v>0.24835944854641531</v>
      </c>
      <c r="O42" s="9">
        <v>0.25</v>
      </c>
      <c r="P42" s="9">
        <v>0.5</v>
      </c>
      <c r="Q42" t="str">
        <f t="shared" ca="1" si="11"/>
        <v>MANTENER</v>
      </c>
      <c r="T42" s="2"/>
      <c r="U42" s="14">
        <f>Tabla6[[#This Row],[cantidad]]-Tabla6[[#This Row],[CANTIDAD VENDIDA]]</f>
        <v>2.7099999999999999E-6</v>
      </c>
      <c r="V42" s="2">
        <f t="shared" ca="1" si="12"/>
        <v>907.52913322929601</v>
      </c>
      <c r="W42" s="2">
        <f t="shared" si="13"/>
        <v>-682.28056593911992</v>
      </c>
      <c r="X42" s="9">
        <f t="shared" ca="1" si="14"/>
        <v>0.24835944854641531</v>
      </c>
      <c r="Y42" s="2" t="str">
        <f t="shared" si="15"/>
        <v>ACTIVA</v>
      </c>
    </row>
    <row r="43" spans="2:25">
      <c r="B43" s="1">
        <f t="shared" ca="1" si="8"/>
        <v>45604</v>
      </c>
      <c r="C43" s="2">
        <f ca="1">VLOOKUP(B43,Tabla4[],2,FALSE)</f>
        <v>4399.58</v>
      </c>
      <c r="D43" s="3">
        <f ca="1">VLOOKUP(B43,Tabla4[],3,FALSE)</f>
        <v>76116.72</v>
      </c>
      <c r="E43" s="2">
        <f ca="1">VLOOKUP(B43,Tabla4[],5,FALSE)</f>
        <v>2924.8</v>
      </c>
      <c r="F43" s="2">
        <f ca="1">VLOOKUP(B43,Tabla4[],4,FALSE)</f>
        <v>1.99</v>
      </c>
      <c r="G43" t="s">
        <v>15</v>
      </c>
      <c r="H43" s="1">
        <v>45530</v>
      </c>
      <c r="I43" s="3">
        <f>VLOOKUP(H43,Tabla4[],2,FALSE)</f>
        <v>4029.75</v>
      </c>
      <c r="J43" s="3">
        <v>2670.79</v>
      </c>
      <c r="K43" s="25">
        <v>6.5040000000000001E-5</v>
      </c>
      <c r="L43" s="29">
        <f>Tabla6[[#This Row],[precio de compra]]*Tabla6[[#This Row],[cantidad]]*Tabla6[[#This Row],[PRECIO DEL DÓLAR, DIA COMPRA]]</f>
        <v>700.00054480260007</v>
      </c>
      <c r="M43" s="26">
        <f t="shared" ca="1" si="9"/>
        <v>836.92766862336009</v>
      </c>
      <c r="N43" s="41">
        <f t="shared" ca="1" si="10"/>
        <v>9.5106691278610531E-2</v>
      </c>
      <c r="O43" s="28">
        <v>0.25</v>
      </c>
      <c r="P43" s="28">
        <v>0.5</v>
      </c>
      <c r="Q43" t="str">
        <f t="shared" ca="1" si="11"/>
        <v>MANTENER</v>
      </c>
      <c r="T43" s="2"/>
      <c r="U43" s="14">
        <f>Tabla6[[#This Row],[cantidad]]-Tabla6[[#This Row],[CANTIDAD VENDIDA]]</f>
        <v>6.5040000000000001E-5</v>
      </c>
      <c r="V43" s="2">
        <f t="shared" ca="1" si="12"/>
        <v>836.92766862336009</v>
      </c>
      <c r="W43" s="2">
        <f t="shared" si="13"/>
        <v>-700.00054480260007</v>
      </c>
      <c r="X43" s="9">
        <f t="shared" ca="1" si="14"/>
        <v>9.5106691278610531E-2</v>
      </c>
      <c r="Y43" s="2" t="str">
        <f t="shared" si="15"/>
        <v>ACTIVA</v>
      </c>
    </row>
    <row r="44" spans="2:25">
      <c r="B44" s="1">
        <f t="shared" ca="1" si="8"/>
        <v>45604</v>
      </c>
      <c r="C44" s="2">
        <f ca="1">VLOOKUP(B44,Tabla4[],2,FALSE)</f>
        <v>4399.58</v>
      </c>
      <c r="D44" s="3">
        <f ca="1">VLOOKUP(B44,Tabla4[],3,FALSE)</f>
        <v>76116.72</v>
      </c>
      <c r="E44" s="2">
        <f ca="1">VLOOKUP(B44,Tabla4[],5,FALSE)</f>
        <v>2924.8</v>
      </c>
      <c r="F44" s="2">
        <f ca="1">VLOOKUP(B44,Tabla4[],4,FALSE)</f>
        <v>1.99</v>
      </c>
      <c r="G44" t="s">
        <v>41</v>
      </c>
      <c r="H44" s="1">
        <v>45530</v>
      </c>
      <c r="I44" s="3">
        <f>VLOOKUP(H44,Tabla4[],2,FALSE)</f>
        <v>4029.75</v>
      </c>
      <c r="J44" s="3">
        <v>2.1766899999999998</v>
      </c>
      <c r="K44" s="25">
        <v>3.9902439999999997E-2</v>
      </c>
      <c r="L44" s="29">
        <f>Tabla6[[#This Row],[precio de compra]]*Tabla6[[#This Row],[cantidad]]*Tabla6[[#This Row],[PRECIO DEL DÓLAR, DIA COMPRA]]</f>
        <v>350.00491194757706</v>
      </c>
      <c r="M44" s="26">
        <f t="shared" ca="1" si="9"/>
        <v>349.35241418064794</v>
      </c>
      <c r="N44" s="41">
        <f t="shared" ca="1" si="10"/>
        <v>-8.5767840160978284E-2</v>
      </c>
      <c r="O44" s="28">
        <v>0.1</v>
      </c>
      <c r="P44" s="28">
        <v>0.3</v>
      </c>
      <c r="Q44" t="str">
        <f t="shared" ca="1" si="11"/>
        <v>MANTENER</v>
      </c>
      <c r="T44" s="2"/>
      <c r="U44" s="14">
        <f>Tabla6[[#This Row],[cantidad]]-Tabla6[[#This Row],[CANTIDAD VENDIDA]]</f>
        <v>3.9902439999999997E-2</v>
      </c>
      <c r="V44" s="2">
        <f t="shared" ca="1" si="12"/>
        <v>349.35241418064794</v>
      </c>
      <c r="W44" s="2">
        <f t="shared" si="13"/>
        <v>-350.00491194757706</v>
      </c>
      <c r="X44" s="9">
        <f t="shared" ca="1" si="14"/>
        <v>-8.5767840160978284E-2</v>
      </c>
      <c r="Y44" s="2" t="str">
        <f t="shared" si="15"/>
        <v>ACTIVA</v>
      </c>
    </row>
    <row r="45" spans="2:25">
      <c r="B45" s="1">
        <f t="shared" ca="1" si="8"/>
        <v>45604</v>
      </c>
      <c r="C45" s="2">
        <f ca="1">VLOOKUP(B45,Tabla4[],2,FALSE)</f>
        <v>4399.58</v>
      </c>
      <c r="D45" s="3">
        <f ca="1">VLOOKUP(B45,Tabla4[],3,FALSE)</f>
        <v>76116.72</v>
      </c>
      <c r="E45" s="2">
        <f ca="1">VLOOKUP(B45,Tabla4[],5,FALSE)</f>
        <v>2924.8</v>
      </c>
      <c r="F45" s="2">
        <f ca="1">VLOOKUP(B45,Tabla4[],4,FALSE)</f>
        <v>1.99</v>
      </c>
      <c r="G45" t="s">
        <v>14</v>
      </c>
      <c r="H45" s="1">
        <v>45558</v>
      </c>
      <c r="I45" s="3">
        <f>VLOOKUP(H45,Tabla4[],2,FALSE)</f>
        <v>4153.9799999999996</v>
      </c>
      <c r="J45" s="7">
        <v>62644</v>
      </c>
      <c r="K45" s="25">
        <v>2.6900000000000001E-6</v>
      </c>
      <c r="L45" s="29">
        <f>Tabla6[[#This Row],[precio de compra]]*Tabla6[[#This Row],[cantidad]]*Tabla6[[#This Row],[PRECIO DEL DÓLAR, DIA COMPRA]]</f>
        <v>699.99697319279994</v>
      </c>
      <c r="M45" s="26">
        <f t="shared" ca="1" si="9"/>
        <v>900.83150124974406</v>
      </c>
      <c r="N45" s="41">
        <f t="shared" ca="1" si="10"/>
        <v>0.21506800332034992</v>
      </c>
      <c r="O45" s="28">
        <v>0.25</v>
      </c>
      <c r="P45" s="28">
        <v>0.5</v>
      </c>
      <c r="Q45" s="31" t="str">
        <f t="shared" ca="1" si="11"/>
        <v>MANTENER</v>
      </c>
      <c r="T45" s="2"/>
      <c r="U45" s="14">
        <f>Tabla6[[#This Row],[cantidad]]-Tabla6[[#This Row],[CANTIDAD VENDIDA]]</f>
        <v>2.6900000000000001E-6</v>
      </c>
      <c r="V45" s="2">
        <f t="shared" ca="1" si="12"/>
        <v>900.83150124974406</v>
      </c>
      <c r="W45" s="2">
        <f t="shared" si="13"/>
        <v>-699.99697319279994</v>
      </c>
      <c r="X45" s="32">
        <f t="shared" ca="1" si="14"/>
        <v>0.21506800332034992</v>
      </c>
      <c r="Y45" s="2" t="str">
        <f t="shared" si="15"/>
        <v>ACTIVA</v>
      </c>
    </row>
    <row r="46" spans="2:25">
      <c r="B46" s="1">
        <f t="shared" ca="1" si="8"/>
        <v>45604</v>
      </c>
      <c r="C46" s="2">
        <f ca="1">VLOOKUP(B46,Tabla4[],2,FALSE)</f>
        <v>4399.58</v>
      </c>
      <c r="D46" s="3">
        <f ca="1">VLOOKUP(B46,Tabla4[],3,FALSE)</f>
        <v>76116.72</v>
      </c>
      <c r="E46" s="2">
        <f ca="1">VLOOKUP(B46,Tabla4[],5,FALSE)</f>
        <v>2924.8</v>
      </c>
      <c r="F46" s="2">
        <f ca="1">VLOOKUP(B46,Tabla4[],4,FALSE)</f>
        <v>1.99</v>
      </c>
      <c r="G46" t="s">
        <v>15</v>
      </c>
      <c r="H46" s="1">
        <v>45537</v>
      </c>
      <c r="I46" s="3">
        <f>VLOOKUP(H46,Tabla4[],2,FALSE)</f>
        <v>4160.3100000000004</v>
      </c>
      <c r="J46" s="3">
        <v>2415.7600000000002</v>
      </c>
      <c r="K46" s="25">
        <v>6.9649999999999999E-5</v>
      </c>
      <c r="L46" s="29">
        <f>Tabla6[[#This Row],[precio de compra]]*Tabla6[[#This Row],[cantidad]]*Tabla6[[#This Row],[PRECIO DEL DÓLAR, DIA COMPRA]]</f>
        <v>700.00412532204018</v>
      </c>
      <c r="M46" s="26">
        <f t="shared" ca="1" si="9"/>
        <v>896.24864882559996</v>
      </c>
      <c r="N46" s="41">
        <f t="shared" ca="1" si="10"/>
        <v>0.21071629632082653</v>
      </c>
      <c r="O46" s="28">
        <v>0.25</v>
      </c>
      <c r="P46" s="28">
        <v>0.5</v>
      </c>
      <c r="Q46" s="31" t="str">
        <f t="shared" ca="1" si="11"/>
        <v>MANTENER</v>
      </c>
      <c r="T46" s="2"/>
      <c r="U46" s="14">
        <f>Tabla6[[#This Row],[cantidad]]-Tabla6[[#This Row],[CANTIDAD VENDIDA]]</f>
        <v>6.9649999999999999E-5</v>
      </c>
      <c r="V46" s="2">
        <f t="shared" ca="1" si="12"/>
        <v>896.24864882559996</v>
      </c>
      <c r="W46" s="2">
        <f t="shared" si="13"/>
        <v>-700.00412532204018</v>
      </c>
      <c r="X46" s="32">
        <f t="shared" ca="1" si="14"/>
        <v>0.21071629632082653</v>
      </c>
      <c r="Y46" s="2" t="str">
        <f t="shared" si="15"/>
        <v>ACTIVA</v>
      </c>
    </row>
    <row r="47" spans="2:25">
      <c r="B47" s="1">
        <f t="shared" ca="1" si="8"/>
        <v>45604</v>
      </c>
      <c r="C47" s="2">
        <f ca="1">VLOOKUP(B47,Tabla4[],2,FALSE)</f>
        <v>4399.58</v>
      </c>
      <c r="D47" s="3">
        <f ca="1">VLOOKUP(B47,Tabla4[],3,FALSE)</f>
        <v>76116.72</v>
      </c>
      <c r="E47" s="2">
        <f ca="1">VLOOKUP(B47,Tabla4[],5,FALSE)</f>
        <v>2924.8</v>
      </c>
      <c r="F47" s="2">
        <f ca="1">VLOOKUP(B47,Tabla4[],4,FALSE)</f>
        <v>1.99</v>
      </c>
      <c r="G47" t="s">
        <v>41</v>
      </c>
      <c r="H47" s="1">
        <v>45537</v>
      </c>
      <c r="I47" s="3">
        <f>VLOOKUP(H47,Tabla4[],2,FALSE)</f>
        <v>4160.3100000000004</v>
      </c>
      <c r="J47" s="3">
        <v>1.3929</v>
      </c>
      <c r="K47" s="25">
        <v>6.0397489999999998E-2</v>
      </c>
      <c r="L47" s="29">
        <f>Tabla6[[#This Row],[precio de compra]]*Tabla6[[#This Row],[cantidad]]*Tabla6[[#This Row],[PRECIO DEL DÓLAR, DIA COMPRA]]</f>
        <v>349.99716107114455</v>
      </c>
      <c r="M47" s="26">
        <f t="shared" ca="1" si="9"/>
        <v>528.78994221785797</v>
      </c>
      <c r="N47" s="41">
        <f t="shared" ca="1" si="10"/>
        <v>0.42867398951827118</v>
      </c>
      <c r="O47" s="28">
        <v>0.1</v>
      </c>
      <c r="P47" s="28">
        <v>0.3</v>
      </c>
      <c r="Q47" s="31" t="str">
        <f t="shared" ca="1" si="11"/>
        <v>VENDER</v>
      </c>
      <c r="T47" s="2"/>
      <c r="U47" s="14">
        <f>Tabla6[[#This Row],[cantidad]]-Tabla6[[#This Row],[CANTIDAD VENDIDA]]</f>
        <v>6.0397489999999998E-2</v>
      </c>
      <c r="V47" s="2">
        <f t="shared" ca="1" si="12"/>
        <v>528.78994221785797</v>
      </c>
      <c r="W47" s="2">
        <f t="shared" si="13"/>
        <v>-349.99716107114455</v>
      </c>
      <c r="X47" s="32">
        <f t="shared" ca="1" si="14"/>
        <v>0.42867398951827118</v>
      </c>
      <c r="Y47" s="2" t="str">
        <f t="shared" si="15"/>
        <v>ACTIVA</v>
      </c>
    </row>
    <row r="48" spans="2:25">
      <c r="B48" s="1">
        <f t="shared" ca="1" si="8"/>
        <v>45604</v>
      </c>
      <c r="C48" s="2">
        <f ca="1">VLOOKUP(B48,Tabla4[],2,FALSE)</f>
        <v>4399.58</v>
      </c>
      <c r="D48" s="3">
        <f ca="1">VLOOKUP(B48,Tabla4[],3,FALSE)</f>
        <v>76116.72</v>
      </c>
      <c r="E48" s="2">
        <f ca="1">VLOOKUP(B48,Tabla4[],5,FALSE)</f>
        <v>2924.8</v>
      </c>
      <c r="F48" s="2">
        <f ca="1">VLOOKUP(B48,Tabla4[],4,FALSE)</f>
        <v>1.99</v>
      </c>
      <c r="G48" t="s">
        <v>14</v>
      </c>
      <c r="H48" s="1">
        <v>45460</v>
      </c>
      <c r="I48" s="3">
        <f>VLOOKUP(H48,Tabla4[],2,FALSE)</f>
        <v>4129.43</v>
      </c>
      <c r="J48" s="3">
        <v>66469.899999999994</v>
      </c>
      <c r="K48" s="11">
        <v>2.6299999999999998E-6</v>
      </c>
      <c r="L48" s="7">
        <f>Tabla6[[#This Row],[precio de compra]]*Tabla6[[#This Row],[cantidad]]*Tabla6[[#This Row],[PRECIO DEL DÓLAR, DIA COMPRA]]</f>
        <v>721.88976178291</v>
      </c>
      <c r="M48" s="13">
        <f t="shared" ca="1" si="9"/>
        <v>880.73860531108789</v>
      </c>
      <c r="N48" s="32">
        <f t="shared" ca="1" si="10"/>
        <v>0.14513065312269174</v>
      </c>
      <c r="O48" s="9">
        <v>0.25</v>
      </c>
      <c r="P48" s="9">
        <v>0.5</v>
      </c>
      <c r="Q48" t="str">
        <f t="shared" ca="1" si="11"/>
        <v>MANTENER</v>
      </c>
      <c r="T48" s="2"/>
      <c r="U48" s="14">
        <f>Tabla6[[#This Row],[cantidad]]-Tabla6[[#This Row],[CANTIDAD VENDIDA]]</f>
        <v>2.6299999999999998E-6</v>
      </c>
      <c r="V48" s="2">
        <f t="shared" ca="1" si="12"/>
        <v>880.73860531108789</v>
      </c>
      <c r="W48" s="2">
        <f t="shared" si="13"/>
        <v>-721.88976178291</v>
      </c>
      <c r="X48" s="9">
        <f t="shared" ca="1" si="14"/>
        <v>0.14513065312269174</v>
      </c>
      <c r="Y48" s="2" t="str">
        <f t="shared" si="15"/>
        <v>ACTIVA</v>
      </c>
    </row>
    <row r="49" spans="2:25">
      <c r="B49" s="1">
        <f t="shared" ca="1" si="8"/>
        <v>45604</v>
      </c>
      <c r="C49" s="2">
        <f ca="1">VLOOKUP(B49,Tabla4[],2,FALSE)</f>
        <v>4399.58</v>
      </c>
      <c r="D49" s="3">
        <f ca="1">VLOOKUP(B49,Tabla4[],3,FALSE)</f>
        <v>76116.72</v>
      </c>
      <c r="E49" s="2">
        <f ca="1">VLOOKUP(B49,Tabla4[],5,FALSE)</f>
        <v>2924.8</v>
      </c>
      <c r="F49" s="2">
        <f ca="1">VLOOKUP(B49,Tabla4[],4,FALSE)</f>
        <v>1.99</v>
      </c>
      <c r="G49" t="s">
        <v>15</v>
      </c>
      <c r="H49" s="1">
        <v>45544</v>
      </c>
      <c r="I49" s="3">
        <f>VLOOKUP(H49,Tabla4[],2,FALSE)</f>
        <v>4149.79</v>
      </c>
      <c r="J49" s="3">
        <v>2282.59</v>
      </c>
      <c r="K49" s="25">
        <v>7.3899999999999994E-5</v>
      </c>
      <c r="L49" s="29">
        <f>Tabla6[[#This Row],[precio de compra]]*Tabla6[[#This Row],[cantidad]]*Tabla6[[#This Row],[PRECIO DEL DÓLAR, DIA COMPRA]]</f>
        <v>700.00069063578997</v>
      </c>
      <c r="M49" s="26">
        <f t="shared" ca="1" si="9"/>
        <v>950.93718805759988</v>
      </c>
      <c r="N49" s="41">
        <f t="shared" ca="1" si="10"/>
        <v>0.28135144725947281</v>
      </c>
      <c r="O49" s="28">
        <v>0.25</v>
      </c>
      <c r="P49" s="28">
        <v>0.5</v>
      </c>
      <c r="Q49" s="31" t="str">
        <f t="shared" ca="1" si="11"/>
        <v>VENTA PARCIAL</v>
      </c>
      <c r="T49" s="2"/>
      <c r="U49" s="14">
        <f>Tabla6[[#This Row],[cantidad]]-Tabla6[[#This Row],[CANTIDAD VENDIDA]]</f>
        <v>7.3899999999999994E-5</v>
      </c>
      <c r="V49" s="2">
        <f t="shared" ca="1" si="12"/>
        <v>950.93718805759988</v>
      </c>
      <c r="W49" s="2">
        <f t="shared" si="13"/>
        <v>-700.00069063578997</v>
      </c>
      <c r="X49" s="32">
        <f t="shared" ca="1" si="14"/>
        <v>0.28135144725947281</v>
      </c>
      <c r="Y49" s="2" t="str">
        <f t="shared" si="15"/>
        <v>ACTIVA</v>
      </c>
    </row>
    <row r="50" spans="2:25">
      <c r="B50" s="1">
        <f t="shared" ca="1" si="8"/>
        <v>45604</v>
      </c>
      <c r="C50" s="2">
        <f ca="1">VLOOKUP(B50,Tabla4[],2,FALSE)</f>
        <v>4399.58</v>
      </c>
      <c r="D50" s="3">
        <f ca="1">VLOOKUP(B50,Tabla4[],3,FALSE)</f>
        <v>76116.72</v>
      </c>
      <c r="E50" s="2">
        <f ca="1">VLOOKUP(B50,Tabla4[],5,FALSE)</f>
        <v>2924.8</v>
      </c>
      <c r="F50" s="2">
        <f ca="1">VLOOKUP(B50,Tabla4[],4,FALSE)</f>
        <v>1.99</v>
      </c>
      <c r="G50" t="s">
        <v>41</v>
      </c>
      <c r="H50" s="1">
        <v>45544</v>
      </c>
      <c r="I50" s="3">
        <f>VLOOKUP(H50,Tabla4[],2,FALSE)</f>
        <v>4149.79</v>
      </c>
      <c r="J50" s="3">
        <v>1.5613999999999999</v>
      </c>
      <c r="K50" s="25">
        <v>5.4016019999999998E-2</v>
      </c>
      <c r="L50" s="29">
        <f>Tabla6[[#This Row],[precio de compra]]*Tabla6[[#This Row],[cantidad]]*Tabla6[[#This Row],[PRECIO DEL DÓLAR, DIA COMPRA]]</f>
        <v>349.9958350273381</v>
      </c>
      <c r="M50" s="26">
        <f t="shared" ca="1" si="9"/>
        <v>472.919124530484</v>
      </c>
      <c r="N50" s="41">
        <f t="shared" ca="1" si="10"/>
        <v>0.27449724606122716</v>
      </c>
      <c r="O50" s="28">
        <v>0.1</v>
      </c>
      <c r="P50" s="28">
        <v>0.3</v>
      </c>
      <c r="Q50" s="31" t="str">
        <f t="shared" ca="1" si="11"/>
        <v>VENTA PARCIAL</v>
      </c>
      <c r="T50" s="2"/>
      <c r="U50" s="14">
        <f>Tabla6[[#This Row],[cantidad]]-Tabla6[[#This Row],[CANTIDAD VENDIDA]]</f>
        <v>5.4016019999999998E-2</v>
      </c>
      <c r="V50" s="2">
        <f t="shared" ca="1" si="12"/>
        <v>472.919124530484</v>
      </c>
      <c r="W50" s="2">
        <f t="shared" si="13"/>
        <v>-349.9958350273381</v>
      </c>
      <c r="X50" s="32">
        <f t="shared" ca="1" si="14"/>
        <v>0.27449724606122716</v>
      </c>
      <c r="Y50" s="2" t="str">
        <f t="shared" si="15"/>
        <v>ACTIVA</v>
      </c>
    </row>
    <row r="51" spans="2:25">
      <c r="B51" s="1">
        <f t="shared" ca="1" si="8"/>
        <v>45604</v>
      </c>
      <c r="C51" s="2">
        <f ca="1">VLOOKUP(B51,Tabla4[],2,FALSE)</f>
        <v>4399.58</v>
      </c>
      <c r="D51" s="3">
        <f ca="1">VLOOKUP(B51,Tabla4[],3,FALSE)</f>
        <v>76116.72</v>
      </c>
      <c r="E51" s="2">
        <f ca="1">VLOOKUP(B51,Tabla4[],5,FALSE)</f>
        <v>2924.8</v>
      </c>
      <c r="F51" s="2">
        <f ca="1">VLOOKUP(B51,Tabla4[],4,FALSE)</f>
        <v>1.99</v>
      </c>
      <c r="G51" t="s">
        <v>14</v>
      </c>
      <c r="H51" s="1">
        <v>45579</v>
      </c>
      <c r="I51" s="3">
        <f>VLOOKUP(H51,Tabla4[],2,FALSE)</f>
        <v>4210.95</v>
      </c>
      <c r="J51" s="3">
        <v>63691</v>
      </c>
      <c r="K51" s="25">
        <v>2.61E-6</v>
      </c>
      <c r="L51" s="29">
        <f>Tabla6[[#This Row],[precio de compra]]*Tabla6[[#This Row],[cantidad]]*Tabla6[[#This Row],[PRECIO DEL DÓLAR, DIA COMPRA]]</f>
        <v>700.00099893449999</v>
      </c>
      <c r="M51" s="26">
        <f t="shared" ca="1" si="9"/>
        <v>874.04097333153595</v>
      </c>
      <c r="N51" s="41">
        <f t="shared" ca="1" si="10"/>
        <v>0.19509381231257164</v>
      </c>
      <c r="O51" s="28">
        <v>0.25</v>
      </c>
      <c r="P51" s="28">
        <v>0.5</v>
      </c>
      <c r="Q51" s="31" t="str">
        <f t="shared" ca="1" si="11"/>
        <v>MANTENER</v>
      </c>
      <c r="T51" s="2"/>
      <c r="U51" s="14">
        <f>Tabla6[[#This Row],[cantidad]]-Tabla6[[#This Row],[CANTIDAD VENDIDA]]</f>
        <v>2.61E-6</v>
      </c>
      <c r="V51" s="2">
        <f t="shared" ca="1" si="12"/>
        <v>874.04097333153595</v>
      </c>
      <c r="W51" s="2">
        <f t="shared" si="13"/>
        <v>-700.00099893449999</v>
      </c>
      <c r="X51" s="32">
        <f t="shared" ca="1" si="14"/>
        <v>0.19509381231257164</v>
      </c>
      <c r="Y51" s="2" t="str">
        <f t="shared" si="15"/>
        <v>ACTIVA</v>
      </c>
    </row>
    <row r="52" spans="2:25">
      <c r="B52" s="1">
        <f t="shared" ca="1" si="8"/>
        <v>45604</v>
      </c>
      <c r="C52" s="2">
        <f ca="1">VLOOKUP(B52,Tabla4[],2,FALSE)</f>
        <v>4399.58</v>
      </c>
      <c r="D52" s="3">
        <f ca="1">VLOOKUP(B52,Tabla4[],3,FALSE)</f>
        <v>76116.72</v>
      </c>
      <c r="E52" s="2">
        <f ca="1">VLOOKUP(B52,Tabla4[],5,FALSE)</f>
        <v>2924.8</v>
      </c>
      <c r="F52" s="2">
        <f ca="1">VLOOKUP(B52,Tabla4[],4,FALSE)</f>
        <v>1.99</v>
      </c>
      <c r="G52" t="s">
        <v>15</v>
      </c>
      <c r="H52" s="1">
        <v>45551</v>
      </c>
      <c r="I52" s="3">
        <f>VLOOKUP(H52,Tabla4[],2,FALSE)</f>
        <v>4172.13</v>
      </c>
      <c r="J52" s="3">
        <v>2269.46</v>
      </c>
      <c r="K52" s="25">
        <v>7.3930000000000005E-5</v>
      </c>
      <c r="L52" s="29">
        <f>Tabla6[[#This Row],[precio de compra]]*Tabla6[[#This Row],[cantidad]]*Tabla6[[#This Row],[PRECIO DEL DÓLAR, DIA COMPRA]]</f>
        <v>700.00488533471412</v>
      </c>
      <c r="M52" s="26">
        <f t="shared" ca="1" si="9"/>
        <v>951.32322480512016</v>
      </c>
      <c r="N52" s="41">
        <f t="shared" ca="1" si="10"/>
        <v>0.28876472817322191</v>
      </c>
      <c r="O52" s="28">
        <v>0.25</v>
      </c>
      <c r="P52" s="28">
        <v>0.5</v>
      </c>
      <c r="Q52" s="31" t="str">
        <f t="shared" ca="1" si="11"/>
        <v>VENTA PARCIAL</v>
      </c>
      <c r="T52" s="2"/>
      <c r="U52" s="14">
        <f>Tabla6[[#This Row],[cantidad]]-Tabla6[[#This Row],[CANTIDAD VENDIDA]]</f>
        <v>7.3930000000000005E-5</v>
      </c>
      <c r="V52" s="2">
        <f t="shared" ca="1" si="12"/>
        <v>951.32322480512016</v>
      </c>
      <c r="W52" s="2">
        <f t="shared" si="13"/>
        <v>-700.00488533471412</v>
      </c>
      <c r="X52" s="32">
        <f t="shared" ca="1" si="14"/>
        <v>0.28876472817322191</v>
      </c>
      <c r="Y52" s="2" t="str">
        <f t="shared" si="15"/>
        <v>ACTIVA</v>
      </c>
    </row>
    <row r="53" spans="2:25">
      <c r="B53" s="1">
        <f t="shared" ca="1" si="8"/>
        <v>45604</v>
      </c>
      <c r="C53" s="2">
        <f ca="1">VLOOKUP(B53,Tabla4[],2,FALSE)</f>
        <v>4399.58</v>
      </c>
      <c r="D53" s="3">
        <f ca="1">VLOOKUP(B53,Tabla4[],3,FALSE)</f>
        <v>76116.72</v>
      </c>
      <c r="E53" s="2">
        <f ca="1">VLOOKUP(B53,Tabla4[],5,FALSE)</f>
        <v>2924.8</v>
      </c>
      <c r="F53" s="2">
        <f ca="1">VLOOKUP(B53,Tabla4[],4,FALSE)</f>
        <v>1.99</v>
      </c>
      <c r="G53" t="s">
        <v>41</v>
      </c>
      <c r="H53" s="1">
        <v>45551</v>
      </c>
      <c r="I53" s="3">
        <f>VLOOKUP(H53,Tabla4[],2,FALSE)</f>
        <v>4172.13</v>
      </c>
      <c r="J53" s="3">
        <v>1.7242</v>
      </c>
      <c r="K53" s="25">
        <v>4.8654459999999997E-2</v>
      </c>
      <c r="L53" s="29">
        <f>Tabla6[[#This Row],[precio de compra]]*Tabla6[[#This Row],[cantidad]]*Tabla6[[#This Row],[PRECIO DEL DÓLAR, DIA COMPRA]]</f>
        <v>350.00006885889513</v>
      </c>
      <c r="M53" s="26">
        <f t="shared" ca="1" si="9"/>
        <v>425.97778636233198</v>
      </c>
      <c r="N53" s="41">
        <f t="shared" ca="1" si="10"/>
        <v>0.15415845029578937</v>
      </c>
      <c r="O53" s="28">
        <v>0.1</v>
      </c>
      <c r="P53" s="28">
        <v>0.3</v>
      </c>
      <c r="Q53" s="31" t="str">
        <f t="shared" ca="1" si="11"/>
        <v>VENTA PARCIAL</v>
      </c>
      <c r="T53" s="2"/>
      <c r="U53" s="14">
        <f>Tabla6[[#This Row],[cantidad]]-Tabla6[[#This Row],[CANTIDAD VENDIDA]]</f>
        <v>4.8654459999999997E-2</v>
      </c>
      <c r="V53" s="2">
        <f t="shared" ca="1" si="12"/>
        <v>425.97778636233198</v>
      </c>
      <c r="W53" s="2">
        <f t="shared" si="13"/>
        <v>-350.00006885889513</v>
      </c>
      <c r="X53" s="32">
        <f t="shared" ca="1" si="14"/>
        <v>0.15415845029578937</v>
      </c>
      <c r="Y53" s="2" t="str">
        <f t="shared" si="15"/>
        <v>ACTIVA</v>
      </c>
    </row>
    <row r="54" spans="2:25">
      <c r="B54" s="1">
        <f t="shared" ca="1" si="8"/>
        <v>45604</v>
      </c>
      <c r="C54" s="2">
        <f ca="1">VLOOKUP(B54,Tabla4[],2,FALSE)</f>
        <v>4399.58</v>
      </c>
      <c r="D54" s="3">
        <f ca="1">VLOOKUP(B54,Tabla4[],3,FALSE)</f>
        <v>76116.72</v>
      </c>
      <c r="E54" s="2">
        <f ca="1">VLOOKUP(B54,Tabla4[],5,FALSE)</f>
        <v>2924.8</v>
      </c>
      <c r="F54" s="2">
        <f ca="1">VLOOKUP(B54,Tabla4[],4,FALSE)</f>
        <v>1.99</v>
      </c>
      <c r="G54" t="s">
        <v>14</v>
      </c>
      <c r="H54" s="1">
        <v>45495</v>
      </c>
      <c r="I54" s="3">
        <f>VLOOKUP(H54,Tabla4[],2,FALSE)</f>
        <v>4041.33</v>
      </c>
      <c r="J54" s="3">
        <v>66795.14</v>
      </c>
      <c r="K54" s="11">
        <v>2.5900000000000002E-6</v>
      </c>
      <c r="L54" s="7">
        <f>Tabla6[[#This Row],[precio de compra]]*Tabla6[[#This Row],[cantidad]]*Tabla6[[#This Row],[PRECIO DEL DÓLAR, DIA COMPRA]]</f>
        <v>699.14771612275808</v>
      </c>
      <c r="M54" s="13">
        <f t="shared" ca="1" si="9"/>
        <v>867.34334135198412</v>
      </c>
      <c r="N54" s="32">
        <f t="shared" ca="1" si="10"/>
        <v>0.13955476401426814</v>
      </c>
      <c r="O54" s="9">
        <v>0.25</v>
      </c>
      <c r="P54" s="9">
        <v>0.5</v>
      </c>
      <c r="Q54" t="str">
        <f t="shared" ca="1" si="11"/>
        <v>MANTENER</v>
      </c>
      <c r="T54" s="2"/>
      <c r="U54" s="14">
        <f>Tabla6[[#This Row],[cantidad]]-Tabla6[[#This Row],[CANTIDAD VENDIDA]]</f>
        <v>2.5900000000000002E-6</v>
      </c>
      <c r="V54" s="2">
        <f t="shared" ca="1" si="12"/>
        <v>867.34334135198412</v>
      </c>
      <c r="W54" s="2">
        <f t="shared" si="13"/>
        <v>-699.14771612275808</v>
      </c>
      <c r="X54" s="9">
        <f t="shared" ca="1" si="14"/>
        <v>0.13955476401426814</v>
      </c>
      <c r="Y54" s="2" t="str">
        <f t="shared" si="15"/>
        <v>ACTIVA</v>
      </c>
    </row>
    <row r="55" spans="2:25">
      <c r="B55" s="1">
        <f t="shared" ca="1" si="8"/>
        <v>45604</v>
      </c>
      <c r="C55" s="2">
        <f ca="1">VLOOKUP(B55,Tabla4[],2,FALSE)</f>
        <v>4399.58</v>
      </c>
      <c r="D55" s="3">
        <f ca="1">VLOOKUP(B55,Tabla4[],3,FALSE)</f>
        <v>76116.72</v>
      </c>
      <c r="E55" s="2">
        <f ca="1">VLOOKUP(B55,Tabla4[],5,FALSE)</f>
        <v>2924.8</v>
      </c>
      <c r="F55" s="2">
        <f ca="1">VLOOKUP(B55,Tabla4[],4,FALSE)</f>
        <v>1.99</v>
      </c>
      <c r="G55" t="s">
        <v>15</v>
      </c>
      <c r="H55" s="1">
        <v>45558</v>
      </c>
      <c r="I55" s="3">
        <f>VLOOKUP(H55,Tabla4[],2,FALSE)</f>
        <v>4153.9799999999996</v>
      </c>
      <c r="J55" s="3">
        <v>2598.92</v>
      </c>
      <c r="K55" s="25">
        <v>6.4839999999999996E-5</v>
      </c>
      <c r="L55" s="29">
        <f>Tabla6[[#This Row],[precio de compra]]*Tabla6[[#This Row],[cantidad]]*Tabla6[[#This Row],[PRECIO DEL DÓLAR, DIA COMPRA]]</f>
        <v>700.0036727317439</v>
      </c>
      <c r="M55" s="26">
        <f t="shared" ca="1" si="9"/>
        <v>834.3540903065599</v>
      </c>
      <c r="N55" s="41">
        <f t="shared" ca="1" si="10"/>
        <v>0.12539054684253462</v>
      </c>
      <c r="O55" s="28">
        <v>0.25</v>
      </c>
      <c r="P55" s="28">
        <v>0.5</v>
      </c>
      <c r="Q55" s="31" t="str">
        <f t="shared" ca="1" si="11"/>
        <v>MANTENER</v>
      </c>
      <c r="T55" s="2"/>
      <c r="U55" s="14">
        <f>Tabla6[[#This Row],[cantidad]]-Tabla6[[#This Row],[CANTIDAD VENDIDA]]</f>
        <v>6.4839999999999996E-5</v>
      </c>
      <c r="V55" s="2">
        <f t="shared" ca="1" si="12"/>
        <v>834.3540903065599</v>
      </c>
      <c r="W55" s="2">
        <f t="shared" si="13"/>
        <v>-700.0036727317439</v>
      </c>
      <c r="X55" s="32">
        <f t="shared" ca="1" si="14"/>
        <v>0.12539054684253462</v>
      </c>
      <c r="Y55" s="2" t="str">
        <f t="shared" si="15"/>
        <v>ACTIVA</v>
      </c>
    </row>
    <row r="56" spans="2:25">
      <c r="B56" s="1">
        <f t="shared" ca="1" si="8"/>
        <v>45604</v>
      </c>
      <c r="C56" s="2">
        <f ca="1">VLOOKUP(B56,Tabla4[],2,FALSE)</f>
        <v>4399.58</v>
      </c>
      <c r="D56" s="3">
        <f ca="1">VLOOKUP(B56,Tabla4[],3,FALSE)</f>
        <v>76116.72</v>
      </c>
      <c r="E56" s="2">
        <f ca="1">VLOOKUP(B56,Tabla4[],5,FALSE)</f>
        <v>2924.8</v>
      </c>
      <c r="F56" s="2">
        <f ca="1">VLOOKUP(B56,Tabla4[],4,FALSE)</f>
        <v>1.99</v>
      </c>
      <c r="G56" t="s">
        <v>41</v>
      </c>
      <c r="H56" s="1">
        <v>45558</v>
      </c>
      <c r="I56" s="3">
        <f>VLOOKUP(H56,Tabla4[],2,FALSE)</f>
        <v>4153.9799999999996</v>
      </c>
      <c r="J56" s="3">
        <v>2.0857999999999999</v>
      </c>
      <c r="K56" s="25">
        <v>4.0395279999999999E-2</v>
      </c>
      <c r="L56" s="29">
        <f>Tabla6[[#This Row],[precio de compra]]*Tabla6[[#This Row],[cantidad]]*Tabla6[[#This Row],[PRECIO DEL DÓLAR, DIA COMPRA]]</f>
        <v>349.99971212019545</v>
      </c>
      <c r="M56" s="26">
        <f t="shared" ca="1" si="9"/>
        <v>353.66730930497602</v>
      </c>
      <c r="N56" s="41">
        <f t="shared" ca="1" si="10"/>
        <v>-4.5929619330712386E-2</v>
      </c>
      <c r="O56" s="28">
        <v>0.1</v>
      </c>
      <c r="P56" s="28">
        <v>0.3</v>
      </c>
      <c r="Q56" s="31" t="str">
        <f t="shared" ca="1" si="11"/>
        <v>MANTENER</v>
      </c>
      <c r="T56" s="2"/>
      <c r="U56" s="14">
        <f>Tabla6[[#This Row],[cantidad]]-Tabla6[[#This Row],[CANTIDAD VENDIDA]]</f>
        <v>4.0395279999999999E-2</v>
      </c>
      <c r="V56" s="2">
        <f t="shared" ca="1" si="12"/>
        <v>353.66730930497602</v>
      </c>
      <c r="W56" s="2">
        <f t="shared" si="13"/>
        <v>-349.99971212019545</v>
      </c>
      <c r="X56" s="32">
        <f t="shared" ca="1" si="14"/>
        <v>-4.5929619330712386E-2</v>
      </c>
      <c r="Y56" s="2" t="str">
        <f t="shared" si="15"/>
        <v>ACTIVA</v>
      </c>
    </row>
    <row r="57" spans="2:25">
      <c r="B57" s="1">
        <f t="shared" ca="1" si="8"/>
        <v>45604</v>
      </c>
      <c r="C57" s="2">
        <f ca="1">VLOOKUP(B57,Tabla4[],2,FALSE)</f>
        <v>4399.58</v>
      </c>
      <c r="D57" s="3">
        <f ca="1">VLOOKUP(B57,Tabla4[],3,FALSE)</f>
        <v>76116.72</v>
      </c>
      <c r="E57" s="2">
        <f ca="1">VLOOKUP(B57,Tabla4[],5,FALSE)</f>
        <v>2924.8</v>
      </c>
      <c r="F57" s="2">
        <f ca="1">VLOOKUP(B57,Tabla4[],4,FALSE)</f>
        <v>1.99</v>
      </c>
      <c r="G57" t="s">
        <v>14</v>
      </c>
      <c r="H57" s="1">
        <v>45453</v>
      </c>
      <c r="I57" s="3">
        <f>VLOOKUP(H57,Tabla4[],2,FALSE)</f>
        <v>3995.66</v>
      </c>
      <c r="J57" s="3">
        <v>69276</v>
      </c>
      <c r="K57" s="11">
        <v>2.57E-6</v>
      </c>
      <c r="L57" s="7">
        <f>Tabla6[[#This Row],[precio de compra]]*Tabla6[[#This Row],[cantidad]]*Tabla6[[#This Row],[PRECIO DEL DÓLAR, DIA COMPRA]]</f>
        <v>711.38458935120002</v>
      </c>
      <c r="M57" s="13">
        <f t="shared" ca="1" si="9"/>
        <v>860.64570937243207</v>
      </c>
      <c r="N57" s="32">
        <f t="shared" ca="1" si="10"/>
        <v>9.8745886021132878E-2</v>
      </c>
      <c r="O57" s="9">
        <v>0.25</v>
      </c>
      <c r="P57" s="9">
        <v>0.5</v>
      </c>
      <c r="Q57" t="str">
        <f t="shared" ca="1" si="11"/>
        <v>MANTENER</v>
      </c>
      <c r="T57" s="2"/>
      <c r="U57" s="14">
        <f>Tabla6[[#This Row],[cantidad]]-Tabla6[[#This Row],[CANTIDAD VENDIDA]]</f>
        <v>2.57E-6</v>
      </c>
      <c r="V57" s="2">
        <f t="shared" ca="1" si="12"/>
        <v>860.64570937243207</v>
      </c>
      <c r="W57" s="2">
        <f t="shared" si="13"/>
        <v>-711.38458935120002</v>
      </c>
      <c r="X57" s="9">
        <f t="shared" ca="1" si="14"/>
        <v>9.8745886021132878E-2</v>
      </c>
      <c r="Y57" s="2" t="str">
        <f t="shared" si="15"/>
        <v>ACTIVA</v>
      </c>
    </row>
    <row r="58" spans="2:25">
      <c r="B58" s="1">
        <f t="shared" ca="1" si="8"/>
        <v>45604</v>
      </c>
      <c r="C58" s="2">
        <f ca="1">VLOOKUP(B58,Tabla4[],2,FALSE)</f>
        <v>4399.58</v>
      </c>
      <c r="D58" s="3">
        <f ca="1">VLOOKUP(B58,Tabla4[],3,FALSE)</f>
        <v>76116.72</v>
      </c>
      <c r="E58" s="2">
        <f ca="1">VLOOKUP(B58,Tabla4[],5,FALSE)</f>
        <v>2924.8</v>
      </c>
      <c r="F58" s="2">
        <f ca="1">VLOOKUP(B58,Tabla4[],4,FALSE)</f>
        <v>1.99</v>
      </c>
      <c r="G58" t="s">
        <v>15</v>
      </c>
      <c r="H58" s="1">
        <v>45565</v>
      </c>
      <c r="I58" s="3">
        <v>4000</v>
      </c>
      <c r="J58" s="3">
        <v>2622.5</v>
      </c>
      <c r="K58" s="25">
        <v>6.6730000000000007E-5</v>
      </c>
      <c r="L58" s="29">
        <f>Tabla6[[#This Row],[precio de compra]]*Tabla6[[#This Row],[cantidad]]*Tabla6[[#This Row],[PRECIO DEL DÓLAR, DIA COMPRA]]</f>
        <v>699.99770000000001</v>
      </c>
      <c r="M58" s="26">
        <f t="shared" ca="1" si="9"/>
        <v>858.6744054003201</v>
      </c>
      <c r="N58" s="41">
        <f t="shared" ca="1" si="10"/>
        <v>0.11527168732125841</v>
      </c>
      <c r="O58" s="28">
        <v>0.25</v>
      </c>
      <c r="P58" s="28">
        <v>0.5</v>
      </c>
      <c r="Q58" s="31" t="str">
        <f t="shared" ca="1" si="11"/>
        <v>MANTENER</v>
      </c>
      <c r="T58" s="2"/>
      <c r="U58" s="14">
        <f>Tabla6[[#This Row],[cantidad]]-Tabla6[[#This Row],[CANTIDAD VENDIDA]]</f>
        <v>6.6730000000000007E-5</v>
      </c>
      <c r="V58" s="2">
        <f t="shared" ca="1" si="12"/>
        <v>858.6744054003201</v>
      </c>
      <c r="W58" s="2">
        <f t="shared" si="13"/>
        <v>-699.99770000000001</v>
      </c>
      <c r="X58" s="32">
        <f t="shared" ca="1" si="14"/>
        <v>0.11527168732125841</v>
      </c>
      <c r="Y58" s="2" t="str">
        <f t="shared" si="15"/>
        <v>ACTIVA</v>
      </c>
    </row>
    <row r="59" spans="2:25">
      <c r="B59" s="1">
        <f t="shared" ca="1" si="8"/>
        <v>45604</v>
      </c>
      <c r="C59" s="2">
        <f ca="1">VLOOKUP(B59,Tabla4[],2,FALSE)</f>
        <v>4399.58</v>
      </c>
      <c r="D59" s="3">
        <f ca="1">VLOOKUP(B59,Tabla4[],3,FALSE)</f>
        <v>76116.72</v>
      </c>
      <c r="E59" s="2">
        <f ca="1">VLOOKUP(B59,Tabla4[],5,FALSE)</f>
        <v>2924.8</v>
      </c>
      <c r="F59" s="2">
        <f ca="1">VLOOKUP(B59,Tabla4[],4,FALSE)</f>
        <v>1.99</v>
      </c>
      <c r="G59" t="s">
        <v>41</v>
      </c>
      <c r="H59" s="1">
        <v>45565</v>
      </c>
      <c r="I59" s="3">
        <v>4000</v>
      </c>
      <c r="J59" s="3">
        <v>2.07972</v>
      </c>
      <c r="K59" s="25">
        <v>4.2072680000000001E-2</v>
      </c>
      <c r="L59" s="29">
        <f>Tabla6[[#This Row],[precio de compra]]*Tabla6[[#This Row],[cantidad]]*Tabla6[[#This Row],[PRECIO DEL DÓLAR, DIA COMPRA]]</f>
        <v>349.9975761984</v>
      </c>
      <c r="M59" s="26">
        <f t="shared" ca="1" si="9"/>
        <v>368.35322173405598</v>
      </c>
      <c r="N59" s="41">
        <f t="shared" ca="1" si="10"/>
        <v>-4.3140422749216249E-2</v>
      </c>
      <c r="O59" s="28">
        <v>0.1</v>
      </c>
      <c r="P59" s="28">
        <v>0.3</v>
      </c>
      <c r="Q59" s="31" t="str">
        <f t="shared" ca="1" si="11"/>
        <v>MANTENER</v>
      </c>
      <c r="T59" s="2"/>
      <c r="U59" s="14">
        <f>Tabla6[[#This Row],[cantidad]]-Tabla6[[#This Row],[CANTIDAD VENDIDA]]</f>
        <v>4.2072680000000001E-2</v>
      </c>
      <c r="V59" s="2">
        <f t="shared" ca="1" si="12"/>
        <v>368.35322173405598</v>
      </c>
      <c r="W59" s="2">
        <f t="shared" si="13"/>
        <v>-349.9975761984</v>
      </c>
      <c r="X59" s="32">
        <f t="shared" ca="1" si="14"/>
        <v>-4.3140422749216249E-2</v>
      </c>
      <c r="Y59" s="2" t="str">
        <f t="shared" si="15"/>
        <v>ACTIVA</v>
      </c>
    </row>
    <row r="60" spans="2:25">
      <c r="B60" s="1">
        <f t="shared" ca="1" si="8"/>
        <v>45604</v>
      </c>
      <c r="C60" s="2">
        <f ca="1">VLOOKUP(B60,Tabla4[],2,FALSE)</f>
        <v>4399.58</v>
      </c>
      <c r="D60" s="3">
        <f ca="1">VLOOKUP(B60,Tabla4[],3,FALSE)</f>
        <v>76116.72</v>
      </c>
      <c r="E60" s="2">
        <f ca="1">VLOOKUP(B60,Tabla4[],5,FALSE)</f>
        <v>2924.8</v>
      </c>
      <c r="F60" s="2">
        <f ca="1">VLOOKUP(B60,Tabla4[],4,FALSE)</f>
        <v>1.99</v>
      </c>
      <c r="G60" t="s">
        <v>14</v>
      </c>
      <c r="H60" s="1">
        <v>45502</v>
      </c>
      <c r="I60" s="3">
        <f>VLOOKUP(H60,Tabla4[],2,FALSE)</f>
        <v>4030.02</v>
      </c>
      <c r="J60" s="3">
        <v>68680.2</v>
      </c>
      <c r="K60" s="11">
        <v>2.5299999999999999E-6</v>
      </c>
      <c r="L60" s="7">
        <f>Tabla6[[#This Row],[precio de compra]]*Tabla6[[#This Row],[cantidad]]*Tabla6[[#This Row],[PRECIO DEL DÓLAR, DIA COMPRA]]</f>
        <v>700.25992639812</v>
      </c>
      <c r="M60" s="13">
        <f t="shared" ca="1" si="9"/>
        <v>847.25044541332795</v>
      </c>
      <c r="N60" s="32">
        <f t="shared" ca="1" si="10"/>
        <v>0.10827749482383575</v>
      </c>
      <c r="O60" s="9">
        <v>0.25</v>
      </c>
      <c r="P60" s="9">
        <v>0.5</v>
      </c>
      <c r="Q60" t="str">
        <f t="shared" ca="1" si="11"/>
        <v>MANTENER</v>
      </c>
      <c r="T60" s="2"/>
      <c r="U60" s="14">
        <f>Tabla6[[#This Row],[cantidad]]-Tabla6[[#This Row],[CANTIDAD VENDIDA]]</f>
        <v>2.5299999999999999E-6</v>
      </c>
      <c r="V60" s="2">
        <f t="shared" ca="1" si="12"/>
        <v>847.25044541332795</v>
      </c>
      <c r="W60" s="2">
        <f t="shared" si="13"/>
        <v>-700.25992639812</v>
      </c>
      <c r="X60" s="9">
        <f t="shared" ca="1" si="14"/>
        <v>0.10827749482383575</v>
      </c>
      <c r="Y60" s="2" t="str">
        <f t="shared" si="15"/>
        <v>ACTIVA</v>
      </c>
    </row>
    <row r="61" spans="2:25">
      <c r="B61" s="1">
        <f t="shared" ca="1" si="8"/>
        <v>45604</v>
      </c>
      <c r="C61" s="2">
        <f ca="1">VLOOKUP(B61,Tabla4[],2,FALSE)</f>
        <v>4399.58</v>
      </c>
      <c r="D61" s="3">
        <f ca="1">VLOOKUP(B61,Tabla4[],3,FALSE)</f>
        <v>76116.72</v>
      </c>
      <c r="E61" s="2">
        <f ca="1">VLOOKUP(B61,Tabla4[],5,FALSE)</f>
        <v>2924.8</v>
      </c>
      <c r="F61" s="2">
        <f ca="1">VLOOKUP(B61,Tabla4[],4,FALSE)</f>
        <v>1.99</v>
      </c>
      <c r="G61" t="s">
        <v>15</v>
      </c>
      <c r="H61" s="1">
        <v>45572</v>
      </c>
      <c r="I61" s="3">
        <v>4036.67</v>
      </c>
      <c r="J61" s="3">
        <v>2441.6999999999998</v>
      </c>
      <c r="K61" s="25">
        <v>7.1019999999999994E-5</v>
      </c>
      <c r="L61" s="29">
        <f>Tabla6[[#This Row],[precio de compra]]*Tabla6[[#This Row],[cantidad]]*Tabla6[[#This Row],[PRECIO DEL DÓLAR, DIA COMPRA]]</f>
        <v>699.99706361177994</v>
      </c>
      <c r="M61" s="26">
        <f t="shared" ca="1" si="9"/>
        <v>913.87766029568002</v>
      </c>
      <c r="N61" s="41">
        <f t="shared" ca="1" si="10"/>
        <v>0.19785395421222934</v>
      </c>
      <c r="O61" s="28">
        <v>0.25</v>
      </c>
      <c r="P61" s="28">
        <v>0.5</v>
      </c>
      <c r="Q61" s="31" t="str">
        <f t="shared" ca="1" si="11"/>
        <v>MANTENER</v>
      </c>
      <c r="T61" s="2"/>
      <c r="U61" s="14">
        <f>Tabla6[[#This Row],[cantidad]]-Tabla6[[#This Row],[CANTIDAD VENDIDA]]</f>
        <v>7.1019999999999994E-5</v>
      </c>
      <c r="V61" s="2">
        <f t="shared" ca="1" si="12"/>
        <v>913.87766029568002</v>
      </c>
      <c r="W61" s="2">
        <f t="shared" si="13"/>
        <v>-699.99706361177994</v>
      </c>
      <c r="X61" s="32">
        <f t="shared" ca="1" si="14"/>
        <v>0.19785395421222934</v>
      </c>
      <c r="Y61" s="2" t="str">
        <f t="shared" si="15"/>
        <v>ACTIVA</v>
      </c>
    </row>
    <row r="62" spans="2:25">
      <c r="B62" s="1">
        <f t="shared" ca="1" si="8"/>
        <v>45604</v>
      </c>
      <c r="C62" s="2">
        <f ca="1">VLOOKUP(B62,Tabla4[],2,FALSE)</f>
        <v>4399.58</v>
      </c>
      <c r="D62" s="3">
        <f ca="1">VLOOKUP(B62,Tabla4[],3,FALSE)</f>
        <v>76116.72</v>
      </c>
      <c r="E62" s="2">
        <f ca="1">VLOOKUP(B62,Tabla4[],5,FALSE)</f>
        <v>2924.8</v>
      </c>
      <c r="F62" s="2">
        <f ca="1">VLOOKUP(B62,Tabla4[],4,FALSE)</f>
        <v>1.99</v>
      </c>
      <c r="G62" t="s">
        <v>41</v>
      </c>
      <c r="H62" s="1">
        <v>45572</v>
      </c>
      <c r="I62" s="3">
        <v>4036.67</v>
      </c>
      <c r="J62" s="3">
        <v>1.841</v>
      </c>
      <c r="K62" s="25">
        <v>4.7097090000000001E-2</v>
      </c>
      <c r="L62" s="29">
        <f>Tabla6[[#This Row],[precio de compra]]*Tabla6[[#This Row],[cantidad]]*Tabla6[[#This Row],[PRECIO DEL DÓLAR, DIA COMPRA]]</f>
        <v>350.00247034444232</v>
      </c>
      <c r="M62" s="26">
        <f t="shared" ca="1" si="9"/>
        <v>412.34275629217797</v>
      </c>
      <c r="N62" s="41">
        <f t="shared" ca="1" si="10"/>
        <v>8.0934274850624668E-2</v>
      </c>
      <c r="O62" s="28">
        <v>0.1</v>
      </c>
      <c r="P62" s="28">
        <v>0.3</v>
      </c>
      <c r="Q62" s="31" t="str">
        <f t="shared" ca="1" si="11"/>
        <v>MANTENER</v>
      </c>
      <c r="T62" s="2"/>
      <c r="U62" s="14">
        <f>Tabla6[[#This Row],[cantidad]]-Tabla6[[#This Row],[CANTIDAD VENDIDA]]</f>
        <v>4.7097090000000001E-2</v>
      </c>
      <c r="V62" s="2">
        <f t="shared" ca="1" si="12"/>
        <v>412.34275629217797</v>
      </c>
      <c r="W62" s="2">
        <f t="shared" si="13"/>
        <v>-350.00247034444232</v>
      </c>
      <c r="X62" s="32">
        <f t="shared" ca="1" si="14"/>
        <v>8.0934274850624668E-2</v>
      </c>
      <c r="Y62" s="2" t="str">
        <f t="shared" si="15"/>
        <v>ACTIVA</v>
      </c>
    </row>
    <row r="63" spans="2:25">
      <c r="B63" s="1">
        <f t="shared" ca="1" si="8"/>
        <v>45604</v>
      </c>
      <c r="C63" s="2">
        <f ca="1">VLOOKUP(B63,Tabla4[],2,FALSE)</f>
        <v>4399.58</v>
      </c>
      <c r="D63" s="3">
        <f ca="1">VLOOKUP(B63,Tabla4[],3,FALSE)</f>
        <v>76116.72</v>
      </c>
      <c r="E63" s="2">
        <f ca="1">VLOOKUP(B63,Tabla4[],5,FALSE)</f>
        <v>2924.8</v>
      </c>
      <c r="F63" s="2">
        <f ca="1">VLOOKUP(B63,Tabla4[],4,FALSE)</f>
        <v>1.99</v>
      </c>
      <c r="G63" t="s">
        <v>14</v>
      </c>
      <c r="H63" s="1">
        <v>45449</v>
      </c>
      <c r="I63" s="3">
        <f>VLOOKUP(H63,Tabla4[],2,FALSE)</f>
        <v>3931.5</v>
      </c>
      <c r="J63" s="3">
        <v>70947</v>
      </c>
      <c r="K63" s="11">
        <v>2.52E-6</v>
      </c>
      <c r="L63" s="13">
        <f>Tabla6[[#This Row],[precio de compra]]*Tabla6[[#This Row],[cantidad]]*Tabla6[[#This Row],[PRECIO DEL DÓLAR, DIA COMPRA]]</f>
        <v>702.89888885999994</v>
      </c>
      <c r="M63" s="13">
        <f t="shared" ca="1" si="9"/>
        <v>843.90162942355198</v>
      </c>
      <c r="N63" s="32">
        <f t="shared" ca="1" si="10"/>
        <v>7.2867351685060699E-2</v>
      </c>
      <c r="O63" s="9">
        <v>0.25</v>
      </c>
      <c r="P63" s="9">
        <v>0.5</v>
      </c>
      <c r="Q63" t="str">
        <f t="shared" ca="1" si="11"/>
        <v>MANTENER</v>
      </c>
      <c r="T63" s="2"/>
      <c r="U63" s="14">
        <f>Tabla6[[#This Row],[cantidad]]-Tabla6[[#This Row],[CANTIDAD VENDIDA]]</f>
        <v>2.52E-6</v>
      </c>
      <c r="V63" s="2">
        <f t="shared" ca="1" si="12"/>
        <v>843.90162942355198</v>
      </c>
      <c r="W63" s="2">
        <f t="shared" si="13"/>
        <v>-702.89888885999994</v>
      </c>
      <c r="X63" s="9">
        <f t="shared" ca="1" si="14"/>
        <v>7.2867351685060699E-2</v>
      </c>
      <c r="Y63" s="2" t="str">
        <f t="shared" si="15"/>
        <v>ACTIVA</v>
      </c>
    </row>
    <row r="64" spans="2:25">
      <c r="B64" s="1">
        <f t="shared" ca="1" si="8"/>
        <v>45604</v>
      </c>
      <c r="C64" s="2">
        <f ca="1">VLOOKUP(B64,Tabla4[],2,FALSE)</f>
        <v>4399.58</v>
      </c>
      <c r="D64" s="3">
        <f ca="1">VLOOKUP(B64,Tabla4[],3,FALSE)</f>
        <v>76116.72</v>
      </c>
      <c r="E64" s="2">
        <f ca="1">VLOOKUP(B64,Tabla4[],5,FALSE)</f>
        <v>2924.8</v>
      </c>
      <c r="F64" s="2">
        <f ca="1">VLOOKUP(B64,Tabla4[],4,FALSE)</f>
        <v>1.99</v>
      </c>
      <c r="G64" t="s">
        <v>15</v>
      </c>
      <c r="H64" s="1">
        <v>45579</v>
      </c>
      <c r="I64" s="3">
        <f>VLOOKUP(H64,Tabla4[],2,FALSE)</f>
        <v>4210.95</v>
      </c>
      <c r="J64" s="3">
        <v>2502.4</v>
      </c>
      <c r="K64" s="25">
        <v>6.6429999999999999E-5</v>
      </c>
      <c r="L64" s="29">
        <f>Tabla6[[#This Row],[precio de compra]]*Tabla6[[#This Row],[cantidad]]*Tabla6[[#This Row],[PRECIO DEL DÓLAR, DIA COMPRA]]</f>
        <v>700.00488143040002</v>
      </c>
      <c r="M64" s="26">
        <f t="shared" ca="1" si="9"/>
        <v>854.81403792512003</v>
      </c>
      <c r="N64" s="41">
        <f t="shared" ca="1" si="10"/>
        <v>0.16879795396419439</v>
      </c>
      <c r="O64" s="28">
        <v>0.25</v>
      </c>
      <c r="P64" s="28">
        <v>0.5</v>
      </c>
      <c r="Q64" s="31" t="str">
        <f t="shared" ca="1" si="11"/>
        <v>MANTENER</v>
      </c>
      <c r="T64" s="2"/>
      <c r="U64" s="14">
        <f>Tabla6[[#This Row],[cantidad]]-Tabla6[[#This Row],[CANTIDAD VENDIDA]]</f>
        <v>6.6429999999999999E-5</v>
      </c>
      <c r="V64" s="2">
        <f t="shared" ca="1" si="12"/>
        <v>854.81403792512003</v>
      </c>
      <c r="W64" s="2">
        <f t="shared" si="13"/>
        <v>-700.00488143040002</v>
      </c>
      <c r="X64" s="32">
        <f t="shared" ca="1" si="14"/>
        <v>0.16879795396419439</v>
      </c>
      <c r="Y64" s="2" t="str">
        <f t="shared" si="15"/>
        <v>ACTIVA</v>
      </c>
    </row>
    <row r="65" spans="2:25">
      <c r="B65" s="1">
        <f t="shared" ca="1" si="8"/>
        <v>45604</v>
      </c>
      <c r="C65" s="2">
        <f ca="1">VLOOKUP(B65,Tabla4[],2,FALSE)</f>
        <v>4399.58</v>
      </c>
      <c r="D65" s="3">
        <f ca="1">VLOOKUP(B65,Tabla4[],3,FALSE)</f>
        <v>76116.72</v>
      </c>
      <c r="E65" s="2">
        <f ca="1">VLOOKUP(B65,Tabla4[],5,FALSE)</f>
        <v>2924.8</v>
      </c>
      <c r="F65" s="2">
        <f ca="1">VLOOKUP(B65,Tabla4[],4,FALSE)</f>
        <v>1.99</v>
      </c>
      <c r="G65" t="s">
        <v>41</v>
      </c>
      <c r="H65" s="1">
        <v>45579</v>
      </c>
      <c r="I65" s="3">
        <f>VLOOKUP(H65,Tabla4[],2,FALSE)</f>
        <v>4210.95</v>
      </c>
      <c r="J65" s="3">
        <v>1.9345000000000001</v>
      </c>
      <c r="K65" s="25">
        <v>4.2965499999999997E-2</v>
      </c>
      <c r="L65" s="29">
        <f>Tabla6[[#This Row],[precio de compra]]*Tabla6[[#This Row],[cantidad]]*Tabla6[[#This Row],[PRECIO DEL DÓLAR, DIA COMPRA]]</f>
        <v>350.00051946926249</v>
      </c>
      <c r="M65" s="26">
        <f t="shared" ca="1" si="9"/>
        <v>376.17000743509993</v>
      </c>
      <c r="N65" s="41">
        <f t="shared" ca="1" si="10"/>
        <v>2.8689583871801438E-2</v>
      </c>
      <c r="O65" s="28">
        <v>0.1</v>
      </c>
      <c r="P65" s="28">
        <v>0.3</v>
      </c>
      <c r="Q65" s="31" t="str">
        <f t="shared" ca="1" si="11"/>
        <v>MANTENER</v>
      </c>
      <c r="T65" s="2"/>
      <c r="U65" s="14">
        <f>Tabla6[[#This Row],[cantidad]]-Tabla6[[#This Row],[CANTIDAD VENDIDA]]</f>
        <v>4.2965499999999997E-2</v>
      </c>
      <c r="V65" s="2">
        <f t="shared" ca="1" si="12"/>
        <v>376.17000743509993</v>
      </c>
      <c r="W65" s="2">
        <f t="shared" si="13"/>
        <v>-350.00051946926249</v>
      </c>
      <c r="X65" s="32">
        <f t="shared" ca="1" si="14"/>
        <v>2.8689583871801438E-2</v>
      </c>
      <c r="Y65" s="2" t="str">
        <f t="shared" si="15"/>
        <v>ACTIVA</v>
      </c>
    </row>
    <row r="66" spans="2:25">
      <c r="B66" s="1">
        <f t="shared" ca="1" si="8"/>
        <v>45604</v>
      </c>
      <c r="C66" s="2">
        <f ca="1">VLOOKUP(B66,Tabla4[],2,FALSE)</f>
        <v>4399.58</v>
      </c>
      <c r="D66" s="3">
        <f ca="1">VLOOKUP(B66,Tabla4[],3,FALSE)</f>
        <v>76116.72</v>
      </c>
      <c r="E66" s="2">
        <f ca="1">VLOOKUP(B66,Tabla4[],5,FALSE)</f>
        <v>2924.8</v>
      </c>
      <c r="F66" s="2">
        <f ca="1">VLOOKUP(B66,Tabla4[],4,FALSE)</f>
        <v>1.99</v>
      </c>
      <c r="G66" t="s">
        <v>14</v>
      </c>
      <c r="H66" s="1">
        <v>45586</v>
      </c>
      <c r="I66" s="3">
        <f>VLOOKUP(H66,Tabla4[],2,FALSE)</f>
        <v>4270</v>
      </c>
      <c r="J66" s="3">
        <v>67463</v>
      </c>
      <c r="K66" s="25">
        <v>2.43E-6</v>
      </c>
      <c r="L66" s="29">
        <f>Tabla6[[#This Row],[precio de compra]]*Tabla6[[#This Row],[cantidad]]*Tabla6[[#This Row],[PRECIO DEL DÓLAR, DIA COMPRA]]</f>
        <v>700.00283430000002</v>
      </c>
      <c r="M66" s="26">
        <f t="shared" ca="1" si="9"/>
        <v>813.76228551556801</v>
      </c>
      <c r="N66" s="41">
        <f t="shared" ca="1" si="10"/>
        <v>0.12827357218030627</v>
      </c>
      <c r="O66" s="28">
        <v>0.25</v>
      </c>
      <c r="P66" s="28">
        <v>0.5</v>
      </c>
      <c r="Q66" s="31" t="str">
        <f t="shared" ca="1" si="11"/>
        <v>MANTENER</v>
      </c>
      <c r="T66" s="2"/>
      <c r="U66" s="14">
        <f>Tabla6[[#This Row],[cantidad]]-Tabla6[[#This Row],[CANTIDAD VENDIDA]]</f>
        <v>2.43E-6</v>
      </c>
      <c r="V66" s="2">
        <f t="shared" ca="1" si="12"/>
        <v>813.76228551556801</v>
      </c>
      <c r="W66" s="2">
        <f t="shared" si="13"/>
        <v>-700.00283430000002</v>
      </c>
      <c r="X66" s="32">
        <f t="shared" ca="1" si="14"/>
        <v>0.12827357218030627</v>
      </c>
      <c r="Y66" s="2" t="str">
        <f t="shared" si="15"/>
        <v>ACTIVA</v>
      </c>
    </row>
    <row r="67" spans="2:25">
      <c r="B67" s="1">
        <f t="shared" ref="B67:B72" ca="1" si="16">TODAY()</f>
        <v>45604</v>
      </c>
      <c r="C67" s="2">
        <f ca="1">VLOOKUP(B67,Tabla4[],2,FALSE)</f>
        <v>4399.58</v>
      </c>
      <c r="D67" s="3">
        <f ca="1">VLOOKUP(B67,Tabla4[],3,FALSE)</f>
        <v>76116.72</v>
      </c>
      <c r="E67" s="2">
        <f ca="1">VLOOKUP(B67,Tabla4[],5,FALSE)</f>
        <v>2924.8</v>
      </c>
      <c r="F67" s="2">
        <f ca="1">VLOOKUP(B67,Tabla4[],4,FALSE)</f>
        <v>1.99</v>
      </c>
      <c r="G67" t="s">
        <v>15</v>
      </c>
      <c r="H67" s="1">
        <v>45586</v>
      </c>
      <c r="I67" s="3">
        <f>VLOOKUP(H67,Tabla4[],2,FALSE)</f>
        <v>4270</v>
      </c>
      <c r="J67" s="3">
        <v>2663</v>
      </c>
      <c r="K67" s="25">
        <v>6.156E-5</v>
      </c>
      <c r="L67" s="29">
        <f>Tabla6[[#This Row],[precio de compra]]*Tabla6[[#This Row],[cantidad]]*Tabla6[[#This Row],[PRECIO DEL DÓLAR, DIA COMPRA]]</f>
        <v>699.99937559999989</v>
      </c>
      <c r="M67" s="26">
        <f t="shared" ref="M67:M72" ca="1" si="17" xml:space="preserve"> K67 * (IF(G67="BTC", D67, IF(G67="ETH", E67, IF(G67="IO.NET", F67, 0)))) * C67</f>
        <v>792.1474059110401</v>
      </c>
      <c r="N67" s="27">
        <f t="shared" ref="N67:N72" ca="1" si="18">IF(G67 = "BTC", (D67 - J67) / J67,
 IF(G67 = "ETH", (E67 - J67) / J67,
 IF(G67 = "IO.NET", (F67 - J67) / J67,
 "Moneda no soportada")))</f>
        <v>9.8310176492677495E-2</v>
      </c>
      <c r="O67" s="28">
        <v>0.25</v>
      </c>
      <c r="P67" s="28">
        <v>0.5</v>
      </c>
      <c r="Q67" s="31" t="str">
        <f t="shared" ref="Q67:Q98" ca="1" si="19">IF(N67 &lt; O67, "MANTENER", IF(N67 &lt; P67, "VENTA PARCIAL", "VENDER"))</f>
        <v>MANTENER</v>
      </c>
      <c r="T67" s="2"/>
      <c r="U67" s="14">
        <f>Tabla6[[#This Row],[cantidad]]-Tabla6[[#This Row],[CANTIDAD VENDIDA]]</f>
        <v>6.156E-5</v>
      </c>
      <c r="V67" s="2">
        <f t="shared" ref="V67:V98" ca="1" si="20">IF(G67="BTC", D67 * U67 * C67, IF(G67="ETH", E67 * U67 * C67, IF(G67="IO.NET", F67 * U67 * C67, 0)))</f>
        <v>792.1474059110401</v>
      </c>
      <c r="W67" s="2">
        <f t="shared" ref="W67:W72" si="21">IF(G67 = "BTC", ((T67 - L67)), IF(G67 = "ETH", ((T67 - L67)), IF(G67 = "IO.NET", ((T67 - L67)), "Moneda no soportada")))</f>
        <v>-699.99937559999989</v>
      </c>
      <c r="X67" s="32">
        <f t="shared" ref="X67:X72" ca="1" si="22">IF(G67 = "BTC", (((D67 - J67) / J67)),IF(G67 = "ETH", ((E67 - J67) / J67), IF(G67 = "IO.NET", ((F67 - J67) / J67), "Moneda no soportada")))</f>
        <v>9.8310176492677495E-2</v>
      </c>
      <c r="Y67" s="2" t="str">
        <f t="shared" ref="Y67:Y72" si="23">IF(U67=0,"VENDIDA","ACTIVA")</f>
        <v>ACTIVA</v>
      </c>
    </row>
    <row r="68" spans="2:25">
      <c r="B68" s="1">
        <f t="shared" ca="1" si="16"/>
        <v>45604</v>
      </c>
      <c r="C68" s="2">
        <f ca="1">VLOOKUP(B68,Tabla4[],2,FALSE)</f>
        <v>4399.58</v>
      </c>
      <c r="D68" s="3">
        <f ca="1">VLOOKUP(B68,Tabla4[],3,FALSE)</f>
        <v>76116.72</v>
      </c>
      <c r="E68" s="2">
        <f ca="1">VLOOKUP(B68,Tabla4[],5,FALSE)</f>
        <v>2924.8</v>
      </c>
      <c r="F68" s="2">
        <f ca="1">VLOOKUP(B68,Tabla4[],4,FALSE)</f>
        <v>1.99</v>
      </c>
      <c r="G68" t="s">
        <v>41</v>
      </c>
      <c r="H68" s="1">
        <v>45586</v>
      </c>
      <c r="I68" s="3">
        <f>VLOOKUP(H68,Tabla4[],2,FALSE)</f>
        <v>4270</v>
      </c>
      <c r="J68" s="3">
        <v>1.87052</v>
      </c>
      <c r="K68" s="25">
        <v>4.3820940000000003E-2</v>
      </c>
      <c r="L68" s="29">
        <f>Tabla6[[#This Row],[precio de compra]]*Tabla6[[#This Row],[cantidad]]*Tabla6[[#This Row],[PRECIO DEL DÓLAR, DIA COMPRA]]</f>
        <v>350.00312382117602</v>
      </c>
      <c r="M68" s="26">
        <f t="shared" ca="1" si="17"/>
        <v>383.65952509834801</v>
      </c>
      <c r="N68" s="27">
        <f t="shared" ca="1" si="18"/>
        <v>6.3875286016722641E-2</v>
      </c>
      <c r="O68" s="28">
        <v>0.1</v>
      </c>
      <c r="P68" s="28">
        <v>0.3</v>
      </c>
      <c r="Q68" s="31" t="str">
        <f t="shared" ca="1" si="19"/>
        <v>MANTENER</v>
      </c>
      <c r="T68" s="2"/>
      <c r="U68" s="14">
        <f>Tabla6[[#This Row],[cantidad]]-Tabla6[[#This Row],[CANTIDAD VENDIDA]]</f>
        <v>4.3820940000000003E-2</v>
      </c>
      <c r="V68" s="2">
        <f t="shared" ca="1" si="20"/>
        <v>383.65952509834801</v>
      </c>
      <c r="W68" s="2">
        <f t="shared" si="21"/>
        <v>-350.00312382117602</v>
      </c>
      <c r="X68" s="32">
        <f t="shared" ca="1" si="22"/>
        <v>6.3875286016722641E-2</v>
      </c>
      <c r="Y68" s="2" t="str">
        <f t="shared" si="23"/>
        <v>ACTIVA</v>
      </c>
    </row>
    <row r="69" spans="2:25">
      <c r="B69" s="1">
        <f t="shared" ca="1" si="16"/>
        <v>45604</v>
      </c>
      <c r="C69" s="2">
        <f ca="1">VLOOKUP(B69,Tabla4[],2,FALSE)</f>
        <v>4399.58</v>
      </c>
      <c r="D69" s="3">
        <f ca="1">VLOOKUP(B69,Tabla4[],3,FALSE)</f>
        <v>76116.72</v>
      </c>
      <c r="E69" s="2">
        <f ca="1">VLOOKUP(B69,Tabla4[],5,FALSE)</f>
        <v>2924.8</v>
      </c>
      <c r="F69" s="2">
        <f ca="1">VLOOKUP(B69,Tabla4[],4,FALSE)</f>
        <v>1.99</v>
      </c>
      <c r="G69" t="s">
        <v>14</v>
      </c>
      <c r="H69" s="1">
        <v>45593</v>
      </c>
      <c r="I69" s="3">
        <v>4241.6000000000004</v>
      </c>
      <c r="J69" s="3">
        <v>68763</v>
      </c>
      <c r="K69" s="25">
        <v>2.3999999999999999E-6</v>
      </c>
      <c r="L69" s="29">
        <f>Tabla6[[#This Row],[precio de compra]]*Tabla6[[#This Row],[cantidad]]*Tabla6[[#This Row],[PRECIO DEL DÓLAR, DIA COMPRA]]</f>
        <v>699.99633791999997</v>
      </c>
      <c r="M69" s="26">
        <f t="shared" ca="1" si="17"/>
        <v>803.71583754623998</v>
      </c>
      <c r="N69" s="41">
        <f t="shared" ca="1" si="18"/>
        <v>0.1069429780550587</v>
      </c>
      <c r="O69" s="28">
        <v>0.25</v>
      </c>
      <c r="P69" s="28">
        <v>0.5</v>
      </c>
      <c r="Q69" s="31" t="str">
        <f t="shared" ca="1" si="19"/>
        <v>MANTENER</v>
      </c>
      <c r="T69" s="2"/>
      <c r="U69" s="14">
        <f>Tabla6[[#This Row],[cantidad]]-Tabla6[[#This Row],[CANTIDAD VENDIDA]]</f>
        <v>2.3999999999999999E-6</v>
      </c>
      <c r="V69" s="2">
        <f t="shared" ca="1" si="20"/>
        <v>803.71583754623998</v>
      </c>
      <c r="W69" s="2">
        <f t="shared" si="21"/>
        <v>-699.99633791999997</v>
      </c>
      <c r="X69" s="32">
        <f t="shared" ca="1" si="22"/>
        <v>0.1069429780550587</v>
      </c>
      <c r="Y69" s="2" t="str">
        <f t="shared" si="23"/>
        <v>ACTIVA</v>
      </c>
    </row>
    <row r="70" spans="2:25">
      <c r="B70" s="1">
        <f t="shared" ca="1" si="16"/>
        <v>45604</v>
      </c>
      <c r="C70" s="2">
        <f ca="1">VLOOKUP(B70,Tabla4[],2,FALSE)</f>
        <v>4399.58</v>
      </c>
      <c r="D70" s="3">
        <f ca="1">VLOOKUP(B70,Tabla4[],3,FALSE)</f>
        <v>76116.72</v>
      </c>
      <c r="E70" s="2">
        <f ca="1">VLOOKUP(B70,Tabla4[],5,FALSE)</f>
        <v>2924.8</v>
      </c>
      <c r="F70" s="2">
        <f ca="1">VLOOKUP(B70,Tabla4[],4,FALSE)</f>
        <v>1.99</v>
      </c>
      <c r="G70" t="s">
        <v>15</v>
      </c>
      <c r="H70" s="1">
        <v>45593</v>
      </c>
      <c r="I70" s="3">
        <v>4241.6000000000004</v>
      </c>
      <c r="J70" s="3">
        <v>2529.6</v>
      </c>
      <c r="K70" s="25">
        <v>6.5240000000000006E-5</v>
      </c>
      <c r="L70" s="29">
        <f>Tabla6[[#This Row],[precio de compra]]*Tabla6[[#This Row],[cantidad]]*Tabla6[[#This Row],[PRECIO DEL DÓLAR, DIA COMPRA]]</f>
        <v>699.99593072640016</v>
      </c>
      <c r="M70" s="26">
        <f t="shared" ca="1" si="17"/>
        <v>839.50124694016017</v>
      </c>
      <c r="N70" s="27">
        <f t="shared" ca="1" si="18"/>
        <v>0.15623023402909561</v>
      </c>
      <c r="O70" s="28">
        <v>0.25</v>
      </c>
      <c r="P70" s="28">
        <v>0.5</v>
      </c>
      <c r="Q70" s="31" t="str">
        <f t="shared" ca="1" si="19"/>
        <v>MANTENER</v>
      </c>
      <c r="T70" s="2"/>
      <c r="U70" s="14">
        <f>Tabla6[[#This Row],[cantidad]]-Tabla6[[#This Row],[CANTIDAD VENDIDA]]</f>
        <v>6.5240000000000006E-5</v>
      </c>
      <c r="V70" s="2">
        <f t="shared" ca="1" si="20"/>
        <v>839.50124694016017</v>
      </c>
      <c r="W70" s="2">
        <f t="shared" si="21"/>
        <v>-699.99593072640016</v>
      </c>
      <c r="X70" s="32">
        <f t="shared" ca="1" si="22"/>
        <v>0.15623023402909561</v>
      </c>
      <c r="Y70" s="2" t="str">
        <f t="shared" si="23"/>
        <v>ACTIVA</v>
      </c>
    </row>
    <row r="71" spans="2:25">
      <c r="B71" s="1">
        <f t="shared" ca="1" si="16"/>
        <v>45604</v>
      </c>
      <c r="C71" s="2">
        <f ca="1">VLOOKUP(B71,Tabla4[],2,FALSE)</f>
        <v>4399.58</v>
      </c>
      <c r="D71" s="3">
        <f ca="1">VLOOKUP(B71,Tabla4[],3,FALSE)</f>
        <v>76116.72</v>
      </c>
      <c r="E71" s="2">
        <f ca="1">VLOOKUP(B71,Tabla4[],5,FALSE)</f>
        <v>2924.8</v>
      </c>
      <c r="F71" s="2">
        <f ca="1">VLOOKUP(B71,Tabla4[],4,FALSE)</f>
        <v>1.99</v>
      </c>
      <c r="G71" t="s">
        <v>41</v>
      </c>
      <c r="H71" s="1">
        <v>45593</v>
      </c>
      <c r="I71" s="3">
        <v>4241.6000000000004</v>
      </c>
      <c r="J71" s="3">
        <v>1.7296899999999999</v>
      </c>
      <c r="K71" s="25">
        <v>4.7706220000000001E-2</v>
      </c>
      <c r="L71" s="29">
        <f>Tabla6[[#This Row],[precio de compra]]*Tabla6[[#This Row],[cantidad]]*Tabla6[[#This Row],[PRECIO DEL DÓLAR, DIA COMPRA]]</f>
        <v>350.00398704310692</v>
      </c>
      <c r="M71" s="26">
        <f t="shared" ca="1" si="17"/>
        <v>417.67578946132397</v>
      </c>
      <c r="N71" s="27">
        <f t="shared" ca="1" si="18"/>
        <v>0.15049517543606084</v>
      </c>
      <c r="O71" s="28">
        <v>0.1</v>
      </c>
      <c r="P71" s="28">
        <v>0.3</v>
      </c>
      <c r="Q71" s="31" t="str">
        <f t="shared" ca="1" si="19"/>
        <v>VENTA PARCIAL</v>
      </c>
      <c r="T71" s="2"/>
      <c r="U71" s="14">
        <f>Tabla6[[#This Row],[cantidad]]-Tabla6[[#This Row],[CANTIDAD VENDIDA]]</f>
        <v>4.7706220000000001E-2</v>
      </c>
      <c r="V71" s="2">
        <f t="shared" ca="1" si="20"/>
        <v>417.67578946132397</v>
      </c>
      <c r="W71" s="2">
        <f t="shared" si="21"/>
        <v>-350.00398704310692</v>
      </c>
      <c r="X71" s="32">
        <f t="shared" ca="1" si="22"/>
        <v>0.15049517543606084</v>
      </c>
      <c r="Y71" s="2" t="str">
        <f t="shared" si="23"/>
        <v>ACTIVA</v>
      </c>
    </row>
    <row r="72" spans="2:25">
      <c r="B72" s="1">
        <f t="shared" ca="1" si="16"/>
        <v>45604</v>
      </c>
      <c r="C72" s="2">
        <f ca="1">VLOOKUP(B72,Tabla4[],2,FALSE)</f>
        <v>4399.58</v>
      </c>
      <c r="D72" s="3">
        <f ca="1">VLOOKUP(B72,Tabla4[],3,FALSE)</f>
        <v>76116.72</v>
      </c>
      <c r="E72" s="2">
        <f ca="1">VLOOKUP(B72,Tabla4[],5,FALSE)</f>
        <v>2924.8</v>
      </c>
      <c r="F72" s="2">
        <f ca="1">VLOOKUP(B72,Tabla4[],4,FALSE)</f>
        <v>1.99</v>
      </c>
      <c r="G72" t="s">
        <v>14</v>
      </c>
      <c r="H72" s="1">
        <v>45600</v>
      </c>
      <c r="I72" s="3">
        <v>4370.66</v>
      </c>
      <c r="J72" s="3">
        <v>68738</v>
      </c>
      <c r="K72" s="25">
        <v>2.3300000000000001E-6</v>
      </c>
      <c r="L72" s="29">
        <f>Tabla6[[#This Row],[precio de compra]]*Tabla6[[#This Row],[cantidad]]*Tabla6[[#This Row],[PRECIO DEL DÓLAR, DIA COMPRA]]</f>
        <v>700.00289509640004</v>
      </c>
      <c r="M72" s="26">
        <f t="shared" ca="1" si="17"/>
        <v>780.27412561780807</v>
      </c>
      <c r="N72" s="41">
        <f t="shared" ca="1" si="18"/>
        <v>0.10734557304547705</v>
      </c>
      <c r="O72" s="28">
        <v>0.25</v>
      </c>
      <c r="P72" s="28">
        <v>0.5</v>
      </c>
      <c r="Q72" s="31" t="str">
        <f t="shared" ca="1" si="19"/>
        <v>MANTENER</v>
      </c>
      <c r="T72" s="2"/>
      <c r="U72" s="14">
        <f>Tabla6[[#This Row],[cantidad]]-Tabla6[[#This Row],[CANTIDAD VENDIDA]]</f>
        <v>2.3300000000000001E-6</v>
      </c>
      <c r="V72" s="2">
        <f t="shared" ca="1" si="20"/>
        <v>780.27412561780807</v>
      </c>
      <c r="W72" s="2">
        <f t="shared" si="21"/>
        <v>-700.00289509640004</v>
      </c>
      <c r="X72" s="32">
        <f t="shared" ca="1" si="22"/>
        <v>0.10734557304547705</v>
      </c>
      <c r="Y72" s="2" t="str">
        <f t="shared" si="23"/>
        <v>ACTIVA</v>
      </c>
    </row>
    <row r="73" spans="2:25">
      <c r="B73" s="1">
        <f t="shared" ref="B73:B74" ca="1" si="24">TODAY()</f>
        <v>45604</v>
      </c>
      <c r="C73" s="2">
        <f ca="1">VLOOKUP(B73,Tabla4[],2,FALSE)</f>
        <v>4399.58</v>
      </c>
      <c r="D73" s="3">
        <f ca="1">VLOOKUP(B73,Tabla4[],3,FALSE)</f>
        <v>76116.72</v>
      </c>
      <c r="E73" s="2">
        <f ca="1">VLOOKUP(B73,Tabla4[],5,FALSE)</f>
        <v>2924.8</v>
      </c>
      <c r="F73" s="2">
        <f ca="1">VLOOKUP(B73,Tabla4[],4,FALSE)</f>
        <v>1.99</v>
      </c>
      <c r="G73" t="s">
        <v>15</v>
      </c>
      <c r="H73" s="1">
        <v>45600</v>
      </c>
      <c r="I73" s="3">
        <v>4370.66</v>
      </c>
      <c r="J73" s="3">
        <v>2439.6</v>
      </c>
      <c r="K73" s="25">
        <v>6.5649999999999997E-5</v>
      </c>
      <c r="L73" s="29">
        <f>Tabla6[[#This Row],[precio de compra]]*Tabla6[[#This Row],[cantidad]]*Tabla6[[#This Row],[PRECIO DEL DÓLAR, DIA COMPRA]]</f>
        <v>700.00376922839996</v>
      </c>
      <c r="M73" s="26">
        <f t="shared" ref="M73:M74" ca="1" si="25" xml:space="preserve"> K73 * (IF(G73="BTC", D73, IF(G73="ETH", E73, IF(G73="IO.NET", F73, 0)))) * C73</f>
        <v>844.77708248960005</v>
      </c>
      <c r="N73" s="27">
        <f t="shared" ref="N73:N74" ca="1" si="26">IF(G73 = "BTC", (D73 - J73) / J73,
 IF(G73 = "ETH", (E73 - J73) / J73,
 IF(G73 = "IO.NET", (F73 - J73) / J73,
 "Moneda no soportada")))</f>
        <v>0.1988850631251026</v>
      </c>
      <c r="O73" s="28">
        <v>0.25</v>
      </c>
      <c r="P73" s="28">
        <v>0.5</v>
      </c>
      <c r="Q73" s="31" t="str">
        <f t="shared" ref="Q73:Q74" ca="1" si="27">IF(N73 &lt; O73, "MANTENER", IF(N73 &lt; P73, "VENTA PARCIAL", "VENDER"))</f>
        <v>MANTENER</v>
      </c>
      <c r="T73" s="2"/>
      <c r="U73" s="14">
        <f>Tabla6[[#This Row],[cantidad]]-Tabla6[[#This Row],[CANTIDAD VENDIDA]]</f>
        <v>6.5649999999999997E-5</v>
      </c>
      <c r="V73" s="2">
        <f t="shared" ref="V73:V74" ca="1" si="28">IF(G73="BTC", D73 * U73 * C73, IF(G73="ETH", E73 * U73 * C73, IF(G73="IO.NET", F73 * U73 * C73, 0)))</f>
        <v>844.77708248960005</v>
      </c>
      <c r="W73" s="2">
        <f t="shared" ref="W73:W74" si="29">IF(G73 = "BTC", ((T73 - L73)), IF(G73 = "ETH", ((T73 - L73)), IF(G73 = "IO.NET", ((T73 - L73)), "Moneda no soportada")))</f>
        <v>-700.00376922839996</v>
      </c>
      <c r="X73" s="32">
        <f t="shared" ref="X73:X74" ca="1" si="30">IF(G73 = "BTC", (((D73 - J73) / J73)),IF(G73 = "ETH", ((E73 - J73) / J73), IF(G73 = "IO.NET", ((F73 - J73) / J73), "Moneda no soportada")))</f>
        <v>0.1988850631251026</v>
      </c>
      <c r="Y73" s="2" t="str">
        <f t="shared" ref="Y73:Y74" si="31">IF(U73=0,"VENDIDA","ACTIVA")</f>
        <v>ACTIVA</v>
      </c>
    </row>
    <row r="74" spans="2:25">
      <c r="B74" s="1">
        <f t="shared" ca="1" si="24"/>
        <v>45604</v>
      </c>
      <c r="C74" s="2">
        <f ca="1">VLOOKUP(B74,Tabla4[],2,FALSE)</f>
        <v>4399.58</v>
      </c>
      <c r="D74" s="3">
        <f ca="1">VLOOKUP(B74,Tabla4[],3,FALSE)</f>
        <v>76116.72</v>
      </c>
      <c r="E74" s="2">
        <f ca="1">VLOOKUP(B74,Tabla4[],5,FALSE)</f>
        <v>2924.8</v>
      </c>
      <c r="F74" s="2">
        <f ca="1">VLOOKUP(B74,Tabla4[],4,FALSE)</f>
        <v>1.99</v>
      </c>
      <c r="G74" t="s">
        <v>41</v>
      </c>
      <c r="H74" s="1">
        <v>45600</v>
      </c>
      <c r="I74" s="3">
        <v>4370.66</v>
      </c>
      <c r="J74" s="3">
        <v>1.4944500000000001</v>
      </c>
      <c r="K74" s="25">
        <v>5.3584970000000003E-2</v>
      </c>
      <c r="L74" s="29">
        <f>Tabla6[[#This Row],[precio de compra]]*Tabla6[[#This Row],[cantidad]]*Tabla6[[#This Row],[PRECIO DEL DÓLAR, DIA COMPRA]]</f>
        <v>350.00270811865994</v>
      </c>
      <c r="M74" s="26">
        <f t="shared" ca="1" si="25"/>
        <v>469.14521100207401</v>
      </c>
      <c r="N74" s="27">
        <f t="shared" ca="1" si="26"/>
        <v>0.33159356284920866</v>
      </c>
      <c r="O74" s="28">
        <v>0.1</v>
      </c>
      <c r="P74" s="28">
        <v>0.3</v>
      </c>
      <c r="Q74" s="31" t="str">
        <f t="shared" ca="1" si="27"/>
        <v>VENDER</v>
      </c>
      <c r="T74" s="2"/>
      <c r="U74" s="14">
        <f>Tabla6[[#This Row],[cantidad]]-Tabla6[[#This Row],[CANTIDAD VENDIDA]]</f>
        <v>5.3584970000000003E-2</v>
      </c>
      <c r="V74" s="2">
        <f t="shared" ca="1" si="28"/>
        <v>469.14521100207401</v>
      </c>
      <c r="W74" s="2">
        <f t="shared" si="29"/>
        <v>-350.00270811865994</v>
      </c>
      <c r="X74" s="32">
        <f t="shared" ca="1" si="30"/>
        <v>0.33159356284920866</v>
      </c>
      <c r="Y74" s="2" t="str">
        <f t="shared" si="31"/>
        <v>ACTIVA</v>
      </c>
    </row>
  </sheetData>
  <conditionalFormatting sqref="B3:Z74">
    <cfRule type="expression" dxfId="80" priority="1">
      <formula>$Y:$Y="VENDIDA"</formula>
    </cfRule>
  </conditionalFormatting>
  <conditionalFormatting sqref="Q1:Q1048576">
    <cfRule type="containsText" dxfId="79" priority="9" operator="containsText" text="VENTA PARCIAL">
      <formula>NOT(ISERROR(SEARCH("VENTA PARCIAL",Q1)))</formula>
    </cfRule>
    <cfRule type="containsText" dxfId="78" priority="10" operator="containsText" text="MANTENER">
      <formula>NOT(ISERROR(SEARCH("MANTENER",Q1)))</formula>
    </cfRule>
  </conditionalFormatting>
  <conditionalFormatting sqref="Q3:Q74">
    <cfRule type="containsText" dxfId="77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"/>
  <sheetViews>
    <sheetView workbookViewId="0">
      <selection activeCell="B19" sqref="B19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45604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4234</v>
      </c>
      <c r="I3" s="7">
        <f t="shared" ref="I3:I8" ca="1" si="2">G3*H3</f>
        <v>744.02866842000003</v>
      </c>
      <c r="J3" s="7">
        <f>F3</f>
        <v>700.0019932698001</v>
      </c>
      <c r="K3" s="7">
        <f ca="1">Tabla5[[#This Row],[VALOR ACTUAL EN COP]]-Tabla5[[#This Row],[COSTO TOTAL EN COP]]</f>
        <v>44.026675150199935</v>
      </c>
      <c r="L3" s="10">
        <f t="shared" ref="L3:L8" ca="1" si="3">((I3-J3)/J3)</f>
        <v>6.2895071119077287E-2</v>
      </c>
      <c r="M3" s="7">
        <f>D3*1.1</f>
        <v>4381.8060000000005</v>
      </c>
    </row>
    <row r="4" spans="2:13">
      <c r="B4" s="1">
        <f t="shared" ca="1" si="0"/>
        <v>45604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4234</v>
      </c>
      <c r="I4" s="7">
        <f t="shared" ca="1" si="2"/>
        <v>850.68473734000008</v>
      </c>
      <c r="J4" s="7">
        <f t="shared" ref="J4:J9" si="5">F4+J3</f>
        <v>800.00200808240015</v>
      </c>
      <c r="K4" s="7">
        <f ca="1">Tabla5[[#This Row],[VALOR ACTUAL EN COP]]-Tabla5[[#This Row],[COSTO TOTAL EN COP]]</f>
        <v>50.682729257599931</v>
      </c>
      <c r="L4" s="10">
        <f t="shared" ca="1" si="3"/>
        <v>6.3353252548810621E-2</v>
      </c>
      <c r="M4" s="7">
        <f t="shared" ref="M4:M6" si="6">D4*1.1</f>
        <v>4366.7470000000003</v>
      </c>
    </row>
    <row r="5" spans="2:13">
      <c r="B5" s="1">
        <f t="shared" ref="B5:B10" ca="1" si="7">TODAY()</f>
        <v>45604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4234</v>
      </c>
      <c r="I5" s="22">
        <f t="shared" ca="1" si="2"/>
        <v>1589.1054727600001</v>
      </c>
      <c r="J5" s="8">
        <f t="shared" si="5"/>
        <v>1500.0018441134002</v>
      </c>
      <c r="K5" s="8">
        <f ca="1">Tabla5[[#This Row],[VALOR ACTUAL EN COP]]-Tabla5[[#This Row],[COSTO TOTAL EN COP]]</f>
        <v>89.103628646599873</v>
      </c>
      <c r="L5" s="10">
        <f t="shared" ca="1" si="3"/>
        <v>5.9402346067958321E-2</v>
      </c>
      <c r="M5" s="7">
        <f t="shared" si="6"/>
        <v>4415.07</v>
      </c>
    </row>
    <row r="6" spans="2:13">
      <c r="B6" s="1">
        <f t="shared" ca="1" si="7"/>
        <v>45604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4234</v>
      </c>
      <c r="I6" s="22">
        <f t="shared" ca="1" si="2"/>
        <v>2294.1198211600004</v>
      </c>
      <c r="J6" s="8">
        <f t="shared" si="5"/>
        <v>2200.0024981274005</v>
      </c>
      <c r="K6" s="8">
        <f ca="1">Tabla5[[#This Row],[VALOR ACTUAL EN COP]]-Tabla5[[#This Row],[COSTO TOTAL EN COP]]</f>
        <v>94.11732303259987</v>
      </c>
      <c r="L6" s="10">
        <f t="shared" ca="1" si="3"/>
        <v>4.2780552800603958E-2</v>
      </c>
      <c r="M6" s="7">
        <f t="shared" si="6"/>
        <v>4624.2790000000005</v>
      </c>
    </row>
    <row r="7" spans="2:13">
      <c r="B7" s="1">
        <f t="shared" ca="1" si="7"/>
        <v>45604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4234</v>
      </c>
      <c r="I7" s="22">
        <f t="shared" ca="1" si="2"/>
        <v>3027.1326377400001</v>
      </c>
      <c r="J7" s="8">
        <f t="shared" si="5"/>
        <v>2900.0020379021007</v>
      </c>
      <c r="K7" s="8">
        <f ca="1">Tabla5[[#This Row],[VALOR ACTUAL EN COP]]-Tabla5[[#This Row],[COSTO TOTAL EN COP]]</f>
        <v>127.13059983789935</v>
      </c>
      <c r="L7" s="30">
        <f t="shared" ca="1" si="3"/>
        <v>4.3838107069009952E-2</v>
      </c>
      <c r="M7" s="8">
        <f t="shared" ref="M7:M12" si="8">D7*1.1</f>
        <v>4447.6410000000005</v>
      </c>
    </row>
    <row r="8" spans="2:13">
      <c r="B8" s="1">
        <f t="shared" ca="1" si="7"/>
        <v>45604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4234</v>
      </c>
      <c r="I8" s="22">
        <f t="shared" ca="1" si="2"/>
        <v>3775.93429436</v>
      </c>
      <c r="J8" s="8">
        <f t="shared" si="5"/>
        <v>3600.0024831079008</v>
      </c>
      <c r="K8" s="8">
        <f ca="1">Tabla5[[#This Row],[VALOR ACTUAL EN COP]]-Tabla5[[#This Row],[COSTO TOTAL EN COP]]</f>
        <v>175.93181125209912</v>
      </c>
      <c r="L8" s="30">
        <f t="shared" ca="1" si="3"/>
        <v>4.8869913861897193E-2</v>
      </c>
      <c r="M8" s="8">
        <f t="shared" si="8"/>
        <v>4353.866</v>
      </c>
    </row>
    <row r="9" spans="2:13">
      <c r="B9" s="1">
        <f t="shared" ca="1" si="7"/>
        <v>45604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4234</v>
      </c>
      <c r="I9" s="22">
        <f t="shared" ref="I9:I14" ca="1" si="10">G9*H9</f>
        <v>4523.1073005400003</v>
      </c>
      <c r="J9" s="8">
        <f t="shared" si="5"/>
        <v>4300.0015903715012</v>
      </c>
      <c r="K9" s="8">
        <f ca="1">Tabla5[[#This Row],[VALOR ACTUAL EN COP]]-Tabla5[[#This Row],[COSTO TOTAL EN COP]]</f>
        <v>223.10571016849917</v>
      </c>
      <c r="L9" s="30">
        <f t="shared" ref="L9:L14" ca="1" si="11">((I9-J9)/J9)</f>
        <v>5.1885029686517821E-2</v>
      </c>
      <c r="M9" s="8">
        <f t="shared" si="8"/>
        <v>4363.348</v>
      </c>
    </row>
    <row r="10" spans="2:13">
      <c r="B10" s="1">
        <f t="shared" ca="1" si="7"/>
        <v>45604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4234</v>
      </c>
      <c r="I10" s="22">
        <f t="shared" ca="1" si="10"/>
        <v>5264.9742579200001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264.97195740429925</v>
      </c>
      <c r="L10" s="30">
        <f t="shared" ca="1" si="11"/>
        <v>5.2994367097985134E-2</v>
      </c>
      <c r="M10" s="8">
        <f t="shared" si="8"/>
        <v>4394.5660000000007</v>
      </c>
    </row>
    <row r="11" spans="2:13">
      <c r="B11" s="1">
        <f t="shared" ref="B11:B16" ca="1" si="14">TODAY()</f>
        <v>45604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4234</v>
      </c>
      <c r="I11" s="22">
        <f t="shared" ca="1" si="10"/>
        <v>5991.0320097200001</v>
      </c>
      <c r="J11" s="8">
        <f t="shared" si="13"/>
        <v>5700.0015412237008</v>
      </c>
      <c r="K11" s="8">
        <f ca="1">Tabla5[[#This Row],[VALOR ACTUAL EN COP]]-Tabla5[[#This Row],[COSTO TOTAL EN COP]]</f>
        <v>291.03046849629936</v>
      </c>
      <c r="L11" s="30">
        <f t="shared" ca="1" si="11"/>
        <v>5.1057963123606401E-2</v>
      </c>
      <c r="M11" s="8">
        <f t="shared" si="8"/>
        <v>4490.2440000000006</v>
      </c>
    </row>
    <row r="12" spans="2:13">
      <c r="B12" s="1">
        <f t="shared" ca="1" si="14"/>
        <v>45604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4234</v>
      </c>
      <c r="I12" s="22">
        <f t="shared" ca="1" si="10"/>
        <v>6707.8414353200005</v>
      </c>
      <c r="J12" s="8">
        <f t="shared" si="13"/>
        <v>6400.0013286877011</v>
      </c>
      <c r="K12" s="8">
        <f ca="1">Tabla5[[#This Row],[VALOR ACTUAL EN COP]]-Tabla5[[#This Row],[COSTO TOTAL EN COP]]</f>
        <v>307.84010663229947</v>
      </c>
      <c r="L12" s="30">
        <f t="shared" ca="1" si="11"/>
        <v>4.8100006675376901E-2</v>
      </c>
      <c r="M12" s="8">
        <f t="shared" si="8"/>
        <v>4548.1810000000005</v>
      </c>
    </row>
    <row r="13" spans="2:13">
      <c r="B13" s="1">
        <f t="shared" ca="1" si="14"/>
        <v>45604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4234</v>
      </c>
      <c r="I13" s="22">
        <f t="shared" ca="1" si="10"/>
        <v>7433.1830483599997</v>
      </c>
      <c r="J13" s="8">
        <f t="shared" si="13"/>
        <v>7100.0005267969009</v>
      </c>
      <c r="K13" s="8">
        <f ca="1">Tabla5[[#This Row],[VALOR ACTUAL EN COP]]-Tabla5[[#This Row],[COSTO TOTAL EN COP]]</f>
        <v>333.18252156309882</v>
      </c>
      <c r="L13" s="30">
        <f t="shared" ca="1" si="11"/>
        <v>4.6927112231273452E-2</v>
      </c>
      <c r="M13" s="8">
        <f t="shared" ref="M13:M18" si="15">D13*1.1</f>
        <v>4494.6770000000006</v>
      </c>
    </row>
    <row r="14" spans="2:13">
      <c r="B14" s="1">
        <f t="shared" ca="1" si="14"/>
        <v>45604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4234</v>
      </c>
      <c r="I14" s="22">
        <f t="shared" ca="1" si="10"/>
        <v>8166.0107968000002</v>
      </c>
      <c r="J14" s="8">
        <f t="shared" si="13"/>
        <v>7799.999876784701</v>
      </c>
      <c r="K14" s="8">
        <f ca="1">Tabla5[[#This Row],[VALOR ACTUAL EN COP]]-Tabla5[[#This Row],[COSTO TOTAL EN COP]]</f>
        <v>366.01092001529923</v>
      </c>
      <c r="L14" s="30">
        <f t="shared" ca="1" si="11"/>
        <v>4.692447766629651E-2</v>
      </c>
      <c r="M14" s="8">
        <f t="shared" si="15"/>
        <v>4448.7629999999999</v>
      </c>
    </row>
    <row r="15" spans="2:13">
      <c r="B15" s="1">
        <f t="shared" ca="1" si="14"/>
        <v>45604</v>
      </c>
      <c r="C15" s="1">
        <v>45572</v>
      </c>
      <c r="D15" s="7">
        <v>4036.67</v>
      </c>
      <c r="E15">
        <v>0.17341017</v>
      </c>
      <c r="F15" s="7">
        <f>D15*E15</f>
        <v>699.99963093389999</v>
      </c>
      <c r="G15" s="14">
        <f t="shared" si="12"/>
        <v>2.1020853700000002</v>
      </c>
      <c r="H15" s="7">
        <f ca="1">VLOOKUP(B15,Tabla4[],6,FALSE)</f>
        <v>4234</v>
      </c>
      <c r="I15" s="22">
        <f ca="1">G15*H15</f>
        <v>8900.2294565800003</v>
      </c>
      <c r="J15" s="8">
        <f t="shared" si="13"/>
        <v>8499.9995077186013</v>
      </c>
      <c r="K15" s="8">
        <f ca="1">Tabla5[[#This Row],[VALOR ACTUAL EN COP]]-Tabla5[[#This Row],[COSTO TOTAL EN COP]]</f>
        <v>400.22994886139895</v>
      </c>
      <c r="L15" s="30">
        <f ca="1">((I15-J15)/J15)</f>
        <v>4.7085879063635455E-2</v>
      </c>
      <c r="M15" s="8">
        <f t="shared" si="15"/>
        <v>4440.3370000000004</v>
      </c>
    </row>
    <row r="16" spans="2:13">
      <c r="B16" s="1">
        <f t="shared" ca="1" si="14"/>
        <v>45604</v>
      </c>
      <c r="C16" s="1">
        <v>45580</v>
      </c>
      <c r="D16" s="7">
        <v>4101.22</v>
      </c>
      <c r="E16">
        <v>0.17068098000000001</v>
      </c>
      <c r="F16" s="7">
        <f>D16*E16</f>
        <v>700.0002487956001</v>
      </c>
      <c r="G16" s="14">
        <f>G15+E16</f>
        <v>2.2727663500000004</v>
      </c>
      <c r="H16" s="7">
        <f ca="1">VLOOKUP(B16,Tabla4[],6,FALSE)</f>
        <v>4234</v>
      </c>
      <c r="I16" s="22">
        <f ca="1">G16*H16</f>
        <v>9622.8927259000011</v>
      </c>
      <c r="J16" s="8">
        <f>F16+J15</f>
        <v>9199.9997565142021</v>
      </c>
      <c r="K16" s="8">
        <f ca="1">Tabla5[[#This Row],[VALOR ACTUAL EN COP]]-Tabla5[[#This Row],[COSTO TOTAL EN COP]]</f>
        <v>422.89296938579901</v>
      </c>
      <c r="L16" s="30">
        <f ca="1">((I16-J16)/J16)</f>
        <v>4.5966628323697849E-2</v>
      </c>
      <c r="M16" s="8">
        <f t="shared" si="15"/>
        <v>4511.3420000000006</v>
      </c>
    </row>
    <row r="17" spans="2:13">
      <c r="B17" s="1">
        <f ca="1">TODAY()</f>
        <v>45604</v>
      </c>
      <c r="C17" s="1">
        <v>45586</v>
      </c>
      <c r="D17" s="7">
        <v>4209.08</v>
      </c>
      <c r="E17">
        <v>0.16630713</v>
      </c>
      <c r="F17" s="22">
        <f>D17*E17</f>
        <v>700.00001474039993</v>
      </c>
      <c r="G17" s="14">
        <f>G16+E17</f>
        <v>2.4390734800000002</v>
      </c>
      <c r="H17" s="7">
        <f ca="1">VLOOKUP(B17,Tabla4[],6,FALSE)</f>
        <v>4234</v>
      </c>
      <c r="I17" s="22">
        <f ca="1">G17*H17</f>
        <v>10327.037114320001</v>
      </c>
      <c r="J17" s="8">
        <f>F17+J16</f>
        <v>9899.9997712546028</v>
      </c>
      <c r="K17" s="8">
        <f ca="1">Tabla5[[#This Row],[VALOR ACTUAL EN COP]]-Tabla5[[#This Row],[COSTO TOTAL EN COP]]</f>
        <v>427.03734306539809</v>
      </c>
      <c r="L17" s="30">
        <f ca="1">((I17-J17)/J17)</f>
        <v>4.3135086154782877E-2</v>
      </c>
      <c r="M17" s="8">
        <f t="shared" si="15"/>
        <v>4629.9880000000003</v>
      </c>
    </row>
    <row r="18" spans="2:13">
      <c r="B18" s="1">
        <f ca="1">TODAY()</f>
        <v>45604</v>
      </c>
      <c r="C18" s="1">
        <v>45593</v>
      </c>
      <c r="D18" s="7">
        <v>4241.6000000000004</v>
      </c>
      <c r="E18">
        <v>0.16503193999999999</v>
      </c>
      <c r="F18" s="22">
        <f>D18*E18</f>
        <v>699.99947670400002</v>
      </c>
      <c r="G18" s="14">
        <f>G17+E18</f>
        <v>2.6041054200000002</v>
      </c>
      <c r="H18" s="7">
        <f ca="1">VLOOKUP(B18,Tabla4[],6,FALSE)</f>
        <v>4234</v>
      </c>
      <c r="I18" s="22">
        <f ca="1">G18*H18</f>
        <v>11025.782348280001</v>
      </c>
      <c r="J18" s="8">
        <f>F18+J17</f>
        <v>10599.999247958604</v>
      </c>
      <c r="K18" s="8">
        <f ca="1">Tabla5[[#This Row],[VALOR ACTUAL EN COP]]-Tabla5[[#This Row],[COSTO TOTAL EN COP]]</f>
        <v>425.7831003213978</v>
      </c>
      <c r="L18" s="30">
        <f ca="1">((I18-J18)/J18)</f>
        <v>4.0168219861279428E-2</v>
      </c>
      <c r="M18" s="8">
        <f t="shared" si="15"/>
        <v>4665.7600000000011</v>
      </c>
    </row>
    <row r="19" spans="2:13">
      <c r="B19" s="1">
        <f ca="1">TODAY()</f>
        <v>45604</v>
      </c>
      <c r="C19" s="1">
        <v>45600</v>
      </c>
      <c r="D19" s="7">
        <v>4370.66</v>
      </c>
      <c r="E19">
        <v>0.16015905999999999</v>
      </c>
      <c r="F19" s="22">
        <f>D19*E19</f>
        <v>700.00079717959989</v>
      </c>
      <c r="G19" s="14">
        <f>G18+E19</f>
        <v>2.76426448</v>
      </c>
      <c r="H19" s="7">
        <f ca="1">VLOOKUP(B19,Tabla4[],6,FALSE)</f>
        <v>4234</v>
      </c>
      <c r="I19" s="22">
        <f ca="1">G19*H19</f>
        <v>11703.89580832</v>
      </c>
      <c r="J19" s="8">
        <f>F19+J18</f>
        <v>11300.000045138204</v>
      </c>
      <c r="K19" s="8">
        <f ca="1">Tabla5[[#This Row],[VALOR ACTUAL EN COP]]-Tabla5[[#This Row],[COSTO TOTAL EN COP]]</f>
        <v>403.8957631817957</v>
      </c>
      <c r="L19" s="30">
        <f ca="1">((I19-J19)/J19)</f>
        <v>3.5742987749417823E-2</v>
      </c>
      <c r="M19" s="8">
        <f>D19*1.1</f>
        <v>4807.7260000000006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2"/>
  <sheetViews>
    <sheetView topLeftCell="F1" workbookViewId="0">
      <selection activeCell="K18" sqref="K18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14" si="0">F3-J3</f>
        <v>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-6481.8000000000029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-204.69999999999982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-0.67000000000000015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 t="shared" ref="L14:L22" si="11"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 t="shared" ref="G15:G22" si="12">D15*F15*E15</f>
        <v>14069.857322894881</v>
      </c>
      <c r="H15">
        <v>6.2749999999999994E-5</v>
      </c>
      <c r="I15" s="7">
        <v>4374.1000000000004</v>
      </c>
      <c r="J15" s="7">
        <v>72074</v>
      </c>
      <c r="K15" s="7">
        <f t="shared" ref="K15:K22" si="13">H15*J15*I15</f>
        <v>19782.494933349997</v>
      </c>
      <c r="L15" s="14">
        <f t="shared" si="11"/>
        <v>1.0219999999999994E-5</v>
      </c>
      <c r="M15" s="8">
        <f t="shared" ref="M15:M22" si="14">F15-J15</f>
        <v>-8288.1999999999971</v>
      </c>
      <c r="N15" s="7">
        <f t="shared" ref="N15:N22" si="15">L15*J15*I15</f>
        <v>3221.9457883479981</v>
      </c>
      <c r="O15" s="8">
        <f t="shared" ref="O15:O22" si="16">(K15-G15)/G15</f>
        <v>0.40601958352195555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 t="shared" si="12"/>
        <v>11373.39366623264</v>
      </c>
      <c r="H16">
        <v>1.28396E-3</v>
      </c>
      <c r="I16" s="7">
        <v>4374.1000000000004</v>
      </c>
      <c r="J16" s="7">
        <v>2630</v>
      </c>
      <c r="K16" s="7">
        <f t="shared" si="13"/>
        <v>14770.525616680001</v>
      </c>
      <c r="L16" s="14">
        <f t="shared" si="11"/>
        <v>2.5434000000000003E-4</v>
      </c>
      <c r="M16" s="8">
        <f t="shared" si="14"/>
        <v>0.59999999999990905</v>
      </c>
      <c r="N16" s="7">
        <f t="shared" si="15"/>
        <v>2925.8976022200009</v>
      </c>
      <c r="O16" s="8">
        <f t="shared" si="16"/>
        <v>0.29869114269150576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 t="shared" si="12"/>
        <v>6375.4667619334559</v>
      </c>
      <c r="H17">
        <v>0.91954166000000004</v>
      </c>
      <c r="I17" s="7">
        <v>4374.1000000000004</v>
      </c>
      <c r="J17" s="7">
        <v>1.68</v>
      </c>
      <c r="K17" s="7">
        <f t="shared" si="13"/>
        <v>6757.2408540100814</v>
      </c>
      <c r="L17" s="14">
        <f t="shared" si="11"/>
        <v>0.18250943000000008</v>
      </c>
      <c r="M17" s="8">
        <f t="shared" si="14"/>
        <v>0.38000000000000012</v>
      </c>
      <c r="N17" s="7">
        <f t="shared" si="15"/>
        <v>1341.1683562418407</v>
      </c>
      <c r="O17" s="8">
        <f t="shared" si="16"/>
        <v>5.9881747695104723E-2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 t="shared" si="12"/>
        <v>8119.6943981663999</v>
      </c>
      <c r="H18">
        <v>2.63210867</v>
      </c>
      <c r="I18" s="7">
        <v>4374.1000000000004</v>
      </c>
      <c r="J18" s="7">
        <v>1</v>
      </c>
      <c r="K18" s="7">
        <f t="shared" si="13"/>
        <v>11513.106533447</v>
      </c>
      <c r="L18" s="14">
        <f t="shared" si="11"/>
        <v>0.69844295000000001</v>
      </c>
      <c r="M18" s="8">
        <f t="shared" si="14"/>
        <v>0</v>
      </c>
      <c r="N18" s="7">
        <f t="shared" si="15"/>
        <v>3055.0593075950001</v>
      </c>
      <c r="O18" s="8">
        <f t="shared" si="16"/>
        <v>0.41792362727923671</v>
      </c>
    </row>
    <row r="19" spans="2:15">
      <c r="B19" s="17" t="s">
        <v>112</v>
      </c>
      <c r="C19" t="s">
        <v>14</v>
      </c>
      <c r="D19">
        <v>6.2749999999999994E-5</v>
      </c>
      <c r="E19" s="7">
        <v>4418.63</v>
      </c>
      <c r="F19" s="7">
        <v>69923.17</v>
      </c>
      <c r="G19" s="7">
        <f t="shared" si="12"/>
        <v>19387.529695233025</v>
      </c>
      <c r="K19">
        <f t="shared" si="13"/>
        <v>0</v>
      </c>
      <c r="L19" s="14">
        <f t="shared" si="11"/>
        <v>-6.2749999999999994E-5</v>
      </c>
      <c r="M19" s="8">
        <f t="shared" si="14"/>
        <v>69923.17</v>
      </c>
      <c r="N19">
        <f t="shared" si="15"/>
        <v>0</v>
      </c>
      <c r="O19" s="8">
        <f t="shared" si="16"/>
        <v>-1</v>
      </c>
    </row>
    <row r="20" spans="2:15">
      <c r="B20" s="17" t="s">
        <v>112</v>
      </c>
      <c r="C20" t="s">
        <v>15</v>
      </c>
      <c r="D20">
        <v>1.28396E-3</v>
      </c>
      <c r="E20" s="7">
        <v>4418.63</v>
      </c>
      <c r="F20" s="7">
        <v>2517.8000000000002</v>
      </c>
      <c r="G20" s="7">
        <f t="shared" si="12"/>
        <v>14284.345963311442</v>
      </c>
      <c r="K20">
        <f t="shared" si="13"/>
        <v>0</v>
      </c>
      <c r="L20" s="14">
        <f t="shared" si="11"/>
        <v>-1.28396E-3</v>
      </c>
      <c r="M20" s="8">
        <f t="shared" si="14"/>
        <v>2517.8000000000002</v>
      </c>
      <c r="N20">
        <f t="shared" si="15"/>
        <v>0</v>
      </c>
      <c r="O20" s="8">
        <f t="shared" si="16"/>
        <v>-1</v>
      </c>
    </row>
    <row r="21" spans="2:15">
      <c r="B21" s="17" t="s">
        <v>112</v>
      </c>
      <c r="C21" t="s">
        <v>41</v>
      </c>
      <c r="D21">
        <v>0.91954166000000004</v>
      </c>
      <c r="E21" s="7">
        <v>4418.63</v>
      </c>
      <c r="F21" s="7">
        <v>1.61</v>
      </c>
      <c r="G21" s="7">
        <f t="shared" si="12"/>
        <v>6541.6141278525392</v>
      </c>
      <c r="K21">
        <f t="shared" si="13"/>
        <v>0</v>
      </c>
      <c r="L21" s="14">
        <f t="shared" si="11"/>
        <v>-0.91954166000000004</v>
      </c>
      <c r="M21" s="8">
        <f t="shared" si="14"/>
        <v>1.61</v>
      </c>
      <c r="N21">
        <f t="shared" si="15"/>
        <v>0</v>
      </c>
      <c r="O21" s="8">
        <f t="shared" si="16"/>
        <v>-1</v>
      </c>
    </row>
    <row r="22" spans="2:15">
      <c r="B22" s="17" t="s">
        <v>112</v>
      </c>
      <c r="C22" t="s">
        <v>63</v>
      </c>
      <c r="D22">
        <v>2.63210867</v>
      </c>
      <c r="E22" s="7">
        <v>4418.63</v>
      </c>
      <c r="F22" s="7">
        <v>1</v>
      </c>
      <c r="G22" s="7">
        <f t="shared" si="12"/>
        <v>11630.314332522101</v>
      </c>
      <c r="K22">
        <f t="shared" si="13"/>
        <v>0</v>
      </c>
      <c r="L22" s="14">
        <f t="shared" si="11"/>
        <v>-2.63210867</v>
      </c>
      <c r="M22" s="8">
        <f t="shared" si="14"/>
        <v>1</v>
      </c>
      <c r="N22">
        <f t="shared" si="15"/>
        <v>0</v>
      </c>
      <c r="O22" s="8">
        <f t="shared" si="16"/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0"/>
  <sheetViews>
    <sheetView topLeftCell="G70" workbookViewId="0">
      <selection activeCell="G90" activeCellId="2" sqref="M90 J90 G90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13" width="22.375" customWidth="1"/>
  </cols>
  <sheetData>
    <row r="2" spans="2:13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</row>
    <row r="3" spans="2:13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</row>
    <row r="4" spans="2:13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</row>
    <row r="5" spans="2:13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</row>
    <row r="6" spans="2:13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</row>
    <row r="7" spans="2:13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</row>
    <row r="8" spans="2:13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</row>
    <row r="9" spans="2:13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</row>
    <row r="10" spans="2:13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</row>
    <row r="11" spans="2:13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</row>
    <row r="12" spans="2:13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</row>
    <row r="13" spans="2:13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</row>
    <row r="14" spans="2:13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</row>
    <row r="15" spans="2:13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</row>
    <row r="16" spans="2:13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</row>
    <row r="17" spans="2:13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</row>
    <row r="18" spans="2:13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</row>
    <row r="19" spans="2:13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</row>
    <row r="20" spans="2:13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</row>
    <row r="21" spans="2:13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</row>
    <row r="22" spans="2:13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</row>
    <row r="23" spans="2:13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</row>
    <row r="24" spans="2:13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</row>
    <row r="25" spans="2:13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</row>
    <row r="26" spans="2:13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</row>
    <row r="27" spans="2:13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</row>
    <row r="28" spans="2:13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</row>
    <row r="29" spans="2:13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</row>
    <row r="30" spans="2:13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</row>
    <row r="31" spans="2:13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</row>
    <row r="32" spans="2:13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</row>
    <row r="33" spans="2:13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</row>
    <row r="34" spans="2:13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</row>
    <row r="35" spans="2:13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</row>
    <row r="36" spans="2:13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</row>
    <row r="37" spans="2:13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</row>
    <row r="38" spans="2:13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</row>
    <row r="39" spans="2:13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</row>
    <row r="40" spans="2:13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</row>
    <row r="41" spans="2:13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</row>
    <row r="42" spans="2:13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</row>
    <row r="43" spans="2:13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</row>
    <row r="44" spans="2:13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</row>
    <row r="45" spans="2:13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</row>
    <row r="46" spans="2:13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</row>
    <row r="47" spans="2:13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</row>
    <row r="48" spans="2:13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</row>
    <row r="49" spans="2:13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</row>
    <row r="50" spans="2:13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</row>
    <row r="51" spans="2:13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</row>
    <row r="52" spans="2:13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</row>
    <row r="53" spans="2:13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</row>
    <row r="54" spans="2:13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</row>
    <row r="55" spans="2:13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</row>
    <row r="56" spans="2:13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</row>
    <row r="57" spans="2:13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</row>
    <row r="58" spans="2:13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</row>
    <row r="59" spans="2:13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</row>
    <row r="60" spans="2:13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</row>
    <row r="61" spans="2:13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</row>
    <row r="62" spans="2:13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</row>
    <row r="63" spans="2:13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</row>
    <row r="64" spans="2:13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</row>
    <row r="65" spans="2:13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</row>
    <row r="66" spans="2:13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</row>
    <row r="67" spans="2:13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</row>
    <row r="68" spans="2:13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</row>
    <row r="69" spans="2:13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</row>
    <row r="70" spans="2:13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</row>
    <row r="71" spans="2:13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</row>
    <row r="72" spans="2:13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</row>
    <row r="73" spans="2:13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</row>
    <row r="74" spans="2:13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</row>
    <row r="75" spans="2:13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</row>
    <row r="76" spans="2:13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</row>
    <row r="77" spans="2:13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</row>
    <row r="78" spans="2:13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</row>
    <row r="79" spans="2:13">
      <c r="B79" s="1">
        <v>45587</v>
      </c>
      <c r="C79" s="8">
        <f>VLOOKUP(B79,Tabla4[],2,FALSE)</f>
        <v>4280.04</v>
      </c>
      <c r="D79" s="24">
        <v>536.16</v>
      </c>
      <c r="E79" s="8">
        <f t="shared" ref="E79:E84" si="11"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</row>
    <row r="80" spans="2:13">
      <c r="B80" s="1">
        <v>45588</v>
      </c>
      <c r="C80" s="8">
        <f>VLOOKUP(B80,Tabla4[],2,FALSE)</f>
        <v>4270.37</v>
      </c>
      <c r="D80" s="24">
        <v>531.27</v>
      </c>
      <c r="E80" s="8">
        <f t="shared" si="11"/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</row>
    <row r="81" spans="2:13">
      <c r="B81" s="1">
        <v>45589</v>
      </c>
      <c r="C81" s="8">
        <f>VLOOKUP(B81,Tabla4[],2,FALSE)</f>
        <v>4323.92</v>
      </c>
      <c r="D81" s="24">
        <v>532.47</v>
      </c>
      <c r="E81" s="8">
        <f t="shared" si="11"/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</row>
    <row r="82" spans="2:13">
      <c r="B82" s="1">
        <v>45590</v>
      </c>
      <c r="C82" s="8">
        <f>VLOOKUP(B82,Tabla4[],2,FALSE)</f>
        <v>4323.1099999999997</v>
      </c>
      <c r="D82" s="24">
        <v>532.26</v>
      </c>
      <c r="E82" s="8">
        <f t="shared" si="11"/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</row>
    <row r="83" spans="2:13">
      <c r="B83" s="1">
        <v>45593</v>
      </c>
      <c r="C83" s="8">
        <f>VLOOKUP(B83,Tabla4[],2,FALSE)</f>
        <v>4321.6400000000003</v>
      </c>
      <c r="D83" s="24">
        <v>533.91999999999996</v>
      </c>
      <c r="E83" s="8">
        <f t="shared" si="11"/>
        <v>8.1049056000000004</v>
      </c>
      <c r="F83" s="8">
        <f>Tabla2[[#This Row],[VALOR INVERSION 1]]-7.7</f>
        <v>0.4049056000000002</v>
      </c>
      <c r="G83" s="8">
        <f>Tabla2[[#This Row],[VALOR INVERSION 1]]*Tabla2[[#This Row],[PRECIO DEL DÓLAR]]</f>
        <v>35026.484237184006</v>
      </c>
      <c r="H83" s="8">
        <f>Tabla2[[#This Row],[VOO]]*0.01527</f>
        <v>8.1529583999999993</v>
      </c>
      <c r="I83" s="8">
        <f>Tabla2[[#This Row],[VALOR INVERSION 2]]-7.9</f>
        <v>0.25295839999999892</v>
      </c>
      <c r="J83" s="8">
        <f>Tabla2[[#This Row],[VALOR INVERSION 2]]*Tabla2[[#This Row],[PRECIO DEL DÓLAR]]</f>
        <v>35234.151139775997</v>
      </c>
      <c r="K83" s="8">
        <f>Tabla2[[#This Row],[VOO]]*0.01284</f>
        <v>6.8555327999999998</v>
      </c>
      <c r="L83" s="8">
        <f>Tabla2[[#This Row],[VALOR INVERSION 3]]-6.9</f>
        <v>-4.4467200000000595E-2</v>
      </c>
      <c r="M83" s="8">
        <f>Tabla2[[#This Row],[VALOR INVERSION 3]]*Tabla2[[#This Row],[PRECIO DEL DÓLAR]]</f>
        <v>29627.144769792001</v>
      </c>
    </row>
    <row r="84" spans="2:13">
      <c r="B84" s="1">
        <v>45594</v>
      </c>
      <c r="C84" s="8">
        <f>VLOOKUP(B84,Tabla4[],2,FALSE)</f>
        <v>4345.13</v>
      </c>
      <c r="D84" s="24">
        <v>534.77</v>
      </c>
      <c r="E84" s="8">
        <f t="shared" si="11"/>
        <v>8.1178086</v>
      </c>
      <c r="F84" s="8">
        <f>Tabla2[[#This Row],[VALOR INVERSION 1]]-7.7</f>
        <v>0.41780859999999986</v>
      </c>
      <c r="G84" s="8">
        <f>Tabla2[[#This Row],[VALOR INVERSION 1]]*Tabla2[[#This Row],[PRECIO DEL DÓLAR]]</f>
        <v>35272.933682118004</v>
      </c>
      <c r="H84" s="8">
        <f>Tabla2[[#This Row],[VOO]]*0.01527</f>
        <v>8.1659378999999994</v>
      </c>
      <c r="I84" s="8">
        <f>Tabla2[[#This Row],[VALOR INVERSION 2]]-7.9</f>
        <v>0.26593789999999906</v>
      </c>
      <c r="J84" s="8">
        <f>Tabla2[[#This Row],[VALOR INVERSION 2]]*Tabla2[[#This Row],[PRECIO DEL DÓLAR]]</f>
        <v>35482.061747426997</v>
      </c>
      <c r="K84" s="8">
        <f>Tabla2[[#This Row],[VOO]]*0.01284</f>
        <v>6.8664468000000003</v>
      </c>
      <c r="L84" s="8">
        <f>Tabla2[[#This Row],[VALOR INVERSION 3]]-6.9</f>
        <v>-3.3553200000000061E-2</v>
      </c>
      <c r="M84" s="8">
        <f>Tabla2[[#This Row],[VALOR INVERSION 3]]*Tabla2[[#This Row],[PRECIO DEL DÓLAR]]</f>
        <v>29835.603984084002</v>
      </c>
    </row>
    <row r="85" spans="2:13">
      <c r="B85" s="1">
        <v>45595</v>
      </c>
      <c r="C85" s="8">
        <f>VLOOKUP(B85,Tabla4[],2,FALSE)</f>
        <v>4323.01</v>
      </c>
      <c r="D85" s="24">
        <v>533.16</v>
      </c>
      <c r="E85" s="8">
        <f>0.01518 * D85</f>
        <v>8.0933688000000004</v>
      </c>
      <c r="F85" s="8">
        <f>Tabla2[[#This Row],[VALOR INVERSION 1]]-7.7</f>
        <v>0.39336880000000018</v>
      </c>
      <c r="G85" s="8">
        <f>Tabla2[[#This Row],[VALOR INVERSION 1]]*Tabla2[[#This Row],[PRECIO DEL DÓLAR]]</f>
        <v>34987.714256088002</v>
      </c>
      <c r="H85" s="8">
        <f>Tabla2[[#This Row],[VOO]]*0.01527</f>
        <v>8.1413531999999993</v>
      </c>
      <c r="I85" s="8">
        <f>Tabla2[[#This Row],[VALOR INVERSION 2]]-7.9</f>
        <v>0.24135319999999894</v>
      </c>
      <c r="J85" s="8">
        <f>Tabla2[[#This Row],[VALOR INVERSION 2]]*Tabla2[[#This Row],[PRECIO DEL DÓLAR]]</f>
        <v>35195.151297131997</v>
      </c>
      <c r="K85" s="8">
        <f>Tabla2[[#This Row],[VOO]]*0.01284</f>
        <v>6.8457743999999998</v>
      </c>
      <c r="L85" s="8">
        <f>Tabla2[[#This Row],[VALOR INVERSION 3]]-6.9</f>
        <v>-5.422560000000054E-2</v>
      </c>
      <c r="M85" s="8">
        <f>Tabla2[[#This Row],[VALOR INVERSION 3]]*Tabla2[[#This Row],[PRECIO DEL DÓLAR]]</f>
        <v>29594.351188944001</v>
      </c>
    </row>
    <row r="86" spans="2:13">
      <c r="B86" s="1">
        <v>45597</v>
      </c>
      <c r="C86" s="8">
        <f>VLOOKUP(B86,Tabla4[],2,FALSE)</f>
        <v>4418.63</v>
      </c>
      <c r="D86" s="24">
        <v>522.66999999999996</v>
      </c>
      <c r="E86" s="8">
        <f>0.01518 * D86</f>
        <v>7.9341305999999996</v>
      </c>
      <c r="F86" s="8">
        <f>Tabla2[[#This Row],[VALOR INVERSION 1]]-7.7</f>
        <v>0.23413059999999941</v>
      </c>
      <c r="G86" s="8">
        <f>Tabla2[[#This Row],[VALOR INVERSION 1]]*Tabla2[[#This Row],[PRECIO DEL DÓLAR]]</f>
        <v>35057.987493077999</v>
      </c>
      <c r="H86" s="8">
        <f>Tabla2[[#This Row],[VOO]]*0.01527</f>
        <v>7.9811708999999995</v>
      </c>
      <c r="I86" s="8">
        <f>Tabla2[[#This Row],[VALOR INVERSION 2]]-7.9</f>
        <v>8.1170899999999158E-2</v>
      </c>
      <c r="J86" s="8">
        <f>Tabla2[[#This Row],[VALOR INVERSION 2]]*Tabla2[[#This Row],[PRECIO DEL DÓLAR]]</f>
        <v>35265.841173866997</v>
      </c>
      <c r="K86" s="8">
        <f>Tabla2[[#This Row],[VOO]]*0.01284</f>
        <v>6.7110827999999998</v>
      </c>
      <c r="L86" s="8">
        <f>Tabla2[[#This Row],[VALOR INVERSION 3]]-6.9</f>
        <v>-0.18891720000000056</v>
      </c>
      <c r="M86" s="8">
        <f>Tabla2[[#This Row],[VALOR INVERSION 3]]*Tabla2[[#This Row],[PRECIO DEL DÓLAR]]</f>
        <v>29653.791792563999</v>
      </c>
    </row>
    <row r="87" spans="2:13">
      <c r="B87" s="1">
        <v>45600</v>
      </c>
      <c r="C87" s="8">
        <f>VLOOKUP(B87,Tabla4[],2,FALSE)</f>
        <v>4445.3500000000004</v>
      </c>
      <c r="D87" s="24">
        <v>523.79999999999995</v>
      </c>
      <c r="E87" s="8">
        <f>0.01518 * D87</f>
        <v>7.9512839999999994</v>
      </c>
      <c r="F87" s="8">
        <f>Tabla2[[#This Row],[VALOR INVERSION 1]]-7.7</f>
        <v>0.25128399999999917</v>
      </c>
      <c r="G87" s="8">
        <f>Tabla2[[#This Row],[VALOR INVERSION 1]]*Tabla2[[#This Row],[PRECIO DEL DÓLAR]]</f>
        <v>35346.240329400003</v>
      </c>
      <c r="H87" s="8">
        <f>Tabla2[[#This Row],[VOO]]*0.01527</f>
        <v>7.9984259999999994</v>
      </c>
      <c r="I87" s="8">
        <f>Tabla2[[#This Row],[VALOR INVERSION 2]]-7.9</f>
        <v>9.8425999999999014E-2</v>
      </c>
      <c r="J87" s="8">
        <f>Tabla2[[#This Row],[VALOR INVERSION 2]]*Tabla2[[#This Row],[PRECIO DEL DÓLAR]]</f>
        <v>35555.8030191</v>
      </c>
      <c r="K87" s="8">
        <f>Tabla2[[#This Row],[VOO]]*0.01284</f>
        <v>6.7255919999999998</v>
      </c>
      <c r="L87" s="8">
        <f>Tabla2[[#This Row],[VALOR INVERSION 3]]-6.9</f>
        <v>-0.17440800000000056</v>
      </c>
      <c r="M87" s="8">
        <f>Tabla2[[#This Row],[VALOR INVERSION 3]]*Tabla2[[#This Row],[PRECIO DEL DÓLAR]]</f>
        <v>29897.610397200002</v>
      </c>
    </row>
    <row r="88" spans="2:13">
      <c r="B88" s="1">
        <v>45601</v>
      </c>
      <c r="C88" s="8">
        <f>VLOOKUP(B88,Tabla4[],2,FALSE)</f>
        <v>4438.62</v>
      </c>
      <c r="D88" s="24">
        <v>530.1</v>
      </c>
      <c r="E88" s="8">
        <f>0.01518 * D88</f>
        <v>8.0469180000000016</v>
      </c>
      <c r="F88" s="8">
        <f>Tabla2[[#This Row],[VALOR INVERSION 1]]-7.7</f>
        <v>0.34691800000000139</v>
      </c>
      <c r="G88" s="8">
        <f>Tabla2[[#This Row],[VALOR INVERSION 1]]*Tabla2[[#This Row],[PRECIO DEL DÓLAR]]</f>
        <v>35717.211173160009</v>
      </c>
      <c r="H88" s="8">
        <f>Tabla2[[#This Row],[VOO]]*0.01527</f>
        <v>8.0946270000000009</v>
      </c>
      <c r="I88" s="8">
        <f>Tabla2[[#This Row],[VALOR INVERSION 2]]-7.9</f>
        <v>0.19462700000000055</v>
      </c>
      <c r="J88" s="8">
        <f>Tabla2[[#This Row],[VALOR INVERSION 2]]*Tabla2[[#This Row],[PRECIO DEL DÓLAR]]</f>
        <v>35928.973294740004</v>
      </c>
      <c r="K88" s="8">
        <f>Tabla2[[#This Row],[VOO]]*0.01284</f>
        <v>6.8064840000000011</v>
      </c>
      <c r="L88" s="8">
        <f>Tabla2[[#This Row],[VALOR INVERSION 3]]-6.9</f>
        <v>-9.3515999999999266E-2</v>
      </c>
      <c r="M88" s="8">
        <f>Tabla2[[#This Row],[VALOR INVERSION 3]]*Tabla2[[#This Row],[PRECIO DEL DÓLAR]]</f>
        <v>30211.396012080004</v>
      </c>
    </row>
    <row r="89" spans="2:13">
      <c r="B89" s="1">
        <v>45602</v>
      </c>
      <c r="C89" s="8">
        <f>VLOOKUP(B89,Tabla4[],2,FALSE)</f>
        <v>4439.75</v>
      </c>
      <c r="D89" s="24">
        <v>543.29999999999995</v>
      </c>
      <c r="E89" s="8">
        <f>0.01518 * D89</f>
        <v>8.2472940000000001</v>
      </c>
      <c r="F89" s="8">
        <f>Tabla2[[#This Row],[VALOR INVERSION 1]]-7.7</f>
        <v>0.54729399999999995</v>
      </c>
      <c r="G89" s="8">
        <f>Tabla2[[#This Row],[VALOR INVERSION 1]]*Tabla2[[#This Row],[PRECIO DEL DÓLAR]]</f>
        <v>36615.923536499999</v>
      </c>
      <c r="H89" s="8">
        <f>Tabla2[[#This Row],[VOO]]*0.01527</f>
        <v>8.2961910000000003</v>
      </c>
      <c r="I89" s="8">
        <f>Tabla2[[#This Row],[VALOR INVERSION 2]]-7.9</f>
        <v>0.39619099999999996</v>
      </c>
      <c r="J89" s="8">
        <f>Tabla2[[#This Row],[VALOR INVERSION 2]]*Tabla2[[#This Row],[PRECIO DEL DÓLAR]]</f>
        <v>36833.013992250002</v>
      </c>
      <c r="K89" s="8">
        <f>Tabla2[[#This Row],[VOO]]*0.01284</f>
        <v>6.9759719999999996</v>
      </c>
      <c r="L89" s="8">
        <f>Tabla2[[#This Row],[VALOR INVERSION 3]]-6.9</f>
        <v>7.5971999999999262E-2</v>
      </c>
      <c r="M89" s="8">
        <f>Tabla2[[#This Row],[VALOR INVERSION 3]]*Tabla2[[#This Row],[PRECIO DEL DÓLAR]]</f>
        <v>30971.571687</v>
      </c>
    </row>
    <row r="90" spans="2:13">
      <c r="B90" s="1">
        <v>45603</v>
      </c>
      <c r="C90" s="8">
        <f>VLOOKUP(B90,Tabla4[],2,FALSE)</f>
        <v>4389.7299999999996</v>
      </c>
      <c r="D90" s="24">
        <v>547.53</v>
      </c>
      <c r="E90" s="8">
        <f>0.01518 * D90</f>
        <v>8.3115053999999997</v>
      </c>
      <c r="F90" s="8">
        <f>Tabla2[[#This Row],[VALOR INVERSION 1]]-7.7</f>
        <v>0.61150539999999953</v>
      </c>
      <c r="G90" s="8">
        <f>Tabla2[[#This Row],[VALOR INVERSION 1]]*Tabla2[[#This Row],[PRECIO DEL DÓLAR]]</f>
        <v>36485.264599541995</v>
      </c>
      <c r="H90" s="8">
        <f>Tabla2[[#This Row],[VOO]]*0.01527</f>
        <v>8.360783099999999</v>
      </c>
      <c r="I90" s="8">
        <f>Tabla2[[#This Row],[VALOR INVERSION 2]]-7.9</f>
        <v>0.46078309999999867</v>
      </c>
      <c r="J90" s="8">
        <f>Tabla2[[#This Row],[VALOR INVERSION 2]]*Tabla2[[#This Row],[PRECIO DEL DÓLAR]]</f>
        <v>36701.58039756299</v>
      </c>
      <c r="K90" s="8">
        <f>Tabla2[[#This Row],[VOO]]*0.01284</f>
        <v>7.0302851999999998</v>
      </c>
      <c r="L90" s="8">
        <f>Tabla2[[#This Row],[VALOR INVERSION 3]]-6.9</f>
        <v>0.13028519999999943</v>
      </c>
      <c r="M90" s="8">
        <f>Tabla2[[#This Row],[VALOR INVERSION 3]]*Tabla2[[#This Row],[PRECIO DEL DÓLAR]]</f>
        <v>30861.053850995995</v>
      </c>
    </row>
  </sheetData>
  <conditionalFormatting sqref="F3:F90">
    <cfRule type="cellIs" dxfId="49" priority="8" operator="greaterThan">
      <formula>0</formula>
    </cfRule>
    <cfRule type="cellIs" dxfId="48" priority="9" operator="lessThan">
      <formula>0</formula>
    </cfRule>
  </conditionalFormatting>
  <conditionalFormatting sqref="L75:L7999">
    <cfRule type="cellIs" dxfId="47" priority="1" operator="lessThan">
      <formula>0</formula>
    </cfRule>
    <cfRule type="cellIs" dxfId="46" priority="2" operator="greaterThan">
      <formula>0</formula>
    </cfRule>
  </conditionalFormatting>
  <conditionalFormatting sqref="I53:I8800">
    <cfRule type="cellIs" dxfId="45" priority="5" operator="lessThan">
      <formula>0</formula>
    </cfRule>
    <cfRule type="cellIs" dxfId="44" priority="4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45604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45604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45604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45604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45604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45604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45604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45604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45604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45604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45604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45604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2024-11-08T12:01:42Z</dcterms:modified>
</cp:coreProperties>
</file>