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7" l="1"/>
  <c r="E84" i="7"/>
  <c r="F84" i="7" s="1"/>
  <c r="H84" i="7"/>
  <c r="I84" i="7" s="1"/>
  <c r="K84" i="7"/>
  <c r="M84" i="7" s="1"/>
  <c r="L84" i="7" l="1"/>
  <c r="J84" i="7"/>
  <c r="G84" i="7"/>
  <c r="C83" i="7"/>
  <c r="E83" i="7"/>
  <c r="F83" i="7" s="1"/>
  <c r="H83" i="7"/>
  <c r="I83" i="7" s="1"/>
  <c r="K83" i="7"/>
  <c r="L83" i="7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<sst xmlns="http://schemas.openxmlformats.org/spreadsheetml/2006/main" count="351" uniqueCount="124">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</sst>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40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9"/>
      <tableStyleElement type="headerRow" dxfId="138"/>
      <tableStyleElement type="secondRowStripe" dxfId="137"/>
    </tableStyle>
    <tableStyle name="Estilo de tabla 2" pivot="0" count="5">
      <tableStyleElement type="wholeTable" dxfId="136"/>
      <tableStyleElement type="headerRow" dxfId="135"/>
      <tableStyleElement type="firstRowStripe" dxfId="134"/>
      <tableStyleElement type="secondRowStripe" dxfId="133"/>
      <tableStyleElement type="firstColumnStripe" dxfId="132"/>
    </tableStyle>
    <tableStyle name="Estilo de tabla 3" pivot="0" count="3">
      <tableStyleElement type="headerRow" dxfId="131"/>
      <tableStyleElement type="firstRowStripe" dxfId="130"/>
      <tableStyleElement type="secondRowStripe" dxfId="129"/>
    </tableStyle>
    <tableStyle name="Estilo de tabla 4" pivot="0" count="4">
      <tableStyleElement type="wholeTable" dxfId="128"/>
      <tableStyleElement type="headerRow" dxfId="127"/>
      <tableStyleElement type="firstRowStripe" dxfId="126"/>
      <tableStyleElement type="secondRowStripe" dxfId="125"/>
    </tableStyle>
    <tableStyle name="Estilo de tabla 5" pivot="0" count="4">
      <tableStyleElement type="wholeTable" dxfId="124"/>
      <tableStyleElement type="headerRow" dxfId="123"/>
      <tableStyleElement type="firstRowStripe" dxfId="122"/>
      <tableStyleElement type="secondRowStripe" dxfId="121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CRIPTOS!$B$3:$B$191</c:f>
              <c:numCache>
                <c:formatCode>m/d/yyyy</c:formatCode>
                <c:ptCount val="189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</c:numCache>
            </c:numRef>
          </c:cat>
          <c:val>
            <c:numRef>
              <c:f>CRIPTOS!$C$3:$C$191</c:f>
              <c:numCache>
                <c:formatCode>_-[$$-240A]\ * #,##0.00_-;\-[$$-240A]\ * #,##0.00_-;_-[$$-240A]\ * "-"??_-;_-@_-</c:formatCode>
                <c:ptCount val="189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CRIPTOS!$B$3:$B$191</c:f>
              <c:numCache>
                <c:formatCode>m/d/yyyy</c:formatCode>
                <c:ptCount val="189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</c:numCache>
            </c:numRef>
          </c:cat>
          <c:val>
            <c:numRef>
              <c:f>CRIPTOS!$D$3:$D$191</c:f>
              <c:numCache>
                <c:formatCode>_-[$$-240A]\ * #,##0.00_-;\-[$$-240A]\ * #,##0.00_-;_-[$$-240A]\ * "-"??_-;_-@_-</c:formatCode>
                <c:ptCount val="189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CRIPTOS!$B$3:$B$191</c:f>
              <c:numCache>
                <c:formatCode>m/d/yyyy</c:formatCode>
                <c:ptCount val="189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</c:numCache>
            </c:numRef>
          </c:cat>
          <c:val>
            <c:numRef>
              <c:f>CRIPTOS!$E$3:$E$191</c:f>
              <c:numCache>
                <c:formatCode>_-[$$-240A]\ * #,##0.00_-;\-[$$-240A]\ * #,##0.00_-;_-[$$-240A]\ * "-"??_-;_-@_-</c:formatCode>
                <c:ptCount val="189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CRIPTOS!$B$3:$B$191</c:f>
              <c:numCache>
                <c:formatCode>m/d/yyyy</c:formatCode>
                <c:ptCount val="189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</c:numCache>
            </c:numRef>
          </c:cat>
          <c:val>
            <c:numRef>
              <c:f>CRIPTOS!$F$3:$F$191</c:f>
              <c:numCache>
                <c:formatCode>_-[$$-240A]\ * #,##0.00_-;\-[$$-240A]\ * #,##0.00_-;_-[$$-240A]\ * "-"??_-;_-@_-</c:formatCode>
                <c:ptCount val="189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CRIPTOS!$B$3:$B$191</c:f>
              <c:numCache>
                <c:formatCode>m/d/yyyy</c:formatCode>
                <c:ptCount val="189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</c:numCache>
            </c:numRef>
          </c:cat>
          <c:val>
            <c:numRef>
              <c:f>CRIPTOS!$G$3:$G$191</c:f>
              <c:numCache>
                <c:formatCode>_-[$$-240A]\ * #,##0.00_-;\-[$$-240A]\ * #,##0.00_-;_-[$$-240A]\ * "-"??_-;_-@_-</c:formatCode>
                <c:ptCount val="189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Bolsa'!$C$3:$C$84</c:f>
              <c:numCache>
                <c:formatCode>_("$"* #,##0.00_);_("$"* \(#,##0.00\);_("$"* "-"??_);_(@_)</c:formatCode>
                <c:ptCount val="82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Bolsa'!$D$3:$D$84</c:f>
              <c:numCache>
                <c:formatCode>_("$"* #,##0.00_);_("$"* \(#,##0.00\);_("$"* "-"??_);_(@_)</c:formatCode>
                <c:ptCount val="82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Bolsa'!$E$3:$E$84</c:f>
              <c:numCache>
                <c:formatCode>_("$"* #,##0.00_);_("$"* \(#,##0.00\);_("$"* "-"??_);_(@_)</c:formatCode>
                <c:ptCount val="82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Bolsa'!$F$3:$F$84</c:f>
              <c:numCache>
                <c:formatCode>_("$"* #,##0.00_);_("$"* \(#,##0.00\);_("$"* "-"??_);_(@_)</c:formatCode>
                <c:ptCount val="82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Bolsa'!$G$3:$G$84</c:f>
              <c:numCache>
                <c:formatCode>_("$"* #,##0.00_);_("$"* \(#,##0.00\);_("$"* "-"??_);_(@_)</c:formatCode>
                <c:ptCount val="82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Bolsa'!$H$3:$H$84</c:f>
              <c:numCache>
                <c:formatCode>_("$"* #,##0.00_);_("$"* \(#,##0.00\);_("$"* "-"??_);_(@_)</c:formatCode>
                <c:ptCount val="82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Bolsa'!$I$3:$I$84</c:f>
              <c:numCache>
                <c:formatCode>_("$"* #,##0.00_);_("$"* \(#,##0.00\);_("$"* "-"??_);_(@_)</c:formatCode>
                <c:ptCount val="82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Bolsa'!$J$3:$J$84</c:f>
              <c:numCache>
                <c:formatCode>_("$"* #,##0.00_);_("$"* \(#,##0.00\);_("$"* "-"??_);_(@_)</c:formatCode>
                <c:ptCount val="82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Bolsa'!$K$3:$K$84</c:f>
              <c:numCache>
                <c:formatCode>_("$"* #,##0.00_);_("$"* \(#,##0.00\);_("$"* "-"??_);_(@_)</c:formatCode>
                <c:ptCount val="82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Bolsa'!$L$3:$L$84</c:f>
              <c:numCache>
                <c:formatCode>_("$"* #,##0.00_);_("$"* \(#,##0.00\);_("$"* "-"??_);_(@_)</c:formatCode>
                <c:ptCount val="82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Bolsa'!$B$3:$B$84</c:f>
              <c:numCache>
                <c:formatCode>m/d/yyyy</c:formatCode>
                <c:ptCount val="8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</c:numCache>
            </c:numRef>
          </c:cat>
          <c:val>
            <c:numRef>
              <c:f>'Inv Bolsa'!$M$3:$M$84</c:f>
              <c:numCache>
                <c:formatCode>_("$"* #,##0.00_);_("$"* \(#,##0.00\);_("$"* "-"??_);_(@_)</c:formatCode>
                <c:ptCount val="82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6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3">
  <autoFilter ref="B2:T14"/>
  <tableColumns count="19">
    <tableColumn id="1" name="FECHA ACTUAL" dataDxfId="22">
      <calculatedColumnFormula>TODAY()</calculatedColumnFormula>
    </tableColumn>
    <tableColumn id="2" name="PRECIO ACT KO" dataDxfId="21" dataCellStyle="Moneda">
      <calculatedColumnFormula>VLOOKUP(B3,Tabla1[],5,FALSE)</calculatedColumnFormula>
    </tableColumn>
    <tableColumn id="3" name="PRECIO ACT JNJ" dataDxfId="20">
      <calculatedColumnFormula>VLOOKUP(B3,Tabla1[],6,FALSE)</calculatedColumnFormula>
    </tableColumn>
    <tableColumn id="4" name="PRECIO ACT PG" dataDxfId="19">
      <calculatedColumnFormula>VLOOKUP(B3,Tabla1[],7,FALSE)</calculatedColumnFormula>
    </tableColumn>
    <tableColumn id="5" name="PRECIO ACT PEP" dataDxfId="18">
      <calculatedColumnFormula>VLOOKUP(B3,Tabla1[],8,FALSE)</calculatedColumnFormula>
    </tableColumn>
    <tableColumn id="6" name="PRECIO ACT MSFT" dataDxfId="17">
      <calculatedColumnFormula>VLOOKUP(B3,Tabla1[],9,FALSE)</calculatedColumnFormula>
    </tableColumn>
    <tableColumn id="7" name="PRECIO ACT MCD" dataDxfId="16">
      <calculatedColumnFormula>VLOOKUP(B3,Tabla1[],10,FALSE)</calculatedColumnFormula>
    </tableColumn>
    <tableColumn id="20" name="PRECIO ACT VOO" dataDxfId="15">
      <calculatedColumnFormula>VLOOKUP(B3,Tabla2[],3,FALSE)</calculatedColumnFormula>
    </tableColumn>
    <tableColumn id="8" name="EMPRESA" dataDxfId="14"/>
    <tableColumn id="9" name="FECHA COMPRA" dataDxfId="13"/>
    <tableColumn id="10" name="PRECIO COMPRA" dataDxfId="12" dataCellStyle="Moneda"/>
    <tableColumn id="11" name="CAPITAL INVE" dataDxfId="11" dataCellStyle="Moneda"/>
    <tableColumn id="12" name="CANTIDAD DE ACCIONES" dataDxfId="10" dataCellStyle="Moneda">
      <calculatedColumnFormula>(M3/L3)</calculatedColumnFormula>
    </tableColumn>
    <tableColumn id="13" name="VALOR ACTUAL INVE" dataDxfId="9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8"/>
    <tableColumn id="15" name="VALOR DIVIDENDO POR ACCION" dataDxfId="7" dataCellStyle="Moneda"/>
    <tableColumn id="16" name="TOTAL DIVIDENDO RECIBIDO" dataDxfId="6" dataCellStyle="Moneda">
      <calculatedColumnFormula>ROUND(Q3*N3,2)</calculatedColumnFormula>
    </tableColumn>
    <tableColumn id="17" name="GANACIA/PERDIDA" dataDxfId="5" dataCellStyle="Moneda">
      <calculatedColumnFormula>ROUND(O3-M3,2)</calculatedColumnFormula>
    </tableColumn>
    <tableColumn id="18" name="RENTABILIDAD" dataDxfId="4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5" dataDxfId="113" headerRowBorderDxfId="114" tableBorderDxfId="112" totalsRowBorderDxfId="111" dataCellStyle="Moneda">
  <autoFilter ref="L2:Y3"/>
  <tableColumns count="14">
    <tableColumn id="1" name="MES" dataDxfId="110"/>
    <tableColumn id="2" name="ENERO" dataDxfId="109" dataCellStyle="Moneda"/>
    <tableColumn id="3" name="FEBRERO" dataDxfId="108" dataCellStyle="Moneda"/>
    <tableColumn id="4" name="MARZO" dataDxfId="107" dataCellStyle="Moneda"/>
    <tableColumn id="5" name="ABRIL" dataDxfId="106" dataCellStyle="Moneda"/>
    <tableColumn id="6" name="MAYO" dataDxfId="105" dataCellStyle="Moneda"/>
    <tableColumn id="7" name="JUNIO" dataDxfId="104" dataCellStyle="Moneda"/>
    <tableColumn id="8" name="JULIO" dataDxfId="103" dataCellStyle="Moneda">
      <calculatedColumnFormula>SUM(H3:H9)</calculatedColumnFormula>
    </tableColumn>
    <tableColumn id="9" name="AGOSTO" dataDxfId="102" dataCellStyle="Moneda">
      <calculatedColumnFormula>SUM(H10:H16)</calculatedColumnFormula>
    </tableColumn>
    <tableColumn id="10" name="SEPTIEMBRE" dataDxfId="101" dataCellStyle="Moneda">
      <calculatedColumnFormula>SUM(H17:H23)</calculatedColumnFormula>
    </tableColumn>
    <tableColumn id="11" name="OCTUBRE" dataDxfId="100" dataCellStyle="Moneda"/>
    <tableColumn id="12" name="NOVIEMBRE" dataDxfId="99" dataCellStyle="Moneda"/>
    <tableColumn id="13" name="DICIEMBRE" dataDxfId="98" dataCellStyle="Moneda"/>
    <tableColumn id="14" name="TOTAL ANUAL" dataDxfId="97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6">
  <autoFilter ref="B2:J14"/>
  <tableColumns count="9">
    <tableColumn id="1" name="MES"/>
    <tableColumn id="2" name="CUENTA"/>
    <tableColumn id="3" name="CANTIDAD INICIAL" dataDxfId="95"/>
    <tableColumn id="4" name="CAPITAL INVERTIDO" dataDxfId="94"/>
    <tableColumn id="5" name="INTERES OBTENIDO" dataDxfId="93"/>
    <tableColumn id="6" name="PORCENTAJE DE INTERES" dataDxfId="92" dataCellStyle="Porcentaje">
      <calculatedColumnFormula>(F3/(D3+E3))</calculatedColumnFormula>
    </tableColumn>
    <tableColumn id="7" name="RETIROS DE CAPITAL" dataDxfId="91"/>
    <tableColumn id="8" name="TOTAL CAPITAL FIN DE MES" dataDxfId="90">
      <calculatedColumnFormula>D3+E3+F3-H3</calculatedColumnFormula>
    </tableColumn>
    <tableColumn id="9" name="RENTABILIDAD" dataDxfId="89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1" totalsRowShown="0">
  <autoFilter ref="B2:G191"/>
  <tableColumns count="6">
    <tableColumn id="1" name="FECHA" dataDxfId="88"/>
    <tableColumn id="2" name="DÓLAR" dataDxfId="87"/>
    <tableColumn id="3" name="BITCOIN" dataDxfId="86"/>
    <tableColumn id="5" name="io.net" dataDxfId="85"/>
    <tableColumn id="4" name="ETHEREUM" dataDxfId="84"/>
    <tableColumn id="6" name="USDT" dataDxfId="8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1" totalsRowShown="0">
  <autoFilter ref="B2:Z71">
    <filterColumn colId="23">
      <filters>
        <filter val="ACTIVA"/>
      </filters>
    </filterColumn>
  </autoFilter>
  <tableColumns count="25">
    <tableColumn id="1" name="fecha act" dataDxfId="78">
      <calculatedColumnFormula>TODAY()</calculatedColumnFormula>
    </tableColumn>
    <tableColumn id="2" name="precio actual dólar" dataDxfId="77">
      <calculatedColumnFormula>VLOOKUP(B3,Tabla4[],2,FALSE)</calculatedColumnFormula>
    </tableColumn>
    <tableColumn id="3" name="precio actual btc" dataDxfId="76">
      <calculatedColumnFormula>VLOOKUP(B3,Tabla4[],3,FALSE)</calculatedColumnFormula>
    </tableColumn>
    <tableColumn id="4" name="precio actul eth" dataDxfId="75">
      <calculatedColumnFormula>VLOOKUP(B3,Tabla4[],5,FALSE)</calculatedColumnFormula>
    </tableColumn>
    <tableColumn id="5" name="precio actual io.net" dataDxfId="74">
      <calculatedColumnFormula>VLOOKUP(B3,Tabla4[],4,FALSE)</calculatedColumnFormula>
    </tableColumn>
    <tableColumn id="6" name="moneda"/>
    <tableColumn id="27" name="FECHA COMPRA"/>
    <tableColumn id="20" name="PRECIO DEL DÓLAR, DIA COMPRA" dataDxfId="73">
      <calculatedColumnFormula>VLOOKUP(H3,Tabla4[],2,FALSE)</calculatedColumnFormula>
    </tableColumn>
    <tableColumn id="7" name="precio de compra" dataDxfId="72"/>
    <tableColumn id="8" name="cantidad" dataDxfId="71" dataCellStyle="Porcentaje"/>
    <tableColumn id="18" name="COSTO DE COMPRA" dataDxfId="70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9" dataCellStyle="Porcentaje">
      <calculatedColumnFormula xml:space="preserve"> K3 * (IF(G3="BTC", D3, IF(G3="ETH", E3, IF(G3="IO.NET", F3, 0)))) * C3</calculatedColumnFormula>
    </tableColumn>
    <tableColumn id="9" name="rentabilidad" dataDxfId="68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7" dataCellStyle="Porcentaje"/>
    <tableColumn id="11" name="META2" dataDxfId="66" dataCellStyle="Porcentaje"/>
    <tableColumn id="12" name="ACCION" dataDxfId="65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4"/>
    <tableColumn id="23" name="INVENTARIO" dataDxfId="63">
      <calculatedColumnFormula>Tabla6[[#This Row],[cantidad]]-Tabla6[[#This Row],[CANTIDAD VENDIDA]]</calculatedColumnFormula>
    </tableColumn>
    <tableColumn id="24" name="VALOR ACTUAL" dataDxfId="62">
      <calculatedColumnFormula>IF(G3="BTC", D3 * U3 * C3, IF(G3="ETH", E3 * U3 * C3, IF(G3="IO.NET", F3 * U3 * C3, 0)))</calculatedColumnFormula>
    </tableColumn>
    <tableColumn id="15" name="GANANCIA/PERDIDA" dataDxfId="61">
      <calculatedColumnFormula>IF(G3 = "BTC", ((T3 - L3)), IF(G3 = "ETH", ((T3 - L3)), IF(G3 = "IO.NET", ((T3 - L3)), "Moneda no soportada")))</calculatedColumnFormula>
    </tableColumn>
    <tableColumn id="25" name="RENTABILIDAD TOTAL" dataDxfId="60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9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8" totalsRowShown="0">
  <autoFilter ref="B2:M18"/>
  <tableColumns count="12">
    <tableColumn id="1" name="FECHA ACT" dataDxfId="58">
      <calculatedColumnFormula>TODAY()</calculatedColumnFormula>
    </tableColumn>
    <tableColumn id="11" name="FECHA COMPRA" dataDxfId="57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6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5">
      <calculatedColumnFormula>Tabla5[[#This Row],[VALOR ACTUAL EN COP]]-Tabla5[[#This Row],[COSTO TOTAL EN COP]]</calculatedColumnFormula>
    </tableColumn>
    <tableColumn id="9" name="RENTABILIDAD" dataDxfId="54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53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2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4" totalsRowShown="0">
  <autoFilter ref="B2:M84"/>
  <tableColumns count="12">
    <tableColumn id="1" name="FECHA" dataDxfId="45"/>
    <tableColumn id="5" name="PRECIO DEL DÓLAR" dataDxfId="44">
      <calculatedColumnFormula>VLOOKUP(B3,Tabla4[],2,FALSE)</calculatedColumnFormula>
    </tableColumn>
    <tableColumn id="2" name="VOO" dataDxfId="43" dataCellStyle="Moneda"/>
    <tableColumn id="3" name="VALOR INVERSION 1" dataDxfId="42">
      <calculatedColumnFormula>0.01518 * D3</calculatedColumnFormula>
    </tableColumn>
    <tableColumn id="4" name="GAN/PER" dataDxfId="41">
      <calculatedColumnFormula>Tabla2[[#This Row],[VALOR INVERSION 1]]-7.7</calculatedColumnFormula>
    </tableColumn>
    <tableColumn id="6" name="VALOR EN COP" dataDxfId="40">
      <calculatedColumnFormula>Tabla2[[#This Row],[VALOR INVERSION 1]]*Tabla2[[#This Row],[PRECIO DEL DÓLAR]]</calculatedColumnFormula>
    </tableColumn>
    <tableColumn id="8" name="VALOR INVERSION 2" dataDxfId="39">
      <calculatedColumnFormula>Tabla2[[#This Row],[VOO]]*0.01527</calculatedColumnFormula>
    </tableColumn>
    <tableColumn id="9" name="GAN/PER2" dataDxfId="38">
      <calculatedColumnFormula>Tabla2[[#This Row],[VALOR INVERSION 2]]-7.9</calculatedColumnFormula>
    </tableColumn>
    <tableColumn id="10" name="VALOR EN COP2" dataDxfId="37">
      <calculatedColumnFormula>Tabla2[[#This Row],[VALOR INVERSION 2]]*Tabla2[[#This Row],[PRECIO DEL DÓLAR]]</calculatedColumnFormula>
    </tableColumn>
    <tableColumn id="7" name="VALOR INVERSION 3" dataDxfId="36">
      <calculatedColumnFormula>Tabla2[[#This Row],[VOO]]*0.01284</calculatedColumnFormula>
    </tableColumn>
    <tableColumn id="11" name="GAN/PER3" dataDxfId="35">
      <calculatedColumnFormula>Tabla2[[#This Row],[VALOR INVERSION 3]]-6.9</calculatedColumnFormula>
    </tableColumn>
    <tableColumn id="12" name="VALOR EN COP3" dataDxfId="34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3">
  <autoFilter ref="B2:K52"/>
  <tableColumns count="10">
    <tableColumn id="1" name="FECHA"/>
    <tableColumn id="2" name="DÓLAR" dataDxfId="32">
      <calculatedColumnFormula>VLOOKUP(B3,Tabla4[],2,FALSE)</calculatedColumnFormula>
    </tableColumn>
    <tableColumn id="3" name="S&amp;P 500" dataDxfId="31"/>
    <tableColumn id="4" name="NASDAQ-100" dataDxfId="30"/>
    <tableColumn id="5" name="KO" dataDxfId="29"/>
    <tableColumn id="6" name="JNJ" dataDxfId="28"/>
    <tableColumn id="7" name="PG" dataDxfId="27"/>
    <tableColumn id="8" name="PEP" dataDxfId="26"/>
    <tableColumn id="13" name="MSFT" dataDxfId="25"/>
    <tableColumn id="9" name="MCD" dataDxfId="2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0" priority="3" operator="lessThan">
      <formula>0</formula>
    </cfRule>
    <cfRule type="cellIs" dxfId="119" priority="4" operator="lessThan">
      <formula>0</formula>
    </cfRule>
  </conditionalFormatting>
  <conditionalFormatting sqref="M3:X3">
    <cfRule type="cellIs" dxfId="118" priority="2" operator="lessThan">
      <formula>0</formula>
    </cfRule>
  </conditionalFormatting>
  <conditionalFormatting sqref="M3:Y3">
    <cfRule type="cellIs" dxfId="117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1"/>
  <sheetViews>
    <sheetView topLeftCell="A168" zoomScaleNormal="100" workbookViewId="0">
      <selection activeCell="I189" sqref="I189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1"/>
  <sheetViews>
    <sheetView topLeftCell="G50" workbookViewId="0">
      <selection activeCell="Q73" sqref="Q73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45595</v>
      </c>
      <c r="C3" s="2">
        <f ca="1">VLOOKUP(B3,Tabla4[],2,FALSE)</f>
        <v>4323.01</v>
      </c>
      <c r="D3" s="3">
        <f ca="1">VLOOKUP(B3,Tabla4[],3,FALSE)</f>
        <v>72187.039999999994</v>
      </c>
      <c r="E3" s="2">
        <f ca="1">VLOOKUP(B3,Tabla4[],5,FALSE)</f>
        <v>2664</v>
      </c>
      <c r="F3" s="2">
        <f ca="1">VLOOKUP(B3,Tabla4[],4,FALSE)</f>
        <v>1.74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786.40454539180803</v>
      </c>
      <c r="N3" s="32">
        <f t="shared" ref="N3:N21" ca="1" si="1">IF(G3 = "BTC", (D3 - J3) / J3,
 IF(G3 = "ETH", (E3 - J3) / J3,
 IF(G3 = "IO.NET", (F3 - J3) / J3,
 "Moneda no soportada")))</f>
        <v>1.7478399368542626E-2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786.40454539180803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1.7478399368542626E-2</v>
      </c>
      <c r="Y3" s="2" t="str">
        <f>IF(U3=0,"VENDIDA","ACTIVA")</f>
        <v>ACTIVA</v>
      </c>
    </row>
    <row r="4" spans="2:26">
      <c r="B4" s="1">
        <f t="shared" ca="1" si="0"/>
        <v>45595</v>
      </c>
      <c r="C4" s="2">
        <f ca="1">VLOOKUP(B4,Tabla4[],2,FALSE)</f>
        <v>4323.01</v>
      </c>
      <c r="D4" s="3">
        <f ca="1">VLOOKUP(B4,Tabla4[],3,FALSE)</f>
        <v>72187.039999999994</v>
      </c>
      <c r="E4" s="2">
        <f ca="1">VLOOKUP(B4,Tabla4[],5,FALSE)</f>
        <v>2664</v>
      </c>
      <c r="F4" s="2">
        <f ca="1">VLOOKUP(B4,Tabla4[],4,FALSE)</f>
        <v>1.74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543.57873580800003</v>
      </c>
      <c r="N4" s="32">
        <f t="shared" ca="1" si="1"/>
        <v>-0.29918896380458315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543.57873580800003</v>
      </c>
      <c r="W4" s="2">
        <f t="shared" si="3"/>
        <v>-705.39693250799996</v>
      </c>
      <c r="X4" s="9">
        <f t="shared" ca="1" si="4"/>
        <v>-0.29918896380458315</v>
      </c>
      <c r="Y4" s="2" t="str">
        <f t="shared" ref="Y4:Y24" si="7">IF(U4=0,"VENDIDA","ACTIVA")</f>
        <v>ACTIVA</v>
      </c>
    </row>
    <row r="5" spans="2:26">
      <c r="B5" s="1">
        <f t="shared" ca="1" si="0"/>
        <v>45595</v>
      </c>
      <c r="C5" s="2">
        <f ca="1">VLOOKUP(B5,Tabla4[],2,FALSE)</f>
        <v>4323.01</v>
      </c>
      <c r="D5" s="3">
        <f ca="1">VLOOKUP(B5,Tabla4[],3,FALSE)</f>
        <v>72187.039999999994</v>
      </c>
      <c r="E5" s="2">
        <f ca="1">VLOOKUP(B5,Tabla4[],5,FALSE)</f>
        <v>2664</v>
      </c>
      <c r="F5" s="2">
        <f ca="1">VLOOKUP(B5,Tabla4[],4,FALSE)</f>
        <v>1.74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802.00781018132795</v>
      </c>
      <c r="N5" s="32">
        <f t="shared" ca="1" si="1"/>
        <v>4.2020901899647696E-2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802.00781018132795</v>
      </c>
      <c r="W5" s="2">
        <f t="shared" si="3"/>
        <v>-711.38458935120002</v>
      </c>
      <c r="X5" s="9">
        <f t="shared" ca="1" si="4"/>
        <v>4.2020901899647696E-2</v>
      </c>
      <c r="Y5" s="2" t="str">
        <f t="shared" si="7"/>
        <v>ACTIVA</v>
      </c>
    </row>
    <row r="6" spans="2:26">
      <c r="B6" s="1">
        <f t="shared" ca="1" si="0"/>
        <v>45595</v>
      </c>
      <c r="C6" s="2">
        <f ca="1">VLOOKUP(B6,Tabla4[],2,FALSE)</f>
        <v>4323.01</v>
      </c>
      <c r="D6" s="3">
        <f ca="1">VLOOKUP(B6,Tabla4[],3,FALSE)</f>
        <v>72187.039999999994</v>
      </c>
      <c r="E6" s="2">
        <f ca="1">VLOOKUP(B6,Tabla4[],5,FALSE)</f>
        <v>2664</v>
      </c>
      <c r="F6" s="2">
        <f ca="1">VLOOKUP(B6,Tabla4[],4,FALSE)</f>
        <v>1.74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560.50798880880006</v>
      </c>
      <c r="N6" s="32">
        <f t="shared" ca="1" si="1"/>
        <v>-0.27405114342394976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560.50798880880006</v>
      </c>
      <c r="W6" s="2">
        <f t="shared" si="3"/>
        <v>-713.63816396689595</v>
      </c>
      <c r="X6" s="9">
        <f t="shared" ca="1" si="4"/>
        <v>-0.27405114342394976</v>
      </c>
      <c r="Y6" s="2" t="str">
        <f t="shared" si="7"/>
        <v>ACTIVA</v>
      </c>
    </row>
    <row r="7" spans="2:26">
      <c r="B7" s="1">
        <f t="shared" ca="1" si="0"/>
        <v>45595</v>
      </c>
      <c r="C7" s="2">
        <f ca="1">VLOOKUP(B7,Tabla4[],2,FALSE)</f>
        <v>4323.01</v>
      </c>
      <c r="D7" s="3">
        <f ca="1">VLOOKUP(B7,Tabla4[],3,FALSE)</f>
        <v>72187.039999999994</v>
      </c>
      <c r="E7" s="2">
        <f ca="1">VLOOKUP(B7,Tabla4[],5,FALSE)</f>
        <v>2664</v>
      </c>
      <c r="F7" s="2">
        <f ca="1">VLOOKUP(B7,Tabla4[],4,FALSE)</f>
        <v>1.74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820.73172792875187</v>
      </c>
      <c r="N7" s="32">
        <f t="shared" ca="1" si="1"/>
        <v>8.6010961352431706E-2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820.73172792875187</v>
      </c>
      <c r="W7" s="2">
        <f t="shared" si="3"/>
        <v>-721.88976178291</v>
      </c>
      <c r="X7" s="9">
        <f t="shared" ca="1" si="4"/>
        <v>8.6010961352431706E-2</v>
      </c>
      <c r="Y7" s="2" t="str">
        <f t="shared" si="7"/>
        <v>ACTIVA</v>
      </c>
    </row>
    <row r="8" spans="2:26">
      <c r="B8" s="1">
        <f t="shared" ca="1" si="0"/>
        <v>45595</v>
      </c>
      <c r="C8" s="2">
        <f ca="1">VLOOKUP(B8,Tabla4[],2,FALSE)</f>
        <v>4323.01</v>
      </c>
      <c r="D8" s="3">
        <f ca="1">VLOOKUP(B8,Tabla4[],3,FALSE)</f>
        <v>72187.039999999994</v>
      </c>
      <c r="E8" s="2">
        <f ca="1">VLOOKUP(B8,Tabla4[],5,FALSE)</f>
        <v>2664</v>
      </c>
      <c r="F8" s="2">
        <f ca="1">VLOOKUP(B8,Tabla4[],4,FALSE)</f>
        <v>1.74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291.18385972279799</v>
      </c>
      <c r="N8" s="32">
        <f t="shared" ca="1" si="1"/>
        <v>-0.58865248226950351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291.18385972279799</v>
      </c>
      <c r="W8" s="2">
        <f t="shared" si="3"/>
        <v>-676.17994528545319</v>
      </c>
      <c r="X8" s="9">
        <f t="shared" ca="1" si="4"/>
        <v>-0.58865248226950351</v>
      </c>
      <c r="Y8" s="2" t="str">
        <f t="shared" si="7"/>
        <v>ACTIVA</v>
      </c>
    </row>
    <row r="9" spans="2:26">
      <c r="B9" s="1">
        <f t="shared" ca="1" si="0"/>
        <v>45595</v>
      </c>
      <c r="C9" s="2">
        <f ca="1">VLOOKUP(B9,Tabla4[],2,FALSE)</f>
        <v>4323.01</v>
      </c>
      <c r="D9" s="3">
        <f ca="1">VLOOKUP(B9,Tabla4[],3,FALSE)</f>
        <v>72187.039999999994</v>
      </c>
      <c r="E9" s="2">
        <f ca="1">VLOOKUP(B9,Tabla4[],5,FALSE)</f>
        <v>2664</v>
      </c>
      <c r="F9" s="2">
        <f ca="1">VLOOKUP(B9,Tabla4[],4,FALSE)</f>
        <v>1.74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566.61173308800005</v>
      </c>
      <c r="N9" s="32">
        <f t="shared" ca="1" si="1"/>
        <v>-0.24011421106227127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566.61173308800005</v>
      </c>
      <c r="W9" s="2">
        <f t="shared" si="3"/>
        <v>-712.26418846524007</v>
      </c>
      <c r="X9" s="9">
        <f t="shared" ca="1" si="4"/>
        <v>-0.24011421106227127</v>
      </c>
      <c r="Y9" s="2" t="str">
        <f t="shared" si="7"/>
        <v>ACTIVA</v>
      </c>
    </row>
    <row r="10" spans="2:26">
      <c r="B10" s="1">
        <f t="shared" ca="1" si="0"/>
        <v>45595</v>
      </c>
      <c r="C10" s="2">
        <f ca="1">VLOOKUP(B10,Tabla4[],2,FALSE)</f>
        <v>4323.01</v>
      </c>
      <c r="D10" s="3">
        <f ca="1">VLOOKUP(B10,Tabla4[],3,FALSE)</f>
        <v>72187.039999999994</v>
      </c>
      <c r="E10" s="2">
        <f ca="1">VLOOKUP(B10,Tabla4[],5,FALSE)</f>
        <v>2664</v>
      </c>
      <c r="F10" s="2">
        <f ca="1">VLOOKUP(B10,Tabla4[],4,FALSE)</f>
        <v>1.74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848.81760454988796</v>
      </c>
      <c r="N10" s="32">
        <f t="shared" ca="1" si="1"/>
        <v>0.17489632363951221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848.81760454988796</v>
      </c>
      <c r="W10" s="2">
        <f t="shared" si="3"/>
        <v>-692.62576284671991</v>
      </c>
      <c r="X10" s="9">
        <f t="shared" ca="1" si="4"/>
        <v>0.17489632363951221</v>
      </c>
      <c r="Y10" s="2" t="str">
        <f t="shared" si="7"/>
        <v>ACTIVA</v>
      </c>
    </row>
    <row r="11" spans="2:26">
      <c r="B11" s="1">
        <f t="shared" ca="1" si="0"/>
        <v>45595</v>
      </c>
      <c r="C11" s="2">
        <f ca="1">VLOOKUP(B11,Tabla4[],2,FALSE)</f>
        <v>4323.01</v>
      </c>
      <c r="D11" s="3">
        <f ca="1">VLOOKUP(B11,Tabla4[],3,FALSE)</f>
        <v>72187.039999999994</v>
      </c>
      <c r="E11" s="2">
        <f ca="1">VLOOKUP(B11,Tabla4[],5,FALSE)</f>
        <v>2664</v>
      </c>
      <c r="F11" s="2">
        <f ca="1">VLOOKUP(B11,Tabla4[],4,FALSE)</f>
        <v>1.74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845.69695159198398</v>
      </c>
      <c r="N11" s="32">
        <f t="shared" ca="1" si="1"/>
        <v>0.1839103609114793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845.69695159198398</v>
      </c>
      <c r="W11" s="2">
        <f t="shared" si="3"/>
        <v>-682.28056593911992</v>
      </c>
      <c r="X11" s="9">
        <f t="shared" ca="1" si="4"/>
        <v>0.1839103609114793</v>
      </c>
      <c r="Y11" s="2" t="str">
        <f t="shared" si="7"/>
        <v>ACTIVA</v>
      </c>
    </row>
    <row r="12" spans="2:26">
      <c r="B12" s="1">
        <f t="shared" ca="1" si="0"/>
        <v>45595</v>
      </c>
      <c r="C12" s="2">
        <f ca="1">VLOOKUP(B12,Tabla4[],2,FALSE)</f>
        <v>4323.01</v>
      </c>
      <c r="D12" s="3">
        <f ca="1">VLOOKUP(B12,Tabla4[],3,FALSE)</f>
        <v>72187.039999999994</v>
      </c>
      <c r="E12" s="2">
        <f ca="1">VLOOKUP(B12,Tabla4[],5,FALSE)</f>
        <v>2664</v>
      </c>
      <c r="F12" s="2">
        <f ca="1">VLOOKUP(B12,Tabla4[],4,FALSE)</f>
        <v>1.74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945.55784624491196</v>
      </c>
      <c r="N12" s="32">
        <f t="shared" ca="1" si="1"/>
        <v>0.26434536486940913</v>
      </c>
      <c r="O12" s="9">
        <v>0.25</v>
      </c>
      <c r="P12" s="9">
        <v>0.5</v>
      </c>
      <c r="Q12" t="str">
        <f t="shared" ca="1" si="8"/>
        <v>VENTA PARCIAL</v>
      </c>
      <c r="T12" s="2"/>
      <c r="U12" s="14">
        <f>Tabla6[[#This Row],[cantidad]]-Tabla6[[#This Row],[CANTIDAD VENDIDA]]</f>
        <v>3.0299999999999998E-6</v>
      </c>
      <c r="V12" s="2">
        <f t="shared" ca="1" si="6"/>
        <v>945.55784624491196</v>
      </c>
      <c r="W12" s="2">
        <f t="shared" si="3"/>
        <v>-705.59026591680004</v>
      </c>
      <c r="X12" s="9">
        <f t="shared" ca="1" si="4"/>
        <v>0.26434536486940913</v>
      </c>
      <c r="Y12" s="2" t="str">
        <f t="shared" si="7"/>
        <v>ACTIVA</v>
      </c>
    </row>
    <row r="13" spans="2:26">
      <c r="B13" s="1">
        <f t="shared" ca="1" si="0"/>
        <v>45595</v>
      </c>
      <c r="C13" s="2">
        <f ca="1">VLOOKUP(B13,Tabla4[],2,FALSE)</f>
        <v>4323.01</v>
      </c>
      <c r="D13" s="3">
        <f ca="1">VLOOKUP(B13,Tabla4[],3,FALSE)</f>
        <v>72187.039999999994</v>
      </c>
      <c r="E13" s="2">
        <f ca="1">VLOOKUP(B13,Tabla4[],5,FALSE)</f>
        <v>2664</v>
      </c>
      <c r="F13" s="2">
        <f ca="1">VLOOKUP(B13,Tabla4[],4,FALSE)</f>
        <v>1.74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876.90348117102405</v>
      </c>
      <c r="N13" s="32">
        <f t="shared" ca="1" si="1"/>
        <v>0.14655582362741987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876.90348117102405</v>
      </c>
      <c r="W13" s="2">
        <f t="shared" si="3"/>
        <v>-706.44677732571006</v>
      </c>
      <c r="X13" s="9">
        <f t="shared" ca="1" si="4"/>
        <v>0.14655582362741987</v>
      </c>
      <c r="Y13" s="2" t="str">
        <f t="shared" si="7"/>
        <v>ACTIVA</v>
      </c>
    </row>
    <row r="14" spans="2:26">
      <c r="B14" s="1">
        <f t="shared" ca="1" si="0"/>
        <v>45595</v>
      </c>
      <c r="C14" s="2">
        <f ca="1">VLOOKUP(B14,Tabla4[],2,FALSE)</f>
        <v>4323.01</v>
      </c>
      <c r="D14" s="3">
        <f ca="1">VLOOKUP(B14,Tabla4[],3,FALSE)</f>
        <v>72187.039999999994</v>
      </c>
      <c r="E14" s="2">
        <f ca="1">VLOOKUP(B14,Tabla4[],5,FALSE)</f>
        <v>2664</v>
      </c>
      <c r="F14" s="2">
        <f ca="1">VLOOKUP(B14,Tabla4[],4,FALSE)</f>
        <v>1.74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582.8499961704</v>
      </c>
      <c r="N14" s="32">
        <f t="shared" ca="1" si="1"/>
        <v>-0.21132331303418486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582.8499961704</v>
      </c>
      <c r="W14" s="2">
        <f t="shared" si="3"/>
        <v>-708.50285169316794</v>
      </c>
      <c r="X14" s="9">
        <f t="shared" ca="1" si="4"/>
        <v>-0.21132331303418486</v>
      </c>
      <c r="Y14" s="2" t="str">
        <f t="shared" si="7"/>
        <v>ACTIVA</v>
      </c>
    </row>
    <row r="15" spans="2:26">
      <c r="B15" s="1">
        <f t="shared" ca="1" si="0"/>
        <v>45595</v>
      </c>
      <c r="C15" s="2">
        <f ca="1">VLOOKUP(B15,Tabla4[],2,FALSE)</f>
        <v>4323.01</v>
      </c>
      <c r="D15" s="3">
        <f ca="1">VLOOKUP(B15,Tabla4[],3,FALSE)</f>
        <v>72187.039999999994</v>
      </c>
      <c r="E15" s="2">
        <f ca="1">VLOOKUP(B15,Tabla4[],5,FALSE)</f>
        <v>2664</v>
      </c>
      <c r="F15" s="2">
        <f ca="1">VLOOKUP(B15,Tabla4[],4,FALSE)</f>
        <v>1.74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568.22404289760004</v>
      </c>
      <c r="N15" s="32">
        <f t="shared" ca="1" si="1"/>
        <v>-0.20691390073920155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568.22404289760004</v>
      </c>
      <c r="W15" s="2">
        <f t="shared" si="3"/>
        <v>-684.33117524901604</v>
      </c>
      <c r="X15" s="9">
        <f t="shared" ca="1" si="4"/>
        <v>-0.20691390073920155</v>
      </c>
      <c r="Y15" s="2" t="str">
        <f t="shared" si="7"/>
        <v>ACTIVA</v>
      </c>
    </row>
    <row r="16" spans="2:26">
      <c r="B16" s="1">
        <f t="shared" ca="1" si="0"/>
        <v>45595</v>
      </c>
      <c r="C16" s="2">
        <f ca="1">VLOOKUP(B16,Tabla4[],2,FALSE)</f>
        <v>4323.01</v>
      </c>
      <c r="D16" s="3">
        <f ca="1">VLOOKUP(B16,Tabla4[],3,FALSE)</f>
        <v>72187.039999999994</v>
      </c>
      <c r="E16" s="2">
        <f ca="1">VLOOKUP(B16,Tabla4[],5,FALSE)</f>
        <v>2664</v>
      </c>
      <c r="F16" s="2">
        <f ca="1">VLOOKUP(B16,Tabla4[],4,FALSE)</f>
        <v>1.74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654.5977826976</v>
      </c>
      <c r="N16" s="32">
        <f t="shared" ca="1" si="1"/>
        <v>-0.12798690671031096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654.5977826976</v>
      </c>
      <c r="W16" s="2">
        <f t="shared" si="3"/>
        <v>-708.24207363000005</v>
      </c>
      <c r="X16" s="9">
        <f t="shared" ca="1" si="4"/>
        <v>-0.12798690671031096</v>
      </c>
      <c r="Y16" s="2" t="str">
        <f t="shared" si="7"/>
        <v>ACTIVA</v>
      </c>
    </row>
    <row r="17" spans="2:25">
      <c r="B17" s="1">
        <f t="shared" ca="1" si="0"/>
        <v>45595</v>
      </c>
      <c r="C17" s="2">
        <f ca="1">VLOOKUP(B17,Tabla4[],2,FALSE)</f>
        <v>4323.01</v>
      </c>
      <c r="D17" s="3">
        <f ca="1">VLOOKUP(B17,Tabla4[],3,FALSE)</f>
        <v>72187.039999999994</v>
      </c>
      <c r="E17" s="2">
        <f ca="1">VLOOKUP(B17,Tabla4[],5,FALSE)</f>
        <v>2664</v>
      </c>
      <c r="F17" s="2">
        <f ca="1">VLOOKUP(B17,Tabla4[],4,FALSE)</f>
        <v>1.74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605.76782846399999</v>
      </c>
      <c r="N17" s="32">
        <f t="shared" ca="1" si="1"/>
        <v>-0.22963477053873513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605.76782846399999</v>
      </c>
      <c r="W17" s="2">
        <f t="shared" si="3"/>
        <v>-726.32733822540001</v>
      </c>
      <c r="X17" s="9">
        <f t="shared" ca="1" si="4"/>
        <v>-0.22963477053873513</v>
      </c>
      <c r="Y17" s="2" t="str">
        <f t="shared" si="7"/>
        <v>ACTIVA</v>
      </c>
    </row>
    <row r="18" spans="2:25">
      <c r="B18" s="1">
        <f t="shared" ca="1" si="0"/>
        <v>45595</v>
      </c>
      <c r="C18" s="2">
        <f ca="1">VLOOKUP(B18,Tabla4[],2,FALSE)</f>
        <v>4323.01</v>
      </c>
      <c r="D18" s="3">
        <f ca="1">VLOOKUP(B18,Tabla4[],3,FALSE)</f>
        <v>72187.039999999994</v>
      </c>
      <c r="E18" s="2">
        <f ca="1">VLOOKUP(B18,Tabla4[],5,FALSE)</f>
        <v>2664</v>
      </c>
      <c r="F18" s="2">
        <f ca="1">VLOOKUP(B18,Tabla4[],4,FALSE)</f>
        <v>1.74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396.60701917277402</v>
      </c>
      <c r="N18" s="32">
        <f t="shared" ca="1" si="1"/>
        <v>-0.48823529411764705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396.60701917277402</v>
      </c>
      <c r="W18" s="2">
        <f t="shared" si="3"/>
        <v>-742.97443934431988</v>
      </c>
      <c r="X18" s="9">
        <f t="shared" ca="1" si="4"/>
        <v>-0.48823529411764705</v>
      </c>
      <c r="Y18" s="2" t="str">
        <f t="shared" si="7"/>
        <v>ACTIVA</v>
      </c>
    </row>
    <row r="19" spans="2:25">
      <c r="B19" s="1">
        <f t="shared" ca="1" si="0"/>
        <v>45595</v>
      </c>
      <c r="C19" s="2">
        <f ca="1">VLOOKUP(B19,Tabla4[],2,FALSE)</f>
        <v>4323.01</v>
      </c>
      <c r="D19" s="3">
        <f ca="1">VLOOKUP(B19,Tabla4[],3,FALSE)</f>
        <v>72187.039999999994</v>
      </c>
      <c r="E19" s="2">
        <f ca="1">VLOOKUP(B19,Tabla4[],5,FALSE)</f>
        <v>2664</v>
      </c>
      <c r="F19" s="2">
        <f ca="1">VLOOKUP(B19,Tabla4[],4,FALSE)</f>
        <v>1.74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206.76305611773603</v>
      </c>
      <c r="N19" s="32">
        <f t="shared" ca="1" si="1"/>
        <v>-0.38515901060070673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206.76305611773603</v>
      </c>
      <c r="W19" s="2">
        <f t="shared" si="3"/>
        <v>-321.201220736496</v>
      </c>
      <c r="X19" s="9">
        <f t="shared" ca="1" si="4"/>
        <v>-0.38515901060070673</v>
      </c>
      <c r="Y19" s="2" t="str">
        <f t="shared" si="7"/>
        <v>ACTIVA</v>
      </c>
    </row>
    <row r="20" spans="2:25" hidden="1">
      <c r="B20" s="1">
        <f t="shared" ca="1" si="0"/>
        <v>45595</v>
      </c>
      <c r="C20" s="2">
        <f ca="1">VLOOKUP(B20,Tabla4[],2,FALSE)</f>
        <v>4323.01</v>
      </c>
      <c r="D20" s="3">
        <f ca="1">VLOOKUP(B20,Tabla4[],3,FALSE)</f>
        <v>72187.039999999994</v>
      </c>
      <c r="E20" s="2">
        <f ca="1">VLOOKUP(B20,Tabla4[],5,FALSE)</f>
        <v>2664</v>
      </c>
      <c r="F20" s="2">
        <f ca="1">VLOOKUP(B20,Tabla4[],4,FALSE)</f>
        <v>1.74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290.63708282419202</v>
      </c>
      <c r="N20" s="12">
        <f t="shared" ca="1" si="1"/>
        <v>-0.24017467248908297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-0.24017467248908297</v>
      </c>
      <c r="Y20" s="2" t="str">
        <f t="shared" si="7"/>
        <v>VENDIDA</v>
      </c>
    </row>
    <row r="21" spans="2:25" hidden="1">
      <c r="B21" s="1">
        <f t="shared" ca="1" si="0"/>
        <v>45595</v>
      </c>
      <c r="C21" s="2">
        <f ca="1">VLOOKUP(B21,Tabla4[],2,FALSE)</f>
        <v>4323.01</v>
      </c>
      <c r="D21" s="3">
        <f ca="1">VLOOKUP(B21,Tabla4[],3,FALSE)</f>
        <v>72187.039999999994</v>
      </c>
      <c r="E21" s="2">
        <f ca="1">VLOOKUP(B21,Tabla4[],5,FALSE)</f>
        <v>2664</v>
      </c>
      <c r="F21" s="2">
        <f ca="1">VLOOKUP(B21,Tabla4[],4,FALSE)</f>
        <v>1.74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279.21727608425999</v>
      </c>
      <c r="N21" s="12">
        <f t="shared" ca="1" si="1"/>
        <v>-0.33587786259541985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-0.33587786259541985</v>
      </c>
      <c r="Y21" s="2" t="str">
        <f t="shared" si="7"/>
        <v>VENDIDA</v>
      </c>
    </row>
    <row r="22" spans="2:25">
      <c r="B22" s="1">
        <f t="shared" ref="B22:B29" ca="1" si="9">TODAY()</f>
        <v>45595</v>
      </c>
      <c r="C22" s="2">
        <f ca="1">VLOOKUP(B22,Tabla4[],2,FALSE)</f>
        <v>4323.01</v>
      </c>
      <c r="D22" s="3">
        <f ca="1">VLOOKUP(B22,Tabla4[],3,FALSE)</f>
        <v>72187.039999999994</v>
      </c>
      <c r="E22" s="2">
        <f ca="1">VLOOKUP(B22,Tabla4[],5,FALSE)</f>
        <v>2664</v>
      </c>
      <c r="F22" s="2">
        <f ca="1">VLOOKUP(B22,Tabla4[],4,FALSE)</f>
        <v>1.74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286.32898634409003</v>
      </c>
      <c r="N22" s="32">
        <f t="shared" ref="N22:N29" ca="1" si="11">IF(G22 = "BTC", (D22 - J22) / J22,
 IF(G22 = "ETH", (E22 - J22) / J22,
 IF(G22 = "IO.NET", (F22 - J22) / J22,
 "Moneda no soportada")))</f>
        <v>-0.35315985130111521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0.49156514408999058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-0.35315985130111521</v>
      </c>
      <c r="Y22" s="2" t="str">
        <f t="shared" si="7"/>
        <v>ACTIVA</v>
      </c>
    </row>
    <row r="23" spans="2:25">
      <c r="B23" s="1">
        <f t="shared" ca="1" si="9"/>
        <v>45595</v>
      </c>
      <c r="C23" s="2">
        <f ca="1">VLOOKUP(B23,Tabla4[],2,FALSE)</f>
        <v>4323.01</v>
      </c>
      <c r="D23" s="3">
        <f ca="1">VLOOKUP(B23,Tabla4[],3,FALSE)</f>
        <v>72187.039999999994</v>
      </c>
      <c r="E23" s="2">
        <f ca="1">VLOOKUP(B23,Tabla4[],5,FALSE)</f>
        <v>2664</v>
      </c>
      <c r="F23" s="2">
        <f ca="1">VLOOKUP(B23,Tabla4[],4,FALSE)</f>
        <v>1.74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288.290131935018</v>
      </c>
      <c r="N23" s="32">
        <f t="shared" ca="1" si="11"/>
        <v>-0.36029411764705888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2.4527107350179831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-0.36029411764705888</v>
      </c>
      <c r="Y23" s="2" t="str">
        <f t="shared" si="7"/>
        <v>ACTIVA</v>
      </c>
    </row>
    <row r="24" spans="2:25">
      <c r="B24" s="1">
        <f t="shared" ca="1" si="9"/>
        <v>45595</v>
      </c>
      <c r="C24" s="2">
        <f ca="1">VLOOKUP(B24,Tabla4[],2,FALSE)</f>
        <v>4323.01</v>
      </c>
      <c r="D24" s="3">
        <f ca="1">VLOOKUP(B24,Tabla4[],3,FALSE)</f>
        <v>72187.039999999994</v>
      </c>
      <c r="E24" s="2">
        <f ca="1">VLOOKUP(B24,Tabla4[],5,FALSE)</f>
        <v>2664</v>
      </c>
      <c r="F24" s="2">
        <f ca="1">VLOOKUP(B24,Tabla4[],4,FALSE)</f>
        <v>1.74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292.34533751773199</v>
      </c>
      <c r="N24" s="32">
        <f t="shared" ca="1" si="11"/>
        <v>-0.36956521739130432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8.32839980928002</v>
      </c>
      <c r="W24" s="2">
        <f t="shared" si="14"/>
        <v>8.8385908401840538</v>
      </c>
      <c r="X24" s="9">
        <f t="shared" ca="1" si="15"/>
        <v>-0.36956521739130432</v>
      </c>
      <c r="Y24" s="2" t="str">
        <f t="shared" si="7"/>
        <v>ACTIVA</v>
      </c>
    </row>
    <row r="25" spans="2:25">
      <c r="B25" s="1">
        <f t="shared" ca="1" si="9"/>
        <v>45595</v>
      </c>
      <c r="C25" s="2">
        <f ca="1">VLOOKUP(B25,Tabla4[],2,FALSE)</f>
        <v>4323.01</v>
      </c>
      <c r="D25" s="3">
        <f ca="1">VLOOKUP(B25,Tabla4[],3,FALSE)</f>
        <v>72187.039999999994</v>
      </c>
      <c r="E25" s="2">
        <f ca="1">VLOOKUP(B25,Tabla4[],5,FALSE)</f>
        <v>2664</v>
      </c>
      <c r="F25" s="2">
        <f ca="1">VLOOKUP(B25,Tabla4[],4,FALSE)</f>
        <v>1.74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287.42013308933406</v>
      </c>
      <c r="N25" s="32">
        <f t="shared" ca="1" si="11"/>
        <v>-0.38078291814946619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1.5827118893340086</v>
      </c>
      <c r="W25" s="2">
        <f t="shared" si="14"/>
        <v>40.44492107583801</v>
      </c>
      <c r="X25" s="9">
        <f t="shared" ca="1" si="15"/>
        <v>-0.38078291814946619</v>
      </c>
      <c r="Y25" s="2" t="str">
        <f t="shared" ref="Y25:Y32" si="16">IF(U25=0,"VENDIDA","ACTIVA")</f>
        <v>ACTIVA</v>
      </c>
    </row>
    <row r="26" spans="2:25">
      <c r="B26" s="1">
        <f t="shared" ca="1" si="9"/>
        <v>45595</v>
      </c>
      <c r="C26" s="2">
        <f ca="1">VLOOKUP(B26,Tabla4[],2,FALSE)</f>
        <v>4323.01</v>
      </c>
      <c r="D26" s="3">
        <f ca="1">VLOOKUP(B26,Tabla4[],3,FALSE)</f>
        <v>72187.039999999994</v>
      </c>
      <c r="E26" s="2">
        <f ca="1">VLOOKUP(B26,Tabla4[],5,FALSE)</f>
        <v>2664</v>
      </c>
      <c r="F26" s="2">
        <f ca="1">VLOOKUP(B26,Tabla4[],4,FALSE)</f>
        <v>1.74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290.05299662008201</v>
      </c>
      <c r="N26" s="32">
        <f t="shared" ca="1" si="11"/>
        <v>-0.42844754528075052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290.05299662008201</v>
      </c>
      <c r="W26" s="2">
        <f t="shared" si="14"/>
        <v>-474.99592218630107</v>
      </c>
      <c r="X26" s="9">
        <f t="shared" ca="1" si="15"/>
        <v>-0.42844754528075052</v>
      </c>
      <c r="Y26" s="2" t="str">
        <f t="shared" si="16"/>
        <v>ACTIVA</v>
      </c>
    </row>
    <row r="27" spans="2:25">
      <c r="B27" s="1">
        <f t="shared" ca="1" si="9"/>
        <v>45595</v>
      </c>
      <c r="C27" s="2">
        <f ca="1">VLOOKUP(B27,Tabla4[],2,FALSE)</f>
        <v>4323.01</v>
      </c>
      <c r="D27" s="3">
        <f ca="1">VLOOKUP(B27,Tabla4[],3,FALSE)</f>
        <v>72187.039999999994</v>
      </c>
      <c r="E27" s="2">
        <f ca="1">VLOOKUP(B27,Tabla4[],5,FALSE)</f>
        <v>2664</v>
      </c>
      <c r="F27" s="2">
        <f ca="1">VLOOKUP(B27,Tabla4[],4,FALSE)</f>
        <v>1.74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808.24911609713604</v>
      </c>
      <c r="N27" s="32">
        <f t="shared" ca="1" si="11"/>
        <v>8.0722938824591042E-2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808.24911609713604</v>
      </c>
      <c r="W27" s="2">
        <f t="shared" si="14"/>
        <v>-699.14771612275808</v>
      </c>
      <c r="X27" s="9">
        <f t="shared" ca="1" si="15"/>
        <v>8.0722938824591042E-2</v>
      </c>
      <c r="Y27" s="2" t="str">
        <f t="shared" si="16"/>
        <v>ACTIVA</v>
      </c>
    </row>
    <row r="28" spans="2:25">
      <c r="B28" s="1">
        <f t="shared" ca="1" si="9"/>
        <v>45595</v>
      </c>
      <c r="C28" s="2">
        <f ca="1">VLOOKUP(B28,Tabla4[],2,FALSE)</f>
        <v>4323.01</v>
      </c>
      <c r="D28" s="3">
        <f ca="1">VLOOKUP(B28,Tabla4[],3,FALSE)</f>
        <v>72187.039999999994</v>
      </c>
      <c r="E28" s="2">
        <f ca="1">VLOOKUP(B28,Tabla4[],5,FALSE)</f>
        <v>2664</v>
      </c>
      <c r="F28" s="2">
        <f ca="1">VLOOKUP(B28,Tabla4[],4,FALSE)</f>
        <v>1.74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577.55240679600001</v>
      </c>
      <c r="N28" s="32">
        <f t="shared" ca="1" si="11"/>
        <v>-0.22941193485869657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577.55240679600001</v>
      </c>
      <c r="W28" s="2">
        <f t="shared" si="14"/>
        <v>-700.6597894414499</v>
      </c>
      <c r="X28" s="9">
        <f t="shared" ca="1" si="15"/>
        <v>-0.22941193485869657</v>
      </c>
      <c r="Y28" s="2" t="str">
        <f t="shared" si="16"/>
        <v>ACTIVA</v>
      </c>
    </row>
    <row r="29" spans="2:25">
      <c r="B29" s="1">
        <f t="shared" ca="1" si="9"/>
        <v>45595</v>
      </c>
      <c r="C29" s="2">
        <f ca="1">VLOOKUP(B29,Tabla4[],2,FALSE)</f>
        <v>4323.01</v>
      </c>
      <c r="D29" s="3">
        <f ca="1">VLOOKUP(B29,Tabla4[],3,FALSE)</f>
        <v>72187.039999999994</v>
      </c>
      <c r="E29" s="2">
        <f ca="1">VLOOKUP(B29,Tabla4[],5,FALSE)</f>
        <v>2664</v>
      </c>
      <c r="F29" s="2">
        <f ca="1">VLOOKUP(B29,Tabla4[],4,FALSE)</f>
        <v>1.74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223.46912508126601</v>
      </c>
      <c r="N29" s="32">
        <f t="shared" ca="1" si="11"/>
        <v>-0.4041095890410959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223.46912508126601</v>
      </c>
      <c r="W29" s="2">
        <f t="shared" si="14"/>
        <v>-350.58167079212399</v>
      </c>
      <c r="X29" s="9">
        <f t="shared" ca="1" si="15"/>
        <v>-0.4041095890410959</v>
      </c>
      <c r="Y29" s="2" t="str">
        <f t="shared" si="16"/>
        <v>ACTIVA</v>
      </c>
    </row>
    <row r="30" spans="2:25">
      <c r="B30" s="1">
        <f t="shared" ref="B30:B35" ca="1" si="17">TODAY()</f>
        <v>45595</v>
      </c>
      <c r="C30" s="2">
        <f ca="1">VLOOKUP(B30,Tabla4[],2,FALSE)</f>
        <v>4323.01</v>
      </c>
      <c r="D30" s="3">
        <f ca="1">VLOOKUP(B30,Tabla4[],3,FALSE)</f>
        <v>72187.039999999994</v>
      </c>
      <c r="E30" s="2">
        <f ca="1">VLOOKUP(B30,Tabla4[],5,FALSE)</f>
        <v>2664</v>
      </c>
      <c r="F30" s="2">
        <f ca="1">VLOOKUP(B30,Tabla4[],4,FALSE)</f>
        <v>1.74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789.5251983497119</v>
      </c>
      <c r="N30" s="32">
        <f t="shared" ref="N30:N35" ca="1" si="19">IF(G30 = "BTC", (D30 - J30) / J30,
 IF(G30 = "ETH", (E30 - J30) / J30,
 IF(G30 = "IO.NET", (F30 - J30) / J30,
 "Moneda no soportada")))</f>
        <v>5.1060422072154665E-2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789.5251983497119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5.1060422072154665E-2</v>
      </c>
      <c r="Y30" s="2" t="str">
        <f t="shared" si="16"/>
        <v>ACTIVA</v>
      </c>
    </row>
    <row r="31" spans="2:25">
      <c r="B31" s="1">
        <f t="shared" ca="1" si="17"/>
        <v>45595</v>
      </c>
      <c r="C31" s="2">
        <f ca="1">VLOOKUP(B31,Tabla4[],2,FALSE)</f>
        <v>4323.01</v>
      </c>
      <c r="D31" s="3">
        <f ca="1">VLOOKUP(B31,Tabla4[],3,FALSE)</f>
        <v>72187.039999999994</v>
      </c>
      <c r="E31" s="2">
        <f ca="1">VLOOKUP(B31,Tabla4[],5,FALSE)</f>
        <v>2664</v>
      </c>
      <c r="F31" s="2">
        <f ca="1">VLOOKUP(B31,Tabla4[],4,FALSE)</f>
        <v>1.74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603.3493637496</v>
      </c>
      <c r="N31" s="32">
        <f t="shared" ca="1" si="19"/>
        <v>-0.19650128185793997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603.3493637496</v>
      </c>
      <c r="W31" s="2">
        <f t="shared" si="22"/>
        <v>-700.01062533089998</v>
      </c>
      <c r="X31" s="9">
        <f t="shared" ca="1" si="23"/>
        <v>-0.19650128185793997</v>
      </c>
      <c r="Y31" s="2" t="str">
        <f t="shared" si="16"/>
        <v>ACTIVA</v>
      </c>
    </row>
    <row r="32" spans="2:25">
      <c r="B32" s="1">
        <f t="shared" ca="1" si="17"/>
        <v>45595</v>
      </c>
      <c r="C32" s="2">
        <f ca="1">VLOOKUP(B32,Tabla4[],2,FALSE)</f>
        <v>4323.01</v>
      </c>
      <c r="D32" s="3">
        <f ca="1">VLOOKUP(B32,Tabla4[],3,FALSE)</f>
        <v>72187.039999999994</v>
      </c>
      <c r="E32" s="2">
        <f ca="1">VLOOKUP(B32,Tabla4[],5,FALSE)</f>
        <v>2664</v>
      </c>
      <c r="F32" s="2">
        <f ca="1">VLOOKUP(B32,Tabla4[],4,FALSE)</f>
        <v>1.74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225.343015038354</v>
      </c>
      <c r="N32" s="32">
        <f t="shared" ca="1" si="19"/>
        <v>-0.39999999999999997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225.343015038354</v>
      </c>
      <c r="W32" s="2">
        <f t="shared" si="22"/>
        <v>-350.11749431717993</v>
      </c>
      <c r="X32" s="9">
        <f t="shared" ca="1" si="23"/>
        <v>-0.39999999999999997</v>
      </c>
      <c r="Y32" s="2" t="str">
        <f t="shared" si="16"/>
        <v>ACTIVA</v>
      </c>
    </row>
    <row r="33" spans="2:25">
      <c r="B33" s="1">
        <f t="shared" ca="1" si="17"/>
        <v>45595</v>
      </c>
      <c r="C33" s="2">
        <f ca="1">VLOOKUP(B33,Tabla4[],2,FALSE)</f>
        <v>4323.01</v>
      </c>
      <c r="D33" s="3">
        <f ca="1">VLOOKUP(B33,Tabla4[],3,FALSE)</f>
        <v>72187.039999999994</v>
      </c>
      <c r="E33" s="2">
        <f ca="1">VLOOKUP(B33,Tabla4[],5,FALSE)</f>
        <v>2664</v>
      </c>
      <c r="F33" s="2">
        <f ca="1">VLOOKUP(B33,Tabla4[],4,FALSE)</f>
        <v>1.74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992.36764061347196</v>
      </c>
      <c r="N33" s="32">
        <f t="shared" ca="1" si="19"/>
        <v>0.35008562987284653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992.36764061347196</v>
      </c>
      <c r="W33" s="2">
        <f t="shared" si="22"/>
        <v>-699.99737650756197</v>
      </c>
      <c r="X33" s="9">
        <f t="shared" ca="1" si="23"/>
        <v>0.35008562987284653</v>
      </c>
      <c r="Y33" s="2" t="str">
        <f t="shared" ref="Y33:Y38" si="24">IF(U33=0,"VENDIDA","ACTIVA")</f>
        <v>ACTIVA</v>
      </c>
    </row>
    <row r="34" spans="2:25">
      <c r="B34" s="1">
        <f t="shared" ca="1" si="17"/>
        <v>45595</v>
      </c>
      <c r="C34" s="2">
        <f ca="1">VLOOKUP(B34,Tabla4[],2,FALSE)</f>
        <v>4323.01</v>
      </c>
      <c r="D34" s="3">
        <f ca="1">VLOOKUP(B34,Tabla4[],3,FALSE)</f>
        <v>72187.039999999994</v>
      </c>
      <c r="E34" s="2">
        <f ca="1">VLOOKUP(B34,Tabla4[],5,FALSE)</f>
        <v>2664</v>
      </c>
      <c r="F34" s="2">
        <f ca="1">VLOOKUP(B34,Tabla4[],4,FALSE)</f>
        <v>1.74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824.69646761040008</v>
      </c>
      <c r="N34" s="32">
        <f t="shared" ca="1" si="19"/>
        <v>0.12197710560230456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824.69646761040008</v>
      </c>
      <c r="W34" s="2">
        <f t="shared" si="22"/>
        <v>-699.99553871893795</v>
      </c>
      <c r="X34" s="9">
        <f t="shared" ca="1" si="23"/>
        <v>0.12197710560230456</v>
      </c>
      <c r="Y34" s="2" t="str">
        <f t="shared" si="24"/>
        <v>ACTIVA</v>
      </c>
    </row>
    <row r="35" spans="2:25">
      <c r="B35" s="1">
        <f t="shared" ca="1" si="17"/>
        <v>45595</v>
      </c>
      <c r="C35" s="2">
        <f ca="1">VLOOKUP(B35,Tabla4[],2,FALSE)</f>
        <v>4323.01</v>
      </c>
      <c r="D35" s="3">
        <f ca="1">VLOOKUP(B35,Tabla4[],3,FALSE)</f>
        <v>72187.039999999994</v>
      </c>
      <c r="E35" s="2">
        <f ca="1">VLOOKUP(B35,Tabla4[],5,FALSE)</f>
        <v>2664</v>
      </c>
      <c r="F35" s="2">
        <f ca="1">VLOOKUP(B35,Tabla4[],4,FALSE)</f>
        <v>1.74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434.32717835956203</v>
      </c>
      <c r="N35" s="32">
        <f t="shared" ca="1" si="19"/>
        <v>0.18174409127954366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434.32717835956203</v>
      </c>
      <c r="W35" s="2">
        <f t="shared" si="22"/>
        <v>-350.00858741327886</v>
      </c>
      <c r="X35" s="9">
        <f t="shared" ca="1" si="23"/>
        <v>0.18174409127954366</v>
      </c>
      <c r="Y35" s="2" t="str">
        <f t="shared" si="24"/>
        <v>ACTIVA</v>
      </c>
    </row>
    <row r="36" spans="2:25">
      <c r="B36" s="1">
        <f t="shared" ref="B36:B41" ca="1" si="25">TODAY()</f>
        <v>45595</v>
      </c>
      <c r="C36" s="2">
        <f ca="1">VLOOKUP(B36,Tabla4[],2,FALSE)</f>
        <v>4323.01</v>
      </c>
      <c r="D36" s="3">
        <f ca="1">VLOOKUP(B36,Tabla4[],3,FALSE)</f>
        <v>72187.039999999994</v>
      </c>
      <c r="E36" s="2">
        <f ca="1">VLOOKUP(B36,Tabla4[],5,FALSE)</f>
        <v>2664</v>
      </c>
      <c r="F36" s="2">
        <f ca="1">VLOOKUP(B36,Tabla4[],4,FALSE)</f>
        <v>1.74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908.11001075006402</v>
      </c>
      <c r="N36" s="41">
        <f t="shared" ref="N36:N41" ca="1" si="27">IF(G36 = "BTC", (D36 - J36) / J36,
 IF(G36 = "ETH", (E36 - J36) / J36,
 IF(G36 = "IO.NET", (F36 - J36) / J36,
 "Moneda no soportada")))</f>
        <v>0.22252926425581923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908.11001075006402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0.22252926425581923</v>
      </c>
      <c r="Y36" s="2" t="str">
        <f t="shared" si="24"/>
        <v>ACTIVA</v>
      </c>
    </row>
    <row r="37" spans="2:25">
      <c r="B37" s="1">
        <f t="shared" ca="1" si="25"/>
        <v>45595</v>
      </c>
      <c r="C37" s="2">
        <f ca="1">VLOOKUP(B37,Tabla4[],2,FALSE)</f>
        <v>4323.01</v>
      </c>
      <c r="D37" s="3">
        <f ca="1">VLOOKUP(B37,Tabla4[],3,FALSE)</f>
        <v>72187.039999999994</v>
      </c>
      <c r="E37" s="2">
        <f ca="1">VLOOKUP(B37,Tabla4[],5,FALSE)</f>
        <v>2664</v>
      </c>
      <c r="F37" s="2">
        <f ca="1">VLOOKUP(B37,Tabla4[],4,FALSE)</f>
        <v>1.74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748.1117516544</v>
      </c>
      <c r="N37" s="41">
        <f t="shared" ca="1" si="27"/>
        <v>7.1072130651747252E-3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748.1117516544</v>
      </c>
      <c r="W37" s="2">
        <f t="shared" si="30"/>
        <v>-700.01513873535998</v>
      </c>
      <c r="X37" s="9">
        <f t="shared" ca="1" si="31"/>
        <v>7.1072130651747252E-3</v>
      </c>
      <c r="Y37" s="2" t="str">
        <f t="shared" si="24"/>
        <v>ACTIVA</v>
      </c>
    </row>
    <row r="38" spans="2:25">
      <c r="B38" s="1">
        <f t="shared" ca="1" si="25"/>
        <v>45595</v>
      </c>
      <c r="C38" s="2">
        <f ca="1">VLOOKUP(B38,Tabla4[],2,FALSE)</f>
        <v>4323.01</v>
      </c>
      <c r="D38" s="3">
        <f ca="1">VLOOKUP(B38,Tabla4[],3,FALSE)</f>
        <v>72187.039999999994</v>
      </c>
      <c r="E38" s="2">
        <f ca="1">VLOOKUP(B38,Tabla4[],5,FALSE)</f>
        <v>2664</v>
      </c>
      <c r="F38" s="2">
        <f ca="1">VLOOKUP(B38,Tabla4[],4,FALSE)</f>
        <v>1.74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411.01059248816404</v>
      </c>
      <c r="N38" s="41">
        <f t="shared" ca="1" si="27"/>
        <v>0.10663088136153752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411.01059248816404</v>
      </c>
      <c r="W38" s="2">
        <f t="shared" si="30"/>
        <v>-349.9990705940495</v>
      </c>
      <c r="X38" s="9">
        <f t="shared" ca="1" si="31"/>
        <v>0.10663088136153752</v>
      </c>
      <c r="Y38" s="2" t="str">
        <f t="shared" si="24"/>
        <v>ACTIVA</v>
      </c>
    </row>
    <row r="39" spans="2:25">
      <c r="B39" s="1">
        <f t="shared" ca="1" si="25"/>
        <v>45595</v>
      </c>
      <c r="C39" s="2">
        <f ca="1">VLOOKUP(B39,Tabla4[],2,FALSE)</f>
        <v>4323.01</v>
      </c>
      <c r="D39" s="3">
        <f ca="1">VLOOKUP(B39,Tabla4[],3,FALSE)</f>
        <v>72187.039999999994</v>
      </c>
      <c r="E39" s="2">
        <f ca="1">VLOOKUP(B39,Tabla4[],5,FALSE)</f>
        <v>2664</v>
      </c>
      <c r="F39" s="2">
        <f ca="1">VLOOKUP(B39,Tabla4[],4,FALSE)</f>
        <v>1.74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945.55784624491196</v>
      </c>
      <c r="N39" s="41">
        <f t="shared" ca="1" si="27"/>
        <v>0.25928567191986557</v>
      </c>
      <c r="O39" s="28">
        <v>0.25</v>
      </c>
      <c r="P39" s="28">
        <v>0.5</v>
      </c>
      <c r="Q39" t="str">
        <f t="shared" ca="1" si="28"/>
        <v>VENTA PARCIAL</v>
      </c>
      <c r="T39" s="2"/>
      <c r="U39" s="14">
        <f>Tabla6[[#This Row],[cantidad]]-Tabla6[[#This Row],[CANTIDAD VENDIDA]]</f>
        <v>3.0299999999999998E-6</v>
      </c>
      <c r="V39" s="2">
        <f t="shared" ca="1" si="29"/>
        <v>945.55784624491196</v>
      </c>
      <c r="W39" s="2">
        <f t="shared" si="30"/>
        <v>-700.00297999823999</v>
      </c>
      <c r="X39" s="9">
        <f t="shared" ca="1" si="31"/>
        <v>0.25928567191986557</v>
      </c>
      <c r="Y39" s="2" t="str">
        <f t="shared" ref="Y39:Y44" si="32">IF(U39=0,"VENDIDA","ACTIVA")</f>
        <v>ACTIVA</v>
      </c>
    </row>
    <row r="40" spans="2:25">
      <c r="B40" s="1">
        <f t="shared" ca="1" si="25"/>
        <v>45595</v>
      </c>
      <c r="C40" s="2">
        <f ca="1">VLOOKUP(B40,Tabla4[],2,FALSE)</f>
        <v>4323.01</v>
      </c>
      <c r="D40" s="3">
        <f ca="1">VLOOKUP(B40,Tabla4[],3,FALSE)</f>
        <v>72187.039999999994</v>
      </c>
      <c r="E40" s="2">
        <f ca="1">VLOOKUP(B40,Tabla4[],5,FALSE)</f>
        <v>2664</v>
      </c>
      <c r="F40" s="2">
        <f ca="1">VLOOKUP(B40,Tabla4[],4,FALSE)</f>
        <v>1.74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791.52895152719998</v>
      </c>
      <c r="N40" s="41">
        <f t="shared" ca="1" si="27"/>
        <v>5.415191025463463E-2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791.52895152719998</v>
      </c>
      <c r="W40" s="2">
        <f t="shared" si="30"/>
        <v>-700.00259914812</v>
      </c>
      <c r="X40" s="9">
        <f t="shared" ca="1" si="31"/>
        <v>5.415191025463463E-2</v>
      </c>
      <c r="Y40" s="2" t="str">
        <f t="shared" si="32"/>
        <v>ACTIVA</v>
      </c>
    </row>
    <row r="41" spans="2:25">
      <c r="B41" s="1">
        <f t="shared" ca="1" si="25"/>
        <v>45595</v>
      </c>
      <c r="C41" s="2">
        <f ca="1">VLOOKUP(B41,Tabla4[],2,FALSE)</f>
        <v>4323.01</v>
      </c>
      <c r="D41" s="3">
        <f ca="1">VLOOKUP(B41,Tabla4[],3,FALSE)</f>
        <v>72187.039999999994</v>
      </c>
      <c r="E41" s="2">
        <f ca="1">VLOOKUP(B41,Tabla4[],5,FALSE)</f>
        <v>2664</v>
      </c>
      <c r="F41" s="2">
        <f ca="1">VLOOKUP(B41,Tabla4[],4,FALSE)</f>
        <v>1.74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405.19026560916603</v>
      </c>
      <c r="N41" s="41">
        <f t="shared" ca="1" si="27"/>
        <v>7.9270561965016695E-2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405.19026560916603</v>
      </c>
      <c r="W41" s="2">
        <f t="shared" si="30"/>
        <v>-349.99732079053973</v>
      </c>
      <c r="X41" s="9">
        <f t="shared" ca="1" si="31"/>
        <v>7.9270561965016695E-2</v>
      </c>
      <c r="Y41" s="2" t="str">
        <f t="shared" si="32"/>
        <v>ACTIVA</v>
      </c>
    </row>
    <row r="42" spans="2:25">
      <c r="B42" s="1">
        <f t="shared" ref="B42:B47" ca="1" si="33">TODAY()</f>
        <v>45595</v>
      </c>
      <c r="C42" s="2">
        <f ca="1">VLOOKUP(B42,Tabla4[],2,FALSE)</f>
        <v>4323.01</v>
      </c>
      <c r="D42" s="3">
        <f ca="1">VLOOKUP(B42,Tabla4[],3,FALSE)</f>
        <v>72187.039999999994</v>
      </c>
      <c r="E42" s="2">
        <f ca="1">VLOOKUP(B42,Tabla4[],5,FALSE)</f>
        <v>2664</v>
      </c>
      <c r="F42" s="2">
        <f ca="1">VLOOKUP(B42,Tabla4[],4,FALSE)</f>
        <v>1.74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867.54152229731199</v>
      </c>
      <c r="N42" s="41">
        <f t="shared" ref="N42:N47" ca="1" si="35">IF(G42 = "BTC", (D42 - J42) / J42,
 IF(G42 = "ETH", (E42 - J42) / J42,
 IF(G42 = "IO.NET", (F42 - J42) / J42,
 "Moneda no soportada")))</f>
        <v>0.15526990477714642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867.54152229731199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0.15526990477714642</v>
      </c>
      <c r="Y42" s="2" t="str">
        <f t="shared" si="32"/>
        <v>ACTIVA</v>
      </c>
    </row>
    <row r="43" spans="2:25">
      <c r="B43" s="1">
        <f t="shared" ca="1" si="33"/>
        <v>45595</v>
      </c>
      <c r="C43" s="2">
        <f ca="1">VLOOKUP(B43,Tabla4[],2,FALSE)</f>
        <v>4323.01</v>
      </c>
      <c r="D43" s="3">
        <f ca="1">VLOOKUP(B43,Tabla4[],3,FALSE)</f>
        <v>72187.039999999994</v>
      </c>
      <c r="E43" s="2">
        <f ca="1">VLOOKUP(B43,Tabla4[],5,FALSE)</f>
        <v>2664</v>
      </c>
      <c r="F43" s="2">
        <f ca="1">VLOOKUP(B43,Tabla4[],4,FALSE)</f>
        <v>1.74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749.03307154560014</v>
      </c>
      <c r="N43" s="41">
        <f t="shared" ca="1" si="35"/>
        <v>-2.542318939340032E-3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749.03307154560014</v>
      </c>
      <c r="W43" s="2">
        <f t="shared" si="38"/>
        <v>-700.00054480260007</v>
      </c>
      <c r="X43" s="9">
        <f t="shared" ca="1" si="39"/>
        <v>-2.542318939340032E-3</v>
      </c>
      <c r="Y43" s="2" t="str">
        <f t="shared" si="32"/>
        <v>ACTIVA</v>
      </c>
    </row>
    <row r="44" spans="2:25">
      <c r="B44" s="1">
        <f t="shared" ca="1" si="33"/>
        <v>45595</v>
      </c>
      <c r="C44" s="2">
        <f ca="1">VLOOKUP(B44,Tabla4[],2,FALSE)</f>
        <v>4323.01</v>
      </c>
      <c r="D44" s="3">
        <f ca="1">VLOOKUP(B44,Tabla4[],3,FALSE)</f>
        <v>72187.039999999994</v>
      </c>
      <c r="E44" s="2">
        <f ca="1">VLOOKUP(B44,Tabla4[],5,FALSE)</f>
        <v>2664</v>
      </c>
      <c r="F44" s="2">
        <f ca="1">VLOOKUP(B44,Tabla4[],4,FALSE)</f>
        <v>1.74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300.14764603125599</v>
      </c>
      <c r="N44" s="41">
        <f t="shared" ca="1" si="35"/>
        <v>-0.2006211265729157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300.14764603125599</v>
      </c>
      <c r="W44" s="2">
        <f t="shared" si="38"/>
        <v>-350.00491194757706</v>
      </c>
      <c r="X44" s="9">
        <f t="shared" ca="1" si="39"/>
        <v>-0.2006211265729157</v>
      </c>
      <c r="Y44" s="2" t="str">
        <f t="shared" si="32"/>
        <v>ACTIVA</v>
      </c>
    </row>
    <row r="45" spans="2:25">
      <c r="B45" s="1">
        <f t="shared" ca="1" si="33"/>
        <v>45595</v>
      </c>
      <c r="C45" s="2">
        <f ca="1">VLOOKUP(B45,Tabla4[],2,FALSE)</f>
        <v>4323.01</v>
      </c>
      <c r="D45" s="3">
        <f ca="1">VLOOKUP(B45,Tabla4[],3,FALSE)</f>
        <v>72187.039999999994</v>
      </c>
      <c r="E45" s="2">
        <f ca="1">VLOOKUP(B45,Tabla4[],5,FALSE)</f>
        <v>2664</v>
      </c>
      <c r="F45" s="2">
        <f ca="1">VLOOKUP(B45,Tabla4[],4,FALSE)</f>
        <v>1.74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933.07523441329602</v>
      </c>
      <c r="N45" s="41">
        <f t="shared" ca="1" si="35"/>
        <v>0.28280519185112507</v>
      </c>
      <c r="O45" s="28">
        <v>0.25</v>
      </c>
      <c r="P45" s="28">
        <v>0.5</v>
      </c>
      <c r="Q45" s="31" t="str">
        <f t="shared" ca="1" si="36"/>
        <v>VENTA PARCIAL</v>
      </c>
      <c r="T45" s="2"/>
      <c r="U45" s="14">
        <f>Tabla6[[#This Row],[cantidad]]-Tabla6[[#This Row],[CANTIDAD VENDIDA]]</f>
        <v>2.9900000000000002E-6</v>
      </c>
      <c r="V45" s="2">
        <f t="shared" ca="1" si="37"/>
        <v>933.07523441329602</v>
      </c>
      <c r="W45" s="2">
        <f t="shared" si="38"/>
        <v>-699.99575477832013</v>
      </c>
      <c r="X45" s="32">
        <f t="shared" ca="1" si="39"/>
        <v>0.28280519185112507</v>
      </c>
      <c r="Y45" s="2" t="str">
        <f t="shared" ref="Y45:Y50" si="40">IF(U45=0,"VENDIDA","ACTIVA")</f>
        <v>ACTIVA</v>
      </c>
    </row>
    <row r="46" spans="2:25">
      <c r="B46" s="1">
        <f t="shared" ca="1" si="33"/>
        <v>45595</v>
      </c>
      <c r="C46" s="2">
        <f ca="1">VLOOKUP(B46,Tabla4[],2,FALSE)</f>
        <v>4323.01</v>
      </c>
      <c r="D46" s="3">
        <f ca="1">VLOOKUP(B46,Tabla4[],3,FALSE)</f>
        <v>72187.039999999994</v>
      </c>
      <c r="E46" s="2">
        <f ca="1">VLOOKUP(B46,Tabla4[],5,FALSE)</f>
        <v>2664</v>
      </c>
      <c r="F46" s="2">
        <f ca="1">VLOOKUP(B46,Tabla4[],4,FALSE)</f>
        <v>1.74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802.12413027600007</v>
      </c>
      <c r="N46" s="41">
        <f t="shared" ca="1" si="35"/>
        <v>0.10275855217405692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802.12413027600007</v>
      </c>
      <c r="W46" s="2">
        <f t="shared" si="38"/>
        <v>-700.00412532204018</v>
      </c>
      <c r="X46" s="32">
        <f t="shared" ca="1" si="39"/>
        <v>0.10275855217405692</v>
      </c>
      <c r="Y46" s="2" t="str">
        <f t="shared" si="40"/>
        <v>ACTIVA</v>
      </c>
    </row>
    <row r="47" spans="2:25">
      <c r="B47" s="1">
        <f t="shared" ca="1" si="33"/>
        <v>45595</v>
      </c>
      <c r="C47" s="2">
        <f ca="1">VLOOKUP(B47,Tabla4[],2,FALSE)</f>
        <v>4323.01</v>
      </c>
      <c r="D47" s="3">
        <f ca="1">VLOOKUP(B47,Tabla4[],3,FALSE)</f>
        <v>72187.039999999994</v>
      </c>
      <c r="E47" s="2">
        <f ca="1">VLOOKUP(B47,Tabla4[],5,FALSE)</f>
        <v>2664</v>
      </c>
      <c r="F47" s="2">
        <f ca="1">VLOOKUP(B47,Tabla4[],4,FALSE)</f>
        <v>1.74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454.31217864612603</v>
      </c>
      <c r="N47" s="41">
        <f t="shared" ca="1" si="35"/>
        <v>0.249192332543614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454.31217864612603</v>
      </c>
      <c r="W47" s="2">
        <f t="shared" si="38"/>
        <v>-349.99716107114455</v>
      </c>
      <c r="X47" s="32">
        <f t="shared" ca="1" si="39"/>
        <v>0.249192332543614</v>
      </c>
      <c r="Y47" s="2" t="str">
        <f t="shared" si="40"/>
        <v>ACTIVA</v>
      </c>
    </row>
    <row r="48" spans="2:25">
      <c r="B48" s="1">
        <f t="shared" ref="B48:B53" ca="1" si="41">TODAY()</f>
        <v>45595</v>
      </c>
      <c r="C48" s="2">
        <f ca="1">VLOOKUP(B48,Tabla4[],2,FALSE)</f>
        <v>4323.01</v>
      </c>
      <c r="D48" s="3">
        <f ca="1">VLOOKUP(B48,Tabla4[],3,FALSE)</f>
        <v>72187.039999999994</v>
      </c>
      <c r="E48" s="2">
        <f ca="1">VLOOKUP(B48,Tabla4[],5,FALSE)</f>
        <v>2664</v>
      </c>
      <c r="F48" s="2">
        <f ca="1">VLOOKUP(B48,Tabla4[],4,FALSE)</f>
        <v>1.74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967.40241695023997</v>
      </c>
      <c r="N48" s="41">
        <f t="shared" ref="N48:N53" ca="1" si="43">IF(G48 = "BTC", (D48 - J48) / J48,
 IF(G48 = "ETH", (E48 - J48) / J48,
 IF(G48 = "IO.NET", (F48 - J48) / J48,
 "Moneda no soportada")))</f>
        <v>0.32662623589517392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967.40241695023997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0.32662623589517392</v>
      </c>
      <c r="Y48" s="2" t="str">
        <f t="shared" si="40"/>
        <v>ACTIVA</v>
      </c>
    </row>
    <row r="49" spans="2:25">
      <c r="B49" s="1">
        <f t="shared" ca="1" si="41"/>
        <v>45595</v>
      </c>
      <c r="C49" s="2">
        <f ca="1">VLOOKUP(B49,Tabla4[],2,FALSE)</f>
        <v>4323.01</v>
      </c>
      <c r="D49" s="3">
        <f ca="1">VLOOKUP(B49,Tabla4[],3,FALSE)</f>
        <v>72187.039999999994</v>
      </c>
      <c r="E49" s="2">
        <f ca="1">VLOOKUP(B49,Tabla4[],5,FALSE)</f>
        <v>2664</v>
      </c>
      <c r="F49" s="2">
        <f ca="1">VLOOKUP(B49,Tabla4[],4,FALSE)</f>
        <v>1.74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851.069249496</v>
      </c>
      <c r="N49" s="41">
        <f t="shared" ca="1" si="43"/>
        <v>0.16709527335176261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851.069249496</v>
      </c>
      <c r="W49" s="2">
        <f t="shared" si="46"/>
        <v>-700.00069063578997</v>
      </c>
      <c r="X49" s="32">
        <f t="shared" ca="1" si="47"/>
        <v>0.16709527335176261</v>
      </c>
      <c r="Y49" s="2" t="str">
        <f t="shared" si="40"/>
        <v>ACTIVA</v>
      </c>
    </row>
    <row r="50" spans="2:25">
      <c r="B50" s="1">
        <f t="shared" ca="1" si="41"/>
        <v>45595</v>
      </c>
      <c r="C50" s="2">
        <f ca="1">VLOOKUP(B50,Tabla4[],2,FALSE)</f>
        <v>4323.01</v>
      </c>
      <c r="D50" s="3">
        <f ca="1">VLOOKUP(B50,Tabla4[],3,FALSE)</f>
        <v>72187.039999999994</v>
      </c>
      <c r="E50" s="2">
        <f ca="1">VLOOKUP(B50,Tabla4[],5,FALSE)</f>
        <v>2664</v>
      </c>
      <c r="F50" s="2">
        <f ca="1">VLOOKUP(B50,Tabla4[],4,FALSE)</f>
        <v>1.74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406.31052263914802</v>
      </c>
      <c r="N50" s="41">
        <f t="shared" ca="1" si="43"/>
        <v>0.11438452670680166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406.31052263914802</v>
      </c>
      <c r="W50" s="2">
        <f t="shared" si="46"/>
        <v>-349.9958350273381</v>
      </c>
      <c r="X50" s="32">
        <f t="shared" ca="1" si="47"/>
        <v>0.11438452670680166</v>
      </c>
      <c r="Y50" s="2" t="str">
        <f t="shared" si="40"/>
        <v>ACTIVA</v>
      </c>
    </row>
    <row r="51" spans="2:25">
      <c r="B51" s="1">
        <f t="shared" ca="1" si="41"/>
        <v>45595</v>
      </c>
      <c r="C51" s="2">
        <f ca="1">VLOOKUP(B51,Tabla4[],2,FALSE)</f>
        <v>4323.01</v>
      </c>
      <c r="D51" s="3">
        <f ca="1">VLOOKUP(B51,Tabla4[],3,FALSE)</f>
        <v>72187.039999999994</v>
      </c>
      <c r="E51" s="2">
        <f ca="1">VLOOKUP(B51,Tabla4[],5,FALSE)</f>
        <v>2664</v>
      </c>
      <c r="F51" s="2">
        <f ca="1">VLOOKUP(B51,Tabla4[],4,FALSE)</f>
        <v>1.74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901.86870483425594</v>
      </c>
      <c r="N51" s="41">
        <f t="shared" ca="1" si="43"/>
        <v>0.24341153476415633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901.86870483425594</v>
      </c>
      <c r="W51" s="2">
        <f t="shared" si="46"/>
        <v>-700.00318686059086</v>
      </c>
      <c r="X51" s="32">
        <f t="shared" ca="1" si="47"/>
        <v>0.24341153476415633</v>
      </c>
      <c r="Y51" s="2" t="str">
        <f t="shared" ref="Y51:Y56" si="48">IF(U51=0,"VENDIDA","ACTIVA")</f>
        <v>ACTIVA</v>
      </c>
    </row>
    <row r="52" spans="2:25">
      <c r="B52" s="1">
        <f t="shared" ca="1" si="41"/>
        <v>45595</v>
      </c>
      <c r="C52" s="2">
        <f ca="1">VLOOKUP(B52,Tabla4[],2,FALSE)</f>
        <v>4323.01</v>
      </c>
      <c r="D52" s="3">
        <f ca="1">VLOOKUP(B52,Tabla4[],3,FALSE)</f>
        <v>72187.039999999994</v>
      </c>
      <c r="E52" s="2">
        <f ca="1">VLOOKUP(B52,Tabla4[],5,FALSE)</f>
        <v>2664</v>
      </c>
      <c r="F52" s="2">
        <f ca="1">VLOOKUP(B52,Tabla4[],4,FALSE)</f>
        <v>1.74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851.41474445520009</v>
      </c>
      <c r="N52" s="41">
        <f t="shared" ca="1" si="43"/>
        <v>0.17384752319935137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851.41474445520009</v>
      </c>
      <c r="W52" s="2">
        <f t="shared" si="46"/>
        <v>-700.00488533471412</v>
      </c>
      <c r="X52" s="32">
        <f t="shared" ca="1" si="47"/>
        <v>0.17384752319935137</v>
      </c>
      <c r="Y52" s="2" t="str">
        <f t="shared" si="48"/>
        <v>ACTIVA</v>
      </c>
    </row>
    <row r="53" spans="2:25">
      <c r="B53" s="1">
        <f t="shared" ca="1" si="41"/>
        <v>45595</v>
      </c>
      <c r="C53" s="2">
        <f ca="1">VLOOKUP(B53,Tabla4[],2,FALSE)</f>
        <v>4323.01</v>
      </c>
      <c r="D53" s="3">
        <f ca="1">VLOOKUP(B53,Tabla4[],3,FALSE)</f>
        <v>72187.039999999994</v>
      </c>
      <c r="E53" s="2">
        <f ca="1">VLOOKUP(B53,Tabla4[],5,FALSE)</f>
        <v>2664</v>
      </c>
      <c r="F53" s="2">
        <f ca="1">VLOOKUP(B53,Tabla4[],4,FALSE)</f>
        <v>1.74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365.98066779680397</v>
      </c>
      <c r="N53" s="41">
        <f t="shared" ca="1" si="43"/>
        <v>9.1636701078761373E-3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365.98066779680397</v>
      </c>
      <c r="W53" s="2">
        <f t="shared" si="46"/>
        <v>-350.00006885889513</v>
      </c>
      <c r="X53" s="32">
        <f t="shared" ca="1" si="47"/>
        <v>9.1636701078761373E-3</v>
      </c>
      <c r="Y53" s="2" t="str">
        <f t="shared" si="48"/>
        <v>ACTIVA</v>
      </c>
    </row>
    <row r="54" spans="2:25">
      <c r="B54" s="1">
        <f t="shared" ref="B54:B59" ca="1" si="49">TODAY()</f>
        <v>45595</v>
      </c>
      <c r="C54" s="2">
        <f ca="1">VLOOKUP(B54,Tabla4[],2,FALSE)</f>
        <v>4323.01</v>
      </c>
      <c r="D54" s="3">
        <f ca="1">VLOOKUP(B54,Tabla4[],3,FALSE)</f>
        <v>72187.039999999994</v>
      </c>
      <c r="E54" s="2">
        <f ca="1">VLOOKUP(B54,Tabla4[],5,FALSE)</f>
        <v>2664</v>
      </c>
      <c r="F54" s="2">
        <f ca="1">VLOOKUP(B54,Tabla4[],4,FALSE)</f>
        <v>1.74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839.455645676176</v>
      </c>
      <c r="N54" s="41">
        <f t="shared" ref="N54:N59" ca="1" si="51">IF(G54 = "BTC", (D54 - J54) / J54,
 IF(G54 = "ETH", (E54 - J54) / J54,
 IF(G54 = "IO.NET", (F54 - J54) / J54,
 "Moneda no soportada")))</f>
        <v>0.15233765404508004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839.455645676176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0.15233765404508004</v>
      </c>
      <c r="Y54" s="2" t="str">
        <f t="shared" si="48"/>
        <v>ACTIVA</v>
      </c>
    </row>
    <row r="55" spans="2:25">
      <c r="B55" s="1">
        <f t="shared" ca="1" si="49"/>
        <v>45595</v>
      </c>
      <c r="C55" s="2">
        <f ca="1">VLOOKUP(B55,Tabla4[],2,FALSE)</f>
        <v>4323.01</v>
      </c>
      <c r="D55" s="3">
        <f ca="1">VLOOKUP(B55,Tabla4[],3,FALSE)</f>
        <v>72187.039999999994</v>
      </c>
      <c r="E55" s="2">
        <f ca="1">VLOOKUP(B55,Tabla4[],5,FALSE)</f>
        <v>2664</v>
      </c>
      <c r="F55" s="2">
        <f ca="1">VLOOKUP(B55,Tabla4[],4,FALSE)</f>
        <v>1.74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746.72977181759995</v>
      </c>
      <c r="N55" s="41">
        <f t="shared" ca="1" si="51"/>
        <v>2.5041170947932189E-2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746.72977181759995</v>
      </c>
      <c r="W55" s="2">
        <f t="shared" si="54"/>
        <v>-700.0036727317439</v>
      </c>
      <c r="X55" s="32">
        <f t="shared" ca="1" si="55"/>
        <v>2.5041170947932189E-2</v>
      </c>
      <c r="Y55" s="2" t="str">
        <f t="shared" si="48"/>
        <v>ACTIVA</v>
      </c>
    </row>
    <row r="56" spans="2:25">
      <c r="B56" s="1">
        <f t="shared" ca="1" si="49"/>
        <v>45595</v>
      </c>
      <c r="C56" s="2">
        <f ca="1">VLOOKUP(B56,Tabla4[],2,FALSE)</f>
        <v>4323.01</v>
      </c>
      <c r="D56" s="3">
        <f ca="1">VLOOKUP(B56,Tabla4[],3,FALSE)</f>
        <v>72187.039999999994</v>
      </c>
      <c r="E56" s="2">
        <f ca="1">VLOOKUP(B56,Tabla4[],5,FALSE)</f>
        <v>2664</v>
      </c>
      <c r="F56" s="2">
        <f ca="1">VLOOKUP(B56,Tabla4[],4,FALSE)</f>
        <v>1.74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303.854806943472</v>
      </c>
      <c r="N56" s="41">
        <f t="shared" ca="1" si="51"/>
        <v>-0.16578770735449225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303.854806943472</v>
      </c>
      <c r="W56" s="2">
        <f t="shared" si="54"/>
        <v>-349.99971212019545</v>
      </c>
      <c r="X56" s="32">
        <f t="shared" ca="1" si="55"/>
        <v>-0.16578770735449225</v>
      </c>
      <c r="Y56" s="2" t="str">
        <f t="shared" si="48"/>
        <v>ACTIVA</v>
      </c>
    </row>
    <row r="57" spans="2:25">
      <c r="B57" s="1">
        <f t="shared" ca="1" si="49"/>
        <v>45595</v>
      </c>
      <c r="C57" s="2">
        <f ca="1">VLOOKUP(B57,Tabla4[],2,FALSE)</f>
        <v>4323.01</v>
      </c>
      <c r="D57" s="3">
        <f ca="1">VLOOKUP(B57,Tabla4[],3,FALSE)</f>
        <v>72187.039999999994</v>
      </c>
      <c r="E57" s="2">
        <f ca="1">VLOOKUP(B57,Tabla4[],5,FALSE)</f>
        <v>2664</v>
      </c>
      <c r="F57" s="2">
        <f ca="1">VLOOKUP(B57,Tabla4[],4,FALSE)</f>
        <v>1.74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848.81760454988796</v>
      </c>
      <c r="N57" s="41">
        <f t="shared" ca="1" si="51"/>
        <v>0.12199416333945499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848.81760454988796</v>
      </c>
      <c r="W57" s="2">
        <f t="shared" si="54"/>
        <v>-699.99918079999998</v>
      </c>
      <c r="X57" s="32">
        <f t="shared" ca="1" si="55"/>
        <v>0.12199416333945499</v>
      </c>
      <c r="Y57" s="2" t="str">
        <f t="shared" ref="Y57:Y62" si="56">IF(U57=0,"VENDIDA","ACTIVA")</f>
        <v>ACTIVA</v>
      </c>
    </row>
    <row r="58" spans="2:25">
      <c r="B58" s="1">
        <f t="shared" ca="1" si="49"/>
        <v>45595</v>
      </c>
      <c r="C58" s="2">
        <f ca="1">VLOOKUP(B58,Tabla4[],2,FALSE)</f>
        <v>4323.01</v>
      </c>
      <c r="D58" s="3">
        <f ca="1">VLOOKUP(B58,Tabla4[],3,FALSE)</f>
        <v>72187.039999999994</v>
      </c>
      <c r="E58" s="2">
        <f ca="1">VLOOKUP(B58,Tabla4[],5,FALSE)</f>
        <v>2664</v>
      </c>
      <c r="F58" s="2">
        <f ca="1">VLOOKUP(B58,Tabla4[],4,FALSE)</f>
        <v>1.74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768.49595424720007</v>
      </c>
      <c r="N58" s="41">
        <f t="shared" ca="1" si="51"/>
        <v>1.5824594852240227E-2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768.49595424720007</v>
      </c>
      <c r="W58" s="2">
        <f t="shared" si="54"/>
        <v>-699.99770000000001</v>
      </c>
      <c r="X58" s="32">
        <f t="shared" ca="1" si="55"/>
        <v>1.5824594852240227E-2</v>
      </c>
      <c r="Y58" s="2" t="str">
        <f t="shared" si="56"/>
        <v>ACTIVA</v>
      </c>
    </row>
    <row r="59" spans="2:25">
      <c r="B59" s="1">
        <f t="shared" ca="1" si="49"/>
        <v>45595</v>
      </c>
      <c r="C59" s="2">
        <f ca="1">VLOOKUP(B59,Tabla4[],2,FALSE)</f>
        <v>4323.01</v>
      </c>
      <c r="D59" s="3">
        <f ca="1">VLOOKUP(B59,Tabla4[],3,FALSE)</f>
        <v>72187.039999999994</v>
      </c>
      <c r="E59" s="2">
        <f ca="1">VLOOKUP(B59,Tabla4[],5,FALSE)</f>
        <v>2664</v>
      </c>
      <c r="F59" s="2">
        <f ca="1">VLOOKUP(B59,Tabla4[],4,FALSE)</f>
        <v>1.74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316.47227247823201</v>
      </c>
      <c r="N59" s="41">
        <f t="shared" ca="1" si="51"/>
        <v>-0.16334891235358606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316.47227247823201</v>
      </c>
      <c r="W59" s="2">
        <f t="shared" si="54"/>
        <v>-349.9975761984</v>
      </c>
      <c r="X59" s="32">
        <f t="shared" ca="1" si="55"/>
        <v>-0.16334891235358606</v>
      </c>
      <c r="Y59" s="2" t="str">
        <f t="shared" si="56"/>
        <v>ACTIVA</v>
      </c>
    </row>
    <row r="60" spans="2:25">
      <c r="B60" s="1">
        <f t="shared" ref="B60:B68" ca="1" si="57">TODAY()</f>
        <v>45595</v>
      </c>
      <c r="C60" s="2">
        <f ca="1">VLOOKUP(B60,Tabla4[],2,FALSE)</f>
        <v>4323.01</v>
      </c>
      <c r="D60" s="3">
        <f ca="1">VLOOKUP(B60,Tabla4[],3,FALSE)</f>
        <v>72187.039999999994</v>
      </c>
      <c r="E60" s="2">
        <f ca="1">VLOOKUP(B60,Tabla4[],5,FALSE)</f>
        <v>2664</v>
      </c>
      <c r="F60" s="2">
        <f ca="1">VLOOKUP(B60,Tabla4[],4,FALSE)</f>
        <v>1.74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858.17956342359992</v>
      </c>
      <c r="N60" s="41">
        <f t="shared" ref="N60:N68" ca="1" si="59">IF(G60 = "BTC", (D60 - J60) / J60,
 IF(G60 = "ETH", (E60 - J60) / J60,
 IF(G60 = "IO.NET", (F60 - J60) / J60,
 "Moneda no soportada")))</f>
        <v>0.14477211456119751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858.17956342359992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0.14477211456119751</v>
      </c>
      <c r="Y60" s="2" t="str">
        <f t="shared" si="56"/>
        <v>ACTIVA</v>
      </c>
    </row>
    <row r="61" spans="2:25">
      <c r="B61" s="1">
        <f t="shared" ca="1" si="57"/>
        <v>45595</v>
      </c>
      <c r="C61" s="2">
        <f ca="1">VLOOKUP(B61,Tabla4[],2,FALSE)</f>
        <v>4323.01</v>
      </c>
      <c r="D61" s="3">
        <f ca="1">VLOOKUP(B61,Tabla4[],3,FALSE)</f>
        <v>72187.039999999994</v>
      </c>
      <c r="E61" s="2">
        <f ca="1">VLOOKUP(B61,Tabla4[],5,FALSE)</f>
        <v>2664</v>
      </c>
      <c r="F61" s="2">
        <f ca="1">VLOOKUP(B61,Tabla4[],4,FALSE)</f>
        <v>1.74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817.90173341280001</v>
      </c>
      <c r="N61" s="41">
        <f t="shared" ca="1" si="59"/>
        <v>9.104312569111693E-2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817.90173341280001</v>
      </c>
      <c r="W61" s="2">
        <f t="shared" si="62"/>
        <v>-699.99706361177994</v>
      </c>
      <c r="X61" s="32">
        <f t="shared" ca="1" si="63"/>
        <v>9.104312569111693E-2</v>
      </c>
      <c r="Y61" s="2" t="str">
        <f t="shared" si="56"/>
        <v>ACTIVA</v>
      </c>
    </row>
    <row r="62" spans="2:25">
      <c r="B62" s="1">
        <f t="shared" ca="1" si="57"/>
        <v>45595</v>
      </c>
      <c r="C62" s="2">
        <f ca="1">VLOOKUP(B62,Tabla4[],2,FALSE)</f>
        <v>4323.01</v>
      </c>
      <c r="D62" s="3">
        <f ca="1">VLOOKUP(B62,Tabla4[],3,FALSE)</f>
        <v>72187.039999999994</v>
      </c>
      <c r="E62" s="2">
        <f ca="1">VLOOKUP(B62,Tabla4[],5,FALSE)</f>
        <v>2664</v>
      </c>
      <c r="F62" s="2">
        <f ca="1">VLOOKUP(B62,Tabla4[],4,FALSE)</f>
        <v>1.74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354.26607241116608</v>
      </c>
      <c r="N62" s="41">
        <f t="shared" ca="1" si="59"/>
        <v>-5.4861488321564358E-2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354.26607241116608</v>
      </c>
      <c r="W62" s="2">
        <f t="shared" si="62"/>
        <v>-350.00247034444232</v>
      </c>
      <c r="X62" s="32">
        <f t="shared" ca="1" si="63"/>
        <v>-5.4861488321564358E-2</v>
      </c>
      <c r="Y62" s="2" t="str">
        <f t="shared" si="56"/>
        <v>ACTIVA</v>
      </c>
    </row>
    <row r="63" spans="2:25">
      <c r="B63" s="1">
        <f t="shared" ca="1" si="57"/>
        <v>45595</v>
      </c>
      <c r="C63" s="2">
        <f ca="1">VLOOKUP(B63,Tabla4[],2,FALSE)</f>
        <v>4323.01</v>
      </c>
      <c r="D63" s="3">
        <f ca="1">VLOOKUP(B63,Tabla4[],3,FALSE)</f>
        <v>72187.039999999994</v>
      </c>
      <c r="E63" s="2">
        <f ca="1">VLOOKUP(B63,Tabla4[],5,FALSE)</f>
        <v>2664</v>
      </c>
      <c r="F63" s="2">
        <f ca="1">VLOOKUP(B63,Tabla4[],4,FALSE)</f>
        <v>1.74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814.49042201294401</v>
      </c>
      <c r="N63" s="41">
        <f t="shared" ca="1" si="59"/>
        <v>0.13339467114662973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814.49042201294401</v>
      </c>
      <c r="W63" s="2">
        <f t="shared" si="62"/>
        <v>-700.00099893449999</v>
      </c>
      <c r="X63" s="32">
        <f t="shared" ca="1" si="63"/>
        <v>0.13339467114662973</v>
      </c>
      <c r="Y63" s="2" t="str">
        <f t="shared" ref="Y63:Y68" si="64">IF(U63=0,"VENDIDA","ACTIVA")</f>
        <v>ACTIVA</v>
      </c>
    </row>
    <row r="64" spans="2:25">
      <c r="B64" s="1">
        <f t="shared" ca="1" si="57"/>
        <v>45595</v>
      </c>
      <c r="C64" s="2">
        <f ca="1">VLOOKUP(B64,Tabla4[],2,FALSE)</f>
        <v>4323.01</v>
      </c>
      <c r="D64" s="3">
        <f ca="1">VLOOKUP(B64,Tabla4[],3,FALSE)</f>
        <v>72187.039999999994</v>
      </c>
      <c r="E64" s="2">
        <f ca="1">VLOOKUP(B64,Tabla4[],5,FALSE)</f>
        <v>2664</v>
      </c>
      <c r="F64" s="2">
        <f ca="1">VLOOKUP(B64,Tabla4[],4,FALSE)</f>
        <v>1.74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765.04100465520003</v>
      </c>
      <c r="N64" s="41">
        <f t="shared" ca="1" si="59"/>
        <v>6.4578005115089473E-2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765.04100465520003</v>
      </c>
      <c r="W64" s="2">
        <f t="shared" si="62"/>
        <v>-700.00488143040002</v>
      </c>
      <c r="X64" s="32">
        <f t="shared" ca="1" si="63"/>
        <v>6.4578005115089473E-2</v>
      </c>
      <c r="Y64" s="2" t="str">
        <f t="shared" si="64"/>
        <v>ACTIVA</v>
      </c>
    </row>
    <row r="65" spans="2:25">
      <c r="B65" s="1">
        <f t="shared" ca="1" si="57"/>
        <v>45595</v>
      </c>
      <c r="C65" s="2">
        <f ca="1">VLOOKUP(B65,Tabla4[],2,FALSE)</f>
        <v>4323.01</v>
      </c>
      <c r="D65" s="3">
        <f ca="1">VLOOKUP(B65,Tabla4[],3,FALSE)</f>
        <v>72187.039999999994</v>
      </c>
      <c r="E65" s="2">
        <f ca="1">VLOOKUP(B65,Tabla4[],5,FALSE)</f>
        <v>2664</v>
      </c>
      <c r="F65" s="2">
        <f ca="1">VLOOKUP(B65,Tabla4[],4,FALSE)</f>
        <v>1.74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323.18809790969999</v>
      </c>
      <c r="N65" s="41">
        <f t="shared" ca="1" si="59"/>
        <v>-0.10054277591108819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323.18809790969999</v>
      </c>
      <c r="W65" s="2">
        <f t="shared" si="62"/>
        <v>-350.00051946926249</v>
      </c>
      <c r="X65" s="32">
        <f t="shared" ca="1" si="63"/>
        <v>-0.10054277591108819</v>
      </c>
      <c r="Y65" s="2" t="str">
        <f t="shared" si="64"/>
        <v>ACTIVA</v>
      </c>
    </row>
    <row r="66" spans="2:25">
      <c r="B66" s="1">
        <f t="shared" ca="1" si="57"/>
        <v>45595</v>
      </c>
      <c r="C66" s="2">
        <f ca="1">VLOOKUP(B66,Tabla4[],2,FALSE)</f>
        <v>4323.01</v>
      </c>
      <c r="D66" s="3">
        <f ca="1">VLOOKUP(B66,Tabla4[],3,FALSE)</f>
        <v>72187.039999999994</v>
      </c>
      <c r="E66" s="2">
        <f ca="1">VLOOKUP(B66,Tabla4[],5,FALSE)</f>
        <v>2664</v>
      </c>
      <c r="F66" s="2">
        <f ca="1">VLOOKUP(B66,Tabla4[],4,FALSE)</f>
        <v>1.74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758.31866877067193</v>
      </c>
      <c r="N66" s="27">
        <f t="shared" ca="1" si="59"/>
        <v>7.0024161392170423E-2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758.31866877067193</v>
      </c>
      <c r="W66" s="2">
        <f t="shared" si="62"/>
        <v>-700.00283430000002</v>
      </c>
      <c r="X66" s="32">
        <f t="shared" ca="1" si="63"/>
        <v>7.0024161392170423E-2</v>
      </c>
      <c r="Y66" s="2" t="str">
        <f t="shared" si="64"/>
        <v>ACTIVA</v>
      </c>
    </row>
    <row r="67" spans="2:25">
      <c r="B67" s="1">
        <f t="shared" ca="1" si="57"/>
        <v>45595</v>
      </c>
      <c r="C67" s="2">
        <f ca="1">VLOOKUP(B67,Tabla4[],2,FALSE)</f>
        <v>4323.01</v>
      </c>
      <c r="D67" s="3">
        <f ca="1">VLOOKUP(B67,Tabla4[],3,FALSE)</f>
        <v>72187.039999999994</v>
      </c>
      <c r="E67" s="2">
        <f ca="1">VLOOKUP(B67,Tabla4[],5,FALSE)</f>
        <v>2664</v>
      </c>
      <c r="F67" s="2">
        <f ca="1">VLOOKUP(B67,Tabla4[],4,FALSE)</f>
        <v>1.74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708.95565627840006</v>
      </c>
      <c r="N67" s="27">
        <f t="shared" ca="1" si="59"/>
        <v>3.7551633496057078E-4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708.95565627840006</v>
      </c>
      <c r="W67" s="2">
        <f t="shared" si="62"/>
        <v>-699.99937559999989</v>
      </c>
      <c r="X67" s="32">
        <f t="shared" ca="1" si="63"/>
        <v>3.7551633496057078E-4</v>
      </c>
      <c r="Y67" s="2" t="str">
        <f t="shared" si="64"/>
        <v>ACTIVA</v>
      </c>
    </row>
    <row r="68" spans="2:25">
      <c r="B68" s="1">
        <f t="shared" ca="1" si="57"/>
        <v>45595</v>
      </c>
      <c r="C68" s="2">
        <f ca="1">VLOOKUP(B68,Tabla4[],2,FALSE)</f>
        <v>4323.01</v>
      </c>
      <c r="D68" s="3">
        <f ca="1">VLOOKUP(B68,Tabla4[],3,FALSE)</f>
        <v>72187.039999999994</v>
      </c>
      <c r="E68" s="2">
        <f ca="1">VLOOKUP(B68,Tabla4[],5,FALSE)</f>
        <v>2664</v>
      </c>
      <c r="F68" s="2">
        <f ca="1">VLOOKUP(B68,Tabla4[],4,FALSE)</f>
        <v>1.74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329.62274958315601</v>
      </c>
      <c r="N68" s="27">
        <f t="shared" ca="1" si="59"/>
        <v>-6.9777388105981206E-2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329.62274958315601</v>
      </c>
      <c r="W68" s="2">
        <f t="shared" si="62"/>
        <v>-350.00312382117602</v>
      </c>
      <c r="X68" s="32">
        <f t="shared" ca="1" si="63"/>
        <v>-6.9777388105981206E-2</v>
      </c>
      <c r="Y68" s="2" t="str">
        <f t="shared" si="64"/>
        <v>ACTIVA</v>
      </c>
    </row>
    <row r="69" spans="2:25">
      <c r="B69" s="1">
        <f ca="1">TODAY()</f>
        <v>45595</v>
      </c>
      <c r="C69" s="2">
        <f ca="1">VLOOKUP(B69,Tabla4[],2,FALSE)</f>
        <v>4323.01</v>
      </c>
      <c r="D69" s="3">
        <f ca="1">VLOOKUP(B69,Tabla4[],3,FALSE)</f>
        <v>72187.039999999994</v>
      </c>
      <c r="E69" s="2">
        <f ca="1">VLOOKUP(B69,Tabla4[],5,FALSE)</f>
        <v>2664</v>
      </c>
      <c r="F69" s="2">
        <f ca="1">VLOOKUP(B69,Tabla4[],4,FALSE)</f>
        <v>1.74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ca="1" xml:space="preserve"> K69 * (IF(G69="BTC", D69, IF(G69="ETH", E69, IF(G69="IO.NET", F69, 0)))) * C69</f>
        <v>748.95670989695998</v>
      </c>
      <c r="N69" s="27">
        <f ca="1">IF(G69 = "BTC", (D69 - J69) / J69,
 IF(G69 = "ETH", (E69 - J69) / J69,
 IF(G69 = "IO.NET", (F69 - J69) / J69,
 "Moneda no soportada")))</f>
        <v>4.9794802437357205E-2</v>
      </c>
      <c r="O69" s="28">
        <v>0.25</v>
      </c>
      <c r="P69" s="28">
        <v>0.5</v>
      </c>
      <c r="Q69" s="31" t="str">
        <f ca="1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ca="1">IF(G69="BTC", D69 * U69 * C69, IF(G69="ETH", E69 * U69 * C69, IF(G69="IO.NET", F69 * U69 * C69, 0)))</f>
        <v>748.95670989695998</v>
      </c>
      <c r="W69" s="2">
        <f>IF(G69 = "BTC", ((T69 - L69)), IF(G69 = "ETH", ((T69 - L69)), IF(G69 = "IO.NET", ((T69 - L69)), "Moneda no soportada")))</f>
        <v>-699.99633791999997</v>
      </c>
      <c r="X69" s="32">
        <f ca="1">IF(G69 = "BTC", (((D69 - J69) / J69)),IF(G69 = "ETH", ((E69 - J69) / J69), IF(G69 = "IO.NET", ((F69 - J69) / J69), "Moneda no soportada")))</f>
        <v>4.9794802437357205E-2</v>
      </c>
      <c r="Y69" s="2" t="str">
        <f>IF(U69=0,"VENDIDA","ACTIVA")</f>
        <v>ACTIVA</v>
      </c>
    </row>
    <row r="70" spans="2:25">
      <c r="B70" s="1">
        <f ca="1">TODAY()</f>
        <v>45595</v>
      </c>
      <c r="C70" s="2">
        <f ca="1">VLOOKUP(B70,Tabla4[],2,FALSE)</f>
        <v>4323.01</v>
      </c>
      <c r="D70" s="3">
        <f ca="1">VLOOKUP(B70,Tabla4[],3,FALSE)</f>
        <v>72187.039999999994</v>
      </c>
      <c r="E70" s="2">
        <f ca="1">VLOOKUP(B70,Tabla4[],5,FALSE)</f>
        <v>2664</v>
      </c>
      <c r="F70" s="2">
        <f ca="1">VLOOKUP(B70,Tabla4[],4,FALSE)</f>
        <v>1.74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ca="1" xml:space="preserve"> K70 * (IF(G70="BTC", D70, IF(G70="ETH", E70, IF(G70="IO.NET", F70, 0)))) * C70</f>
        <v>751.33637127360009</v>
      </c>
      <c r="N70" s="27">
        <f ca="1">IF(G70 = "BTC", (D70 - J70) / J70,
 IF(G70 = "ETH", (E70 - J70) / J70,
 IF(G70 = "IO.NET", (F70 - J70) / J70,
 "Moneda no soportada")))</f>
        <v>5.3130929791271382E-2</v>
      </c>
      <c r="O70" s="28">
        <v>0.25</v>
      </c>
      <c r="P70" s="28">
        <v>0.5</v>
      </c>
      <c r="Q70" s="31" t="str">
        <f ca="1">IF(N70 &lt; O70, "MANTENER", IF(N70 &lt; P70, "VENTA PARCIAL", "VENDER"))</f>
        <v>MANTENER</v>
      </c>
      <c r="T70" s="2"/>
      <c r="U70" s="14">
        <f>Tabla6[[#This Row],[cantidad]]-Tabla6[[#This Row],[CANTIDAD VENDIDA]]</f>
        <v>6.5240000000000006E-5</v>
      </c>
      <c r="V70" s="2">
        <f ca="1">IF(G70="BTC", D70 * U70 * C70, IF(G70="ETH", E70 * U70 * C70, IF(G70="IO.NET", F70 * U70 * C70, 0)))</f>
        <v>751.33637127360009</v>
      </c>
      <c r="W70" s="2">
        <f>IF(G70 = "BTC", ((T70 - L70)), IF(G70 = "ETH", ((T70 - L70)), IF(G70 = "IO.NET", ((T70 - L70)), "Moneda no soportada")))</f>
        <v>-699.99593072640016</v>
      </c>
      <c r="X70" s="32">
        <f ca="1">IF(G70 = "BTC", (((D70 - J70) / J70)),IF(G70 = "ETH", ((E70 - J70) / J70), IF(G70 = "IO.NET", ((F70 - J70) / J70), "Moneda no soportada")))</f>
        <v>5.3130929791271382E-2</v>
      </c>
      <c r="Y70" s="2" t="str">
        <f>IF(U70=0,"VENDIDA","ACTIVA")</f>
        <v>ACTIVA</v>
      </c>
    </row>
    <row r="71" spans="2:25">
      <c r="B71" s="1">
        <f ca="1">TODAY()</f>
        <v>45595</v>
      </c>
      <c r="C71" s="2">
        <f ca="1">VLOOKUP(B71,Tabla4[],2,FALSE)</f>
        <v>4323.01</v>
      </c>
      <c r="D71" s="3">
        <f ca="1">VLOOKUP(B71,Tabla4[],3,FALSE)</f>
        <v>72187.039999999994</v>
      </c>
      <c r="E71" s="2">
        <f ca="1">VLOOKUP(B71,Tabla4[],5,FALSE)</f>
        <v>2664</v>
      </c>
      <c r="F71" s="2">
        <f ca="1">VLOOKUP(B71,Tabla4[],4,FALSE)</f>
        <v>1.74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ca="1" xml:space="preserve"> K71 * (IF(G71="BTC", D71, IF(G71="ETH", E71, IF(G71="IO.NET", F71, 0)))) * C71</f>
        <v>358.84797105262805</v>
      </c>
      <c r="N71" s="27">
        <f ca="1">IF(G71 = "BTC", (D71 - J71) / J71,
 IF(G71 = "ETH", (E71 - J71) / J71,
 IF(G71 = "IO.NET", (F71 - J71) / J71,
 "Moneda no soportada")))</f>
        <v>5.9606056576612231E-3</v>
      </c>
      <c r="O71" s="28">
        <v>0.1</v>
      </c>
      <c r="P71" s="28">
        <v>0.3</v>
      </c>
      <c r="Q71" s="31" t="str">
        <f ca="1">IF(N71 &lt; O71, "MANTENER", IF(N71 &lt; P71, "VENTA PARCIAL", "VENDER"))</f>
        <v>MANTENER</v>
      </c>
      <c r="T71" s="2"/>
      <c r="U71" s="14">
        <f>Tabla6[[#This Row],[cantidad]]-Tabla6[[#This Row],[CANTIDAD VENDIDA]]</f>
        <v>4.7706220000000001E-2</v>
      </c>
      <c r="V71" s="2">
        <f ca="1">IF(G71="BTC", D71 * U71 * C71, IF(G71="ETH", E71 * U71 * C71, IF(G71="IO.NET", F71 * U71 * C71, 0)))</f>
        <v>358.84797105262805</v>
      </c>
      <c r="W71" s="2">
        <f>IF(G71 = "BTC", ((T71 - L71)), IF(G71 = "ETH", ((T71 - L71)), IF(G71 = "IO.NET", ((T71 - L71)), "Moneda no soportada")))</f>
        <v>-350.00398704310692</v>
      </c>
      <c r="X71" s="32">
        <f ca="1">IF(G71 = "BTC", (((D71 - J71) / J71)),IF(G71 = "ETH", ((E71 - J71) / J71), IF(G71 = "IO.NET", ((F71 - J71) / J71), "Moneda no soportada")))</f>
        <v>5.9606056576612231E-3</v>
      </c>
      <c r="Y71" s="2" t="str">
        <f>IF(U71=0,"VENDIDA","ACTIVA")</f>
        <v>ACTIVA</v>
      </c>
    </row>
  </sheetData>
  <conditionalFormatting sqref="B3:Z71">
    <cfRule type="expression" dxfId="82" priority="1">
      <formula>$Y:$Y="VENDIDA"</formula>
    </cfRule>
  </conditionalFormatting>
  <conditionalFormatting sqref="Q1:Q1048576">
    <cfRule type="containsText" dxfId="81" priority="9" operator="containsText" text="VENTA PARCIAL">
      <formula>NOT(ISERROR(SEARCH("VENTA PARCIAL",Q1)))</formula>
    </cfRule>
    <cfRule type="containsText" dxfId="80" priority="10" operator="containsText" text="MANTENER">
      <formula>NOT(ISERROR(SEARCH("MANTENER",Q1)))</formula>
    </cfRule>
  </conditionalFormatting>
  <conditionalFormatting sqref="Q3:Q71">
    <cfRule type="containsText" dxfId="79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A18" sqref="A18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45595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4288</v>
      </c>
      <c r="I3" s="7">
        <f t="shared" ref="I3:I8" ca="1" si="2">G3*H3</f>
        <v>753.51793344000009</v>
      </c>
      <c r="J3" s="7">
        <f>F3</f>
        <v>700.0019932698001</v>
      </c>
      <c r="K3" s="7">
        <f ca="1">Tabla5[[#This Row],[VALOR ACTUAL EN COP]]-Tabla5[[#This Row],[COSTO TOTAL EN COP]]</f>
        <v>53.515940170199997</v>
      </c>
      <c r="L3" s="10">
        <f t="shared" ref="L3:L8" ca="1" si="3">((I3-J3)/J3)</f>
        <v>7.6451125403543638E-2</v>
      </c>
      <c r="M3" s="7">
        <f>D3*1.1</f>
        <v>4381.8060000000005</v>
      </c>
    </row>
    <row r="4" spans="2:13">
      <c r="B4" s="1">
        <f t="shared" ca="1" si="0"/>
        <v>45595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4288</v>
      </c>
      <c r="I4" s="7">
        <f t="shared" ca="1" si="2"/>
        <v>861.53428288000009</v>
      </c>
      <c r="J4" s="7">
        <f t="shared" ref="J4:J9" si="5">F4+J3</f>
        <v>800.00200808240015</v>
      </c>
      <c r="K4" s="7">
        <f ca="1">Tabla5[[#This Row],[VALOR ACTUAL EN COP]]-Tabla5[[#This Row],[COSTO TOTAL EN COP]]</f>
        <v>61.532274797599939</v>
      </c>
      <c r="L4" s="10">
        <f t="shared" ca="1" si="3"/>
        <v>7.6915150432050064E-2</v>
      </c>
      <c r="M4" s="7">
        <f t="shared" ref="M4:M6" si="6">D4*1.1</f>
        <v>4366.7470000000003</v>
      </c>
    </row>
    <row r="5" spans="2:13">
      <c r="B5" s="1">
        <f t="shared" ref="B5:B10" ca="1" si="7">TODAY()</f>
        <v>45595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4288</v>
      </c>
      <c r="I5" s="22">
        <f t="shared" ca="1" si="2"/>
        <v>1609.37276032</v>
      </c>
      <c r="J5" s="8">
        <f t="shared" si="5"/>
        <v>1500.0018441134002</v>
      </c>
      <c r="K5" s="8">
        <f ca="1">Tabla5[[#This Row],[VALOR ACTUAL EN COP]]-Tabla5[[#This Row],[COSTO TOTAL EN COP]]</f>
        <v>109.37091620659976</v>
      </c>
      <c r="L5" s="10">
        <f t="shared" ca="1" si="3"/>
        <v>7.2913854496789082E-2</v>
      </c>
      <c r="M5" s="7">
        <f t="shared" si="6"/>
        <v>4415.07</v>
      </c>
    </row>
    <row r="6" spans="2:13">
      <c r="B6" s="1">
        <f t="shared" ca="1" si="7"/>
        <v>45595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4288</v>
      </c>
      <c r="I6" s="22">
        <f t="shared" ca="1" si="2"/>
        <v>2323.37878912</v>
      </c>
      <c r="J6" s="8">
        <f t="shared" si="5"/>
        <v>2200.0024981274005</v>
      </c>
      <c r="K6" s="8">
        <f ca="1">Tabla5[[#This Row],[VALOR ACTUAL EN COP]]-Tabla5[[#This Row],[COSTO TOTAL EN COP]]</f>
        <v>123.37629099259948</v>
      </c>
      <c r="L6" s="10">
        <f t="shared" ca="1" si="3"/>
        <v>5.6080068589747054E-2</v>
      </c>
      <c r="M6" s="7">
        <f t="shared" si="6"/>
        <v>4624.2790000000005</v>
      </c>
    </row>
    <row r="7" spans="2:13">
      <c r="B7" s="1">
        <f t="shared" ca="1" si="7"/>
        <v>45595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4288</v>
      </c>
      <c r="I7" s="22">
        <f t="shared" ca="1" si="2"/>
        <v>3065.7403756799999</v>
      </c>
      <c r="J7" s="8">
        <f t="shared" si="5"/>
        <v>2900.0020379021007</v>
      </c>
      <c r="K7" s="8">
        <f ca="1">Tabla5[[#This Row],[VALOR ACTUAL EN COP]]-Tabla5[[#This Row],[COSTO TOTAL EN COP]]</f>
        <v>165.73833777789923</v>
      </c>
      <c r="L7" s="30">
        <f t="shared" ca="1" si="3"/>
        <v>5.715111079638982E-2</v>
      </c>
      <c r="M7" s="8">
        <f t="shared" ref="M7:M12" si="8">D7*1.1</f>
        <v>4447.6410000000005</v>
      </c>
    </row>
    <row r="8" spans="2:13">
      <c r="B8" s="1">
        <f t="shared" ca="1" si="7"/>
        <v>45595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4288</v>
      </c>
      <c r="I8" s="22">
        <f t="shared" ca="1" si="2"/>
        <v>3824.0921715199997</v>
      </c>
      <c r="J8" s="8">
        <f t="shared" si="5"/>
        <v>3600.0024831079008</v>
      </c>
      <c r="K8" s="8">
        <f ca="1">Tabla5[[#This Row],[VALOR ACTUAL EN COP]]-Tabla5[[#This Row],[COSTO TOTAL EN COP]]</f>
        <v>224.08968841209889</v>
      </c>
      <c r="L8" s="30">
        <f t="shared" ca="1" si="3"/>
        <v>6.2247092734958646E-2</v>
      </c>
      <c r="M8" s="8">
        <f t="shared" si="8"/>
        <v>4353.866</v>
      </c>
    </row>
    <row r="9" spans="2:13">
      <c r="B9" s="1">
        <f t="shared" ca="1" si="7"/>
        <v>45595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4288</v>
      </c>
      <c r="I9" s="22">
        <f t="shared" ref="I9:I14" ca="1" si="10">G9*H9</f>
        <v>4580.7945452800004</v>
      </c>
      <c r="J9" s="8">
        <f t="shared" si="5"/>
        <v>4300.0015903715012</v>
      </c>
      <c r="K9" s="8">
        <f ca="1">Tabla5[[#This Row],[VALOR ACTUAL EN COP]]-Tabla5[[#This Row],[COSTO TOTAL EN COP]]</f>
        <v>280.79295490849927</v>
      </c>
      <c r="L9" s="30">
        <f t="shared" ref="L9:L14" ca="1" si="11">((I9-J9)/J9)</f>
        <v>6.5300663036322273E-2</v>
      </c>
      <c r="M9" s="8">
        <f t="shared" si="8"/>
        <v>4363.348</v>
      </c>
    </row>
    <row r="10" spans="2:13">
      <c r="B10" s="1">
        <f t="shared" ca="1" si="7"/>
        <v>45595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4288</v>
      </c>
      <c r="I10" s="22">
        <f t="shared" ca="1" si="10"/>
        <v>5332.1231974399998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332.1208969242989</v>
      </c>
      <c r="L10" s="30">
        <f t="shared" ca="1" si="11"/>
        <v>6.642414882290032E-2</v>
      </c>
      <c r="M10" s="8">
        <f t="shared" si="8"/>
        <v>4394.5660000000007</v>
      </c>
    </row>
    <row r="11" spans="2:13">
      <c r="B11" s="1">
        <f t="shared" ref="B11:B16" ca="1" si="14">TODAY()</f>
        <v>45595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4288</v>
      </c>
      <c r="I11" s="22">
        <f t="shared" ca="1" si="10"/>
        <v>6067.4410150399999</v>
      </c>
      <c r="J11" s="8">
        <f t="shared" si="13"/>
        <v>5700.0015412237008</v>
      </c>
      <c r="K11" s="8">
        <f ca="1">Tabla5[[#This Row],[VALOR ACTUAL EN COP]]-Tabla5[[#This Row],[COSTO TOTAL EN COP]]</f>
        <v>367.43947381629914</v>
      </c>
      <c r="L11" s="30">
        <f t="shared" ca="1" si="11"/>
        <v>6.4463048151635352E-2</v>
      </c>
      <c r="M11" s="8">
        <f t="shared" si="8"/>
        <v>4490.2440000000006</v>
      </c>
    </row>
    <row r="12" spans="2:13">
      <c r="B12" s="1">
        <f t="shared" ca="1" si="14"/>
        <v>45595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4288</v>
      </c>
      <c r="I12" s="22">
        <f t="shared" ca="1" si="10"/>
        <v>6793.3925542400002</v>
      </c>
      <c r="J12" s="8">
        <f t="shared" si="13"/>
        <v>6400.0013286877011</v>
      </c>
      <c r="K12" s="8">
        <f ca="1">Tabla5[[#This Row],[VALOR ACTUAL EN COP]]-Tabla5[[#This Row],[COSTO TOTAL EN COP]]</f>
        <v>393.39122555229915</v>
      </c>
      <c r="L12" s="30">
        <f t="shared" ca="1" si="11"/>
        <v>6.1467366231463379E-2</v>
      </c>
      <c r="M12" s="8">
        <f t="shared" si="8"/>
        <v>4548.1810000000005</v>
      </c>
    </row>
    <row r="13" spans="2:13">
      <c r="B13" s="1">
        <f t="shared" ca="1" si="14"/>
        <v>45595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4288</v>
      </c>
      <c r="I13" s="22">
        <f t="shared" ca="1" si="10"/>
        <v>7527.9850995200004</v>
      </c>
      <c r="J13" s="8">
        <f t="shared" si="13"/>
        <v>7100.0005267969009</v>
      </c>
      <c r="K13" s="8">
        <f ca="1">Tabla5[[#This Row],[VALOR ACTUAL EN COP]]-Tabla5[[#This Row],[COSTO TOTAL EN COP]]</f>
        <v>427.98457272309952</v>
      </c>
      <c r="L13" s="30">
        <f t="shared" ca="1" si="11"/>
        <v>6.0279512812399856E-2</v>
      </c>
      <c r="M13" s="8">
        <f t="shared" ref="M13:M18" si="15">D13*1.1</f>
        <v>4494.6770000000006</v>
      </c>
    </row>
    <row r="14" spans="2:13">
      <c r="B14" s="1">
        <f t="shared" ca="1" si="14"/>
        <v>45595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4288</v>
      </c>
      <c r="I14" s="22">
        <f t="shared" ca="1" si="10"/>
        <v>8270.1592576000003</v>
      </c>
      <c r="J14" s="8">
        <f t="shared" si="13"/>
        <v>7799.999876784701</v>
      </c>
      <c r="K14" s="8">
        <f ca="1">Tabla5[[#This Row],[VALOR ACTUAL EN COP]]-Tabla5[[#This Row],[COSTO TOTAL EN COP]]</f>
        <v>470.1593808152993</v>
      </c>
      <c r="L14" s="30">
        <f t="shared" ca="1" si="11"/>
        <v>6.0276844646452402E-2</v>
      </c>
      <c r="M14" s="8">
        <f t="shared" si="15"/>
        <v>4448.7629999999999</v>
      </c>
    </row>
    <row r="15" spans="2:13">
      <c r="B15" s="1">
        <f t="shared" ca="1" si="14"/>
        <v>45595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4288</v>
      </c>
      <c r="I15" s="22">
        <f ca="1">G15*H15</f>
        <v>9013.7420665600002</v>
      </c>
      <c r="J15" s="8">
        <f t="shared" si="13"/>
        <v>8499.9995077186013</v>
      </c>
      <c r="K15" s="8">
        <f ca="1">Tabla5[[#This Row],[VALOR ACTUAL EN COP]]-Tabla5[[#This Row],[COSTO TOTAL EN COP]]</f>
        <v>513.74255884139893</v>
      </c>
      <c r="L15" s="30">
        <f ca="1">((I15-J15)/J15)</f>
        <v>6.0440304540592543E-2</v>
      </c>
      <c r="M15" s="8">
        <f t="shared" si="15"/>
        <v>4440.3370000000004</v>
      </c>
    </row>
    <row r="16" spans="2:13">
      <c r="B16" s="1">
        <f t="shared" ca="1" si="14"/>
        <v>45595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4288</v>
      </c>
      <c r="I16" s="22">
        <f ca="1">G16*H16</f>
        <v>9745.622108800002</v>
      </c>
      <c r="J16" s="8">
        <f>F16+J15</f>
        <v>9199.9997565142021</v>
      </c>
      <c r="K16" s="8">
        <f ca="1">Tabla5[[#This Row],[VALOR ACTUAL EN COP]]-Tabla5[[#This Row],[COSTO TOTAL EN COP]]</f>
        <v>545.62235228579993</v>
      </c>
      <c r="L16" s="30">
        <f ca="1">((I16-J16)/J16)</f>
        <v>5.930677899197373E-2</v>
      </c>
      <c r="M16" s="8">
        <f t="shared" si="15"/>
        <v>4511.3420000000006</v>
      </c>
    </row>
    <row r="17" spans="2:13">
      <c r="B17" s="1">
        <f ca="1">TODAY()</f>
        <v>45595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4288</v>
      </c>
      <c r="I17" s="22">
        <f ca="1">G17*H17</f>
        <v>10458.747082240001</v>
      </c>
      <c r="J17" s="8">
        <f>F17+J16</f>
        <v>9899.9997712546028</v>
      </c>
      <c r="K17" s="8">
        <f ca="1">Tabla5[[#This Row],[VALOR ACTUAL EN COP]]-Tabla5[[#This Row],[COSTO TOTAL EN COP]]</f>
        <v>558.74731098539814</v>
      </c>
      <c r="L17" s="30">
        <f ca="1">((I17-J17)/J17)</f>
        <v>5.6439123625816962E-2</v>
      </c>
      <c r="M17" s="8">
        <f t="shared" si="15"/>
        <v>4629.9880000000003</v>
      </c>
    </row>
    <row r="18" spans="2:13">
      <c r="B18" s="1">
        <f ca="1">TODAY()</f>
        <v>45595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4288</v>
      </c>
      <c r="I18" s="22">
        <f ca="1">G18*H18</f>
        <v>11166.40404096</v>
      </c>
      <c r="J18" s="8">
        <f>F18+J17</f>
        <v>10599.999247958604</v>
      </c>
      <c r="K18" s="8">
        <f ca="1">Tabla5[[#This Row],[VALOR ACTUAL EN COP]]-Tabla5[[#This Row],[COSTO TOTAL EN COP]]</f>
        <v>566.40479300139668</v>
      </c>
      <c r="L18" s="30">
        <f ca="1">((I18-J18)/J18)</f>
        <v>5.3434418225121807E-2</v>
      </c>
      <c r="M18" s="8">
        <f t="shared" si="15"/>
        <v>4665.7600000000011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4"/>
  <sheetViews>
    <sheetView tabSelected="1" topLeftCell="A63" workbookViewId="0">
      <selection activeCell="B84" sqref="B84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>0.01518 * D80</f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>0.01518 * D81</f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>0.01518 * D82</f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>0.01518 * D83</f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>0.01518 * D84</f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</sheetData>
  <conditionalFormatting sqref="F3:F84">
    <cfRule type="cellIs" dxfId="51" priority="8" operator="greaterThan">
      <formula>0</formula>
    </cfRule>
    <cfRule type="cellIs" dxfId="50" priority="9" operator="lessThan">
      <formula>0</formula>
    </cfRule>
  </conditionalFormatting>
  <conditionalFormatting sqref="I3:I84">
    <cfRule type="cellIs" dxfId="49" priority="5" operator="lessThan">
      <formula>0</formula>
    </cfRule>
  </conditionalFormatting>
  <conditionalFormatting sqref="I3:I84">
    <cfRule type="cellIs" dxfId="48" priority="4" operator="greaterThan">
      <formula>0</formula>
    </cfRule>
  </conditionalFormatting>
  <conditionalFormatting sqref="L75:L80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45595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45595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45595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45595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45595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45595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45595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45595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45595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45595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45595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45595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2024-10-30T14:36:13Z</dcterms:modified>
</cp:coreProperties>
</file>