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4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7" l="1"/>
  <c r="E50" i="7"/>
  <c r="G50" i="7" s="1"/>
  <c r="B11" i="10"/>
  <c r="H11" i="10" s="1"/>
  <c r="I11" i="10" s="1"/>
  <c r="K11" i="10" s="1"/>
  <c r="F11" i="10"/>
  <c r="J11" i="10" s="1"/>
  <c r="G11" i="10"/>
  <c r="L11" i="10"/>
  <c r="B50" i="9"/>
  <c r="C50" i="9" s="1"/>
  <c r="I50" i="9"/>
  <c r="L50" i="9" s="1"/>
  <c r="W50" i="9" s="1"/>
  <c r="U50" i="9"/>
  <c r="Y50" i="9"/>
  <c r="F50" i="7" l="1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G49" i="7" s="1"/>
  <c r="E49" i="7"/>
  <c r="F49" i="7"/>
  <c r="V50" i="9" l="1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T3" i="13"/>
  <c r="S3" i="13"/>
  <c r="N49" i="9" l="1"/>
  <c r="Q49" i="9" s="1"/>
  <c r="V49" i="9"/>
  <c r="X49" i="9"/>
  <c r="M49" i="9"/>
  <c r="V48" i="9"/>
  <c r="H18" i="13"/>
  <c r="H19" i="13"/>
  <c r="H20" i="13"/>
  <c r="H21" i="13"/>
  <c r="H22" i="13"/>
  <c r="H23" i="13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L14" i="11"/>
  <c r="N14" i="11" s="1"/>
  <c r="G13" i="11"/>
  <c r="K13" i="11"/>
  <c r="L13" i="11"/>
  <c r="N13" i="11" s="1"/>
  <c r="G12" i="11"/>
  <c r="K12" i="11"/>
  <c r="L12" i="11"/>
  <c r="N12" i="11" s="1"/>
  <c r="G11" i="11"/>
  <c r="K11" i="11"/>
  <c r="O11" i="11" s="1"/>
  <c r="L11" i="11"/>
  <c r="N11" i="11"/>
  <c r="B47" i="9"/>
  <c r="E47" i="9" s="1"/>
  <c r="I47" i="9"/>
  <c r="L47" i="9" s="1"/>
  <c r="W47" i="9" s="1"/>
  <c r="U47" i="9"/>
  <c r="Y47" i="9" s="1"/>
  <c r="B10" i="10"/>
  <c r="H10" i="10" s="1"/>
  <c r="I10" i="10" s="1"/>
  <c r="K10" i="10" s="1"/>
  <c r="F10" i="10"/>
  <c r="J10" i="10" s="1"/>
  <c r="G10" i="10"/>
  <c r="L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C47" i="7"/>
  <c r="G47" i="7" s="1"/>
  <c r="E47" i="7"/>
  <c r="F47" i="7"/>
  <c r="C46" i="7"/>
  <c r="E46" i="7"/>
  <c r="C45" i="7"/>
  <c r="E45" i="7"/>
  <c r="F45" i="7"/>
  <c r="C44" i="7"/>
  <c r="G44" i="7" s="1"/>
  <c r="E44" i="7"/>
  <c r="F44" i="7"/>
  <c r="C43" i="7"/>
  <c r="E43" i="7"/>
  <c r="F43" i="7" s="1"/>
  <c r="C42" i="7"/>
  <c r="E42" i="7"/>
  <c r="F42" i="7" s="1"/>
  <c r="C41" i="7"/>
  <c r="E41" i="7"/>
  <c r="F41" i="7"/>
  <c r="U3" i="13" l="1"/>
  <c r="Y3" i="13" s="1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F48" i="7"/>
  <c r="F46" i="7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K9" i="10" s="1"/>
  <c r="F9" i="10"/>
  <c r="G9" i="10"/>
  <c r="J9" i="10"/>
  <c r="L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G39" i="7" s="1"/>
  <c r="E39" i="7"/>
  <c r="F39" i="7"/>
  <c r="C51" i="6"/>
  <c r="C50" i="6"/>
  <c r="C38" i="7"/>
  <c r="E38" i="7"/>
  <c r="F38" i="7" s="1"/>
  <c r="C37" i="7"/>
  <c r="G37" i="7" s="1"/>
  <c r="E37" i="7"/>
  <c r="F37" i="7"/>
  <c r="C49" i="6"/>
  <c r="C48" i="6"/>
  <c r="B8" i="10"/>
  <c r="H8" i="10" s="1"/>
  <c r="I8" i="10" s="1"/>
  <c r="K8" i="10" s="1"/>
  <c r="F8" i="10"/>
  <c r="G8" i="10"/>
  <c r="J8" i="10"/>
  <c r="L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G36" i="7" s="1"/>
  <c r="E36" i="7"/>
  <c r="F36" i="7"/>
  <c r="C35" i="7"/>
  <c r="G35" i="7" s="1"/>
  <c r="E35" i="7"/>
  <c r="F35" i="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V46" i="9" l="1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K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O10" i="11" l="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I11" i="1" l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<sst xmlns="http://schemas.openxmlformats.org/spreadsheetml/2006/main" count="290" uniqueCount="116">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</sst>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</cellXfs>
  <cellStyles count="3">
    <cellStyle name="Moneda" xfId="2" builtinId="4"/>
    <cellStyle name="Normal" xfId="0" builtinId="0"/>
    <cellStyle name="Porcentaje" xfId="1" builtinId="5"/>
  </cellStyles>
  <dxfs count="125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24"/>
      <tableStyleElement type="headerRow" dxfId="123"/>
      <tableStyleElement type="secondRowStripe" dxfId="122"/>
    </tableStyle>
    <tableStyle name="Estilo de tabla 2" pivot="0" count="5">
      <tableStyleElement type="wholeTable" dxfId="121"/>
      <tableStyleElement type="headerRow" dxfId="120"/>
      <tableStyleElement type="firstRowStripe" dxfId="119"/>
      <tableStyleElement type="secondRowStripe" dxfId="118"/>
      <tableStyleElement type="firstColumnStripe" dxfId="117"/>
    </tableStyle>
    <tableStyle name="Estilo de tabla 3" pivot="0" count="3">
      <tableStyleElement type="headerRow" dxfId="116"/>
      <tableStyleElement type="firstRowStripe" dxfId="115"/>
      <tableStyleElement type="secondRowStripe" dxfId="114"/>
    </tableStyle>
    <tableStyle name="Estilo de tabla 4" pivot="0" count="4">
      <tableStyleElement type="wholeTable" dxfId="113"/>
      <tableStyleElement type="headerRow" dxfId="112"/>
      <tableStyleElement type="firstRowStripe" dxfId="111"/>
      <tableStyleElement type="secondRowStripe" dxfId="110"/>
    </tableStyle>
    <tableStyle name="Estilo de tabla 5" pivot="0" count="4">
      <tableStyleElement type="wholeTable" dxfId="109"/>
      <tableStyleElement type="headerRow" dxfId="108"/>
      <tableStyleElement type="firstRowStripe" dxfId="107"/>
      <tableStyleElement type="secondRowStripe" dxfId="106"/>
    </tableStyle>
  </tableStyles>
  <colors>
    <mruColors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-111663.07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CRIPTOS!$B$3:$B$142</c:f>
              <c:numCache>
                <c:formatCode>m/d/yyyy</c:formatCode>
                <c:ptCount val="14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</c:numCache>
            </c:numRef>
          </c:cat>
          <c:val>
            <c:numRef>
              <c:f>CRIPTOS!$C$3:$C$142</c:f>
              <c:numCache>
                <c:formatCode>_-[$$-240A]\ * #,##0.00_-;\-[$$-240A]\ * #,##0.00_-;_-[$$-240A]\ * "-"??_-;_-@_-</c:formatCode>
                <c:ptCount val="140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CRIPTOS!$B$3:$B$142</c:f>
              <c:numCache>
                <c:formatCode>m/d/yyyy</c:formatCode>
                <c:ptCount val="14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</c:numCache>
            </c:numRef>
          </c:cat>
          <c:val>
            <c:numRef>
              <c:f>CRIPTOS!$D$3:$D$142</c:f>
              <c:numCache>
                <c:formatCode>_-[$$-240A]\ * #,##0.00_-;\-[$$-240A]\ * #,##0.00_-;_-[$$-240A]\ * "-"??_-;_-@_-</c:formatCode>
                <c:ptCount val="140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CRIPTOS!$B$3:$B$142</c:f>
              <c:numCache>
                <c:formatCode>m/d/yyyy</c:formatCode>
                <c:ptCount val="14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</c:numCache>
            </c:numRef>
          </c:cat>
          <c:val>
            <c:numRef>
              <c:f>CRIPTOS!$E$3:$E$142</c:f>
              <c:numCache>
                <c:formatCode>_-[$$-240A]\ * #,##0.00_-;\-[$$-240A]\ * #,##0.00_-;_-[$$-240A]\ * "-"??_-;_-@_-</c:formatCode>
                <c:ptCount val="140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CRIPTOS!$B$3:$B$142</c:f>
              <c:numCache>
                <c:formatCode>m/d/yyyy</c:formatCode>
                <c:ptCount val="14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</c:numCache>
            </c:numRef>
          </c:cat>
          <c:val>
            <c:numRef>
              <c:f>CRIPTOS!$F$3:$F$142</c:f>
              <c:numCache>
                <c:formatCode>_-[$$-240A]\ * #,##0.00_-;\-[$$-240A]\ * #,##0.00_-;_-[$$-240A]\ * "-"??_-;_-@_-</c:formatCode>
                <c:ptCount val="140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CRIPTOS!$B$3:$B$142</c:f>
              <c:numCache>
                <c:formatCode>m/d/yyyy</c:formatCode>
                <c:ptCount val="14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</c:numCache>
            </c:numRef>
          </c:cat>
          <c:val>
            <c:numRef>
              <c:f>CRIPTOS!$G$3:$G$142</c:f>
              <c:numCache>
                <c:formatCode>_-[$$-240A]\ * #,##0.00_-;\-[$$-240A]\ * #,##0.00_-;_-[$$-240A]\ * "-"??_-;_-@_-</c:formatCode>
                <c:ptCount val="140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Bolsa'!$B$3:$B$50</c:f>
              <c:numCache>
                <c:formatCode>m/d/yyyy</c:formatCode>
                <c:ptCount val="4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</c:numCache>
            </c:numRef>
          </c:cat>
          <c:val>
            <c:numRef>
              <c:f>'Inv Bolsa'!$C$3:$C$50</c:f>
              <c:numCache>
                <c:formatCode>_("$"* #,##0.00_);_("$"* \(#,##0.00\);_("$"* "-"??_);_(@_)</c:formatCode>
                <c:ptCount val="48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Bolsa'!$B$3:$B$50</c:f>
              <c:numCache>
                <c:formatCode>m/d/yyyy</c:formatCode>
                <c:ptCount val="4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</c:numCache>
            </c:numRef>
          </c:cat>
          <c:val>
            <c:numRef>
              <c:f>'Inv Bolsa'!$D$3:$D$50</c:f>
              <c:numCache>
                <c:formatCode>_("$"* #,##0.00_);_("$"* \(#,##0.00\);_("$"* "-"??_);_(@_)</c:formatCode>
                <c:ptCount val="48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Bolsa'!$B$3:$B$50</c:f>
              <c:numCache>
                <c:formatCode>m/d/yyyy</c:formatCode>
                <c:ptCount val="4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</c:numCache>
            </c:numRef>
          </c:cat>
          <c:val>
            <c:numRef>
              <c:f>'Inv Bolsa'!$E$3:$E$50</c:f>
              <c:numCache>
                <c:formatCode>_("$"* #,##0.00_);_("$"* \(#,##0.00\);_("$"* "-"??_);_(@_)</c:formatCode>
                <c:ptCount val="48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Bolsa'!$B$3:$B$50</c:f>
              <c:numCache>
                <c:formatCode>m/d/yyyy</c:formatCode>
                <c:ptCount val="4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</c:numCache>
            </c:numRef>
          </c:cat>
          <c:val>
            <c:numRef>
              <c:f>'Inv Bolsa'!$F$3:$F$50</c:f>
              <c:numCache>
                <c:formatCode>_("$"* #,##0.00_);_("$"* \(#,##0.00\);_("$"* "-"??_);_(@_)</c:formatCode>
                <c:ptCount val="48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Bolsa'!$B$3:$B$50</c:f>
              <c:numCache>
                <c:formatCode>m/d/yyyy</c:formatCode>
                <c:ptCount val="4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</c:numCache>
            </c:numRef>
          </c:cat>
          <c:val>
            <c:numRef>
              <c:f>'Inv Bolsa'!$G$3:$G$50</c:f>
              <c:numCache>
                <c:formatCode>_("$"* #,##0.00_);_("$"* \(#,##0.00\);_("$"* "-"??_);_(@_)</c:formatCode>
                <c:ptCount val="48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23" totalsRowShown="0">
  <autoFilter ref="B2:I23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01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1">
  <autoFilter ref="B2:T14"/>
  <tableColumns count="19">
    <tableColumn id="1" name="FECHA ACTUAL" dataDxfId="20">
      <calculatedColumnFormula>TODAY()</calculatedColumnFormula>
    </tableColumn>
    <tableColumn id="2" name="PRECIO ACT KO" dataDxfId="19" dataCellStyle="Moneda">
      <calculatedColumnFormula>VLOOKUP(B3,Tabla1[],5,FALSE)</calculatedColumnFormula>
    </tableColumn>
    <tableColumn id="3" name="PRECIO ACT JNJ" dataDxfId="18">
      <calculatedColumnFormula>VLOOKUP(B3,Tabla1[],6,FALSE)</calculatedColumnFormula>
    </tableColumn>
    <tableColumn id="4" name="PRECIO ACT PG" dataDxfId="17">
      <calculatedColumnFormula>VLOOKUP(B3,Tabla1[],7,FALSE)</calculatedColumnFormula>
    </tableColumn>
    <tableColumn id="5" name="PRECIO ACT PEP" dataDxfId="16">
      <calculatedColumnFormula>VLOOKUP(B3,Tabla1[],8,FALSE)</calculatedColumnFormula>
    </tableColumn>
    <tableColumn id="6" name="PRECIO ACT MSFT" dataDxfId="15">
      <calculatedColumnFormula>VLOOKUP(B3,Tabla1[],9,FALSE)</calculatedColumnFormula>
    </tableColumn>
    <tableColumn id="7" name="PRECIO ACT MCD" dataDxfId="14">
      <calculatedColumnFormula>VLOOKUP(B3,Tabla1[],10,FALSE)</calculatedColumnFormula>
    </tableColumn>
    <tableColumn id="20" name="PRECIO ACT VOO" dataDxfId="13">
      <calculatedColumnFormula>VLOOKUP(B3,Tabla2[],3,FALSE)</calculatedColumnFormula>
    </tableColumn>
    <tableColumn id="8" name="EMPRESA" dataDxfId="12"/>
    <tableColumn id="9" name="FECHA COMPRA" dataDxfId="11"/>
    <tableColumn id="10" name="PRECIO COMPRA" dataDxfId="10" dataCellStyle="Moneda"/>
    <tableColumn id="11" name="CAPITAL INVE" dataDxfId="9" dataCellStyle="Moneda"/>
    <tableColumn id="12" name="CANTIDAD DE ACCIONES" dataDxfId="8" dataCellStyle="Moneda">
      <calculatedColumnFormula>(M3/L3)</calculatedColumnFormula>
    </tableColumn>
    <tableColumn id="13" name="VALOR ACTUAL INVE" dataDxfId="7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6"/>
    <tableColumn id="15" name="VALOR DIVIDENDO POR ACCION" dataDxfId="5" dataCellStyle="Moneda"/>
    <tableColumn id="16" name="TOTAL DIVIDENDO RECIBIDO" dataDxfId="4" dataCellStyle="Moneda">
      <calculatedColumnFormula>ROUND(Q3*N3,2)</calculatedColumnFormula>
    </tableColumn>
    <tableColumn id="17" name="GANACIA/PERDIDA" dataDxfId="3" dataCellStyle="Moneda">
      <calculatedColumnFormula>ROUND(O3-M3,2)</calculatedColumnFormula>
    </tableColumn>
    <tableColumn id="18" name="RENTABILIDAD" dataDxfId="2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00" dataDxfId="98" headerRowBorderDxfId="99" tableBorderDxfId="97" totalsRowBorderDxfId="96" dataCellStyle="Moneda">
  <autoFilter ref="L2:Y3"/>
  <tableColumns count="14">
    <tableColumn id="1" name="MES" dataDxfId="95"/>
    <tableColumn id="2" name="ENERO" dataDxfId="94" dataCellStyle="Moneda"/>
    <tableColumn id="3" name="FEBRERO" dataDxfId="93" dataCellStyle="Moneda"/>
    <tableColumn id="4" name="MARZO" dataDxfId="92" dataCellStyle="Moneda"/>
    <tableColumn id="5" name="ABRIL" dataDxfId="91" dataCellStyle="Moneda"/>
    <tableColumn id="6" name="MAYO" dataDxfId="90" dataCellStyle="Moneda"/>
    <tableColumn id="7" name="JUNIO" dataDxfId="89" dataCellStyle="Moneda"/>
    <tableColumn id="8" name="JULIO" dataDxfId="88" dataCellStyle="Moneda">
      <calculatedColumnFormula>SUM(H3:H9)</calculatedColumnFormula>
    </tableColumn>
    <tableColumn id="9" name="AGOSTO" dataDxfId="87" dataCellStyle="Moneda">
      <calculatedColumnFormula>SUM(H10:H16)</calculatedColumnFormula>
    </tableColumn>
    <tableColumn id="10" name="SEPTIEMBRE" dataDxfId="86" dataCellStyle="Moneda">
      <calculatedColumnFormula>SUM(H17:H23)</calculatedColumnFormula>
    </tableColumn>
    <tableColumn id="11" name="OCTUBRE" dataDxfId="85" dataCellStyle="Moneda"/>
    <tableColumn id="12" name="NOVIEMBRE" dataDxfId="84" dataCellStyle="Moneda"/>
    <tableColumn id="13" name="DICIEMBRE" dataDxfId="83" dataCellStyle="Moneda"/>
    <tableColumn id="14" name="TOTAL ANUAL" dataDxfId="82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2" totalsRowShown="0" headerRowDxfId="81">
  <autoFilter ref="B2:J12"/>
  <tableColumns count="9">
    <tableColumn id="1" name="MES"/>
    <tableColumn id="2" name="CUENTA"/>
    <tableColumn id="3" name="CANTIDAD INICIAL" dataDxfId="80"/>
    <tableColumn id="4" name="CAPITAL INVERTIDO" dataDxfId="79"/>
    <tableColumn id="5" name="INTERES OBTENIDO" dataDxfId="78"/>
    <tableColumn id="6" name="PORCENTAJE DE INTERES" dataDxfId="77" dataCellStyle="Porcentaje">
      <calculatedColumnFormula>(F3/(D3+E3))</calculatedColumnFormula>
    </tableColumn>
    <tableColumn id="7" name="RETIROS DE CAPITAL" dataDxfId="76"/>
    <tableColumn id="8" name="TOTAL CAPITAL FIN DE MES" dataDxfId="75">
      <calculatedColumnFormula>D3+E3+F3-H3</calculatedColumnFormula>
    </tableColumn>
    <tableColumn id="9" name="RENTABILIDAD" dataDxfId="74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42" totalsRowShown="0">
  <autoFilter ref="B2:G142"/>
  <tableColumns count="6">
    <tableColumn id="1" name="FECHA" dataDxfId="73"/>
    <tableColumn id="2" name="DÓLAR" dataDxfId="72"/>
    <tableColumn id="3" name="BITCOIN" dataDxfId="71"/>
    <tableColumn id="5" name="io.net" dataDxfId="70"/>
    <tableColumn id="4" name="ETHEREUM" dataDxfId="69"/>
    <tableColumn id="6" name="USDT" dataDxfId="6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50" totalsRowShown="0">
  <autoFilter ref="B2:Z50">
    <filterColumn colId="23">
      <filters>
        <filter val="ACTIVA"/>
      </filters>
    </filterColumn>
  </autoFilter>
  <tableColumns count="25">
    <tableColumn id="1" name="fecha act" dataDxfId="63">
      <calculatedColumnFormula>TODAY()</calculatedColumnFormula>
    </tableColumn>
    <tableColumn id="2" name="precio actual dólar" dataDxfId="62">
      <calculatedColumnFormula>VLOOKUP(B3,Tabla4[],2,FALSE)</calculatedColumnFormula>
    </tableColumn>
    <tableColumn id="3" name="precio actual btc" dataDxfId="61">
      <calculatedColumnFormula>VLOOKUP(B3,Tabla4[],3,FALSE)</calculatedColumnFormula>
    </tableColumn>
    <tableColumn id="4" name="precio actul eth" dataDxfId="60">
      <calculatedColumnFormula>VLOOKUP(B3,Tabla4[],5,FALSE)</calculatedColumnFormula>
    </tableColumn>
    <tableColumn id="5" name="precio actual io.net" dataDxfId="59">
      <calculatedColumnFormula>VLOOKUP(B3,Tabla4[],4,FALSE)</calculatedColumnFormula>
    </tableColumn>
    <tableColumn id="6" name="moneda"/>
    <tableColumn id="27" name="FECHA COMPRA"/>
    <tableColumn id="20" name="PRECIO DEL DÓLAR, DIA COMPRA" dataDxfId="58">
      <calculatedColumnFormula>VLOOKUP(H3,Tabla4[],2,FALSE)</calculatedColumnFormula>
    </tableColumn>
    <tableColumn id="7" name="precio de compra" dataDxfId="57"/>
    <tableColumn id="8" name="cantidad" dataDxfId="56" dataCellStyle="Porcentaje"/>
    <tableColumn id="18" name="COSTO DE COMPRA" dataDxfId="55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54" dataCellStyle="Porcentaje">
      <calculatedColumnFormula xml:space="preserve"> K3 * (IF(G3="BTC", D3, IF(G3="ETH", E3, IF(G3="IO.NET", F3, 0)))) * C3</calculatedColumnFormula>
    </tableColumn>
    <tableColumn id="9" name="rentabilidad" dataDxfId="53" dataCellStyle="Porcentaje">
      <calculatedColumnFormula>IF(G3 = "BTC", (D3 - J3) / J3,
 IF(G3 = "ETH", (E3 - J3) / J3,
 IF(G3 = "IO.NET", (F3 - J3) / J3,
 "Moneda no soportada")))</calculatedColumnFormula>
    </tableColumn>
    <tableColumn id="10" name="meta1" dataDxfId="52" dataCellStyle="Porcentaje"/>
    <tableColumn id="11" name="META2" dataDxfId="51" dataCellStyle="Porcentaje"/>
    <tableColumn id="12" name="ACCION" dataDxfId="50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49"/>
    <tableColumn id="23" name="INVENTARIO" dataDxfId="48">
      <calculatedColumnFormula>Tabla6[[#This Row],[cantidad]]-Tabla6[[#This Row],[CANTIDAD VENDIDA]]</calculatedColumnFormula>
    </tableColumn>
    <tableColumn id="24" name="VALOR ACTUAL" dataDxfId="47">
      <calculatedColumnFormula>IF(G3="BTC", D3 * U3 * C3, IF(G3="ETH", E3 * U3 * C3, IF(G3="IO.NET", F3 * U3 * C3, 0)))</calculatedColumnFormula>
    </tableColumn>
    <tableColumn id="15" name="GANANCIA/PERDIDA" dataDxfId="46">
      <calculatedColumnFormula>IF(G3 = "BTC", ((T3 - L3)), IF(G3 = "ETH", ((T3 - L3)), IF(G3 = "IO.NET", ((T3 - L3)), "Moneda no soportada")))</calculatedColumnFormula>
    </tableColumn>
    <tableColumn id="25" name="RENTABILIDAD TOTAL" dataDxfId="45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44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L11" totalsRowShown="0">
  <autoFilter ref="B2:L11"/>
  <tableColumns count="11">
    <tableColumn id="1" name="FECHA ACT" dataDxfId="43">
      <calculatedColumnFormula>TODAY()</calculatedColumnFormula>
    </tableColumn>
    <tableColumn id="11" name="FECHA COMPRA" dataDxfId="42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41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9" name="RENTABILIDAD" dataDxfId="40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4" totalsRowShown="0">
  <autoFilter ref="B2:O14"/>
  <tableColumns count="14">
    <tableColumn id="1" name="MES" dataDxfId="39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38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G50" totalsRowShown="0">
  <autoFilter ref="B2:G50"/>
  <tableColumns count="6">
    <tableColumn id="1" name="FECHA" dataDxfId="37"/>
    <tableColumn id="5" name="PRECIO DEL DÓLAR" dataDxfId="36">
      <calculatedColumnFormula>VLOOKUP(B3,Tabla4[],2,FALSE)</calculatedColumnFormula>
    </tableColumn>
    <tableColumn id="2" name="VOO" dataDxfId="35" dataCellStyle="Moneda"/>
    <tableColumn id="3" name="VALOR INVERSION 1" dataDxfId="34">
      <calculatedColumnFormula>0.01518 * D3</calculatedColumnFormula>
    </tableColumn>
    <tableColumn id="4" name="GAN/PER" dataDxfId="33">
      <calculatedColumnFormula>Tabla2[[#This Row],[VALOR INVERSION 1]]-7.7</calculatedColumnFormula>
    </tableColumn>
    <tableColumn id="6" name="VALOR EN COP" dataDxfId="32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1">
  <autoFilter ref="B2:K52"/>
  <tableColumns count="10">
    <tableColumn id="1" name="FECHA"/>
    <tableColumn id="2" name="DÓLAR" dataDxfId="30">
      <calculatedColumnFormula>VLOOKUP(B3,Tabla4[],2,FALSE)</calculatedColumnFormula>
    </tableColumn>
    <tableColumn id="3" name="S&amp;P 500" dataDxfId="29"/>
    <tableColumn id="4" name="NASDAQ-100" dataDxfId="28"/>
    <tableColumn id="5" name="KO" dataDxfId="27"/>
    <tableColumn id="6" name="JNJ" dataDxfId="26"/>
    <tableColumn id="7" name="PG" dataDxfId="25"/>
    <tableColumn id="8" name="PEP" dataDxfId="24"/>
    <tableColumn id="13" name="MSFT" dataDxfId="23"/>
    <tableColumn id="9" name="MCD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topLeftCell="B1" workbookViewId="0">
      <selection activeCell="H23" sqref="H23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-111663.07</v>
      </c>
      <c r="V3" s="37"/>
      <c r="W3" s="37"/>
      <c r="X3" s="37"/>
      <c r="Y3" s="38">
        <f>SUM(M3:X3)</f>
        <v>-112969.3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/>
      <c r="H17" s="7">
        <f>(Tabla8[[#This Row],[CAPITAL A FIN DE MES]]-(Tabla8[[#This Row],[CAPITAL A INICIO DE MES]]+Tabla8[[#This Row],[CAPITAL INVERTIDO ESTE MES]]))</f>
        <v>-37345.440000000002</v>
      </c>
      <c r="I17" s="9">
        <f>(Tabla8[[#This Row],[CAPITAL A FIN DE MES]]-Tabla8[[#This Row],[CAPITAL A INICIO DE MES]])/Tabla8[[#This Row],[CAPITAL A INICIO DE MES]]</f>
        <v>-1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/>
      <c r="H18" s="7">
        <f>(Tabla8[[#This Row],[CAPITAL A FIN DE MES]]-(Tabla8[[#This Row],[CAPITAL A INICIO DE MES]]+Tabla8[[#This Row],[CAPITAL INVERTIDO ESTE MES]]))</f>
        <v>-12814.060000000001</v>
      </c>
      <c r="I18" s="9">
        <f>(Tabla8[[#This Row],[CAPITAL A FIN DE MES]]-Tabla8[[#This Row],[CAPITAL A INICIO DE MES]])/Tabla8[[#This Row],[CAPITAL A INICIO DE MES]]</f>
        <v>-1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1400</v>
      </c>
      <c r="G19" s="7"/>
      <c r="H19" s="7">
        <f>(Tabla8[[#This Row],[CAPITAL A FIN DE MES]]-(Tabla8[[#This Row],[CAPITAL A INICIO DE MES]]+Tabla8[[#This Row],[CAPITAL INVERTIDO ESTE MES]]))</f>
        <v>-11198.34</v>
      </c>
      <c r="I19" s="9">
        <f>(Tabla8[[#This Row],[CAPITAL A FIN DE MES]]-Tabla8[[#This Row],[CAPITAL A INICIO DE MES]])/Tabla8[[#This Row],[CAPITAL A INICIO DE MES]]</f>
        <v>-1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1400</v>
      </c>
      <c r="G20" s="7"/>
      <c r="H20" s="7">
        <f>(Tabla8[[#This Row],[CAPITAL A FIN DE MES]]-(Tabla8[[#This Row],[CAPITAL A INICIO DE MES]]+Tabla8[[#This Row],[CAPITAL INVERTIDO ESTE MES]]))</f>
        <v>-7969.61</v>
      </c>
      <c r="I20" s="9">
        <f>(Tabla8[[#This Row],[CAPITAL A FIN DE MES]]-Tabla8[[#This Row],[CAPITAL A INICIO DE MES]])/Tabla8[[#This Row],[CAPITAL A INICIO DE MES]]</f>
        <v>-1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700</v>
      </c>
      <c r="G21" s="7"/>
      <c r="H21" s="7">
        <f>(Tabla8[[#This Row],[CAPITAL A FIN DE MES]]-(Tabla8[[#This Row],[CAPITAL A INICIO DE MES]]+Tabla8[[#This Row],[CAPITAL INVERTIDO ESTE MES]]))</f>
        <v>-3887.74</v>
      </c>
      <c r="I21" s="9">
        <f>(Tabla8[[#This Row],[CAPITAL A FIN DE MES]]-Tabla8[[#This Row],[CAPITAL A INICIO DE MES]])/Tabla8[[#This Row],[CAPITAL A INICIO DE MES]]</f>
        <v>-1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1400</v>
      </c>
      <c r="G22" s="7"/>
      <c r="H22" s="7">
        <f>(Tabla8[[#This Row],[CAPITAL A FIN DE MES]]-(Tabla8[[#This Row],[CAPITAL A INICIO DE MES]]+Tabla8[[#This Row],[CAPITAL INVERTIDO ESTE MES]]))</f>
        <v>-6393.69</v>
      </c>
      <c r="I22" s="9">
        <f>(Tabla8[[#This Row],[CAPITAL A FIN DE MES]]-Tabla8[[#This Row],[CAPITAL A INICIO DE MES]])/Tabla8[[#This Row],[CAPITAL A INICIO DE MES]]</f>
        <v>-1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/>
      <c r="G23" s="7"/>
      <c r="H23" s="7">
        <f>(Tabla8[[#This Row],[CAPITAL A FIN DE MES]]-(Tabla8[[#This Row],[CAPITAL A INICIO DE MES]]+Tabla8[[#This Row],[CAPITAL INVERTIDO ESTE MES]]))</f>
        <v>-32054.19</v>
      </c>
      <c r="I23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05" priority="3" operator="lessThan">
      <formula>0</formula>
    </cfRule>
    <cfRule type="cellIs" dxfId="104" priority="4" operator="lessThan">
      <formula>0</formula>
    </cfRule>
  </conditionalFormatting>
  <conditionalFormatting sqref="M3:X3">
    <cfRule type="cellIs" dxfId="103" priority="2" operator="lessThan">
      <formula>0</formula>
    </cfRule>
  </conditionalFormatting>
  <conditionalFormatting sqref="M3:Y3">
    <cfRule type="cellIs" dxfId="102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F10" sqref="F10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/>
      <c r="G11" s="27">
        <f>(F11/(D11+E11))</f>
        <v>0</v>
      </c>
      <c r="H11" s="2"/>
      <c r="I11" s="2">
        <f>D11+E11+F11-H11</f>
        <v>37345.440000000002</v>
      </c>
      <c r="J11" s="27">
        <f>((I11-(D11+E11))/(D11+E11))</f>
        <v>0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/>
      <c r="G12" s="27">
        <f>(F12/(D12+E12))</f>
        <v>0</v>
      </c>
      <c r="H12" s="2"/>
      <c r="I12" s="2">
        <f>D12+E12+F12-H12</f>
        <v>12814.06</v>
      </c>
      <c r="J12" s="27">
        <f>((I12-(D12+E12))/(D12+E12))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2"/>
  <sheetViews>
    <sheetView topLeftCell="A126" zoomScaleNormal="100" workbookViewId="0">
      <selection activeCell="B143" sqref="B143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7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</row>
    <row r="120" spans="2:7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7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7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7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7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7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7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</row>
    <row r="127" spans="2:7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7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7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7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7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7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7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</row>
    <row r="134" spans="2:7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7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7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7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7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7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7">
      <c r="B140" s="1">
        <v>45544</v>
      </c>
      <c r="C140" s="3">
        <v>4149.79</v>
      </c>
      <c r="D140" s="3">
        <v>57042</v>
      </c>
      <c r="E140" s="3">
        <v>1.64</v>
      </c>
      <c r="F140" s="3">
        <v>2360.1</v>
      </c>
      <c r="G140" s="3">
        <v>4059</v>
      </c>
    </row>
    <row r="141" spans="2:7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7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0"/>
  <sheetViews>
    <sheetView topLeftCell="D28" workbookViewId="0">
      <selection activeCell="J51" sqref="J51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45546</v>
      </c>
      <c r="C3" s="2">
        <f ca="1">VLOOKUP(B3,Tabla4[],2,FALSE)</f>
        <v>4279.09</v>
      </c>
      <c r="D3" s="3">
        <f ca="1">VLOOKUP(B3,Tabla4[],3,FALSE)</f>
        <v>56780.57</v>
      </c>
      <c r="E3" s="2">
        <f ca="1">VLOOKUP(B3,Tabla4[],5,FALSE)</f>
        <v>2326.6</v>
      </c>
      <c r="F3" s="2">
        <f ca="1">VLOOKUP(B3,Tabla4[],4,FALSE)</f>
        <v>1.58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612.28230658887605</v>
      </c>
      <c r="N3" s="10">
        <f t="shared" ref="N3:N21" ca="1" si="1">IF(G3 = "BTC", (D3 - J3) / J3,
 IF(G3 = "ETH", (E3 - J3) / J3,
 IF(G3 = "IO.NET", (F3 - J3) / J3,
 "Moneda no soportada")))</f>
        <v>-0.19967623719114269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612.28230658887605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-0.19967623719114269</v>
      </c>
      <c r="Y3" s="2" t="str">
        <f>IF(U3=0,"VENDIDA","ACTIVA")</f>
        <v>ACTIVA</v>
      </c>
    </row>
    <row r="4" spans="2:26">
      <c r="B4" s="1">
        <f t="shared" ca="1" si="0"/>
        <v>45546</v>
      </c>
      <c r="C4" s="2">
        <f ca="1">VLOOKUP(B4,Tabla4[],2,FALSE)</f>
        <v>4279.09</v>
      </c>
      <c r="D4" s="3">
        <f ca="1">VLOOKUP(B4,Tabla4[],3,FALSE)</f>
        <v>56780.57</v>
      </c>
      <c r="E4" s="2">
        <f ca="1">VLOOKUP(B4,Tabla4[],5,FALSE)</f>
        <v>2326.6</v>
      </c>
      <c r="F4" s="2">
        <f ca="1">VLOOKUP(B4,Tabla4[],4,FALSE)</f>
        <v>1.58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469.91049347680001</v>
      </c>
      <c r="N4" s="10">
        <f t="shared" ca="1" si="1"/>
        <v>-0.38794783903443814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469.91049347680001</v>
      </c>
      <c r="W4" s="2">
        <f t="shared" si="3"/>
        <v>-705.39693250799996</v>
      </c>
      <c r="X4" s="9">
        <f t="shared" ca="1" si="4"/>
        <v>-0.38794783903443814</v>
      </c>
      <c r="Y4" s="2" t="str">
        <f t="shared" ref="Y4:Y24" si="7">IF(U4=0,"VENDIDA","ACTIVA")</f>
        <v>ACTIVA</v>
      </c>
    </row>
    <row r="5" spans="2:26">
      <c r="B5" s="1">
        <f t="shared" ca="1" si="0"/>
        <v>45546</v>
      </c>
      <c r="C5" s="2">
        <f ca="1">VLOOKUP(B5,Tabla4[],2,FALSE)</f>
        <v>4279.09</v>
      </c>
      <c r="D5" s="3">
        <f ca="1">VLOOKUP(B5,Tabla4[],3,FALSE)</f>
        <v>56780.57</v>
      </c>
      <c r="E5" s="2">
        <f ca="1">VLOOKUP(B5,Tabla4[],5,FALSE)</f>
        <v>2326.6</v>
      </c>
      <c r="F5" s="2">
        <f ca="1">VLOOKUP(B5,Tabla4[],4,FALSE)</f>
        <v>1.58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624.43076505294096</v>
      </c>
      <c r="N5" s="10">
        <f t="shared" ca="1" si="1"/>
        <v>-0.1803717015993995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624.43076505294096</v>
      </c>
      <c r="W5" s="2">
        <f t="shared" si="3"/>
        <v>-711.38458935120002</v>
      </c>
      <c r="X5" s="9">
        <f t="shared" ca="1" si="4"/>
        <v>-0.1803717015993995</v>
      </c>
      <c r="Y5" s="2" t="str">
        <f t="shared" si="7"/>
        <v>ACTIVA</v>
      </c>
    </row>
    <row r="6" spans="2:26">
      <c r="B6" s="1">
        <f t="shared" ca="1" si="0"/>
        <v>45546</v>
      </c>
      <c r="C6" s="2">
        <f ca="1">VLOOKUP(B6,Tabla4[],2,FALSE)</f>
        <v>4279.09</v>
      </c>
      <c r="D6" s="3">
        <f ca="1">VLOOKUP(B6,Tabla4[],3,FALSE)</f>
        <v>56780.57</v>
      </c>
      <c r="E6" s="2">
        <f ca="1">VLOOKUP(B6,Tabla4[],5,FALSE)</f>
        <v>2326.6</v>
      </c>
      <c r="F6" s="2">
        <f ca="1">VLOOKUP(B6,Tabla4[],4,FALSE)</f>
        <v>1.58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484.54541774398001</v>
      </c>
      <c r="N6" s="10">
        <f t="shared" ca="1" si="1"/>
        <v>-0.3659937651239345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484.54541774398001</v>
      </c>
      <c r="W6" s="2">
        <f t="shared" si="3"/>
        <v>-713.63816396689595</v>
      </c>
      <c r="X6" s="9">
        <f t="shared" ca="1" si="4"/>
        <v>-0.3659937651239345</v>
      </c>
      <c r="Y6" s="2" t="str">
        <f t="shared" si="7"/>
        <v>ACTIVA</v>
      </c>
    </row>
    <row r="7" spans="2:26">
      <c r="B7" s="1">
        <f t="shared" ca="1" si="0"/>
        <v>45546</v>
      </c>
      <c r="C7" s="2">
        <f ca="1">VLOOKUP(B7,Tabla4[],2,FALSE)</f>
        <v>4279.09</v>
      </c>
      <c r="D7" s="3">
        <f ca="1">VLOOKUP(B7,Tabla4[],3,FALSE)</f>
        <v>56780.57</v>
      </c>
      <c r="E7" s="2">
        <f ca="1">VLOOKUP(B7,Tabla4[],5,FALSE)</f>
        <v>2326.6</v>
      </c>
      <c r="F7" s="2">
        <f ca="1">VLOOKUP(B7,Tabla4[],4,FALSE)</f>
        <v>1.58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639.00891520981907</v>
      </c>
      <c r="N7" s="10">
        <f t="shared" ca="1" si="1"/>
        <v>-0.14577019071790381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639.00891520981907</v>
      </c>
      <c r="W7" s="2">
        <f t="shared" si="3"/>
        <v>-721.88976178291</v>
      </c>
      <c r="X7" s="9">
        <f t="shared" ca="1" si="4"/>
        <v>-0.14577019071790381</v>
      </c>
      <c r="Y7" s="2" t="str">
        <f t="shared" si="7"/>
        <v>ACTIVA</v>
      </c>
    </row>
    <row r="8" spans="2:26">
      <c r="B8" s="1">
        <f t="shared" ca="1" si="0"/>
        <v>45546</v>
      </c>
      <c r="C8" s="2">
        <f ca="1">VLOOKUP(B8,Tabla4[],2,FALSE)</f>
        <v>4279.09</v>
      </c>
      <c r="D8" s="3">
        <f ca="1">VLOOKUP(B8,Tabla4[],3,FALSE)</f>
        <v>56780.57</v>
      </c>
      <c r="E8" s="2">
        <f ca="1">VLOOKUP(B8,Tabla4[],5,FALSE)</f>
        <v>2326.6</v>
      </c>
      <c r="F8" s="2">
        <f ca="1">VLOOKUP(B8,Tabla4[],4,FALSE)</f>
        <v>1.58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261.72205270289402</v>
      </c>
      <c r="N8" s="10">
        <f t="shared" ca="1" si="1"/>
        <v>-0.62647754137115841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261.72205270289402</v>
      </c>
      <c r="W8" s="2">
        <f t="shared" si="3"/>
        <v>-676.17994528545319</v>
      </c>
      <c r="X8" s="9">
        <f t="shared" ca="1" si="4"/>
        <v>-0.62647754137115841</v>
      </c>
      <c r="Y8" s="2" t="str">
        <f t="shared" si="7"/>
        <v>ACTIVA</v>
      </c>
    </row>
    <row r="9" spans="2:26">
      <c r="B9" s="1">
        <f t="shared" ca="1" si="0"/>
        <v>45546</v>
      </c>
      <c r="C9" s="2">
        <f ca="1">VLOOKUP(B9,Tabla4[],2,FALSE)</f>
        <v>4279.09</v>
      </c>
      <c r="D9" s="3">
        <f ca="1">VLOOKUP(B9,Tabla4[],3,FALSE)</f>
        <v>56780.57</v>
      </c>
      <c r="E9" s="2">
        <f ca="1">VLOOKUP(B9,Tabla4[],5,FALSE)</f>
        <v>2326.6</v>
      </c>
      <c r="F9" s="2">
        <f ca="1">VLOOKUP(B9,Tabla4[],4,FALSE)</f>
        <v>1.58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489.82195506480008</v>
      </c>
      <c r="N9" s="10">
        <f t="shared" ca="1" si="1"/>
        <v>-0.33635500129785301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489.82195506480008</v>
      </c>
      <c r="W9" s="2">
        <f t="shared" si="3"/>
        <v>-712.26418846524007</v>
      </c>
      <c r="X9" s="9">
        <f t="shared" ca="1" si="4"/>
        <v>-0.33635500129785301</v>
      </c>
      <c r="Y9" s="2" t="str">
        <f t="shared" si="7"/>
        <v>ACTIVA</v>
      </c>
    </row>
    <row r="10" spans="2:26">
      <c r="B10" s="1">
        <f t="shared" ca="1" si="0"/>
        <v>45546</v>
      </c>
      <c r="C10" s="2">
        <f ca="1">VLOOKUP(B10,Tabla4[],2,FALSE)</f>
        <v>4279.09</v>
      </c>
      <c r="D10" s="3">
        <f ca="1">VLOOKUP(B10,Tabla4[],3,FALSE)</f>
        <v>56780.57</v>
      </c>
      <c r="E10" s="2">
        <f ca="1">VLOOKUP(B10,Tabla4[],5,FALSE)</f>
        <v>2326.6</v>
      </c>
      <c r="F10" s="2">
        <f ca="1">VLOOKUP(B10,Tabla4[],4,FALSE)</f>
        <v>1.58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660.87614044513589</v>
      </c>
      <c r="N10" s="10">
        <f t="shared" ca="1" si="1"/>
        <v>-7.5855126527476641E-2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660.87614044513589</v>
      </c>
      <c r="W10" s="2">
        <f t="shared" si="3"/>
        <v>-692.62576284671991</v>
      </c>
      <c r="X10" s="9">
        <f t="shared" ca="1" si="4"/>
        <v>-7.5855126527476641E-2</v>
      </c>
      <c r="Y10" s="2" t="str">
        <f t="shared" si="7"/>
        <v>ACTIVA</v>
      </c>
    </row>
    <row r="11" spans="2:26">
      <c r="B11" s="1">
        <f t="shared" ca="1" si="0"/>
        <v>45546</v>
      </c>
      <c r="C11" s="2">
        <f ca="1">VLOOKUP(B11,Tabla4[],2,FALSE)</f>
        <v>4279.09</v>
      </c>
      <c r="D11" s="3">
        <f ca="1">VLOOKUP(B11,Tabla4[],3,FALSE)</f>
        <v>56780.57</v>
      </c>
      <c r="E11" s="2">
        <f ca="1">VLOOKUP(B11,Tabla4[],5,FALSE)</f>
        <v>2326.6</v>
      </c>
      <c r="F11" s="2">
        <f ca="1">VLOOKUP(B11,Tabla4[],4,FALSE)</f>
        <v>1.58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658.44644875232302</v>
      </c>
      <c r="N11" s="10">
        <f t="shared" ca="1" si="1"/>
        <v>-6.8764904040122435E-2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658.44644875232302</v>
      </c>
      <c r="W11" s="2">
        <f t="shared" si="3"/>
        <v>-682.28056593911992</v>
      </c>
      <c r="X11" s="9">
        <f t="shared" ca="1" si="4"/>
        <v>-6.8764904040122435E-2</v>
      </c>
      <c r="Y11" s="2" t="str">
        <f t="shared" si="7"/>
        <v>ACTIVA</v>
      </c>
    </row>
    <row r="12" spans="2:26">
      <c r="B12" s="1">
        <f t="shared" ca="1" si="0"/>
        <v>45546</v>
      </c>
      <c r="C12" s="2">
        <f ca="1">VLOOKUP(B12,Tabla4[],2,FALSE)</f>
        <v>4279.09</v>
      </c>
      <c r="D12" s="3">
        <f ca="1">VLOOKUP(B12,Tabla4[],3,FALSE)</f>
        <v>56780.57</v>
      </c>
      <c r="E12" s="2">
        <f ca="1">VLOOKUP(B12,Tabla4[],5,FALSE)</f>
        <v>2326.6</v>
      </c>
      <c r="F12" s="2">
        <f ca="1">VLOOKUP(B12,Tabla4[],4,FALSE)</f>
        <v>1.58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736.19658292233908</v>
      </c>
      <c r="N12" s="10">
        <f t="shared" ca="1" si="1"/>
        <v>-5.4966861898890565E-3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736.19658292233908</v>
      </c>
      <c r="W12" s="2">
        <f t="shared" si="3"/>
        <v>-705.59026591680004</v>
      </c>
      <c r="X12" s="9">
        <f t="shared" ca="1" si="4"/>
        <v>-5.4966861898890565E-3</v>
      </c>
      <c r="Y12" s="2" t="str">
        <f t="shared" si="7"/>
        <v>ACTIVA</v>
      </c>
    </row>
    <row r="13" spans="2:26">
      <c r="B13" s="1">
        <f t="shared" ca="1" si="0"/>
        <v>45546</v>
      </c>
      <c r="C13" s="2">
        <f ca="1">VLOOKUP(B13,Tabla4[],2,FALSE)</f>
        <v>4279.09</v>
      </c>
      <c r="D13" s="3">
        <f ca="1">VLOOKUP(B13,Tabla4[],3,FALSE)</f>
        <v>56780.57</v>
      </c>
      <c r="E13" s="2">
        <f ca="1">VLOOKUP(B13,Tabla4[],5,FALSE)</f>
        <v>2326.6</v>
      </c>
      <c r="F13" s="2">
        <f ca="1">VLOOKUP(B13,Tabla4[],4,FALSE)</f>
        <v>1.58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682.74336568045305</v>
      </c>
      <c r="N13" s="10">
        <f t="shared" ca="1" si="1"/>
        <v>-9.8147074566509826E-2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682.74336568045305</v>
      </c>
      <c r="W13" s="2">
        <f t="shared" si="3"/>
        <v>-706.44677732571006</v>
      </c>
      <c r="X13" s="9">
        <f t="shared" ca="1" si="4"/>
        <v>-9.8147074566509826E-2</v>
      </c>
      <c r="Y13" s="2" t="str">
        <f t="shared" si="7"/>
        <v>ACTIVA</v>
      </c>
    </row>
    <row r="14" spans="2:26">
      <c r="B14" s="1">
        <f t="shared" ca="1" si="0"/>
        <v>45546</v>
      </c>
      <c r="C14" s="2">
        <f ca="1">VLOOKUP(B14,Tabla4[],2,FALSE)</f>
        <v>4279.09</v>
      </c>
      <c r="D14" s="3">
        <f ca="1">VLOOKUP(B14,Tabla4[],3,FALSE)</f>
        <v>56780.57</v>
      </c>
      <c r="E14" s="2">
        <f ca="1">VLOOKUP(B14,Tabla4[],5,FALSE)</f>
        <v>2326.6</v>
      </c>
      <c r="F14" s="2">
        <f ca="1">VLOOKUP(B14,Tabla4[],4,FALSE)</f>
        <v>1.58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503.85953548433997</v>
      </c>
      <c r="N14" s="10">
        <f t="shared" ca="1" si="1"/>
        <v>-0.31121051805755801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503.85953548433997</v>
      </c>
      <c r="W14" s="2">
        <f t="shared" si="3"/>
        <v>-708.50285169316794</v>
      </c>
      <c r="X14" s="9">
        <f t="shared" ca="1" si="4"/>
        <v>-0.31121051805755801</v>
      </c>
      <c r="Y14" s="2" t="str">
        <f t="shared" si="7"/>
        <v>ACTIVA</v>
      </c>
    </row>
    <row r="15" spans="2:26">
      <c r="B15" s="1">
        <f t="shared" ca="1" si="0"/>
        <v>45546</v>
      </c>
      <c r="C15" s="2">
        <f ca="1">VLOOKUP(B15,Tabla4[],2,FALSE)</f>
        <v>4279.09</v>
      </c>
      <c r="D15" s="3">
        <f ca="1">VLOOKUP(B15,Tabla4[],3,FALSE)</f>
        <v>56780.57</v>
      </c>
      <c r="E15" s="2">
        <f ca="1">VLOOKUP(B15,Tabla4[],5,FALSE)</f>
        <v>2326.6</v>
      </c>
      <c r="F15" s="2">
        <f ca="1">VLOOKUP(B15,Tabla4[],4,FALSE)</f>
        <v>1.58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491.21575737595998</v>
      </c>
      <c r="N15" s="10">
        <f t="shared" ca="1" si="1"/>
        <v>-0.30735956511254742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491.21575737595998</v>
      </c>
      <c r="W15" s="2">
        <f t="shared" si="3"/>
        <v>-684.33117524901604</v>
      </c>
      <c r="X15" s="9">
        <f t="shared" ca="1" si="4"/>
        <v>-0.30735956511254742</v>
      </c>
      <c r="Y15" s="2" t="str">
        <f t="shared" si="7"/>
        <v>ACTIVA</v>
      </c>
    </row>
    <row r="16" spans="2:26">
      <c r="B16" s="1">
        <f t="shared" ca="1" si="0"/>
        <v>45546</v>
      </c>
      <c r="C16" s="2">
        <f ca="1">VLOOKUP(B16,Tabla4[],2,FALSE)</f>
        <v>4279.09</v>
      </c>
      <c r="D16" s="3">
        <f ca="1">VLOOKUP(B16,Tabla4[],3,FALSE)</f>
        <v>56780.57</v>
      </c>
      <c r="E16" s="2">
        <f ca="1">VLOOKUP(B16,Tabla4[],5,FALSE)</f>
        <v>2326.6</v>
      </c>
      <c r="F16" s="2">
        <f ca="1">VLOOKUP(B16,Tabla4[],4,FALSE)</f>
        <v>1.58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565.88373833096</v>
      </c>
      <c r="N16" s="10">
        <f t="shared" ca="1" si="1"/>
        <v>-0.23842880523731591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565.88373833096</v>
      </c>
      <c r="W16" s="2">
        <f t="shared" si="3"/>
        <v>-708.24207363000005</v>
      </c>
      <c r="X16" s="9">
        <f t="shared" ca="1" si="4"/>
        <v>-0.23842880523731591</v>
      </c>
      <c r="Y16" s="2" t="str">
        <f t="shared" si="7"/>
        <v>ACTIVA</v>
      </c>
    </row>
    <row r="17" spans="2:25">
      <c r="B17" s="1">
        <f t="shared" ca="1" si="0"/>
        <v>45546</v>
      </c>
      <c r="C17" s="2">
        <f ca="1">VLOOKUP(B17,Tabla4[],2,FALSE)</f>
        <v>4279.09</v>
      </c>
      <c r="D17" s="3">
        <f ca="1">VLOOKUP(B17,Tabla4[],3,FALSE)</f>
        <v>56780.57</v>
      </c>
      <c r="E17" s="2">
        <f ca="1">VLOOKUP(B17,Tabla4[],5,FALSE)</f>
        <v>2326.6</v>
      </c>
      <c r="F17" s="2">
        <f ca="1">VLOOKUP(B17,Tabla4[],4,FALSE)</f>
        <v>1.58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523.67143976439991</v>
      </c>
      <c r="N17" s="10">
        <f t="shared" ca="1" si="1"/>
        <v>-0.32720279922500795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523.67143976439991</v>
      </c>
      <c r="W17" s="2">
        <f t="shared" si="3"/>
        <v>-726.32733822540001</v>
      </c>
      <c r="X17" s="9">
        <f t="shared" ca="1" si="4"/>
        <v>-0.32720279922500795</v>
      </c>
      <c r="Y17" s="2" t="str">
        <f t="shared" si="7"/>
        <v>ACTIVA</v>
      </c>
    </row>
    <row r="18" spans="2:25">
      <c r="B18" s="1">
        <f t="shared" ca="1" si="0"/>
        <v>45546</v>
      </c>
      <c r="C18" s="2">
        <f ca="1">VLOOKUP(B18,Tabla4[],2,FALSE)</f>
        <v>4279.09</v>
      </c>
      <c r="D18" s="3">
        <f ca="1">VLOOKUP(B18,Tabla4[],3,FALSE)</f>
        <v>56780.57</v>
      </c>
      <c r="E18" s="2">
        <f ca="1">VLOOKUP(B18,Tabla4[],5,FALSE)</f>
        <v>2326.6</v>
      </c>
      <c r="F18" s="2">
        <f ca="1">VLOOKUP(B18,Tabla4[],4,FALSE)</f>
        <v>1.58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356.47856056682201</v>
      </c>
      <c r="N18" s="12">
        <f t="shared" ca="1" si="1"/>
        <v>-0.53529411764705881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356.47856056682201</v>
      </c>
      <c r="W18" s="2">
        <f t="shared" si="3"/>
        <v>-742.97443934431988</v>
      </c>
      <c r="X18" s="9">
        <f t="shared" ca="1" si="4"/>
        <v>-0.53529411764705881</v>
      </c>
      <c r="Y18" s="2" t="str">
        <f t="shared" si="7"/>
        <v>ACTIVA</v>
      </c>
    </row>
    <row r="19" spans="2:25">
      <c r="B19" s="1">
        <f t="shared" ca="1" si="0"/>
        <v>45546</v>
      </c>
      <c r="C19" s="2">
        <f ca="1">VLOOKUP(B19,Tabla4[],2,FALSE)</f>
        <v>4279.09</v>
      </c>
      <c r="D19" s="3">
        <f ca="1">VLOOKUP(B19,Tabla4[],3,FALSE)</f>
        <v>56780.57</v>
      </c>
      <c r="E19" s="2">
        <f ca="1">VLOOKUP(B19,Tabla4[],5,FALSE)</f>
        <v>2326.6</v>
      </c>
      <c r="F19" s="2">
        <f ca="1">VLOOKUP(B19,Tabla4[],4,FALSE)</f>
        <v>1.58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185.842895007208</v>
      </c>
      <c r="N19" s="12">
        <f t="shared" ca="1" si="1"/>
        <v>-0.44169611307420492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185.842895007208</v>
      </c>
      <c r="W19" s="2">
        <f t="shared" si="3"/>
        <v>-321.201220736496</v>
      </c>
      <c r="X19" s="9">
        <f t="shared" ca="1" si="4"/>
        <v>-0.44169611307420492</v>
      </c>
      <c r="Y19" s="2" t="str">
        <f t="shared" si="7"/>
        <v>ACTIVA</v>
      </c>
    </row>
    <row r="20" spans="2:25" hidden="1">
      <c r="B20" s="1">
        <f t="shared" ca="1" si="0"/>
        <v>45546</v>
      </c>
      <c r="C20" s="2">
        <f ca="1">VLOOKUP(B20,Tabla4[],2,FALSE)</f>
        <v>4279.09</v>
      </c>
      <c r="D20" s="3">
        <f ca="1">VLOOKUP(B20,Tabla4[],3,FALSE)</f>
        <v>56780.57</v>
      </c>
      <c r="E20" s="2">
        <f ca="1">VLOOKUP(B20,Tabla4[],5,FALSE)</f>
        <v>2326.6</v>
      </c>
      <c r="F20" s="2">
        <f ca="1">VLOOKUP(B20,Tabla4[],4,FALSE)</f>
        <v>1.58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261.23059836057598</v>
      </c>
      <c r="N20" s="12">
        <f t="shared" ca="1" si="1"/>
        <v>-0.31004366812227074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-0.31004366812227074</v>
      </c>
      <c r="Y20" s="2" t="str">
        <f t="shared" si="7"/>
        <v>VENDIDA</v>
      </c>
    </row>
    <row r="21" spans="2:25" hidden="1">
      <c r="B21" s="1">
        <f t="shared" ca="1" si="0"/>
        <v>45546</v>
      </c>
      <c r="C21" s="2">
        <f ca="1">VLOOKUP(B21,Tabla4[],2,FALSE)</f>
        <v>4279.09</v>
      </c>
      <c r="D21" s="3">
        <f ca="1">VLOOKUP(B21,Tabla4[],3,FALSE)</f>
        <v>56780.57</v>
      </c>
      <c r="E21" s="2">
        <f ca="1">VLOOKUP(B21,Tabla4[],5,FALSE)</f>
        <v>2326.6</v>
      </c>
      <c r="F21" s="2">
        <f ca="1">VLOOKUP(B21,Tabla4[],4,FALSE)</f>
        <v>1.58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250.96624076777999</v>
      </c>
      <c r="N21" s="12">
        <f t="shared" ca="1" si="1"/>
        <v>-0.39694656488549618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-0.39694656488549618</v>
      </c>
      <c r="Y21" s="2" t="str">
        <f t="shared" si="7"/>
        <v>VENDIDA</v>
      </c>
    </row>
    <row r="22" spans="2:25">
      <c r="B22" s="1">
        <f t="shared" ref="B22:B29" ca="1" si="9">TODAY()</f>
        <v>45546</v>
      </c>
      <c r="C22" s="2">
        <f ca="1">VLOOKUP(B22,Tabla4[],2,FALSE)</f>
        <v>4279.09</v>
      </c>
      <c r="D22" s="3">
        <f ca="1">VLOOKUP(B22,Tabla4[],3,FALSE)</f>
        <v>56780.57</v>
      </c>
      <c r="E22" s="2">
        <f ca="1">VLOOKUP(B22,Tabla4[],5,FALSE)</f>
        <v>2326.6</v>
      </c>
      <c r="F22" s="2">
        <f ca="1">VLOOKUP(B22,Tabla4[],4,FALSE)</f>
        <v>1.58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257.35839247977003</v>
      </c>
      <c r="N22" s="12">
        <f t="shared" ref="N22:N29" ca="1" si="11">IF(G22 = "BTC", (D22 - J22) / J22,
 IF(G22 = "ETH", (E22 - J22) / J22,
 IF(G22 = "IO.NET", (F22 - J22) / J22,
 "Moneda no soportada")))</f>
        <v>-0.41263940520446091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0.44182887976999152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-0.41263940520446091</v>
      </c>
      <c r="Y22" s="2" t="str">
        <f t="shared" si="7"/>
        <v>ACTIVA</v>
      </c>
    </row>
    <row r="23" spans="2:25">
      <c r="B23" s="1">
        <f t="shared" ca="1" si="9"/>
        <v>45546</v>
      </c>
      <c r="C23" s="2">
        <f ca="1">VLOOKUP(B23,Tabla4[],2,FALSE)</f>
        <v>4279.09</v>
      </c>
      <c r="D23" s="3">
        <f ca="1">VLOOKUP(B23,Tabla4[],3,FALSE)</f>
        <v>56780.57</v>
      </c>
      <c r="E23" s="2">
        <f ca="1">VLOOKUP(B23,Tabla4[],5,FALSE)</f>
        <v>2326.6</v>
      </c>
      <c r="F23" s="2">
        <f ca="1">VLOOKUP(B23,Tabla4[],4,FALSE)</f>
        <v>1.58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259.12111054455397</v>
      </c>
      <c r="N23" s="12">
        <f t="shared" ca="1" si="11"/>
        <v>-0.41911764705882354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2.2045469445539849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-0.41911764705882354</v>
      </c>
      <c r="Y23" s="2" t="str">
        <f t="shared" si="7"/>
        <v>ACTIVA</v>
      </c>
    </row>
    <row r="24" spans="2:25">
      <c r="B24" s="1">
        <f t="shared" ca="1" si="9"/>
        <v>45546</v>
      </c>
      <c r="C24" s="2">
        <f ca="1">VLOOKUP(B24,Tabla4[],2,FALSE)</f>
        <v>4279.09</v>
      </c>
      <c r="D24" s="3">
        <f ca="1">VLOOKUP(B24,Tabla4[],3,FALSE)</f>
        <v>56780.57</v>
      </c>
      <c r="E24" s="2">
        <f ca="1">VLOOKUP(B24,Tabla4[],5,FALSE)</f>
        <v>2326.6</v>
      </c>
      <c r="F24" s="2">
        <f ca="1">VLOOKUP(B24,Tabla4[],4,FALSE)</f>
        <v>1.58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262.76601287619604</v>
      </c>
      <c r="N24" s="12">
        <f t="shared" ca="1" si="11"/>
        <v>-0.42753623188405793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7.4857373478400184</v>
      </c>
      <c r="W24" s="2">
        <f t="shared" si="14"/>
        <v>8.8385908401840538</v>
      </c>
      <c r="X24" s="9">
        <f t="shared" ca="1" si="15"/>
        <v>-0.42753623188405793</v>
      </c>
      <c r="Y24" s="2" t="str">
        <f t="shared" si="7"/>
        <v>ACTIVA</v>
      </c>
    </row>
    <row r="25" spans="2:25">
      <c r="B25" s="1">
        <f t="shared" ca="1" si="9"/>
        <v>45546</v>
      </c>
      <c r="C25" s="2">
        <f ca="1">VLOOKUP(B25,Tabla4[],2,FALSE)</f>
        <v>4279.09</v>
      </c>
      <c r="D25" s="3">
        <f ca="1">VLOOKUP(B25,Tabla4[],3,FALSE)</f>
        <v>56780.57</v>
      </c>
      <c r="E25" s="2">
        <f ca="1">VLOOKUP(B25,Tabla4[],5,FALSE)</f>
        <v>2326.6</v>
      </c>
      <c r="F25" s="2">
        <f ca="1">VLOOKUP(B25,Tabla4[],4,FALSE)</f>
        <v>1.58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258.33913765650203</v>
      </c>
      <c r="N25" s="12">
        <f t="shared" ca="1" si="11"/>
        <v>-0.4377224199288256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1.422574056502008</v>
      </c>
      <c r="W25" s="2">
        <f t="shared" si="14"/>
        <v>40.44492107583801</v>
      </c>
      <c r="X25" s="9">
        <f t="shared" ca="1" si="15"/>
        <v>-0.4377224199288256</v>
      </c>
      <c r="Y25" s="2" t="str">
        <f t="shared" ref="Y25:Y32" si="16">IF(U25=0,"VENDIDA","ACTIVA")</f>
        <v>ACTIVA</v>
      </c>
    </row>
    <row r="26" spans="2:25">
      <c r="B26" s="1">
        <f t="shared" ca="1" si="9"/>
        <v>45546</v>
      </c>
      <c r="C26" s="2">
        <f ca="1">VLOOKUP(B26,Tabla4[],2,FALSE)</f>
        <v>4279.09</v>
      </c>
      <c r="D26" s="3">
        <f ca="1">VLOOKUP(B26,Tabla4[],3,FALSE)</f>
        <v>56780.57</v>
      </c>
      <c r="E26" s="2">
        <f ca="1">VLOOKUP(B26,Tabla4[],5,FALSE)</f>
        <v>2326.6</v>
      </c>
      <c r="F26" s="2">
        <f ca="1">VLOOKUP(B26,Tabla4[],4,FALSE)</f>
        <v>1.58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260.70560964574599</v>
      </c>
      <c r="N26" s="12">
        <f t="shared" ca="1" si="11"/>
        <v>-0.48100409284114126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260.70560964574599</v>
      </c>
      <c r="W26" s="2">
        <f t="shared" si="14"/>
        <v>-474.99592218630107</v>
      </c>
      <c r="X26" s="9">
        <f t="shared" ca="1" si="15"/>
        <v>-0.48100409284114126</v>
      </c>
      <c r="Y26" s="2" t="str">
        <f t="shared" si="16"/>
        <v>ACTIVA</v>
      </c>
    </row>
    <row r="27" spans="2:25">
      <c r="B27" s="1">
        <f t="shared" ca="1" si="9"/>
        <v>45546</v>
      </c>
      <c r="C27" s="2">
        <f ca="1">VLOOKUP(B27,Tabla4[],2,FALSE)</f>
        <v>4279.09</v>
      </c>
      <c r="D27" s="3">
        <f ca="1">VLOOKUP(B27,Tabla4[],3,FALSE)</f>
        <v>56780.57</v>
      </c>
      <c r="E27" s="2">
        <f ca="1">VLOOKUP(B27,Tabla4[],5,FALSE)</f>
        <v>2326.6</v>
      </c>
      <c r="F27" s="2">
        <f ca="1">VLOOKUP(B27,Tabla4[],4,FALSE)</f>
        <v>1.58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629.29014843856703</v>
      </c>
      <c r="N27" s="12">
        <f t="shared" ca="1" si="11"/>
        <v>-0.14992962062808762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629.29014843856703</v>
      </c>
      <c r="W27" s="2">
        <f t="shared" si="14"/>
        <v>-699.14771612275808</v>
      </c>
      <c r="X27" s="9">
        <f t="shared" ca="1" si="15"/>
        <v>-0.14992962062808762</v>
      </c>
      <c r="Y27" s="2" t="str">
        <f t="shared" si="16"/>
        <v>ACTIVA</v>
      </c>
    </row>
    <row r="28" spans="2:25">
      <c r="B28" s="1">
        <f t="shared" ca="1" si="9"/>
        <v>45546</v>
      </c>
      <c r="C28" s="2">
        <f ca="1">VLOOKUP(B28,Tabla4[],2,FALSE)</f>
        <v>4279.09</v>
      </c>
      <c r="D28" s="3">
        <f ca="1">VLOOKUP(B28,Tabla4[],3,FALSE)</f>
        <v>56780.57</v>
      </c>
      <c r="E28" s="2">
        <f ca="1">VLOOKUP(B28,Tabla4[],5,FALSE)</f>
        <v>2326.6</v>
      </c>
      <c r="F28" s="2">
        <f ca="1">VLOOKUP(B28,Tabla4[],4,FALSE)</f>
        <v>1.58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499.27989931910002</v>
      </c>
      <c r="N28" s="12">
        <f t="shared" ca="1" si="11"/>
        <v>-0.32700818605189319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499.27989931910002</v>
      </c>
      <c r="W28" s="2">
        <f t="shared" si="14"/>
        <v>-700.6597894414499</v>
      </c>
      <c r="X28" s="9">
        <f t="shared" ca="1" si="15"/>
        <v>-0.32700818605189319</v>
      </c>
      <c r="Y28" s="2" t="str">
        <f t="shared" si="16"/>
        <v>ACTIVA</v>
      </c>
    </row>
    <row r="29" spans="2:25">
      <c r="B29" s="1">
        <f t="shared" ca="1" si="9"/>
        <v>45546</v>
      </c>
      <c r="C29" s="2">
        <f ca="1">VLOOKUP(B29,Tabla4[],2,FALSE)</f>
        <v>4279.09</v>
      </c>
      <c r="D29" s="3">
        <f ca="1">VLOOKUP(B29,Tabla4[],3,FALSE)</f>
        <v>56780.57</v>
      </c>
      <c r="E29" s="2">
        <f ca="1">VLOOKUP(B29,Tabla4[],5,FALSE)</f>
        <v>2326.6</v>
      </c>
      <c r="F29" s="2">
        <f ca="1">VLOOKUP(B29,Tabla4[],4,FALSE)</f>
        <v>1.58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200.85865400529801</v>
      </c>
      <c r="N29" s="12">
        <f t="shared" ca="1" si="11"/>
        <v>-0.45890410958904104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200.85865400529801</v>
      </c>
      <c r="W29" s="2">
        <f t="shared" si="14"/>
        <v>-350.58167079212399</v>
      </c>
      <c r="X29" s="9">
        <f t="shared" ca="1" si="15"/>
        <v>-0.45890410958904104</v>
      </c>
      <c r="Y29" s="2" t="str">
        <f t="shared" si="16"/>
        <v>ACTIVA</v>
      </c>
    </row>
    <row r="30" spans="2:25">
      <c r="B30" s="1">
        <f t="shared" ref="B30:B35" ca="1" si="17">TODAY()</f>
        <v>45546</v>
      </c>
      <c r="C30" s="2">
        <f ca="1">VLOOKUP(B30,Tabla4[],2,FALSE)</f>
        <v>4279.09</v>
      </c>
      <c r="D30" s="3">
        <f ca="1">VLOOKUP(B30,Tabla4[],3,FALSE)</f>
        <v>56780.57</v>
      </c>
      <c r="E30" s="2">
        <f ca="1">VLOOKUP(B30,Tabla4[],5,FALSE)</f>
        <v>2326.6</v>
      </c>
      <c r="F30" s="2">
        <f ca="1">VLOOKUP(B30,Tabla4[],4,FALSE)</f>
        <v>1.58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614.71199828168892</v>
      </c>
      <c r="N30" s="12">
        <f t="shared" ref="N30:N35" ca="1" si="19">IF(G30 = "BTC", (D30 - J30) / J30,
 IF(G30 = "ETH", (E30 - J30) / J30,
 IF(G30 = "IO.NET", (F30 - J30) / J30,
 "Moneda no soportada")))</f>
        <v>-0.17326143488225132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614.71199828168892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-0.17326143488225132</v>
      </c>
      <c r="Y30" s="2" t="str">
        <f t="shared" si="16"/>
        <v>ACTIVA</v>
      </c>
    </row>
    <row r="31" spans="2:25">
      <c r="B31" s="1">
        <f t="shared" ca="1" si="17"/>
        <v>45546</v>
      </c>
      <c r="C31" s="2">
        <f ca="1">VLOOKUP(B31,Tabla4[],2,FALSE)</f>
        <v>4279.09</v>
      </c>
      <c r="D31" s="3">
        <f ca="1">VLOOKUP(B31,Tabla4[],3,FALSE)</f>
        <v>56780.57</v>
      </c>
      <c r="E31" s="2">
        <f ca="1">VLOOKUP(B31,Tabla4[],5,FALSE)</f>
        <v>2326.6</v>
      </c>
      <c r="F31" s="2">
        <f ca="1">VLOOKUP(B31,Tabla4[],4,FALSE)</f>
        <v>1.58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521.58073629766</v>
      </c>
      <c r="N31" s="12">
        <f t="shared" ca="1" si="19"/>
        <v>-0.29826572161061682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521.58073629766</v>
      </c>
      <c r="W31" s="2">
        <f t="shared" si="22"/>
        <v>-700.01062533089998</v>
      </c>
      <c r="X31" s="9">
        <f t="shared" ca="1" si="23"/>
        <v>-0.29826572161061682</v>
      </c>
      <c r="Y31" s="2" t="str">
        <f t="shared" si="16"/>
        <v>ACTIVA</v>
      </c>
    </row>
    <row r="32" spans="2:25">
      <c r="B32" s="1">
        <f t="shared" ca="1" si="17"/>
        <v>45546</v>
      </c>
      <c r="C32" s="2">
        <f ca="1">VLOOKUP(B32,Tabla4[],2,FALSE)</f>
        <v>4279.09</v>
      </c>
      <c r="D32" s="3">
        <f ca="1">VLOOKUP(B32,Tabla4[],3,FALSE)</f>
        <v>56780.57</v>
      </c>
      <c r="E32" s="2">
        <f ca="1">VLOOKUP(B32,Tabla4[],5,FALSE)</f>
        <v>2326.6</v>
      </c>
      <c r="F32" s="2">
        <f ca="1">VLOOKUP(B32,Tabla4[],4,FALSE)</f>
        <v>1.58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202.54294490856199</v>
      </c>
      <c r="N32" s="12">
        <f t="shared" ca="1" si="19"/>
        <v>-0.45517241379310341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202.54294490856199</v>
      </c>
      <c r="W32" s="2">
        <f t="shared" si="22"/>
        <v>-350.11749431717993</v>
      </c>
      <c r="X32" s="9">
        <f t="shared" ca="1" si="23"/>
        <v>-0.45517241379310341</v>
      </c>
      <c r="Y32" s="2" t="str">
        <f t="shared" si="16"/>
        <v>ACTIVA</v>
      </c>
    </row>
    <row r="33" spans="2:25">
      <c r="B33" s="1">
        <f t="shared" ca="1" si="17"/>
        <v>45546</v>
      </c>
      <c r="C33" s="2">
        <f ca="1">VLOOKUP(B33,Tabla4[],2,FALSE)</f>
        <v>4279.09</v>
      </c>
      <c r="D33" s="3">
        <f ca="1">VLOOKUP(B33,Tabla4[],3,FALSE)</f>
        <v>56780.57</v>
      </c>
      <c r="E33" s="2">
        <f ca="1">VLOOKUP(B33,Tabla4[],5,FALSE)</f>
        <v>2326.6</v>
      </c>
      <c r="F33" s="2">
        <f ca="1">VLOOKUP(B33,Tabla4[],4,FALSE)</f>
        <v>1.58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772.64195831453401</v>
      </c>
      <c r="N33" s="12">
        <f t="shared" ca="1" si="19"/>
        <v>6.1944520969266233E-2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772.64195831453401</v>
      </c>
      <c r="W33" s="2">
        <f t="shared" si="22"/>
        <v>-699.99737650756197</v>
      </c>
      <c r="X33" s="9">
        <f t="shared" ca="1" si="23"/>
        <v>6.1944520969266233E-2</v>
      </c>
      <c r="Y33" s="2" t="str">
        <f t="shared" ref="Y33:Y38" si="24">IF(U33=0,"VENDIDA","ACTIVA")</f>
        <v>ACTIVA</v>
      </c>
    </row>
    <row r="34" spans="2:25">
      <c r="B34" s="1">
        <f t="shared" ca="1" si="17"/>
        <v>45546</v>
      </c>
      <c r="C34" s="2">
        <f ca="1">VLOOKUP(B34,Tabla4[],2,FALSE)</f>
        <v>4279.09</v>
      </c>
      <c r="D34" s="3">
        <f ca="1">VLOOKUP(B34,Tabla4[],3,FALSE)</f>
        <v>56780.57</v>
      </c>
      <c r="E34" s="2">
        <f ca="1">VLOOKUP(B34,Tabla4[],5,FALSE)</f>
        <v>2326.6</v>
      </c>
      <c r="F34" s="2">
        <f ca="1">VLOOKUP(B34,Tabla4[],4,FALSE)</f>
        <v>1.58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712.92988215833998</v>
      </c>
      <c r="N34" s="12">
        <f t="shared" ca="1" si="19"/>
        <v>-2.0123147937566942E-2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712.92988215833998</v>
      </c>
      <c r="W34" s="2">
        <f t="shared" si="22"/>
        <v>-699.99553871893795</v>
      </c>
      <c r="X34" s="9">
        <f t="shared" ca="1" si="23"/>
        <v>-2.0123147937566942E-2</v>
      </c>
      <c r="Y34" s="2" t="str">
        <f t="shared" si="24"/>
        <v>ACTIVA</v>
      </c>
    </row>
    <row r="35" spans="2:25">
      <c r="B35" s="1">
        <f t="shared" ca="1" si="17"/>
        <v>45546</v>
      </c>
      <c r="C35" s="2">
        <f ca="1">VLOOKUP(B35,Tabla4[],2,FALSE)</f>
        <v>4279.09</v>
      </c>
      <c r="D35" s="3">
        <f ca="1">VLOOKUP(B35,Tabla4[],3,FALSE)</f>
        <v>56780.57</v>
      </c>
      <c r="E35" s="2">
        <f ca="1">VLOOKUP(B35,Tabla4[],5,FALSE)</f>
        <v>2326.6</v>
      </c>
      <c r="F35" s="2">
        <f ca="1">VLOOKUP(B35,Tabla4[],4,FALSE)</f>
        <v>1.58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390.38221683418601</v>
      </c>
      <c r="N35" s="12">
        <f t="shared" ca="1" si="19"/>
        <v>7.3077967943493721E-2</v>
      </c>
      <c r="O35" s="9">
        <v>0.1</v>
      </c>
      <c r="P35" s="9">
        <v>0.3</v>
      </c>
      <c r="Q35" t="str">
        <f t="shared" ca="1" si="20"/>
        <v>MANTENER</v>
      </c>
      <c r="T35" s="2"/>
      <c r="U35" s="14">
        <f>Tabla6[[#This Row],[cantidad]]-Tabla6[[#This Row],[CANTIDAD VENDIDA]]</f>
        <v>5.7740630000000001E-2</v>
      </c>
      <c r="V35" s="2">
        <f t="shared" ca="1" si="21"/>
        <v>390.38221683418601</v>
      </c>
      <c r="W35" s="2">
        <f t="shared" si="22"/>
        <v>-350.00858741327886</v>
      </c>
      <c r="X35" s="9">
        <f t="shared" ca="1" si="23"/>
        <v>7.3077967943493721E-2</v>
      </c>
      <c r="Y35" s="2" t="str">
        <f t="shared" si="24"/>
        <v>ACTIVA</v>
      </c>
    </row>
    <row r="36" spans="2:25">
      <c r="B36" s="1">
        <f t="shared" ref="B36:B41" ca="1" si="25">TODAY()</f>
        <v>45546</v>
      </c>
      <c r="C36" s="2">
        <f ca="1">VLOOKUP(B36,Tabla4[],2,FALSE)</f>
        <v>4279.09</v>
      </c>
      <c r="D36" s="3">
        <f ca="1">VLOOKUP(B36,Tabla4[],3,FALSE)</f>
        <v>56780.57</v>
      </c>
      <c r="E36" s="2">
        <f ca="1">VLOOKUP(B36,Tabla4[],5,FALSE)</f>
        <v>2326.6</v>
      </c>
      <c r="F36" s="2">
        <f ca="1">VLOOKUP(B36,Tabla4[],4,FALSE)</f>
        <v>1.58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707.04028260858297</v>
      </c>
      <c r="N36" s="27">
        <f t="shared" ref="N36:N41" ca="1" si="27">IF(G36 = "BTC", (D36 - J36) / J36,
 IF(G36 = "ETH", (E36 - J36) / J36,
 IF(G36 = "IO.NET", (F36 - J36) / J36,
 "Moneda no soportada")))</f>
        <v>-3.8388213921417919E-2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707.04028260858297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-3.8388213921417919E-2</v>
      </c>
      <c r="Y36" s="2" t="str">
        <f t="shared" si="24"/>
        <v>ACTIVA</v>
      </c>
    </row>
    <row r="37" spans="2:25">
      <c r="B37" s="1">
        <f t="shared" ca="1" si="25"/>
        <v>45546</v>
      </c>
      <c r="C37" s="2">
        <f ca="1">VLOOKUP(B37,Tabla4[],2,FALSE)</f>
        <v>4279.09</v>
      </c>
      <c r="D37" s="3">
        <f ca="1">VLOOKUP(B37,Tabla4[],3,FALSE)</f>
        <v>56780.57</v>
      </c>
      <c r="E37" s="2">
        <f ca="1">VLOOKUP(B37,Tabla4[],5,FALSE)</f>
        <v>2326.6</v>
      </c>
      <c r="F37" s="2">
        <f ca="1">VLOOKUP(B37,Tabla4[],4,FALSE)</f>
        <v>1.58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646.72427237824002</v>
      </c>
      <c r="N37" s="27">
        <f t="shared" ca="1" si="27"/>
        <v>-0.12044457885982154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646.72427237824002</v>
      </c>
      <c r="W37" s="2">
        <f t="shared" si="30"/>
        <v>-700.01513873535998</v>
      </c>
      <c r="X37" s="9">
        <f t="shared" ca="1" si="31"/>
        <v>-0.12044457885982154</v>
      </c>
      <c r="Y37" s="2" t="str">
        <f t="shared" si="24"/>
        <v>ACTIVA</v>
      </c>
    </row>
    <row r="38" spans="2:25">
      <c r="B38" s="1">
        <f t="shared" ca="1" si="25"/>
        <v>45546</v>
      </c>
      <c r="C38" s="2">
        <f ca="1">VLOOKUP(B38,Tabla4[],2,FALSE)</f>
        <v>4279.09</v>
      </c>
      <c r="D38" s="3">
        <f ca="1">VLOOKUP(B38,Tabla4[],3,FALSE)</f>
        <v>56780.57</v>
      </c>
      <c r="E38" s="2">
        <f ca="1">VLOOKUP(B38,Tabla4[],5,FALSE)</f>
        <v>2326.6</v>
      </c>
      <c r="F38" s="2">
        <f ca="1">VLOOKUP(B38,Tabla4[],4,FALSE)</f>
        <v>1.58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369.42478903549204</v>
      </c>
      <c r="N38" s="27">
        <f t="shared" ca="1" si="27"/>
        <v>4.871719857028378E-3</v>
      </c>
      <c r="O38" s="28">
        <v>0.1</v>
      </c>
      <c r="P38" s="28">
        <v>0.3</v>
      </c>
      <c r="Q38" t="str">
        <f t="shared" ca="1" si="28"/>
        <v>MANTENER</v>
      </c>
      <c r="T38" s="2"/>
      <c r="U38" s="14">
        <f>Tabla6[[#This Row],[cantidad]]-Tabla6[[#This Row],[CANTIDAD VENDIDA]]</f>
        <v>5.4640859999999999E-2</v>
      </c>
      <c r="V38" s="2">
        <f t="shared" ca="1" si="29"/>
        <v>369.42478903549204</v>
      </c>
      <c r="W38" s="2">
        <f t="shared" si="30"/>
        <v>-349.9990705940495</v>
      </c>
      <c r="X38" s="9">
        <f t="shared" ca="1" si="31"/>
        <v>4.871719857028378E-3</v>
      </c>
      <c r="Y38" s="2" t="str">
        <f t="shared" si="24"/>
        <v>ACTIVA</v>
      </c>
    </row>
    <row r="39" spans="2:25">
      <c r="B39" s="1">
        <f t="shared" ca="1" si="25"/>
        <v>45546</v>
      </c>
      <c r="C39" s="2">
        <f ca="1">VLOOKUP(B39,Tabla4[],2,FALSE)</f>
        <v>4279.09</v>
      </c>
      <c r="D39" s="3">
        <f ca="1">VLOOKUP(B39,Tabla4[],3,FALSE)</f>
        <v>56780.57</v>
      </c>
      <c r="E39" s="2">
        <f ca="1">VLOOKUP(B39,Tabla4[],5,FALSE)</f>
        <v>2326.6</v>
      </c>
      <c r="F39" s="2">
        <f ca="1">VLOOKUP(B39,Tabla4[],4,FALSE)</f>
        <v>1.58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736.19658292233908</v>
      </c>
      <c r="N39" s="27">
        <f t="shared" ca="1" si="27"/>
        <v>-9.4765176069974977E-3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736.19658292233908</v>
      </c>
      <c r="W39" s="2">
        <f t="shared" si="30"/>
        <v>-700.00297999823999</v>
      </c>
      <c r="X39" s="9">
        <f t="shared" ca="1" si="31"/>
        <v>-9.4765176069974977E-3</v>
      </c>
      <c r="Y39" s="2" t="str">
        <f t="shared" ref="Y39:Y44" si="32">IF(U39=0,"VENDIDA","ACTIVA")</f>
        <v>ACTIVA</v>
      </c>
    </row>
    <row r="40" spans="2:25">
      <c r="B40" s="1">
        <f t="shared" ca="1" si="25"/>
        <v>45546</v>
      </c>
      <c r="C40" s="2">
        <f ca="1">VLOOKUP(B40,Tabla4[],2,FALSE)</f>
        <v>4279.09</v>
      </c>
      <c r="D40" s="3">
        <f ca="1">VLOOKUP(B40,Tabla4[],3,FALSE)</f>
        <v>56780.57</v>
      </c>
      <c r="E40" s="2">
        <f ca="1">VLOOKUP(B40,Tabla4[],5,FALSE)</f>
        <v>2326.6</v>
      </c>
      <c r="F40" s="2">
        <f ca="1">VLOOKUP(B40,Tabla4[],4,FALSE)</f>
        <v>1.58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684.25737747161998</v>
      </c>
      <c r="N40" s="27">
        <f t="shared" ca="1" si="27"/>
        <v>-7.935817027085855E-2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684.25737747161998</v>
      </c>
      <c r="W40" s="2">
        <f t="shared" si="30"/>
        <v>-700.00259914812</v>
      </c>
      <c r="X40" s="9">
        <f t="shared" ca="1" si="31"/>
        <v>-7.935817027085855E-2</v>
      </c>
      <c r="Y40" s="2" t="str">
        <f t="shared" si="32"/>
        <v>ACTIVA</v>
      </c>
    </row>
    <row r="41" spans="2:25">
      <c r="B41" s="1">
        <f t="shared" ca="1" si="25"/>
        <v>45546</v>
      </c>
      <c r="C41" s="2">
        <f ca="1">VLOOKUP(B41,Tabla4[],2,FALSE)</f>
        <v>4279.09</v>
      </c>
      <c r="D41" s="3">
        <f ca="1">VLOOKUP(B41,Tabla4[],3,FALSE)</f>
        <v>56780.57</v>
      </c>
      <c r="E41" s="2">
        <f ca="1">VLOOKUP(B41,Tabla4[],5,FALSE)</f>
        <v>2326.6</v>
      </c>
      <c r="F41" s="2">
        <f ca="1">VLOOKUP(B41,Tabla4[],4,FALSE)</f>
        <v>1.58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364.19335931399803</v>
      </c>
      <c r="N41" s="27">
        <f t="shared" ca="1" si="27"/>
        <v>-1.9972708100731922E-2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364.19335931399803</v>
      </c>
      <c r="W41" s="2">
        <f t="shared" si="30"/>
        <v>-349.99732079053973</v>
      </c>
      <c r="X41" s="9">
        <f t="shared" ca="1" si="31"/>
        <v>-1.9972708100731922E-2</v>
      </c>
      <c r="Y41" s="2" t="str">
        <f t="shared" si="32"/>
        <v>ACTIVA</v>
      </c>
    </row>
    <row r="42" spans="2:25">
      <c r="B42" s="1">
        <f t="shared" ref="B42:B47" ca="1" si="33">TODAY()</f>
        <v>45546</v>
      </c>
      <c r="C42" s="2">
        <f ca="1">VLOOKUP(B42,Tabla4[],2,FALSE)</f>
        <v>4279.09</v>
      </c>
      <c r="D42" s="3">
        <f ca="1">VLOOKUP(B42,Tabla4[],3,FALSE)</f>
        <v>56780.57</v>
      </c>
      <c r="E42" s="2">
        <f ca="1">VLOOKUP(B42,Tabla4[],5,FALSE)</f>
        <v>2326.6</v>
      </c>
      <c r="F42" s="2">
        <f ca="1">VLOOKUP(B42,Tabla4[],4,FALSE)</f>
        <v>1.58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675.454290602014</v>
      </c>
      <c r="N42" s="27">
        <f t="shared" ref="N42:N47" ca="1" si="35">IF(G42 = "BTC", (D42 - J42) / J42,
 IF(G42 = "ETH", (E42 - J42) / J42,
 IF(G42 = "IO.NET", (F42 - J42) / J42,
 "Moneda no soportada")))</f>
        <v>-9.129279026966472E-2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675.454290602014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-9.129279026966472E-2</v>
      </c>
      <c r="Y42" s="2" t="str">
        <f t="shared" si="32"/>
        <v>ACTIVA</v>
      </c>
    </row>
    <row r="43" spans="2:25">
      <c r="B43" s="1">
        <f t="shared" ca="1" si="33"/>
        <v>45546</v>
      </c>
      <c r="C43" s="2">
        <f ca="1">VLOOKUP(B43,Tabla4[],2,FALSE)</f>
        <v>4279.09</v>
      </c>
      <c r="D43" s="3">
        <f ca="1">VLOOKUP(B43,Tabla4[],3,FALSE)</f>
        <v>56780.57</v>
      </c>
      <c r="E43" s="2">
        <f ca="1">VLOOKUP(B43,Tabla4[],5,FALSE)</f>
        <v>2326.6</v>
      </c>
      <c r="F43" s="2">
        <f ca="1">VLOOKUP(B43,Tabla4[],4,FALSE)</f>
        <v>1.58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647.52073084176004</v>
      </c>
      <c r="N43" s="27">
        <f t="shared" ca="1" si="35"/>
        <v>-0.12887198169829903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647.52073084176004</v>
      </c>
      <c r="W43" s="2">
        <f t="shared" si="38"/>
        <v>-700.00054480260007</v>
      </c>
      <c r="X43" s="9">
        <f t="shared" ca="1" si="39"/>
        <v>-0.12887198169829903</v>
      </c>
      <c r="Y43" s="2" t="str">
        <f t="shared" si="32"/>
        <v>ACTIVA</v>
      </c>
    </row>
    <row r="44" spans="2:25">
      <c r="B44" s="1">
        <f t="shared" ca="1" si="33"/>
        <v>45546</v>
      </c>
      <c r="C44" s="2">
        <f ca="1">VLOOKUP(B44,Tabla4[],2,FALSE)</f>
        <v>4279.09</v>
      </c>
      <c r="D44" s="3">
        <f ca="1">VLOOKUP(B44,Tabla4[],3,FALSE)</f>
        <v>56780.57</v>
      </c>
      <c r="E44" s="2">
        <f ca="1">VLOOKUP(B44,Tabla4[],5,FALSE)</f>
        <v>2326.6</v>
      </c>
      <c r="F44" s="2">
        <f ca="1">VLOOKUP(B44,Tabla4[],4,FALSE)</f>
        <v>1.58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269.778888527768</v>
      </c>
      <c r="N44" s="27">
        <f t="shared" ca="1" si="35"/>
        <v>-0.27412722987655558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269.778888527768</v>
      </c>
      <c r="W44" s="2">
        <f t="shared" si="38"/>
        <v>-350.00491194757706</v>
      </c>
      <c r="X44" s="9">
        <f t="shared" ca="1" si="39"/>
        <v>-0.27412722987655558</v>
      </c>
      <c r="Y44" s="2" t="str">
        <f t="shared" si="32"/>
        <v>ACTIVA</v>
      </c>
    </row>
    <row r="45" spans="2:25">
      <c r="B45" s="1">
        <f t="shared" ca="1" si="33"/>
        <v>45546</v>
      </c>
      <c r="C45" s="2">
        <f ca="1">VLOOKUP(B45,Tabla4[],2,FALSE)</f>
        <v>4279.09</v>
      </c>
      <c r="D45" s="3">
        <f ca="1">VLOOKUP(B45,Tabla4[],3,FALSE)</f>
        <v>56780.57</v>
      </c>
      <c r="E45" s="2">
        <f ca="1">VLOOKUP(B45,Tabla4[],5,FALSE)</f>
        <v>2326.6</v>
      </c>
      <c r="F45" s="2">
        <f ca="1">VLOOKUP(B45,Tabla4[],4,FALSE)</f>
        <v>1.58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726.47781615108704</v>
      </c>
      <c r="N45" s="27">
        <f t="shared" ca="1" si="35"/>
        <v>9.0233647517094714E-3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726.47781615108704</v>
      </c>
      <c r="W45" s="2">
        <f t="shared" si="38"/>
        <v>-699.99575477832013</v>
      </c>
      <c r="X45" s="32">
        <f t="shared" ca="1" si="39"/>
        <v>9.0233647517094714E-3</v>
      </c>
      <c r="Y45" s="2" t="str">
        <f>IF(U45=0,"VENDIDA","ACTIVA")</f>
        <v>ACTIVA</v>
      </c>
    </row>
    <row r="46" spans="2:25">
      <c r="B46" s="1">
        <f t="shared" ca="1" si="33"/>
        <v>45546</v>
      </c>
      <c r="C46" s="2">
        <f ca="1">VLOOKUP(B46,Tabla4[],2,FALSE)</f>
        <v>4279.09</v>
      </c>
      <c r="D46" s="3">
        <f ca="1">VLOOKUP(B46,Tabla4[],3,FALSE)</f>
        <v>56780.57</v>
      </c>
      <c r="E46" s="2">
        <f ca="1">VLOOKUP(B46,Tabla4[],5,FALSE)</f>
        <v>2326.6</v>
      </c>
      <c r="F46" s="2">
        <f ca="1">VLOOKUP(B46,Tabla4[],4,FALSE)</f>
        <v>1.58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693.41664980209998</v>
      </c>
      <c r="N46" s="27">
        <f t="shared" ca="1" si="35"/>
        <v>-3.6907639831771491E-2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693.41664980209998</v>
      </c>
      <c r="W46" s="2">
        <f t="shared" si="38"/>
        <v>-700.00412532204018</v>
      </c>
      <c r="X46" s="32">
        <f t="shared" ca="1" si="39"/>
        <v>-3.6907639831771491E-2</v>
      </c>
      <c r="Y46" s="2" t="str">
        <f>IF(U46=0,"VENDIDA","ACTIVA")</f>
        <v>ACTIVA</v>
      </c>
    </row>
    <row r="47" spans="2:25">
      <c r="B47" s="1">
        <f t="shared" ca="1" si="33"/>
        <v>45546</v>
      </c>
      <c r="C47" s="2">
        <f ca="1">VLOOKUP(B47,Tabla4[],2,FALSE)</f>
        <v>4279.09</v>
      </c>
      <c r="D47" s="3">
        <f ca="1">VLOOKUP(B47,Tabla4[],3,FALSE)</f>
        <v>56780.57</v>
      </c>
      <c r="E47" s="2">
        <f ca="1">VLOOKUP(B47,Tabla4[],5,FALSE)</f>
        <v>2326.6</v>
      </c>
      <c r="F47" s="2">
        <f ca="1">VLOOKUP(B47,Tabla4[],4,FALSE)</f>
        <v>1.58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408.34514686487802</v>
      </c>
      <c r="N47" s="27">
        <f t="shared" ca="1" si="35"/>
        <v>0.13432407207983346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408.34514686487802</v>
      </c>
      <c r="W47" s="2">
        <f t="shared" si="38"/>
        <v>-349.99716107114455</v>
      </c>
      <c r="X47" s="32">
        <f t="shared" ca="1" si="39"/>
        <v>0.13432407207983346</v>
      </c>
      <c r="Y47" s="2" t="str">
        <f>IF(U47=0,"VENDIDA","ACTIVA")</f>
        <v>ACTIVA</v>
      </c>
    </row>
    <row r="48" spans="2:25">
      <c r="B48" s="1">
        <f ca="1">TODAY()</f>
        <v>45546</v>
      </c>
      <c r="C48" s="2">
        <f ca="1">VLOOKUP(B48,Tabla4[],2,FALSE)</f>
        <v>4279.09</v>
      </c>
      <c r="D48" s="3">
        <f ca="1">VLOOKUP(B48,Tabla4[],3,FALSE)</f>
        <v>56780.57</v>
      </c>
      <c r="E48" s="2">
        <f ca="1">VLOOKUP(B48,Tabla4[],5,FALSE)</f>
        <v>2326.6</v>
      </c>
      <c r="F48" s="2">
        <f ca="1">VLOOKUP(B48,Tabla4[],4,FALSE)</f>
        <v>1.58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ca="1" xml:space="preserve"> K48 * (IF(G48="BTC", D48, IF(G48="ETH", E48, IF(G48="IO.NET", F48, 0)))) * C48</f>
        <v>753.20442477203005</v>
      </c>
      <c r="N48" s="27">
        <f ca="1">IF(G48 = "BTC", (D48 - J48) / J48,
 IF(G48 = "ETH", (E48 - J48) / J48,
 IF(G48 = "IO.NET", (F48 - J48) / J48,
 "Moneda no soportada")))</f>
        <v>4.3491932223324876E-2</v>
      </c>
      <c r="O48" s="28">
        <v>0.25</v>
      </c>
      <c r="P48" s="28">
        <v>0.5</v>
      </c>
      <c r="Q48" s="31" t="str">
        <f ca="1">IF(N48 &lt; O48, "MANTENER", IF(N48 &lt; P48, "VENTA PARCIAL", "VENDER"))</f>
        <v>MANTENER</v>
      </c>
      <c r="T48" s="2"/>
      <c r="U48" s="14">
        <f>Tabla6[[#This Row],[cantidad]]-Tabla6[[#This Row],[CANTIDAD VENDIDA]]</f>
        <v>3.1E-6</v>
      </c>
      <c r="V48" s="2">
        <f ca="1">IF(G48="BTC", D48 * U48 * C48, IF(G48="ETH", E48 * U48 * C48, IF(G48="IO.NET", F48 * U48 * C48, 0)))</f>
        <v>753.20442477203005</v>
      </c>
      <c r="W48" s="2">
        <f>IF(G48 = "BTC", ((T48 - L48)), IF(G48 = "ETH", ((T48 - L48)), IF(G48 = "IO.NET", ((T48 - L48)), "Moneda no soportada")))</f>
        <v>-700.00068648600006</v>
      </c>
      <c r="X48" s="32">
        <f ca="1">IF(G48 = "BTC", (((D48 - J48) / J48)),IF(G48 = "ETH", ((E48 - J48) / J48), IF(G48 = "IO.NET", ((F48 - J48) / J48), "Moneda no soportada")))</f>
        <v>4.3491932223324876E-2</v>
      </c>
      <c r="Y48" s="2" t="str">
        <f>IF(U48=0,"VENDIDA","ACTIVA")</f>
        <v>ACTIVA</v>
      </c>
    </row>
    <row r="49" spans="2:25">
      <c r="B49" s="1">
        <f ca="1">TODAY()</f>
        <v>45546</v>
      </c>
      <c r="C49" s="2">
        <f ca="1">VLOOKUP(B49,Tabla4[],2,FALSE)</f>
        <v>4279.09</v>
      </c>
      <c r="D49" s="3">
        <f ca="1">VLOOKUP(B49,Tabla4[],3,FALSE)</f>
        <v>56780.57</v>
      </c>
      <c r="E49" s="2">
        <f ca="1">VLOOKUP(B49,Tabla4[],5,FALSE)</f>
        <v>2326.6</v>
      </c>
      <c r="F49" s="2">
        <f ca="1">VLOOKUP(B49,Tabla4[],4,FALSE)</f>
        <v>1.58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ca="1" xml:space="preserve"> K49 * (IF(G49="BTC", D49, IF(G49="ETH", E49, IF(G49="IO.NET", F49, 0)))) * C49</f>
        <v>735.72850567659987</v>
      </c>
      <c r="N49" s="27">
        <f ca="1">IF(G49 = "BTC", (D49 - J49) / J49,
 IF(G49 = "ETH", (E49 - J49) / J49,
 IF(G49 = "IO.NET", (F49 - J49) / J49,
 "Moneda no soportada")))</f>
        <v>1.9280729346925974E-2</v>
      </c>
      <c r="O49" s="28"/>
      <c r="P49" s="28"/>
      <c r="Q49" s="31" t="str">
        <f ca="1">IF(N49 &lt; O49, "MANTENER", IF(N49 &lt; P49, "VENTA PARCIAL", "VENDER"))</f>
        <v>VENDER</v>
      </c>
      <c r="T49" s="2"/>
      <c r="U49" s="14">
        <f>Tabla6[[#This Row],[cantidad]]-Tabla6[[#This Row],[CANTIDAD VENDIDA]]</f>
        <v>7.3899999999999994E-5</v>
      </c>
      <c r="V49" s="2">
        <f ca="1">IF(G49="BTC", D49 * U49 * C49, IF(G49="ETH", E49 * U49 * C49, IF(G49="IO.NET", F49 * U49 * C49, 0)))</f>
        <v>735.72850567659987</v>
      </c>
      <c r="W49" s="2">
        <f>IF(G49 = "BTC", ((T49 - L49)), IF(G49 = "ETH", ((T49 - L49)), IF(G49 = "IO.NET", ((T49 - L49)), "Moneda no soportada")))</f>
        <v>-700.00069063578997</v>
      </c>
      <c r="X49" s="32">
        <f ca="1">IF(G49 = "BTC", (((D49 - J49) / J49)),IF(G49 = "ETH", ((E49 - J49) / J49), IF(G49 = "IO.NET", ((F49 - J49) / J49), "Moneda no soportada")))</f>
        <v>1.9280729346925974E-2</v>
      </c>
      <c r="Y49" s="2" t="str">
        <f>IF(U49=0,"VENDIDA","ACTIVA")</f>
        <v>ACTIVA</v>
      </c>
    </row>
    <row r="50" spans="2:25">
      <c r="B50" s="1">
        <f ca="1">TODAY()</f>
        <v>45546</v>
      </c>
      <c r="C50" s="2">
        <f ca="1">VLOOKUP(B50,Tabla4[],2,FALSE)</f>
        <v>4279.09</v>
      </c>
      <c r="D50" s="3">
        <f ca="1">VLOOKUP(B50,Tabla4[],3,FALSE)</f>
        <v>56780.57</v>
      </c>
      <c r="E50" s="2">
        <f ca="1">VLOOKUP(B50,Tabla4[],5,FALSE)</f>
        <v>2326.6</v>
      </c>
      <c r="F50" s="2">
        <f ca="1">VLOOKUP(B50,Tabla4[],4,FALSE)</f>
        <v>1.58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ca="1" xml:space="preserve"> K50 * (IF(G50="BTC", D50, IF(G50="ETH", E50, IF(G50="IO.NET", F50, 0)))) * C50</f>
        <v>365.20026941444399</v>
      </c>
      <c r="N50" s="27">
        <f ca="1">IF(G50 = "BTC", (D50 - J50) / J50,
 IF(G50 = "ETH", (E50 - J50) / J50,
 IF(G50 = "IO.NET", (F50 - J50) / J50,
 "Moneda no soportada")))</f>
        <v>1.1912386319969369E-2</v>
      </c>
      <c r="O50" s="28"/>
      <c r="P50" s="28"/>
      <c r="Q50" s="31" t="str">
        <f ca="1">IF(N50 &lt; O50, "MANTENER", IF(N50 &lt; P50, "VENTA PARCIAL", "VENDER"))</f>
        <v>VENDER</v>
      </c>
      <c r="T50" s="2"/>
      <c r="U50" s="14">
        <f>Tabla6[[#This Row],[cantidad]]-Tabla6[[#This Row],[CANTIDAD VENDIDA]]</f>
        <v>5.4016019999999998E-2</v>
      </c>
      <c r="V50" s="2">
        <f ca="1">IF(G50="BTC", D50 * U50 * C50, IF(G50="ETH", E50 * U50 * C50, IF(G50="IO.NET", F50 * U50 * C50, 0)))</f>
        <v>365.20026941444399</v>
      </c>
      <c r="W50" s="2">
        <f>IF(G50 = "BTC", ((T50 - L50)), IF(G50 = "ETH", ((T50 - L50)), IF(G50 = "IO.NET", ((T50 - L50)), "Moneda no soportada")))</f>
        <v>-349.9958350273381</v>
      </c>
      <c r="X50" s="32">
        <f ca="1">IF(G50 = "BTC", (((D50 - J50) / J50)),IF(G50 = "ETH", ((E50 - J50) / J50), IF(G50 = "IO.NET", ((F50 - J50) / J50), "Moneda no soportada")))</f>
        <v>1.1912386319969369E-2</v>
      </c>
      <c r="Y50" s="2" t="str">
        <f>IF(U50=0,"VENDIDA","ACTIVA")</f>
        <v>ACTIVA</v>
      </c>
    </row>
  </sheetData>
  <conditionalFormatting sqref="B3:Z50">
    <cfRule type="expression" dxfId="67" priority="1">
      <formula>$Y:$Y="VENDIDA"</formula>
    </cfRule>
  </conditionalFormatting>
  <conditionalFormatting sqref="Q1:Q1048576">
    <cfRule type="containsText" dxfId="66" priority="9" operator="containsText" text="VENTA PARCIAL">
      <formula>NOT(ISERROR(SEARCH("VENTA PARCIAL",Q1)))</formula>
    </cfRule>
    <cfRule type="containsText" dxfId="65" priority="10" operator="containsText" text="MANTENER">
      <formula>NOT(ISERROR(SEARCH("MANTENER",Q1)))</formula>
    </cfRule>
  </conditionalFormatting>
  <conditionalFormatting sqref="Q3:Q50">
    <cfRule type="containsText" dxfId="64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workbookViewId="0">
      <selection activeCell="J11" sqref="J11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0" width="23" customWidth="1"/>
    <col min="11" max="11" width="16.375" customWidth="1"/>
    <col min="12" max="12" width="12" customWidth="1"/>
  </cols>
  <sheetData>
    <row r="2" spans="2:12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47</v>
      </c>
      <c r="L2" t="s">
        <v>50</v>
      </c>
    </row>
    <row r="3" spans="2:12">
      <c r="B3" s="1">
        <f t="shared" ref="B3:B4" ca="1" si="0">TODAY()</f>
        <v>45546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>
        <f ca="1">VLOOKUP(B3,Tabla4[],6,FALSE)</f>
        <v>4146</v>
      </c>
      <c r="I3" s="7">
        <f t="shared" ref="I3:I8" ca="1" si="2">G3*H3</f>
        <v>728.56468098000005</v>
      </c>
      <c r="J3" s="7">
        <f>F3</f>
        <v>699.9650905725</v>
      </c>
      <c r="K3" s="10">
        <f t="shared" ref="K3:K8" ca="1" si="3">((I3-J3)/J3)</f>
        <v>4.0858595368104003E-2</v>
      </c>
      <c r="L3" s="7">
        <f>D3*1.1</f>
        <v>4381.5750000000007</v>
      </c>
    </row>
    <row r="4" spans="2:12">
      <c r="B4" s="1">
        <f t="shared" ca="1" si="0"/>
        <v>45546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4146</v>
      </c>
      <c r="I4" s="7">
        <f t="shared" ca="1" si="2"/>
        <v>833.00399646000005</v>
      </c>
      <c r="J4" s="7">
        <f t="shared" ref="J4:J9" si="5">F4+J3</f>
        <v>799.96510538510006</v>
      </c>
      <c r="K4" s="10">
        <f t="shared" ca="1" si="3"/>
        <v>4.1300415296233704E-2</v>
      </c>
      <c r="L4" s="7">
        <f t="shared" ref="L4:L6" si="6">D4*1.1</f>
        <v>4366.7470000000003</v>
      </c>
    </row>
    <row r="5" spans="2:12">
      <c r="B5" s="1">
        <f t="shared" ref="B5:B10" ca="1" si="7">TODAY()</f>
        <v>45546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4146</v>
      </c>
      <c r="I5" s="22">
        <f t="shared" ca="1" si="2"/>
        <v>1556.07730044</v>
      </c>
      <c r="J5" s="8">
        <f t="shared" si="5"/>
        <v>1499.9649414160999</v>
      </c>
      <c r="K5" s="10">
        <f t="shared" ca="1" si="3"/>
        <v>3.7409113689634031E-2</v>
      </c>
      <c r="L5" s="7">
        <f t="shared" si="6"/>
        <v>4415.07</v>
      </c>
    </row>
    <row r="6" spans="2:12">
      <c r="B6" s="1">
        <f t="shared" ca="1" si="7"/>
        <v>45546</v>
      </c>
      <c r="C6" s="1">
        <v>45509</v>
      </c>
      <c r="D6" s="7">
        <v>4203.8900000000003</v>
      </c>
      <c r="E6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4146</v>
      </c>
      <c r="I6" s="22">
        <f t="shared" ca="1" si="2"/>
        <v>2246.4385400400001</v>
      </c>
      <c r="J6" s="8">
        <f t="shared" si="5"/>
        <v>2199.9655954301002</v>
      </c>
      <c r="K6" s="10">
        <f t="shared" ca="1" si="3"/>
        <v>2.1124396084391657E-2</v>
      </c>
      <c r="L6" s="7">
        <f t="shared" si="6"/>
        <v>4624.2790000000005</v>
      </c>
    </row>
    <row r="7" spans="2:12">
      <c r="B7" s="1">
        <f t="shared" ca="1" si="7"/>
        <v>45546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4146</v>
      </c>
      <c r="I7" s="22">
        <f t="shared" ca="1" si="2"/>
        <v>2964.2163240599998</v>
      </c>
      <c r="J7" s="8">
        <f t="shared" si="5"/>
        <v>2899.9651352048004</v>
      </c>
      <c r="K7" s="30">
        <f t="shared" ca="1" si="3"/>
        <v>2.215584872907856E-2</v>
      </c>
      <c r="L7" s="8">
        <f>D7*1.1</f>
        <v>4447.6410000000005</v>
      </c>
    </row>
    <row r="8" spans="2:12">
      <c r="B8" s="1">
        <f t="shared" ca="1" si="7"/>
        <v>45546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4146</v>
      </c>
      <c r="I8" s="22">
        <f t="shared" ca="1" si="2"/>
        <v>3697.45479084</v>
      </c>
      <c r="J8" s="8">
        <f t="shared" si="5"/>
        <v>3599.9655804106005</v>
      </c>
      <c r="K8" s="30">
        <f t="shared" ca="1" si="3"/>
        <v>2.7080595147879208E-2</v>
      </c>
      <c r="L8" s="8">
        <f>D8*1.1</f>
        <v>4353.866</v>
      </c>
    </row>
    <row r="9" spans="2:12">
      <c r="B9" s="1">
        <f t="shared" ca="1" si="7"/>
        <v>45546</v>
      </c>
      <c r="C9" s="1">
        <v>45530</v>
      </c>
      <c r="D9" s="7">
        <v>3966.68</v>
      </c>
      <c r="E9">
        <v>0.17646977</v>
      </c>
      <c r="F9" s="7">
        <f>D9*E9</f>
        <v>699.99910726359997</v>
      </c>
      <c r="G9" s="14">
        <f t="shared" si="4"/>
        <v>1.0682823100000001</v>
      </c>
      <c r="H9" s="7">
        <f ca="1">VLOOKUP(B9,Tabla4[],6,FALSE)</f>
        <v>4146</v>
      </c>
      <c r="I9" s="22">
        <f ca="1">G9*H9</f>
        <v>4429.09845726</v>
      </c>
      <c r="J9" s="8">
        <f t="shared" si="5"/>
        <v>4299.9646876742008</v>
      </c>
      <c r="K9" s="30">
        <f ca="1">((I9-J9)/J9)</f>
        <v>3.0031355828562888E-2</v>
      </c>
      <c r="L9" s="8">
        <f>D9*1.1</f>
        <v>4363.348</v>
      </c>
    </row>
    <row r="10" spans="2:12">
      <c r="B10" s="1">
        <f t="shared" ca="1" si="7"/>
        <v>45546</v>
      </c>
      <c r="C10" s="1">
        <v>45537</v>
      </c>
      <c r="D10" s="7">
        <v>3995.06</v>
      </c>
      <c r="E10">
        <v>0.17521656999999999</v>
      </c>
      <c r="F10" s="7">
        <f>D10*E10</f>
        <v>700.00071014419996</v>
      </c>
      <c r="G10" s="14">
        <f>G9+E10</f>
        <v>1.24349888</v>
      </c>
      <c r="H10" s="7">
        <f ca="1">VLOOKUP(B10,Tabla4[],6,FALSE)</f>
        <v>4146</v>
      </c>
      <c r="I10" s="22">
        <f ca="1">G10*H10</f>
        <v>5155.5463564800002</v>
      </c>
      <c r="J10" s="8">
        <f>F10+J9</f>
        <v>4999.9653978184006</v>
      </c>
      <c r="K10" s="30">
        <f ca="1">((I10-J10)/J10)</f>
        <v>3.1116407071433573E-2</v>
      </c>
      <c r="L10" s="8">
        <f>D10*1.1</f>
        <v>4394.5660000000007</v>
      </c>
    </row>
    <row r="11" spans="2:12">
      <c r="B11" s="1">
        <f ca="1">TODAY()</f>
        <v>45546</v>
      </c>
      <c r="C11" s="1">
        <v>45544</v>
      </c>
      <c r="D11" s="7">
        <v>4082.04</v>
      </c>
      <c r="E11">
        <v>0.17148269999999999</v>
      </c>
      <c r="F11" s="7">
        <f>D11*E11</f>
        <v>699.99924070799989</v>
      </c>
      <c r="G11" s="14">
        <f>G10+E11</f>
        <v>1.4149815800000001</v>
      </c>
      <c r="H11" s="7">
        <f ca="1">VLOOKUP(B11,Tabla4[],6,FALSE)</f>
        <v>4146</v>
      </c>
      <c r="I11" s="22">
        <f ca="1">G11*H11</f>
        <v>5866.5136306800005</v>
      </c>
      <c r="J11" s="8">
        <f>F11+J10</f>
        <v>5699.9646385264004</v>
      </c>
      <c r="K11" s="30">
        <f ca="1">((I11-J11)/J11)</f>
        <v>2.9219302700210708E-2</v>
      </c>
      <c r="L11" s="8">
        <f>D11*1.1</f>
        <v>4490.2440000000006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opLeftCell="F1" workbookViewId="0">
      <selection activeCell="H10" sqref="H10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4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K11">
        <f t="shared" si="7"/>
        <v>0</v>
      </c>
      <c r="L11" s="14">
        <f t="shared" si="8"/>
        <v>-4.1100000000000003E-5</v>
      </c>
      <c r="M11" s="8">
        <f t="shared" si="0"/>
        <v>57304</v>
      </c>
      <c r="N11">
        <f t="shared" si="9"/>
        <v>0</v>
      </c>
      <c r="O11" s="8">
        <f t="shared" si="10"/>
        <v>-1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K12">
        <f t="shared" si="7"/>
        <v>0</v>
      </c>
      <c r="L12" s="14">
        <f t="shared" si="8"/>
        <v>-6.5094000000000003E-4</v>
      </c>
      <c r="M12" s="8">
        <f t="shared" si="0"/>
        <v>2425.9</v>
      </c>
      <c r="N12">
        <f t="shared" si="9"/>
        <v>0</v>
      </c>
      <c r="O12" s="8">
        <f t="shared" si="10"/>
        <v>-1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K13">
        <f t="shared" si="7"/>
        <v>0</v>
      </c>
      <c r="L13" s="14">
        <f t="shared" si="8"/>
        <v>-0.55124218999999997</v>
      </c>
      <c r="M13" s="8">
        <f t="shared" si="0"/>
        <v>1.39</v>
      </c>
      <c r="N13">
        <f t="shared" si="9"/>
        <v>0</v>
      </c>
      <c r="O13" s="8">
        <f t="shared" si="10"/>
        <v>-1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K14">
        <f t="shared" si="7"/>
        <v>0</v>
      </c>
      <c r="L14" s="14">
        <f t="shared" si="8"/>
        <v>-1.24686349</v>
      </c>
      <c r="M14" s="8">
        <f t="shared" si="0"/>
        <v>1</v>
      </c>
      <c r="N14">
        <f t="shared" si="9"/>
        <v>0</v>
      </c>
      <c r="O14" s="8">
        <f t="shared" si="10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31" workbookViewId="0">
      <selection activeCell="E2" sqref="E2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</cols>
  <sheetData>
    <row r="2" spans="2:7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</row>
    <row r="3" spans="2:7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</row>
    <row r="35" spans="2:7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</row>
    <row r="36" spans="2:7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</row>
    <row r="37" spans="2:7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</row>
    <row r="38" spans="2:7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</row>
    <row r="39" spans="2:7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</row>
    <row r="40" spans="2:7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</row>
    <row r="41" spans="2:7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</row>
    <row r="42" spans="2:7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</row>
    <row r="43" spans="2:7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</row>
    <row r="44" spans="2:7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</row>
    <row r="45" spans="2:7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</row>
    <row r="46" spans="2:7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</row>
    <row r="47" spans="2:7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</row>
    <row r="48" spans="2:7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</row>
    <row r="49" spans="2:7">
      <c r="B49" s="1">
        <v>45544</v>
      </c>
      <c r="C49" s="8">
        <f>VLOOKUP(B49,Tabla4[],2,FALSE)</f>
        <v>4149.79</v>
      </c>
      <c r="D49" s="24">
        <v>502.23</v>
      </c>
      <c r="E49" s="8">
        <f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</row>
    <row r="50" spans="2:7">
      <c r="B50" s="1">
        <v>45545</v>
      </c>
      <c r="C50" s="8">
        <f>VLOOKUP(B50,Tabla4[],2,FALSE)</f>
        <v>4243.8</v>
      </c>
      <c r="D50" s="24">
        <v>504.3</v>
      </c>
      <c r="E50" s="8">
        <f>0.01518 * D50</f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45546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45546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45546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45546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45546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45546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45546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45546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45546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45546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45546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45546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2024-09-11T12:00:59Z</dcterms:modified>
</cp:coreProperties>
</file>